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VolSkew" sheetId="4" r:id="rId1"/>
    <sheet name="Distribution" sheetId="8" r:id="rId2"/>
    <sheet name="St Dist" sheetId="9" r:id="rId3"/>
    <sheet name="Shimko" sheetId="5" r:id="rId4"/>
    <sheet name="expiry" sheetId="7" r:id="rId5"/>
  </sheets>
  <definedNames>
    <definedName name="_xlnm._FilterDatabase" localSheetId="4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Coef">VolSkew!$AO$29</definedName>
    <definedName name="ENAVolFit">VolSkew!$AN$28</definedName>
    <definedName name="ENAVolTable">VolSkew!$AG$30:$AK$49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VolSkew!$A$20:$G$26,VolSkew!$I$8:$O$14,VolSkew!$A$47:$G$53</definedName>
    <definedName name="pdfCoef">VolSkew!$AD$10</definedName>
    <definedName name="PremiumTop">VolSkew!$J$9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VolSkew!$K$9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92512" calcMode="manual" iterateDelta="9.9999999999999995E-8" calcOnSave="0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R1" i="4"/>
  <c r="K2" i="4"/>
  <c r="R2" i="4"/>
  <c r="C4" i="4"/>
  <c r="W7" i="4"/>
  <c r="M9" i="4"/>
  <c r="N9" i="4"/>
  <c r="B10" i="4"/>
  <c r="C10" i="4"/>
  <c r="D10" i="4"/>
  <c r="E10" i="4"/>
  <c r="F10" i="4"/>
  <c r="G10" i="4"/>
  <c r="M10" i="4"/>
  <c r="N10" i="4"/>
  <c r="X10" i="4"/>
  <c r="Y10" i="4"/>
  <c r="Z10" i="4"/>
  <c r="AA10" i="4"/>
  <c r="AD10" i="4"/>
  <c r="AE10" i="4"/>
  <c r="AF10" i="4"/>
  <c r="AG10" i="4"/>
  <c r="M11" i="4"/>
  <c r="N11" i="4"/>
  <c r="X11" i="4"/>
  <c r="Y11" i="4"/>
  <c r="Z11" i="4"/>
  <c r="AA11" i="4"/>
  <c r="AE11" i="4"/>
  <c r="AF11" i="4"/>
  <c r="AG11" i="4"/>
  <c r="M12" i="4"/>
  <c r="N12" i="4"/>
  <c r="X12" i="4"/>
  <c r="Y12" i="4"/>
  <c r="Z12" i="4"/>
  <c r="AA12" i="4"/>
  <c r="AF12" i="4"/>
  <c r="AG12" i="4"/>
  <c r="M13" i="4"/>
  <c r="N13" i="4"/>
  <c r="Y13" i="4"/>
  <c r="Z13" i="4"/>
  <c r="AA13" i="4"/>
  <c r="AG13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W29" i="4"/>
  <c r="X29" i="4"/>
  <c r="AO29" i="4"/>
  <c r="AP29" i="4"/>
  <c r="AQ29" i="4"/>
  <c r="AR29" i="4"/>
  <c r="AG30" i="4"/>
  <c r="AI30" i="4"/>
  <c r="AJ30" i="4"/>
  <c r="AK30" i="4"/>
  <c r="AO30" i="4"/>
  <c r="AP30" i="4"/>
  <c r="AQ30" i="4"/>
  <c r="AR30" i="4"/>
  <c r="AG31" i="4"/>
  <c r="AI31" i="4"/>
  <c r="AJ31" i="4"/>
  <c r="AK31" i="4"/>
  <c r="AO31" i="4"/>
  <c r="AP31" i="4"/>
  <c r="AQ31" i="4"/>
  <c r="AR31" i="4"/>
  <c r="W32" i="4"/>
  <c r="X32" i="4"/>
  <c r="Z32" i="4"/>
  <c r="AA32" i="4"/>
  <c r="AG32" i="4"/>
  <c r="AI32" i="4"/>
  <c r="AJ32" i="4"/>
  <c r="AK32" i="4"/>
  <c r="AP32" i="4"/>
  <c r="AQ32" i="4"/>
  <c r="AR32" i="4"/>
  <c r="W33" i="4"/>
  <c r="X33" i="4"/>
  <c r="Z33" i="4"/>
  <c r="AA33" i="4"/>
  <c r="AG33" i="4"/>
  <c r="AI33" i="4"/>
  <c r="AJ33" i="4"/>
  <c r="AK33" i="4"/>
  <c r="AQ33" i="4"/>
  <c r="AR33" i="4"/>
  <c r="W34" i="4"/>
  <c r="X34" i="4"/>
  <c r="Z34" i="4"/>
  <c r="AA34" i="4"/>
  <c r="AG34" i="4"/>
  <c r="AI34" i="4"/>
  <c r="AJ34" i="4"/>
  <c r="AK34" i="4"/>
  <c r="AR34" i="4"/>
  <c r="W35" i="4"/>
  <c r="X35" i="4"/>
  <c r="Z35" i="4"/>
  <c r="AA35" i="4"/>
  <c r="AG35" i="4"/>
  <c r="AI35" i="4"/>
  <c r="AJ35" i="4"/>
  <c r="AK35" i="4"/>
  <c r="W36" i="4"/>
  <c r="X36" i="4"/>
  <c r="Z36" i="4"/>
  <c r="AA36" i="4"/>
  <c r="AG36" i="4"/>
  <c r="AI36" i="4"/>
  <c r="AJ36" i="4"/>
  <c r="AK36" i="4"/>
  <c r="W37" i="4"/>
  <c r="X37" i="4"/>
  <c r="Z37" i="4"/>
  <c r="AA37" i="4"/>
  <c r="AG37" i="4"/>
  <c r="AI37" i="4"/>
  <c r="AJ37" i="4"/>
  <c r="AK37" i="4"/>
  <c r="W38" i="4"/>
  <c r="X38" i="4"/>
  <c r="Z38" i="4"/>
  <c r="AA38" i="4"/>
  <c r="AG38" i="4"/>
  <c r="AI38" i="4"/>
  <c r="AJ38" i="4"/>
  <c r="AK38" i="4"/>
  <c r="W39" i="4"/>
  <c r="X39" i="4"/>
  <c r="Z39" i="4"/>
  <c r="AA39" i="4"/>
  <c r="AG39" i="4"/>
  <c r="AI39" i="4"/>
  <c r="AJ39" i="4"/>
  <c r="AK39" i="4"/>
  <c r="W40" i="4"/>
  <c r="X40" i="4"/>
  <c r="Z40" i="4"/>
  <c r="AA40" i="4"/>
  <c r="AG40" i="4"/>
  <c r="AI40" i="4"/>
  <c r="AJ40" i="4"/>
  <c r="AK40" i="4"/>
  <c r="W41" i="4"/>
  <c r="X41" i="4"/>
  <c r="Z41" i="4"/>
  <c r="AA41" i="4"/>
  <c r="AG41" i="4"/>
  <c r="AI41" i="4"/>
  <c r="AJ41" i="4"/>
  <c r="AK41" i="4"/>
  <c r="W42" i="4"/>
  <c r="X42" i="4"/>
  <c r="Z42" i="4"/>
  <c r="AA42" i="4"/>
  <c r="AG42" i="4"/>
  <c r="AI42" i="4"/>
  <c r="AJ42" i="4"/>
  <c r="AK42" i="4"/>
  <c r="W43" i="4"/>
  <c r="X43" i="4"/>
  <c r="Z43" i="4"/>
  <c r="AA43" i="4"/>
  <c r="AG43" i="4"/>
  <c r="AI43" i="4"/>
  <c r="AJ43" i="4"/>
  <c r="AK43" i="4"/>
  <c r="W44" i="4"/>
  <c r="X44" i="4"/>
  <c r="Z44" i="4"/>
  <c r="AA44" i="4"/>
  <c r="AG44" i="4"/>
  <c r="AI44" i="4"/>
  <c r="AJ44" i="4"/>
  <c r="AK44" i="4"/>
  <c r="Z45" i="4"/>
  <c r="AA45" i="4"/>
  <c r="AG45" i="4"/>
  <c r="AI45" i="4"/>
  <c r="AJ45" i="4"/>
  <c r="AK45" i="4"/>
  <c r="Z46" i="4"/>
  <c r="AA46" i="4"/>
  <c r="AG46" i="4"/>
  <c r="AI46" i="4"/>
  <c r="AJ46" i="4"/>
  <c r="AK46" i="4"/>
  <c r="Z47" i="4"/>
  <c r="AA47" i="4"/>
  <c r="AG47" i="4"/>
  <c r="AI47" i="4"/>
  <c r="AJ47" i="4"/>
  <c r="AK47" i="4"/>
  <c r="Z48" i="4"/>
  <c r="AA48" i="4"/>
  <c r="AG48" i="4"/>
  <c r="AI48" i="4"/>
  <c r="AJ48" i="4"/>
  <c r="AK48" i="4"/>
  <c r="Z49" i="4"/>
  <c r="AA49" i="4"/>
  <c r="AG49" i="4"/>
  <c r="AI49" i="4"/>
  <c r="AJ49" i="4"/>
  <c r="AK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<sst xmlns="http://schemas.openxmlformats.org/spreadsheetml/2006/main" count="199" uniqueCount="124">
  <si>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</si>
  <si>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</si>
  <si>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</si>
  <si>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</si>
  <si>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</si>
  <si>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</si>
  <si>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</si>
  <si>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</si>
  <si>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</si>
  <si>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</si>
  <si>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</si>
  <si>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</si>
  <si>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</si>
  <si>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</si>
  <si>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</si>
  <si>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</si>
  <si>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</si>
  <si>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</si>
  <si>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</si>
  <si>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</si>
  <si>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</si>
  <si>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</si>
  <si>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</si>
  <si>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</si>
  <si>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</si>
  <si>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</si>
  <si>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</si>
  <si>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</si>
  <si>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</si>
  <si>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</si>
  <si>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</si>
  <si>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</si>
  <si>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</si>
  <si>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</si>
  <si>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</si>
  <si>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</si>
  <si>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</si>
  <si>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</si>
  <si>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</si>
  <si>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</si>
  <si>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</si>
  <si>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</si>
  <si>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</si>
  <si>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</si>
  <si>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</si>
  <si>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</si>
  <si>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</si>
  <si>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</si>
  <si>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</si>
  <si>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</si>
  <si>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</si>
  <si>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</si>
  <si>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</si>
  <si>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</si>
  <si>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</si>
  <si>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</si>
  <si>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</si>
  <si>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</si>
  <si>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</si>
  <si>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</si>
  <si>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</si>
  <si>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</si>
  <si>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</si>
  <si>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</si>
  <si>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</si>
  <si>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</si>
  <si>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</si>
  <si>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</si>
  <si>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</si>
  <si>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</si>
  <si>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</si>
  <si>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</si>
  <si>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</si>
  <si>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</si>
  <si>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</si>
  <si>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</si>
  <si>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</si>
  <si>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</si>
  <si>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</si>
  <si>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</si>
  <si>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</si>
  <si>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</si>
  <si>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</si>
  <si>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</si>
  <si>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</si>
  <si>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</si>
  <si>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</si>
  <si>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</si>
  <si>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</si>
  <si>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</si>
  <si>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</si>
  <si>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</si>
  <si>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</si>
  <si>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</si>
  <si>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</si>
  <si>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</si>
  <si>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</si>
  <si>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</si>
  <si>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</si>
  <si>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</si>
  <si>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</si>
  <si>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</si>
  <si>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</si>
  <si>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</si>
  <si>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</si>
  <si>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</si>
  <si>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</si>
  <si>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</si>
  <si>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</si>
  <si>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call at vol</t>
  </si>
  <si>
    <t>call at vol-e</t>
  </si>
  <si>
    <t>call at vol+e</t>
  </si>
  <si>
    <t>2nd d</t>
  </si>
  <si>
    <t>ENA Vol Fit</t>
  </si>
  <si>
    <t>premium difference</t>
  </si>
  <si>
    <t>ENA Skew</t>
  </si>
  <si>
    <t>ENA to Market</t>
  </si>
  <si>
    <t>0.044</t>
  </si>
  <si>
    <t>0.244</t>
  </si>
  <si>
    <t>0.440</t>
  </si>
  <si>
    <t>0.567</t>
  </si>
  <si>
    <t>0.715</t>
  </si>
  <si>
    <t>0.979</t>
  </si>
  <si>
    <t>0.116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</si>
</sst>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</numFmts>
  <fonts count="26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1897123054408"/>
          <c:y val="9.7633241876807803E-2"/>
          <c:w val="0.78918953634815625"/>
          <c:h val="0.73668718870682259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75"/>
                <c:pt idx="0">
                  <c:v>-0.39</c:v>
                </c:pt>
                <c:pt idx="1">
                  <c:v>-0.38</c:v>
                </c:pt>
                <c:pt idx="2">
                  <c:v>-0.37</c:v>
                </c:pt>
                <c:pt idx="3">
                  <c:v>-0.36</c:v>
                </c:pt>
                <c:pt idx="4">
                  <c:v>-0.35</c:v>
                </c:pt>
                <c:pt idx="5">
                  <c:v>-0.33999999999999997</c:v>
                </c:pt>
                <c:pt idx="6">
                  <c:v>-0.32999999999999996</c:v>
                </c:pt>
                <c:pt idx="7">
                  <c:v>-0.31999999999999995</c:v>
                </c:pt>
                <c:pt idx="8">
                  <c:v>-0.30999999999999994</c:v>
                </c:pt>
                <c:pt idx="9">
                  <c:v>-0.29999999999999993</c:v>
                </c:pt>
                <c:pt idx="10">
                  <c:v>-0.28999999999999992</c:v>
                </c:pt>
                <c:pt idx="11">
                  <c:v>-0.27999999999999992</c:v>
                </c:pt>
                <c:pt idx="12">
                  <c:v>-0.26999999999999991</c:v>
                </c:pt>
                <c:pt idx="13">
                  <c:v>-0.2599999999999999</c:v>
                </c:pt>
                <c:pt idx="14">
                  <c:v>-0.24999999999999989</c:v>
                </c:pt>
                <c:pt idx="15">
                  <c:v>-0.23999999999999988</c:v>
                </c:pt>
                <c:pt idx="16">
                  <c:v>-0.22999999999999987</c:v>
                </c:pt>
                <c:pt idx="17">
                  <c:v>-0.21999999999999986</c:v>
                </c:pt>
                <c:pt idx="18">
                  <c:v>-0.20999999999999985</c:v>
                </c:pt>
                <c:pt idx="19">
                  <c:v>-0.19999999999999984</c:v>
                </c:pt>
                <c:pt idx="20">
                  <c:v>-0.18999999999999984</c:v>
                </c:pt>
                <c:pt idx="21">
                  <c:v>-0.17999999999999983</c:v>
                </c:pt>
                <c:pt idx="22">
                  <c:v>-0.16999999999999982</c:v>
                </c:pt>
                <c:pt idx="23">
                  <c:v>-0.15999999999999981</c:v>
                </c:pt>
                <c:pt idx="24">
                  <c:v>-0.1499999999999998</c:v>
                </c:pt>
                <c:pt idx="25">
                  <c:v>-0.13999999999999979</c:v>
                </c:pt>
                <c:pt idx="26">
                  <c:v>-0.12999999999999978</c:v>
                </c:pt>
                <c:pt idx="27">
                  <c:v>-0.11999999999999979</c:v>
                </c:pt>
                <c:pt idx="28">
                  <c:v>-0.10999999999999979</c:v>
                </c:pt>
                <c:pt idx="29">
                  <c:v>-9.9999999999999797E-2</c:v>
                </c:pt>
                <c:pt idx="30">
                  <c:v>-8.9999999999999802E-2</c:v>
                </c:pt>
                <c:pt idx="31">
                  <c:v>-7.9999999999999807E-2</c:v>
                </c:pt>
                <c:pt idx="32">
                  <c:v>-6.9999999999999812E-2</c:v>
                </c:pt>
                <c:pt idx="33">
                  <c:v>-5.999999999999981E-2</c:v>
                </c:pt>
                <c:pt idx="34">
                  <c:v>-4.9999999999999808E-2</c:v>
                </c:pt>
                <c:pt idx="35">
                  <c:v>-3.9999999999999807E-2</c:v>
                </c:pt>
                <c:pt idx="36">
                  <c:v>-2.9999999999999805E-2</c:v>
                </c:pt>
                <c:pt idx="37">
                  <c:v>-1.9999999999999803E-2</c:v>
                </c:pt>
                <c:pt idx="38">
                  <c:v>-9.9999999999998024E-3</c:v>
                </c:pt>
                <c:pt idx="39">
                  <c:v>1.9775847626135601E-16</c:v>
                </c:pt>
                <c:pt idx="40">
                  <c:v>1.0000000000000198E-2</c:v>
                </c:pt>
                <c:pt idx="41">
                  <c:v>2.0000000000000198E-2</c:v>
                </c:pt>
                <c:pt idx="42">
                  <c:v>3.00000000000002E-2</c:v>
                </c:pt>
                <c:pt idx="43">
                  <c:v>4.0000000000000202E-2</c:v>
                </c:pt>
                <c:pt idx="44">
                  <c:v>5.0000000000000204E-2</c:v>
                </c:pt>
                <c:pt idx="45">
                  <c:v>6.0000000000000206E-2</c:v>
                </c:pt>
                <c:pt idx="46">
                  <c:v>7.0000000000000201E-2</c:v>
                </c:pt>
                <c:pt idx="47">
                  <c:v>8.0000000000000196E-2</c:v>
                </c:pt>
                <c:pt idx="48">
                  <c:v>9.0000000000000191E-2</c:v>
                </c:pt>
                <c:pt idx="49">
                  <c:v>0.10000000000000019</c:v>
                </c:pt>
                <c:pt idx="50">
                  <c:v>0.11000000000000018</c:v>
                </c:pt>
                <c:pt idx="51">
                  <c:v>0.12000000000000018</c:v>
                </c:pt>
                <c:pt idx="52">
                  <c:v>0.13000000000000017</c:v>
                </c:pt>
                <c:pt idx="53">
                  <c:v>0.14000000000000018</c:v>
                </c:pt>
                <c:pt idx="54">
                  <c:v>0.15000000000000019</c:v>
                </c:pt>
                <c:pt idx="55">
                  <c:v>0.1600000000000002</c:v>
                </c:pt>
                <c:pt idx="56">
                  <c:v>0.17000000000000021</c:v>
                </c:pt>
                <c:pt idx="57">
                  <c:v>0.18000000000000022</c:v>
                </c:pt>
                <c:pt idx="58">
                  <c:v>0.19000000000000022</c:v>
                </c:pt>
                <c:pt idx="59">
                  <c:v>0.20000000000000023</c:v>
                </c:pt>
                <c:pt idx="60">
                  <c:v>0.21000000000000024</c:v>
                </c:pt>
                <c:pt idx="61">
                  <c:v>0.22000000000000025</c:v>
                </c:pt>
                <c:pt idx="62">
                  <c:v>0.23000000000000026</c:v>
                </c:pt>
                <c:pt idx="63">
                  <c:v>0.24000000000000027</c:v>
                </c:pt>
                <c:pt idx="64">
                  <c:v>0.25000000000000028</c:v>
                </c:pt>
                <c:pt idx="65">
                  <c:v>0.26000000000000029</c:v>
                </c:pt>
                <c:pt idx="66">
                  <c:v>0.2700000000000003</c:v>
                </c:pt>
                <c:pt idx="67">
                  <c:v>0.2800000000000003</c:v>
                </c:pt>
                <c:pt idx="68">
                  <c:v>0.29000000000000031</c:v>
                </c:pt>
                <c:pt idx="69">
                  <c:v>0.30000000000000032</c:v>
                </c:pt>
                <c:pt idx="70">
                  <c:v>0.31000000000000033</c:v>
                </c:pt>
                <c:pt idx="71">
                  <c:v>0.32000000000000034</c:v>
                </c:pt>
                <c:pt idx="72">
                  <c:v>0.33000000000000035</c:v>
                </c:pt>
                <c:pt idx="73">
                  <c:v>0.34000000000000036</c:v>
                </c:pt>
                <c:pt idx="74">
                  <c:v>0.35000000000000037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75"/>
                <c:pt idx="0">
                  <c:v>0.53688150858999995</c:v>
                </c:pt>
                <c:pt idx="1">
                  <c:v>0.53515605592000004</c:v>
                </c:pt>
                <c:pt idx="2">
                  <c:v>0.53350767032999991</c:v>
                </c:pt>
                <c:pt idx="3">
                  <c:v>0.53193534015999999</c:v>
                </c:pt>
                <c:pt idx="4">
                  <c:v>0.53043805374999997</c:v>
                </c:pt>
                <c:pt idx="5">
                  <c:v>0.52901479943999996</c:v>
                </c:pt>
                <c:pt idx="6">
                  <c:v>0.52766456556999997</c:v>
                </c:pt>
                <c:pt idx="7">
                  <c:v>0.52638634047999999</c:v>
                </c:pt>
                <c:pt idx="8">
                  <c:v>0.52517911250999993</c:v>
                </c:pt>
                <c:pt idx="9">
                  <c:v>0.52404187000000002</c:v>
                </c:pt>
                <c:pt idx="10">
                  <c:v>0.52297360128999992</c:v>
                </c:pt>
                <c:pt idx="11">
                  <c:v>0.52197329471999987</c:v>
                </c:pt>
                <c:pt idx="12">
                  <c:v>0.52103993862999998</c:v>
                </c:pt>
                <c:pt idx="13">
                  <c:v>0.52017252135999992</c:v>
                </c:pt>
                <c:pt idx="14">
                  <c:v>0.51937003125000003</c:v>
                </c:pt>
                <c:pt idx="15">
                  <c:v>0.51863145663999988</c:v>
                </c:pt>
                <c:pt idx="16">
                  <c:v>0.51795578587000002</c:v>
                </c:pt>
                <c:pt idx="17">
                  <c:v>0.5173420072799999</c:v>
                </c:pt>
                <c:pt idx="18">
                  <c:v>0.51678910920999999</c:v>
                </c:pt>
                <c:pt idx="19">
                  <c:v>0.51629607999999994</c:v>
                </c:pt>
                <c:pt idx="20">
                  <c:v>0.51586190798999998</c:v>
                </c:pt>
                <c:pt idx="21">
                  <c:v>0.51548558152000001</c:v>
                </c:pt>
                <c:pt idx="22">
                  <c:v>0.51516608892999993</c:v>
                </c:pt>
                <c:pt idx="23">
                  <c:v>0.51490241855999996</c:v>
                </c:pt>
                <c:pt idx="24">
                  <c:v>0.51469355874999989</c:v>
                </c:pt>
                <c:pt idx="25">
                  <c:v>0.51453849783999994</c:v>
                </c:pt>
                <c:pt idx="26">
                  <c:v>0.5144362241699999</c:v>
                </c:pt>
                <c:pt idx="27">
                  <c:v>0.51438572607999999</c:v>
                </c:pt>
                <c:pt idx="28">
                  <c:v>0.5143859919099999</c:v>
                </c:pt>
                <c:pt idx="29">
                  <c:v>0.51443601000000005</c:v>
                </c:pt>
                <c:pt idx="30">
                  <c:v>0.51453476868999992</c:v>
                </c:pt>
                <c:pt idx="31">
                  <c:v>0.51468125631999995</c:v>
                </c:pt>
                <c:pt idx="32">
                  <c:v>0.51487446122999991</c:v>
                </c:pt>
                <c:pt idx="33">
                  <c:v>0.51511337175999994</c:v>
                </c:pt>
                <c:pt idx="34">
                  <c:v>0.51539697625000003</c:v>
                </c:pt>
                <c:pt idx="35">
                  <c:v>0.51572426303999996</c:v>
                </c:pt>
                <c:pt idx="36">
                  <c:v>0.51609422046999998</c:v>
                </c:pt>
                <c:pt idx="37">
                  <c:v>0.51650583687999996</c:v>
                </c:pt>
                <c:pt idx="38">
                  <c:v>0.51695810061000003</c:v>
                </c:pt>
                <c:pt idx="39">
                  <c:v>0.51744999999999997</c:v>
                </c:pt>
                <c:pt idx="40">
                  <c:v>0.51798052339000011</c:v>
                </c:pt>
                <c:pt idx="41">
                  <c:v>0.51854865911999992</c:v>
                </c:pt>
                <c:pt idx="42">
                  <c:v>0.51915339552999995</c:v>
                </c:pt>
                <c:pt idx="43">
                  <c:v>0.51979372095999998</c:v>
                </c:pt>
                <c:pt idx="44">
                  <c:v>0.52046862374999991</c:v>
                </c:pt>
                <c:pt idx="45">
                  <c:v>0.52117709223999997</c:v>
                </c:pt>
                <c:pt idx="46">
                  <c:v>0.52191811476999994</c:v>
                </c:pt>
                <c:pt idx="47">
                  <c:v>0.52269067968000005</c:v>
                </c:pt>
                <c:pt idx="48">
                  <c:v>0.52349377530999996</c:v>
                </c:pt>
                <c:pt idx="49">
                  <c:v>0.52432639000000003</c:v>
                </c:pt>
                <c:pt idx="50">
                  <c:v>0.52518751209000003</c:v>
                </c:pt>
                <c:pt idx="51">
                  <c:v>0.52607612991999986</c:v>
                </c:pt>
                <c:pt idx="52">
                  <c:v>0.52699123182999996</c:v>
                </c:pt>
                <c:pt idx="53">
                  <c:v>0.52793180615999991</c:v>
                </c:pt>
                <c:pt idx="54">
                  <c:v>0.52889684125000003</c:v>
                </c:pt>
                <c:pt idx="55">
                  <c:v>0.52988532544</c:v>
                </c:pt>
                <c:pt idx="56">
                  <c:v>0.53089624706999994</c:v>
                </c:pt>
                <c:pt idx="57">
                  <c:v>0.53192859447999996</c:v>
                </c:pt>
                <c:pt idx="58">
                  <c:v>0.53298135601000007</c:v>
                </c:pt>
                <c:pt idx="59">
                  <c:v>0.53405351999999995</c:v>
                </c:pt>
                <c:pt idx="60">
                  <c:v>0.53514407479000003</c:v>
                </c:pt>
                <c:pt idx="61">
                  <c:v>0.53625200872000001</c:v>
                </c:pt>
                <c:pt idx="62">
                  <c:v>0.53737631012999987</c:v>
                </c:pt>
                <c:pt idx="63">
                  <c:v>0.53851596736000007</c:v>
                </c:pt>
                <c:pt idx="64">
                  <c:v>0.53966996874999995</c:v>
                </c:pt>
                <c:pt idx="65">
                  <c:v>0.54083730264000007</c:v>
                </c:pt>
                <c:pt idx="66">
                  <c:v>0.54201695737</c:v>
                </c:pt>
                <c:pt idx="67">
                  <c:v>0.54320792128000006</c:v>
                </c:pt>
                <c:pt idx="68">
                  <c:v>0.54440918271000005</c:v>
                </c:pt>
                <c:pt idx="69">
                  <c:v>0.54561973000000008</c:v>
                </c:pt>
                <c:pt idx="70">
                  <c:v>0.54683855149000005</c:v>
                </c:pt>
                <c:pt idx="71">
                  <c:v>0.54806463552000007</c:v>
                </c:pt>
                <c:pt idx="72">
                  <c:v>0.54929697043000003</c:v>
                </c:pt>
                <c:pt idx="73">
                  <c:v>0.55053454456000006</c:v>
                </c:pt>
                <c:pt idx="74">
                  <c:v>0.55177634625000005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A-4761-87F5-5457272AA000}"/>
            </c:ext>
          </c:extLst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4"/>
                <c:pt idx="0">
                  <c:v>6.2951496388029105E-2</c:v>
                </c:pt>
                <c:pt idx="1">
                  <c:v>0.11455108359133148</c:v>
                </c:pt>
                <c:pt idx="2">
                  <c:v>0.1351909184726523</c:v>
                </c:pt>
                <c:pt idx="3">
                  <c:v>0.18679050567595468</c:v>
                </c:pt>
                <c:pt idx="4">
                  <c:v>0.23839009287925705</c:v>
                </c:pt>
                <c:pt idx="5">
                  <c:v>0.28998968008255943</c:v>
                </c:pt>
                <c:pt idx="6">
                  <c:v>0.34158926728586181</c:v>
                </c:pt>
                <c:pt idx="7">
                  <c:v>-0.38080495356037147</c:v>
                </c:pt>
                <c:pt idx="8">
                  <c:v>-0.17440660474716196</c:v>
                </c:pt>
                <c:pt idx="9">
                  <c:v>-7.120743034055721E-2</c:v>
                </c:pt>
                <c:pt idx="10">
                  <c:v>-1.9607843137254832E-2</c:v>
                </c:pt>
                <c:pt idx="11">
                  <c:v>3.1991744066047545E-2</c:v>
                </c:pt>
                <c:pt idx="12">
                  <c:v>0.11455108359133148</c:v>
                </c:pt>
                <c:pt idx="13">
                  <c:v>-0.27760577915376672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4"/>
                <c:pt idx="0">
                  <c:v>0.52216900859553628</c:v>
                </c:pt>
                <c:pt idx="1">
                  <c:v>0.52558496451568437</c:v>
                </c:pt>
                <c:pt idx="2">
                  <c:v>0.52933534764034473</c:v>
                </c:pt>
                <c:pt idx="3">
                  <c:v>0.53367692921051058</c:v>
                </c:pt>
                <c:pt idx="4">
                  <c:v>0.53973952729036312</c:v>
                </c:pt>
                <c:pt idx="5">
                  <c:v>0.54375158744185936</c:v>
                </c:pt>
                <c:pt idx="6">
                  <c:v>0.54976871822942786</c:v>
                </c:pt>
                <c:pt idx="7">
                  <c:v>0.53360099989488174</c:v>
                </c:pt>
                <c:pt idx="8">
                  <c:v>0.51725442008969025</c:v>
                </c:pt>
                <c:pt idx="9">
                  <c:v>0.51274829398997646</c:v>
                </c:pt>
                <c:pt idx="10">
                  <c:v>0.51319831598899668</c:v>
                </c:pt>
                <c:pt idx="11">
                  <c:v>0.51839622539137742</c:v>
                </c:pt>
                <c:pt idx="12">
                  <c:v>0.52535874813965244</c:v>
                </c:pt>
                <c:pt idx="13">
                  <c:v>0.52453184827824229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6A-4761-87F5-5457272AA000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VolSkew!$AG$36:$AG$43</c:f>
              <c:numCache>
                <c:formatCode>General</c:formatCode>
                <c:ptCount val="8"/>
                <c:pt idx="0">
                  <c:v>-0.41279669762641902</c:v>
                </c:pt>
                <c:pt idx="1">
                  <c:v>-0.30959752321981426</c:v>
                </c:pt>
                <c:pt idx="2">
                  <c:v>-0.10319917440660475</c:v>
                </c:pt>
                <c:pt idx="3">
                  <c:v>0</c:v>
                </c:pt>
                <c:pt idx="4">
                  <c:v>0.10319917440660475</c:v>
                </c:pt>
                <c:pt idx="5">
                  <c:v>0.20639834881320951</c:v>
                </c:pt>
                <c:pt idx="6">
                  <c:v>0.30959752321981426</c:v>
                </c:pt>
                <c:pt idx="7">
                  <c:v>0.41279669762641902</c:v>
                </c:pt>
              </c:numCache>
            </c:numRef>
          </c:xVal>
          <c:yVal>
            <c:numRef>
              <c:f>VolSkew!$AJ$36:$AJ$43</c:f>
              <c:numCache>
                <c:formatCode>0.00</c:formatCode>
                <c:ptCount val="8"/>
                <c:pt idx="0">
                  <c:v>0.52250000000000008</c:v>
                </c:pt>
                <c:pt idx="1">
                  <c:v>0.52</c:v>
                </c:pt>
                <c:pt idx="2">
                  <c:v>0.52</c:v>
                </c:pt>
                <c:pt idx="3">
                  <c:v>0.52500000000000002</c:v>
                </c:pt>
                <c:pt idx="4">
                  <c:v>0.53700000000000003</c:v>
                </c:pt>
                <c:pt idx="5">
                  <c:v>0.54871416000000006</c:v>
                </c:pt>
                <c:pt idx="6">
                  <c:v>0.55960255588800001</c:v>
                </c:pt>
                <c:pt idx="7">
                  <c:v>0.56950000000000001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A-4761-87F5-5457272A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4400"/>
        <c:axId val="1"/>
      </c:scatterChart>
      <c:valAx>
        <c:axId val="194304400"/>
        <c:scaling>
          <c:orientation val="minMax"/>
          <c:min val="-0.5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19821500132628"/>
              <c:y val="0.911243590850206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2.1621631132826197E-2"/>
              <c:y val="0.4408288799892231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04400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Oct-01 Natural Gas Price Distributions</c:v>
            </c:pt>
          </c:strCache>
        </c:strRef>
      </c:tx>
      <c:layout>
        <c:manualLayout>
          <c:xMode val="edge"/>
          <c:yMode val="edge"/>
          <c:x val="0.35142348754448394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243455497382199"/>
          <c:w val="0.8629893238434162"/>
          <c:h val="0.71335078534031415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</c:v>
                </c:pt>
                <c:pt idx="1">
                  <c:v>3.0350000000000001</c:v>
                </c:pt>
                <c:pt idx="2">
                  <c:v>3.0700000000000003</c:v>
                </c:pt>
                <c:pt idx="3">
                  <c:v>3.1050000000000004</c:v>
                </c:pt>
                <c:pt idx="4">
                  <c:v>3.1400000000000006</c:v>
                </c:pt>
                <c:pt idx="5">
                  <c:v>3.1750000000000007</c:v>
                </c:pt>
                <c:pt idx="6">
                  <c:v>3.2100000000000009</c:v>
                </c:pt>
                <c:pt idx="7">
                  <c:v>3.245000000000001</c:v>
                </c:pt>
                <c:pt idx="8">
                  <c:v>3.2800000000000011</c:v>
                </c:pt>
                <c:pt idx="9">
                  <c:v>3.3150000000000013</c:v>
                </c:pt>
                <c:pt idx="10">
                  <c:v>3.3500000000000014</c:v>
                </c:pt>
                <c:pt idx="11">
                  <c:v>3.3850000000000016</c:v>
                </c:pt>
                <c:pt idx="12">
                  <c:v>3.4200000000000017</c:v>
                </c:pt>
                <c:pt idx="13">
                  <c:v>3.4550000000000018</c:v>
                </c:pt>
                <c:pt idx="14">
                  <c:v>3.490000000000002</c:v>
                </c:pt>
                <c:pt idx="15">
                  <c:v>3.5250000000000021</c:v>
                </c:pt>
                <c:pt idx="16">
                  <c:v>3.5600000000000023</c:v>
                </c:pt>
                <c:pt idx="17">
                  <c:v>3.5950000000000024</c:v>
                </c:pt>
                <c:pt idx="18">
                  <c:v>3.6300000000000026</c:v>
                </c:pt>
                <c:pt idx="19">
                  <c:v>3.6650000000000027</c:v>
                </c:pt>
                <c:pt idx="20">
                  <c:v>3.7000000000000028</c:v>
                </c:pt>
                <c:pt idx="21">
                  <c:v>3.735000000000003</c:v>
                </c:pt>
                <c:pt idx="22">
                  <c:v>3.7700000000000031</c:v>
                </c:pt>
                <c:pt idx="23">
                  <c:v>3.8050000000000033</c:v>
                </c:pt>
                <c:pt idx="24">
                  <c:v>3.8400000000000034</c:v>
                </c:pt>
                <c:pt idx="25">
                  <c:v>3.8750000000000036</c:v>
                </c:pt>
                <c:pt idx="26">
                  <c:v>3.9100000000000037</c:v>
                </c:pt>
                <c:pt idx="27">
                  <c:v>3.9450000000000038</c:v>
                </c:pt>
                <c:pt idx="28">
                  <c:v>3.980000000000004</c:v>
                </c:pt>
                <c:pt idx="29">
                  <c:v>4.0150000000000041</c:v>
                </c:pt>
                <c:pt idx="30">
                  <c:v>4.0500000000000043</c:v>
                </c:pt>
                <c:pt idx="31">
                  <c:v>4.0850000000000044</c:v>
                </c:pt>
                <c:pt idx="32">
                  <c:v>4.1200000000000045</c:v>
                </c:pt>
                <c:pt idx="33">
                  <c:v>4.1550000000000047</c:v>
                </c:pt>
                <c:pt idx="34">
                  <c:v>4.1900000000000048</c:v>
                </c:pt>
                <c:pt idx="35">
                  <c:v>4.225000000000005</c:v>
                </c:pt>
                <c:pt idx="36">
                  <c:v>4.2600000000000051</c:v>
                </c:pt>
                <c:pt idx="37">
                  <c:v>4.2950000000000053</c:v>
                </c:pt>
                <c:pt idx="38">
                  <c:v>4.3300000000000054</c:v>
                </c:pt>
                <c:pt idx="39">
                  <c:v>4.3650000000000055</c:v>
                </c:pt>
                <c:pt idx="40">
                  <c:v>4.4000000000000057</c:v>
                </c:pt>
                <c:pt idx="41">
                  <c:v>4.4350000000000058</c:v>
                </c:pt>
                <c:pt idx="42">
                  <c:v>4.470000000000006</c:v>
                </c:pt>
                <c:pt idx="43">
                  <c:v>4.5050000000000061</c:v>
                </c:pt>
                <c:pt idx="44">
                  <c:v>4.5400000000000063</c:v>
                </c:pt>
                <c:pt idx="45">
                  <c:v>4.5750000000000064</c:v>
                </c:pt>
                <c:pt idx="46">
                  <c:v>4.6100000000000065</c:v>
                </c:pt>
                <c:pt idx="47">
                  <c:v>4.6450000000000067</c:v>
                </c:pt>
                <c:pt idx="48">
                  <c:v>4.6800000000000068</c:v>
                </c:pt>
                <c:pt idx="49">
                  <c:v>4.715000000000007</c:v>
                </c:pt>
                <c:pt idx="50">
                  <c:v>4.7500000000000071</c:v>
                </c:pt>
                <c:pt idx="51">
                  <c:v>4.7850000000000072</c:v>
                </c:pt>
                <c:pt idx="52">
                  <c:v>4.8200000000000074</c:v>
                </c:pt>
                <c:pt idx="53">
                  <c:v>4.8550000000000075</c:v>
                </c:pt>
                <c:pt idx="54">
                  <c:v>4.8900000000000077</c:v>
                </c:pt>
                <c:pt idx="55">
                  <c:v>4.9250000000000078</c:v>
                </c:pt>
                <c:pt idx="56">
                  <c:v>4.960000000000008</c:v>
                </c:pt>
                <c:pt idx="57">
                  <c:v>4.9950000000000081</c:v>
                </c:pt>
                <c:pt idx="58">
                  <c:v>5.0300000000000082</c:v>
                </c:pt>
                <c:pt idx="59">
                  <c:v>5.0650000000000084</c:v>
                </c:pt>
                <c:pt idx="60">
                  <c:v>5.1000000000000085</c:v>
                </c:pt>
                <c:pt idx="61">
                  <c:v>5.1350000000000087</c:v>
                </c:pt>
                <c:pt idx="62">
                  <c:v>5.1700000000000088</c:v>
                </c:pt>
                <c:pt idx="63">
                  <c:v>5.205000000000009</c:v>
                </c:pt>
                <c:pt idx="64">
                  <c:v>5.2400000000000091</c:v>
                </c:pt>
                <c:pt idx="65">
                  <c:v>5.2750000000000092</c:v>
                </c:pt>
                <c:pt idx="66">
                  <c:v>5.3100000000000094</c:v>
                </c:pt>
                <c:pt idx="67">
                  <c:v>5.3450000000000095</c:v>
                </c:pt>
                <c:pt idx="68">
                  <c:v>5.3800000000000097</c:v>
                </c:pt>
                <c:pt idx="69">
                  <c:v>5.4150000000000098</c:v>
                </c:pt>
                <c:pt idx="70">
                  <c:v>5.4500000000000099</c:v>
                </c:pt>
                <c:pt idx="71">
                  <c:v>5.4850000000000101</c:v>
                </c:pt>
                <c:pt idx="72">
                  <c:v>5.5200000000000102</c:v>
                </c:pt>
                <c:pt idx="73">
                  <c:v>5.5550000000000104</c:v>
                </c:pt>
                <c:pt idx="74">
                  <c:v>5.5900000000000105</c:v>
                </c:pt>
                <c:pt idx="75">
                  <c:v>5.6250000000000107</c:v>
                </c:pt>
                <c:pt idx="76">
                  <c:v>5.6600000000000108</c:v>
                </c:pt>
                <c:pt idx="77">
                  <c:v>5.6950000000000109</c:v>
                </c:pt>
                <c:pt idx="78">
                  <c:v>5.7300000000000111</c:v>
                </c:pt>
                <c:pt idx="79">
                  <c:v>5.7650000000000112</c:v>
                </c:pt>
                <c:pt idx="80">
                  <c:v>5.8000000000000114</c:v>
                </c:pt>
                <c:pt idx="81">
                  <c:v>5.8350000000000115</c:v>
                </c:pt>
                <c:pt idx="82">
                  <c:v>5.8700000000000117</c:v>
                </c:pt>
                <c:pt idx="83">
                  <c:v>5.9050000000000118</c:v>
                </c:pt>
                <c:pt idx="84">
                  <c:v>5.9400000000000119</c:v>
                </c:pt>
                <c:pt idx="85">
                  <c:v>5.9750000000000121</c:v>
                </c:pt>
                <c:pt idx="86">
                  <c:v>6.0100000000000122</c:v>
                </c:pt>
                <c:pt idx="87">
                  <c:v>6.0450000000000124</c:v>
                </c:pt>
                <c:pt idx="88">
                  <c:v>6.0800000000000125</c:v>
                </c:pt>
                <c:pt idx="89">
                  <c:v>6.1150000000000126</c:v>
                </c:pt>
                <c:pt idx="90">
                  <c:v>6.1500000000000128</c:v>
                </c:pt>
                <c:pt idx="91">
                  <c:v>6.1850000000000129</c:v>
                </c:pt>
                <c:pt idx="92">
                  <c:v>6.2200000000000131</c:v>
                </c:pt>
                <c:pt idx="93">
                  <c:v>6.2550000000000132</c:v>
                </c:pt>
                <c:pt idx="94">
                  <c:v>6.2900000000000134</c:v>
                </c:pt>
                <c:pt idx="95">
                  <c:v>6.3250000000000135</c:v>
                </c:pt>
                <c:pt idx="96">
                  <c:v>6.3600000000000136</c:v>
                </c:pt>
                <c:pt idx="97">
                  <c:v>6.3950000000000138</c:v>
                </c:pt>
                <c:pt idx="98">
                  <c:v>6.4300000000000139</c:v>
                </c:pt>
                <c:pt idx="99">
                  <c:v>6.4650000000000141</c:v>
                </c:pt>
                <c:pt idx="100">
                  <c:v>6.5000000000000142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0.15615743600818888</c:v>
                </c:pt>
                <c:pt idx="1">
                  <c:v>0.16223884911890829</c:v>
                </c:pt>
                <c:pt idx="2">
                  <c:v>0.1683500895067398</c:v>
                </c:pt>
                <c:pt idx="3">
                  <c:v>0.17447802256659103</c:v>
                </c:pt>
                <c:pt idx="4">
                  <c:v>0.18060911276413324</c:v>
                </c:pt>
                <c:pt idx="5">
                  <c:v>0.18672947943012069</c:v>
                </c:pt>
                <c:pt idx="6">
                  <c:v>0.19282496268652782</c:v>
                </c:pt>
                <c:pt idx="7">
                  <c:v>0.19888118809803446</c:v>
                </c:pt>
                <c:pt idx="8">
                  <c:v>0.20488364470720927</c:v>
                </c:pt>
                <c:pt idx="9">
                  <c:v>0.21081774786706814</c:v>
                </c:pt>
                <c:pt idx="10">
                  <c:v>0.21666891932573354</c:v>
                </c:pt>
                <c:pt idx="11">
                  <c:v>0.22242265592700372</c:v>
                </c:pt>
                <c:pt idx="12">
                  <c:v>0.22806461493086494</c:v>
                </c:pt>
                <c:pt idx="13">
                  <c:v>0.23358067606471195</c:v>
                </c:pt>
                <c:pt idx="14">
                  <c:v>0.23895702296478979</c:v>
                </c:pt>
                <c:pt idx="15">
                  <c:v>0.24418021270411236</c:v>
                </c:pt>
                <c:pt idx="16">
                  <c:v>0.24923724283698348</c:v>
                </c:pt>
                <c:pt idx="17">
                  <c:v>0.25411562511049351</c:v>
                </c:pt>
                <c:pt idx="18">
                  <c:v>0.25880343780082471</c:v>
                </c:pt>
                <c:pt idx="19">
                  <c:v>0.26328939731663098</c:v>
                </c:pt>
                <c:pt idx="20">
                  <c:v>0.26756290289666373</c:v>
                </c:pt>
                <c:pt idx="21">
                  <c:v>0.27161409509465062</c:v>
                </c:pt>
                <c:pt idx="22">
                  <c:v>0.2754338929148894</c:v>
                </c:pt>
                <c:pt idx="23">
                  <c:v>0.27901404358710508</c:v>
                </c:pt>
                <c:pt idx="24">
                  <c:v>0.28234714659566745</c:v>
                </c:pt>
                <c:pt idx="25">
                  <c:v>0.28542668970020646</c:v>
                </c:pt>
                <c:pt idx="26">
                  <c:v>0.28824706652377446</c:v>
                </c:pt>
                <c:pt idx="27">
                  <c:v>0.29080359482473844</c:v>
                </c:pt>
                <c:pt idx="28">
                  <c:v>0.29309252492808252</c:v>
                </c:pt>
                <c:pt idx="29">
                  <c:v>0.29511104976880337</c:v>
                </c:pt>
                <c:pt idx="30">
                  <c:v>0.29685729285566564</c:v>
                </c:pt>
                <c:pt idx="31">
                  <c:v>0.29833031196311732</c:v>
                </c:pt>
                <c:pt idx="32">
                  <c:v>0.29953007860527175</c:v>
                </c:pt>
                <c:pt idx="33">
                  <c:v>0.30045746187965916</c:v>
                </c:pt>
                <c:pt idx="34">
                  <c:v>0.30111420706926956</c:v>
                </c:pt>
                <c:pt idx="35">
                  <c:v>0.30150290722476375</c:v>
                </c:pt>
                <c:pt idx="36">
                  <c:v>0.30162696948801604</c:v>
                </c:pt>
                <c:pt idx="37">
                  <c:v>0.30149057987112265</c:v>
                </c:pt>
                <c:pt idx="38">
                  <c:v>0.30109866454011425</c:v>
                </c:pt>
                <c:pt idx="39">
                  <c:v>0.3004568474252387</c:v>
                </c:pt>
                <c:pt idx="40">
                  <c:v>0.29957140700215057</c:v>
                </c:pt>
                <c:pt idx="41">
                  <c:v>0.29844922187858186</c:v>
                </c:pt>
                <c:pt idx="42">
                  <c:v>0.29709772985836519</c:v>
                </c:pt>
                <c:pt idx="43">
                  <c:v>0.29552487671786909</c:v>
                </c:pt>
                <c:pt idx="44">
                  <c:v>0.29373905783227372</c:v>
                </c:pt>
                <c:pt idx="45">
                  <c:v>0.29174907374726489</c:v>
                </c:pt>
                <c:pt idx="46">
                  <c:v>0.28931870356944533</c:v>
                </c:pt>
                <c:pt idx="47">
                  <c:v>0.28693578514499318</c:v>
                </c:pt>
                <c:pt idx="48">
                  <c:v>0.28436473521967537</c:v>
                </c:pt>
                <c:pt idx="49">
                  <c:v>0.2816156900772856</c:v>
                </c:pt>
                <c:pt idx="50">
                  <c:v>0.2786988209928537</c:v>
                </c:pt>
                <c:pt idx="51">
                  <c:v>0.27562429944341243</c:v>
                </c:pt>
                <c:pt idx="52">
                  <c:v>0.27240226699539682</c:v>
                </c:pt>
                <c:pt idx="53">
                  <c:v>0.26904280080941229</c:v>
                </c:pt>
                <c:pt idx="54">
                  <c:v>0.26555588781215889</c:v>
                </c:pt>
                <c:pt idx="55">
                  <c:v>0.26195139482682522</c:v>
                </c:pt>
                <c:pt idx="56">
                  <c:v>0.25823904595040276</c:v>
                </c:pt>
                <c:pt idx="57">
                  <c:v>0.25442839287571251</c:v>
                </c:pt>
                <c:pt idx="58">
                  <c:v>0.25052879478394302</c:v>
                </c:pt>
                <c:pt idx="59">
                  <c:v>0.24654940074460874</c:v>
                </c:pt>
                <c:pt idx="60">
                  <c:v>0.24249912639650661</c:v>
                </c:pt>
                <c:pt idx="61">
                  <c:v>0.23857908988007226</c:v>
                </c:pt>
                <c:pt idx="62">
                  <c:v>0.23441492325824823</c:v>
                </c:pt>
                <c:pt idx="63">
                  <c:v>0.23021198921851918</c:v>
                </c:pt>
                <c:pt idx="64">
                  <c:v>0.22597759112624566</c:v>
                </c:pt>
                <c:pt idx="65">
                  <c:v>0.22171881555282166</c:v>
                </c:pt>
                <c:pt idx="66">
                  <c:v>0.21744251264020609</c:v>
                </c:pt>
                <c:pt idx="67">
                  <c:v>0.21315528267915893</c:v>
                </c:pt>
                <c:pt idx="68">
                  <c:v>0.20886346087857255</c:v>
                </c:pt>
                <c:pt idx="69">
                  <c:v>0.204573109697049</c:v>
                </c:pt>
                <c:pt idx="70">
                  <c:v>0.20029000764936644</c:v>
                </c:pt>
                <c:pt idx="71">
                  <c:v>0.1960196464797363</c:v>
                </c:pt>
                <c:pt idx="72">
                  <c:v>0.19176722444307853</c:v>
                </c:pt>
                <c:pt idx="73">
                  <c:v>0.18753764664291875</c:v>
                </c:pt>
                <c:pt idx="74">
                  <c:v>0.18333552644108167</c:v>
                </c:pt>
                <c:pt idx="75">
                  <c:v>0.1791651801909418</c:v>
                </c:pt>
                <c:pt idx="76">
                  <c:v>0.17503063843605413</c:v>
                </c:pt>
                <c:pt idx="77">
                  <c:v>0.17093564402737166</c:v>
                </c:pt>
                <c:pt idx="78">
                  <c:v>0.1668836599462917</c:v>
                </c:pt>
                <c:pt idx="79">
                  <c:v>0.16287787432160153</c:v>
                </c:pt>
                <c:pt idx="80">
                  <c:v>0.15892120877488564</c:v>
                </c:pt>
                <c:pt idx="81">
                  <c:v>0.15501632346433666</c:v>
                </c:pt>
                <c:pt idx="82">
                  <c:v>0.1511656280066481</c:v>
                </c:pt>
                <c:pt idx="83">
                  <c:v>0.14737128972287136</c:v>
                </c:pt>
                <c:pt idx="84">
                  <c:v>0.14363524120532251</c:v>
                </c:pt>
                <c:pt idx="85">
                  <c:v>0.13995919165377604</c:v>
                </c:pt>
                <c:pt idx="86">
                  <c:v>0.13634463560894727</c:v>
                </c:pt>
                <c:pt idx="87">
                  <c:v>0.13279286338300336</c:v>
                </c:pt>
                <c:pt idx="88">
                  <c:v>0.12930497003158639</c:v>
                </c:pt>
                <c:pt idx="89">
                  <c:v>0.1258818671505974</c:v>
                </c:pt>
                <c:pt idx="90">
                  <c:v>0.12252429018857906</c:v>
                </c:pt>
                <c:pt idx="91">
                  <c:v>0.11923281188955606</c:v>
                </c:pt>
                <c:pt idx="92">
                  <c:v>0.11600784749982113</c:v>
                </c:pt>
                <c:pt idx="93">
                  <c:v>0.11284966911060078</c:v>
                </c:pt>
                <c:pt idx="94">
                  <c:v>0.10975841071763702</c:v>
                </c:pt>
                <c:pt idx="95">
                  <c:v>0.1067340809384844</c:v>
                </c:pt>
                <c:pt idx="96">
                  <c:v>0.10377656923121921</c:v>
                </c:pt>
                <c:pt idx="97">
                  <c:v>0.10088565628230316</c:v>
                </c:pt>
                <c:pt idx="98">
                  <c:v>9.8061021506732501E-2</c:v>
                </c:pt>
                <c:pt idx="99">
                  <c:v>9.5302250914668027E-2</c:v>
                </c:pt>
                <c:pt idx="100">
                  <c:v>9.2608845521757618E-2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7-4C74-981D-901F8F9F5503}"/>
            </c:ext>
          </c:extLst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</c:v>
                </c:pt>
                <c:pt idx="1">
                  <c:v>3.0350000000000001</c:v>
                </c:pt>
                <c:pt idx="2">
                  <c:v>3.0700000000000003</c:v>
                </c:pt>
                <c:pt idx="3">
                  <c:v>3.1050000000000004</c:v>
                </c:pt>
                <c:pt idx="4">
                  <c:v>3.1400000000000006</c:v>
                </c:pt>
                <c:pt idx="5">
                  <c:v>3.1750000000000007</c:v>
                </c:pt>
                <c:pt idx="6">
                  <c:v>3.2100000000000009</c:v>
                </c:pt>
                <c:pt idx="7">
                  <c:v>3.245000000000001</c:v>
                </c:pt>
                <c:pt idx="8">
                  <c:v>3.2800000000000011</c:v>
                </c:pt>
                <c:pt idx="9">
                  <c:v>3.3150000000000013</c:v>
                </c:pt>
                <c:pt idx="10">
                  <c:v>3.3500000000000014</c:v>
                </c:pt>
                <c:pt idx="11">
                  <c:v>3.3850000000000016</c:v>
                </c:pt>
                <c:pt idx="12">
                  <c:v>3.4200000000000017</c:v>
                </c:pt>
                <c:pt idx="13">
                  <c:v>3.4550000000000018</c:v>
                </c:pt>
                <c:pt idx="14">
                  <c:v>3.490000000000002</c:v>
                </c:pt>
                <c:pt idx="15">
                  <c:v>3.5250000000000021</c:v>
                </c:pt>
                <c:pt idx="16">
                  <c:v>3.5600000000000023</c:v>
                </c:pt>
                <c:pt idx="17">
                  <c:v>3.5950000000000024</c:v>
                </c:pt>
                <c:pt idx="18">
                  <c:v>3.6300000000000026</c:v>
                </c:pt>
                <c:pt idx="19">
                  <c:v>3.6650000000000027</c:v>
                </c:pt>
                <c:pt idx="20">
                  <c:v>3.7000000000000028</c:v>
                </c:pt>
                <c:pt idx="21">
                  <c:v>3.735000000000003</c:v>
                </c:pt>
                <c:pt idx="22">
                  <c:v>3.7700000000000031</c:v>
                </c:pt>
                <c:pt idx="23">
                  <c:v>3.8050000000000033</c:v>
                </c:pt>
                <c:pt idx="24">
                  <c:v>3.8400000000000034</c:v>
                </c:pt>
                <c:pt idx="25">
                  <c:v>3.8750000000000036</c:v>
                </c:pt>
                <c:pt idx="26">
                  <c:v>3.9100000000000037</c:v>
                </c:pt>
                <c:pt idx="27">
                  <c:v>3.9450000000000038</c:v>
                </c:pt>
                <c:pt idx="28">
                  <c:v>3.980000000000004</c:v>
                </c:pt>
                <c:pt idx="29">
                  <c:v>4.0150000000000041</c:v>
                </c:pt>
                <c:pt idx="30">
                  <c:v>4.0500000000000043</c:v>
                </c:pt>
                <c:pt idx="31">
                  <c:v>4.0850000000000044</c:v>
                </c:pt>
                <c:pt idx="32">
                  <c:v>4.1200000000000045</c:v>
                </c:pt>
                <c:pt idx="33">
                  <c:v>4.1550000000000047</c:v>
                </c:pt>
                <c:pt idx="34">
                  <c:v>4.1900000000000048</c:v>
                </c:pt>
                <c:pt idx="35">
                  <c:v>4.225000000000005</c:v>
                </c:pt>
                <c:pt idx="36">
                  <c:v>4.2600000000000051</c:v>
                </c:pt>
                <c:pt idx="37">
                  <c:v>4.2950000000000053</c:v>
                </c:pt>
                <c:pt idx="38">
                  <c:v>4.3300000000000054</c:v>
                </c:pt>
                <c:pt idx="39">
                  <c:v>4.3650000000000055</c:v>
                </c:pt>
                <c:pt idx="40">
                  <c:v>4.4000000000000057</c:v>
                </c:pt>
                <c:pt idx="41">
                  <c:v>4.4350000000000058</c:v>
                </c:pt>
                <c:pt idx="42">
                  <c:v>4.470000000000006</c:v>
                </c:pt>
                <c:pt idx="43">
                  <c:v>4.5050000000000061</c:v>
                </c:pt>
                <c:pt idx="44">
                  <c:v>4.5400000000000063</c:v>
                </c:pt>
                <c:pt idx="45">
                  <c:v>4.5750000000000064</c:v>
                </c:pt>
                <c:pt idx="46">
                  <c:v>4.6100000000000065</c:v>
                </c:pt>
                <c:pt idx="47">
                  <c:v>4.6450000000000067</c:v>
                </c:pt>
                <c:pt idx="48">
                  <c:v>4.6800000000000068</c:v>
                </c:pt>
                <c:pt idx="49">
                  <c:v>4.715000000000007</c:v>
                </c:pt>
                <c:pt idx="50">
                  <c:v>4.7500000000000071</c:v>
                </c:pt>
                <c:pt idx="51">
                  <c:v>4.7850000000000072</c:v>
                </c:pt>
                <c:pt idx="52">
                  <c:v>4.8200000000000074</c:v>
                </c:pt>
                <c:pt idx="53">
                  <c:v>4.8550000000000075</c:v>
                </c:pt>
                <c:pt idx="54">
                  <c:v>4.8900000000000077</c:v>
                </c:pt>
                <c:pt idx="55">
                  <c:v>4.9250000000000078</c:v>
                </c:pt>
                <c:pt idx="56">
                  <c:v>4.960000000000008</c:v>
                </c:pt>
                <c:pt idx="57">
                  <c:v>4.9950000000000081</c:v>
                </c:pt>
                <c:pt idx="58">
                  <c:v>5.0300000000000082</c:v>
                </c:pt>
                <c:pt idx="59">
                  <c:v>5.0650000000000084</c:v>
                </c:pt>
                <c:pt idx="60">
                  <c:v>5.1000000000000085</c:v>
                </c:pt>
                <c:pt idx="61">
                  <c:v>5.1350000000000087</c:v>
                </c:pt>
                <c:pt idx="62">
                  <c:v>5.1700000000000088</c:v>
                </c:pt>
                <c:pt idx="63">
                  <c:v>5.205000000000009</c:v>
                </c:pt>
                <c:pt idx="64">
                  <c:v>5.2400000000000091</c:v>
                </c:pt>
                <c:pt idx="65">
                  <c:v>5.2750000000000092</c:v>
                </c:pt>
                <c:pt idx="66">
                  <c:v>5.3100000000000094</c:v>
                </c:pt>
                <c:pt idx="67">
                  <c:v>5.3450000000000095</c:v>
                </c:pt>
                <c:pt idx="68">
                  <c:v>5.3800000000000097</c:v>
                </c:pt>
                <c:pt idx="69">
                  <c:v>5.4150000000000098</c:v>
                </c:pt>
                <c:pt idx="70">
                  <c:v>5.4500000000000099</c:v>
                </c:pt>
                <c:pt idx="71">
                  <c:v>5.4850000000000101</c:v>
                </c:pt>
                <c:pt idx="72">
                  <c:v>5.5200000000000102</c:v>
                </c:pt>
                <c:pt idx="73">
                  <c:v>5.5550000000000104</c:v>
                </c:pt>
                <c:pt idx="74">
                  <c:v>5.5900000000000105</c:v>
                </c:pt>
                <c:pt idx="75">
                  <c:v>5.6250000000000107</c:v>
                </c:pt>
                <c:pt idx="76">
                  <c:v>5.6600000000000108</c:v>
                </c:pt>
                <c:pt idx="77">
                  <c:v>5.6950000000000109</c:v>
                </c:pt>
                <c:pt idx="78">
                  <c:v>5.7300000000000111</c:v>
                </c:pt>
                <c:pt idx="79">
                  <c:v>5.7650000000000112</c:v>
                </c:pt>
                <c:pt idx="80">
                  <c:v>5.8000000000000114</c:v>
                </c:pt>
                <c:pt idx="81">
                  <c:v>5.8350000000000115</c:v>
                </c:pt>
                <c:pt idx="82">
                  <c:v>5.8700000000000117</c:v>
                </c:pt>
                <c:pt idx="83">
                  <c:v>5.9050000000000118</c:v>
                </c:pt>
                <c:pt idx="84">
                  <c:v>5.9400000000000119</c:v>
                </c:pt>
                <c:pt idx="85">
                  <c:v>5.9750000000000121</c:v>
                </c:pt>
                <c:pt idx="86">
                  <c:v>6.0100000000000122</c:v>
                </c:pt>
                <c:pt idx="87">
                  <c:v>6.0450000000000124</c:v>
                </c:pt>
                <c:pt idx="88">
                  <c:v>6.0800000000000125</c:v>
                </c:pt>
                <c:pt idx="89">
                  <c:v>6.1150000000000126</c:v>
                </c:pt>
                <c:pt idx="90">
                  <c:v>6.1500000000000128</c:v>
                </c:pt>
                <c:pt idx="91">
                  <c:v>6.1850000000000129</c:v>
                </c:pt>
                <c:pt idx="92">
                  <c:v>6.2200000000000131</c:v>
                </c:pt>
                <c:pt idx="93">
                  <c:v>6.2550000000000132</c:v>
                </c:pt>
                <c:pt idx="94">
                  <c:v>6.2900000000000134</c:v>
                </c:pt>
                <c:pt idx="95">
                  <c:v>6.3250000000000135</c:v>
                </c:pt>
                <c:pt idx="96">
                  <c:v>6.3600000000000136</c:v>
                </c:pt>
                <c:pt idx="97">
                  <c:v>6.3950000000000138</c:v>
                </c:pt>
                <c:pt idx="98">
                  <c:v>6.4300000000000139</c:v>
                </c:pt>
                <c:pt idx="99">
                  <c:v>6.4650000000000141</c:v>
                </c:pt>
                <c:pt idx="100">
                  <c:v>6.5000000000000142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0.17472253930800555</c:v>
                </c:pt>
                <c:pt idx="1">
                  <c:v>0.18070529755604409</c:v>
                </c:pt>
                <c:pt idx="2">
                  <c:v>0.18659123419283652</c:v>
                </c:pt>
                <c:pt idx="3">
                  <c:v>0.19236759572679715</c:v>
                </c:pt>
                <c:pt idx="4">
                  <c:v>0.19802224421695022</c:v>
                </c:pt>
                <c:pt idx="5">
                  <c:v>0.20354369138219575</c:v>
                </c:pt>
                <c:pt idx="6">
                  <c:v>0.20892112703921911</c:v>
                </c:pt>
                <c:pt idx="7">
                  <c:v>0.21414444205155544</c:v>
                </c:pt>
                <c:pt idx="8">
                  <c:v>0.21920424600502175</c:v>
                </c:pt>
                <c:pt idx="9">
                  <c:v>0.22409187985193055</c:v>
                </c:pt>
                <c:pt idx="10">
                  <c:v>0.22879942378851922</c:v>
                </c:pt>
                <c:pt idx="11">
                  <c:v>0.2333197006472178</c:v>
                </c:pt>
                <c:pt idx="12">
                  <c:v>0.23764627509807673</c:v>
                </c:pt>
                <c:pt idx="13">
                  <c:v>0.24177344896228242</c:v>
                </c:pt>
                <c:pt idx="14">
                  <c:v>0.2456962529455555</c:v>
                </c:pt>
                <c:pt idx="15">
                  <c:v>0.2494104351007492</c:v>
                </c:pt>
                <c:pt idx="16">
                  <c:v>0.25291244632749288</c:v>
                </c:pt>
                <c:pt idx="17">
                  <c:v>0.25619942321263806</c:v>
                </c:pt>
                <c:pt idx="18">
                  <c:v>0.25926916850887716</c:v>
                </c:pt>
                <c:pt idx="19">
                  <c:v>0.26212012954057312</c:v>
                </c:pt>
                <c:pt idx="20">
                  <c:v>0.26475137481584338</c:v>
                </c:pt>
                <c:pt idx="21">
                  <c:v>0.2671625691125899</c:v>
                </c:pt>
                <c:pt idx="22">
                  <c:v>0.26935394729371226</c:v>
                </c:pt>
                <c:pt idx="23">
                  <c:v>0.27132628709343293</c:v>
                </c:pt>
                <c:pt idx="24">
                  <c:v>0.27308088110272555</c:v>
                </c:pt>
                <c:pt idx="25">
                  <c:v>0.27461950816746822</c:v>
                </c:pt>
                <c:pt idx="26">
                  <c:v>0.27594440439832413</c:v>
                </c:pt>
                <c:pt idx="27">
                  <c:v>0.27705823397664825</c:v>
                </c:pt>
                <c:pt idx="28">
                  <c:v>0.27796405992606371</c:v>
                </c:pt>
                <c:pt idx="29">
                  <c:v>0.27866531500487413</c:v>
                </c:pt>
                <c:pt idx="30">
                  <c:v>0.27916577286028732</c:v>
                </c:pt>
                <c:pt idx="31">
                  <c:v>0.27946951957160088</c:v>
                </c:pt>
                <c:pt idx="32">
                  <c:v>0.27958092569612947</c:v>
                </c:pt>
                <c:pt idx="33">
                  <c:v>0.27950461891879008</c:v>
                </c:pt>
                <c:pt idx="34">
                  <c:v>0.27924545739395745</c:v>
                </c:pt>
                <c:pt idx="35">
                  <c:v>0.27880850385649586</c:v>
                </c:pt>
                <c:pt idx="36">
                  <c:v>0.27819900056779223</c:v>
                </c:pt>
                <c:pt idx="37">
                  <c:v>0.27742234515217784</c:v>
                </c:pt>
                <c:pt idx="38">
                  <c:v>0.27648406736934283</c:v>
                </c:pt>
                <c:pt idx="39">
                  <c:v>0.27538980685922432</c:v>
                </c:pt>
                <c:pt idx="40">
                  <c:v>0.27414529188737607</c:v>
                </c:pt>
                <c:pt idx="41">
                  <c:v>0.27275631911101045</c:v>
                </c:pt>
                <c:pt idx="42">
                  <c:v>0.27122873437871076</c:v>
                </c:pt>
                <c:pt idx="43">
                  <c:v>0.26956841457024655</c:v>
                </c:pt>
                <c:pt idx="44">
                  <c:v>0.26778125047695361</c:v>
                </c:pt>
                <c:pt idx="45">
                  <c:v>0.26587313071774415</c:v>
                </c:pt>
                <c:pt idx="46">
                  <c:v>0.26384992668097412</c:v>
                </c:pt>
                <c:pt idx="47">
                  <c:v>0.26171747847807808</c:v>
                </c:pt>
                <c:pt idx="48">
                  <c:v>0.25948158189106513</c:v>
                </c:pt>
                <c:pt idx="49">
                  <c:v>0.25714797629262814</c:v>
                </c:pt>
                <c:pt idx="50">
                  <c:v>0.25472233351471746</c:v>
                </c:pt>
                <c:pt idx="51">
                  <c:v>0.25221024763894462</c:v>
                </c:pt>
                <c:pt idx="52">
                  <c:v>0.24961722568008826</c:v>
                </c:pt>
                <c:pt idx="53">
                  <c:v>0.24694867913223462</c:v>
                </c:pt>
                <c:pt idx="54">
                  <c:v>0.24420991634568479</c:v>
                </c:pt>
                <c:pt idx="55">
                  <c:v>0.24140613570166108</c:v>
                </c:pt>
                <c:pt idx="56">
                  <c:v>0.23854241955103259</c:v>
                </c:pt>
                <c:pt idx="57">
                  <c:v>0.23562372888271824</c:v>
                </c:pt>
                <c:pt idx="58">
                  <c:v>0.23265489868710273</c:v>
                </c:pt>
                <c:pt idx="59">
                  <c:v>0.22964063397968246</c:v>
                </c:pt>
                <c:pt idx="60">
                  <c:v>0.22658550645023678</c:v>
                </c:pt>
                <c:pt idx="61">
                  <c:v>0.22349395170305891</c:v>
                </c:pt>
                <c:pt idx="62">
                  <c:v>0.22037026705417873</c:v>
                </c:pt>
                <c:pt idx="63">
                  <c:v>0.21721860985203104</c:v>
                </c:pt>
                <c:pt idx="64">
                  <c:v>0.21404299628866852</c:v>
                </c:pt>
                <c:pt idx="65">
                  <c:v>0.21084730066935603</c:v>
                </c:pt>
                <c:pt idx="66">
                  <c:v>0.2076352551092126</c:v>
                </c:pt>
                <c:pt idx="67">
                  <c:v>0.2044104496264641</c:v>
                </c:pt>
                <c:pt idx="68">
                  <c:v>0.20117633260283024</c:v>
                </c:pt>
                <c:pt idx="69">
                  <c:v>0.19793621158257496</c:v>
                </c:pt>
                <c:pt idx="70">
                  <c:v>0.19469325438279603</c:v>
                </c:pt>
                <c:pt idx="71">
                  <c:v>0.19145049048860194</c:v>
                </c:pt>
                <c:pt idx="72">
                  <c:v>0.18821081270792031</c:v>
                </c:pt>
                <c:pt idx="73">
                  <c:v>0.18497697906178628</c:v>
                </c:pt>
                <c:pt idx="74">
                  <c:v>0.18175161488707156</c:v>
                </c:pt>
                <c:pt idx="75">
                  <c:v>0.17853721512972789</c:v>
                </c:pt>
                <c:pt idx="76">
                  <c:v>0.17533614680771906</c:v>
                </c:pt>
                <c:pt idx="77">
                  <c:v>0.17215065162391302</c:v>
                </c:pt>
                <c:pt idx="78">
                  <c:v>0.1689828487102803</c:v>
                </c:pt>
                <c:pt idx="79">
                  <c:v>0.16583473748580529</c:v>
                </c:pt>
                <c:pt idx="80">
                  <c:v>0.16270820061155097</c:v>
                </c:pt>
                <c:pt idx="81">
                  <c:v>0.15960500702733033</c:v>
                </c:pt>
                <c:pt idx="82">
                  <c:v>0.15652681505541854</c:v>
                </c:pt>
                <c:pt idx="83">
                  <c:v>0.15347517555769533</c:v>
                </c:pt>
                <c:pt idx="84">
                  <c:v>0.15045153513352758</c:v>
                </c:pt>
                <c:pt idx="85">
                  <c:v>0.14745723934659402</c:v>
                </c:pt>
                <c:pt idx="86">
                  <c:v>0.14449353596970937</c:v>
                </c:pt>
                <c:pt idx="87">
                  <c:v>0.14156157823753004</c:v>
                </c:pt>
                <c:pt idx="88">
                  <c:v>0.13866242809780951</c:v>
                </c:pt>
                <c:pt idx="89">
                  <c:v>0.13579705945263024</c:v>
                </c:pt>
                <c:pt idx="90">
                  <c:v>0.13296636138175399</c:v>
                </c:pt>
                <c:pt idx="91">
                  <c:v>0.13017114134092311</c:v>
                </c:pt>
                <c:pt idx="92">
                  <c:v>0.12741212832859278</c:v>
                </c:pt>
                <c:pt idx="93">
                  <c:v>0.12468997601519657</c:v>
                </c:pt>
                <c:pt idx="94">
                  <c:v>0.12200526582963028</c:v>
                </c:pt>
                <c:pt idx="95">
                  <c:v>0.11935850999819494</c:v>
                </c:pt>
                <c:pt idx="96">
                  <c:v>0.11675015453175912</c:v>
                </c:pt>
                <c:pt idx="97">
                  <c:v>0.11418058215739584</c:v>
                </c:pt>
                <c:pt idx="98">
                  <c:v>0.11165011519120792</c:v>
                </c:pt>
                <c:pt idx="99">
                  <c:v>0.10915901834949042</c:v>
                </c:pt>
                <c:pt idx="100">
                  <c:v>0.10670750149578431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87-4C74-981D-901F8F9F5503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</c:v>
                </c:pt>
                <c:pt idx="1">
                  <c:v>2.895</c:v>
                </c:pt>
                <c:pt idx="2">
                  <c:v>2.79</c:v>
                </c:pt>
                <c:pt idx="3">
                  <c:v>2.6850000000000001</c:v>
                </c:pt>
                <c:pt idx="4">
                  <c:v>2.58</c:v>
                </c:pt>
                <c:pt idx="5">
                  <c:v>2.4750000000000001</c:v>
                </c:pt>
                <c:pt idx="6">
                  <c:v>2.37</c:v>
                </c:pt>
                <c:pt idx="7">
                  <c:v>2.2650000000000001</c:v>
                </c:pt>
                <c:pt idx="8">
                  <c:v>2.16</c:v>
                </c:pt>
                <c:pt idx="9">
                  <c:v>2.0550000000000002</c:v>
                </c:pt>
                <c:pt idx="10">
                  <c:v>1.9500000000000002</c:v>
                </c:pt>
                <c:pt idx="11">
                  <c:v>1.8450000000000002</c:v>
                </c:pt>
                <c:pt idx="12">
                  <c:v>1.7400000000000002</c:v>
                </c:pt>
                <c:pt idx="13">
                  <c:v>1.6350000000000002</c:v>
                </c:pt>
                <c:pt idx="14">
                  <c:v>1.5300000000000002</c:v>
                </c:pt>
                <c:pt idx="15">
                  <c:v>1.4250000000000003</c:v>
                </c:pt>
                <c:pt idx="16">
                  <c:v>1.3200000000000003</c:v>
                </c:pt>
                <c:pt idx="17">
                  <c:v>1.2150000000000003</c:v>
                </c:pt>
                <c:pt idx="18">
                  <c:v>1.1100000000000003</c:v>
                </c:pt>
                <c:pt idx="19">
                  <c:v>1.0050000000000003</c:v>
                </c:pt>
                <c:pt idx="20">
                  <c:v>0.90000000000000036</c:v>
                </c:pt>
                <c:pt idx="21">
                  <c:v>0.79500000000000037</c:v>
                </c:pt>
                <c:pt idx="22">
                  <c:v>0.69000000000000039</c:v>
                </c:pt>
                <c:pt idx="23">
                  <c:v>0.58500000000000041</c:v>
                </c:pt>
                <c:pt idx="24">
                  <c:v>0.48000000000000043</c:v>
                </c:pt>
                <c:pt idx="25">
                  <c:v>0.37500000000000044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0.1561574360081889</c:v>
                </c:pt>
                <c:pt idx="1">
                  <c:v>0.14078245980812717</c:v>
                </c:pt>
                <c:pt idx="2">
                  <c:v>0.12493749481553862</c:v>
                </c:pt>
                <c:pt idx="3">
                  <c:v>0.1089601946354315</c:v>
                </c:pt>
                <c:pt idx="4">
                  <c:v>9.3205740619351343E-2</c:v>
                </c:pt>
                <c:pt idx="5">
                  <c:v>7.8030275401082191E-2</c:v>
                </c:pt>
                <c:pt idx="6">
                  <c:v>6.3771771148683834E-2</c:v>
                </c:pt>
                <c:pt idx="7">
                  <c:v>5.072958115430598E-2</c:v>
                </c:pt>
                <c:pt idx="8">
                  <c:v>3.9144440080398565E-2</c:v>
                </c:pt>
                <c:pt idx="9">
                  <c:v>2.9181109471840522E-2</c:v>
                </c:pt>
                <c:pt idx="10">
                  <c:v>2.091608923152645E-2</c:v>
                </c:pt>
                <c:pt idx="11">
                  <c:v>1.433269438155914E-2</c:v>
                </c:pt>
                <c:pt idx="12">
                  <c:v>9.3252049554753118E-3</c:v>
                </c:pt>
                <c:pt idx="13">
                  <c:v>5.7126724891140091E-3</c:v>
                </c:pt>
                <c:pt idx="14">
                  <c:v>3.2613698135542869E-3</c:v>
                </c:pt>
                <c:pt idx="15">
                  <c:v>1.7130432740625197E-3</c:v>
                </c:pt>
                <c:pt idx="16">
                  <c:v>8.1451186748888137E-4</c:v>
                </c:pt>
                <c:pt idx="17">
                  <c:v>3.4334118859979246E-4</c:v>
                </c:pt>
                <c:pt idx="18">
                  <c:v>1.2484580314943758E-4</c:v>
                </c:pt>
                <c:pt idx="19">
                  <c:v>3.7749195709801989E-5</c:v>
                </c:pt>
                <c:pt idx="20">
                  <c:v>9.023331908619795E-6</c:v>
                </c:pt>
                <c:pt idx="21">
                  <c:v>1.5866064080950552E-6</c:v>
                </c:pt>
                <c:pt idx="22">
                  <c:v>1.8441066805255054E-7</c:v>
                </c:pt>
                <c:pt idx="23">
                  <c:v>1.1986754342055376E-8</c:v>
                </c:pt>
                <c:pt idx="24">
                  <c:v>3.2920983040320083E-10</c:v>
                </c:pt>
                <c:pt idx="25">
                  <c:v>2.2763212830979008E-12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7-4C74-981D-901F8F9F5503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6.5000000000000142</c:v>
                </c:pt>
                <c:pt idx="1">
                  <c:v>6.8500000000000139</c:v>
                </c:pt>
                <c:pt idx="2">
                  <c:v>7.2000000000000135</c:v>
                </c:pt>
                <c:pt idx="3">
                  <c:v>7.5500000000000131</c:v>
                </c:pt>
                <c:pt idx="4">
                  <c:v>7.9000000000000128</c:v>
                </c:pt>
                <c:pt idx="5">
                  <c:v>8.2500000000000124</c:v>
                </c:pt>
                <c:pt idx="6">
                  <c:v>8.6000000000000121</c:v>
                </c:pt>
                <c:pt idx="7">
                  <c:v>8.9500000000000117</c:v>
                </c:pt>
                <c:pt idx="8">
                  <c:v>9.3000000000000114</c:v>
                </c:pt>
                <c:pt idx="9">
                  <c:v>9.650000000000011</c:v>
                </c:pt>
                <c:pt idx="10">
                  <c:v>10.000000000000011</c:v>
                </c:pt>
                <c:pt idx="11">
                  <c:v>10.35000000000001</c:v>
                </c:pt>
                <c:pt idx="12">
                  <c:v>10.70000000000001</c:v>
                </c:pt>
                <c:pt idx="13">
                  <c:v>11.05000000000001</c:v>
                </c:pt>
                <c:pt idx="14">
                  <c:v>11.400000000000009</c:v>
                </c:pt>
                <c:pt idx="15">
                  <c:v>11.750000000000009</c:v>
                </c:pt>
                <c:pt idx="16">
                  <c:v>12.100000000000009</c:v>
                </c:pt>
                <c:pt idx="17">
                  <c:v>12.450000000000008</c:v>
                </c:pt>
                <c:pt idx="18">
                  <c:v>12.800000000000008</c:v>
                </c:pt>
                <c:pt idx="19">
                  <c:v>13.150000000000007</c:v>
                </c:pt>
                <c:pt idx="20">
                  <c:v>13.500000000000007</c:v>
                </c:pt>
                <c:pt idx="21">
                  <c:v>13.850000000000007</c:v>
                </c:pt>
                <c:pt idx="22">
                  <c:v>14.200000000000006</c:v>
                </c:pt>
                <c:pt idx="23">
                  <c:v>14.550000000000006</c:v>
                </c:pt>
                <c:pt idx="24">
                  <c:v>14.900000000000006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9.2608845521757618E-2</c:v>
                </c:pt>
                <c:pt idx="1">
                  <c:v>7.4289745433809604E-2</c:v>
                </c:pt>
                <c:pt idx="2">
                  <c:v>5.8976100318400629E-2</c:v>
                </c:pt>
                <c:pt idx="3">
                  <c:v>4.6425363784221248E-2</c:v>
                </c:pt>
                <c:pt idx="4">
                  <c:v>3.6297154834100079E-2</c:v>
                </c:pt>
                <c:pt idx="5">
                  <c:v>2.8223458836278758E-2</c:v>
                </c:pt>
                <c:pt idx="6">
                  <c:v>2.1850004102137791E-2</c:v>
                </c:pt>
                <c:pt idx="7">
                  <c:v>1.6857745942908852E-2</c:v>
                </c:pt>
                <c:pt idx="8">
                  <c:v>1.2971550355459121E-2</c:v>
                </c:pt>
                <c:pt idx="9">
                  <c:v>9.9612248239530094E-3</c:v>
                </c:pt>
                <c:pt idx="10">
                  <c:v>7.6383906409380102E-3</c:v>
                </c:pt>
                <c:pt idx="11">
                  <c:v>5.8514334746844225E-3</c:v>
                </c:pt>
                <c:pt idx="12">
                  <c:v>4.4798789407362359E-3</c:v>
                </c:pt>
                <c:pt idx="13">
                  <c:v>3.4289444229488493E-3</c:v>
                </c:pt>
                <c:pt idx="14">
                  <c:v>2.6246393483593212E-3</c:v>
                </c:pt>
                <c:pt idx="15">
                  <c:v>2.0095570739172117E-3</c:v>
                </c:pt>
                <c:pt idx="16">
                  <c:v>1.5393716331837965E-3</c:v>
                </c:pt>
                <c:pt idx="17">
                  <c:v>1.1799854457646617E-3</c:v>
                </c:pt>
                <c:pt idx="18">
                  <c:v>9.0524494344343181E-4</c:v>
                </c:pt>
                <c:pt idx="19">
                  <c:v>6.9513371475538933E-4</c:v>
                </c:pt>
                <c:pt idx="20">
                  <c:v>5.3435700652618742E-4</c:v>
                </c:pt>
                <c:pt idx="21">
                  <c:v>4.1124106156092228E-4</c:v>
                </c:pt>
                <c:pt idx="22">
                  <c:v>3.1688223897483958E-4</c:v>
                </c:pt>
                <c:pt idx="23">
                  <c:v>2.4449221680186521E-4</c:v>
                </c:pt>
                <c:pt idx="24">
                  <c:v>1.8889586672518792E-4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7-4C74-981D-901F8F9F5503}"/>
            </c:ext>
          </c:extLst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</c:v>
                </c:pt>
                <c:pt idx="1">
                  <c:v>2.895</c:v>
                </c:pt>
                <c:pt idx="2">
                  <c:v>2.79</c:v>
                </c:pt>
                <c:pt idx="3">
                  <c:v>2.6850000000000001</c:v>
                </c:pt>
                <c:pt idx="4">
                  <c:v>2.58</c:v>
                </c:pt>
                <c:pt idx="5">
                  <c:v>2.4750000000000001</c:v>
                </c:pt>
                <c:pt idx="6">
                  <c:v>2.37</c:v>
                </c:pt>
                <c:pt idx="7">
                  <c:v>2.2650000000000001</c:v>
                </c:pt>
                <c:pt idx="8">
                  <c:v>2.16</c:v>
                </c:pt>
                <c:pt idx="9">
                  <c:v>2.0550000000000002</c:v>
                </c:pt>
                <c:pt idx="10">
                  <c:v>1.9500000000000002</c:v>
                </c:pt>
                <c:pt idx="11">
                  <c:v>1.8450000000000002</c:v>
                </c:pt>
                <c:pt idx="12">
                  <c:v>1.7400000000000002</c:v>
                </c:pt>
                <c:pt idx="13">
                  <c:v>1.6350000000000002</c:v>
                </c:pt>
                <c:pt idx="14">
                  <c:v>1.5300000000000002</c:v>
                </c:pt>
                <c:pt idx="15">
                  <c:v>1.4250000000000003</c:v>
                </c:pt>
                <c:pt idx="16">
                  <c:v>1.3200000000000003</c:v>
                </c:pt>
                <c:pt idx="17">
                  <c:v>1.2150000000000003</c:v>
                </c:pt>
                <c:pt idx="18">
                  <c:v>1.1100000000000003</c:v>
                </c:pt>
                <c:pt idx="19">
                  <c:v>1.0050000000000003</c:v>
                </c:pt>
                <c:pt idx="20">
                  <c:v>0.90000000000000036</c:v>
                </c:pt>
                <c:pt idx="21">
                  <c:v>0.79500000000000037</c:v>
                </c:pt>
                <c:pt idx="22">
                  <c:v>0.69000000000000039</c:v>
                </c:pt>
                <c:pt idx="23">
                  <c:v>0.58500000000000041</c:v>
                </c:pt>
                <c:pt idx="24">
                  <c:v>0.48000000000000043</c:v>
                </c:pt>
                <c:pt idx="25">
                  <c:v>0.37500000000000044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0.17472253930800555</c:v>
                </c:pt>
                <c:pt idx="1">
                  <c:v>0.15632922319912806</c:v>
                </c:pt>
                <c:pt idx="2">
                  <c:v>0.13757318445707656</c:v>
                </c:pt>
                <c:pt idx="3">
                  <c:v>0.11886822645398173</c:v>
                </c:pt>
                <c:pt idx="4">
                  <c:v>0.10063833400634999</c:v>
                </c:pt>
                <c:pt idx="5">
                  <c:v>8.3296179066749104E-2</c:v>
                </c:pt>
                <c:pt idx="6">
                  <c:v>6.7219458080312974E-2</c:v>
                </c:pt>
                <c:pt idx="7">
                  <c:v>5.27269030587528E-2</c:v>
                </c:pt>
                <c:pt idx="8">
                  <c:v>4.0056347439408481E-2</c:v>
                </c:pt>
                <c:pt idx="9">
                  <c:v>2.9347578141799387E-2</c:v>
                </c:pt>
                <c:pt idx="10">
                  <c:v>2.0632716961983322E-2</c:v>
                </c:pt>
                <c:pt idx="11">
                  <c:v>1.3836401852762576E-2</c:v>
                </c:pt>
                <c:pt idx="12">
                  <c:v>8.7869863775159856E-3</c:v>
                </c:pt>
                <c:pt idx="13">
                  <c:v>5.2383604524538297E-3</c:v>
                </c:pt>
                <c:pt idx="14">
                  <c:v>2.9000098977172589E-3</c:v>
                </c:pt>
                <c:pt idx="15">
                  <c:v>1.4709814863000036E-3</c:v>
                </c:pt>
                <c:pt idx="16">
                  <c:v>6.7209006212736551E-4</c:v>
                </c:pt>
                <c:pt idx="17">
                  <c:v>2.7061825150845141E-4</c:v>
                </c:pt>
                <c:pt idx="18">
                  <c:v>9.3312152495441774E-5</c:v>
                </c:pt>
                <c:pt idx="19">
                  <c:v>2.6513284287246574E-5</c:v>
                </c:pt>
                <c:pt idx="20">
                  <c:v>5.8872059317159078E-6</c:v>
                </c:pt>
                <c:pt idx="21">
                  <c:v>9.4728659967564124E-7</c:v>
                </c:pt>
                <c:pt idx="22">
                  <c:v>9.8744702431024302E-8</c:v>
                </c:pt>
                <c:pt idx="23">
                  <c:v>5.5962848898845745E-9</c:v>
                </c:pt>
                <c:pt idx="24">
                  <c:v>1.2854645170392634E-10</c:v>
                </c:pt>
                <c:pt idx="25">
                  <c:v>6.9563473885407189E-13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87-4C74-981D-901F8F9F5503}"/>
            </c:ext>
          </c:extLst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6.5000000000000142</c:v>
                </c:pt>
                <c:pt idx="1">
                  <c:v>6.8500000000000139</c:v>
                </c:pt>
                <c:pt idx="2">
                  <c:v>7.2000000000000135</c:v>
                </c:pt>
                <c:pt idx="3">
                  <c:v>7.5500000000000131</c:v>
                </c:pt>
                <c:pt idx="4">
                  <c:v>7.9000000000000128</c:v>
                </c:pt>
                <c:pt idx="5">
                  <c:v>8.2500000000000124</c:v>
                </c:pt>
                <c:pt idx="6">
                  <c:v>8.6000000000000121</c:v>
                </c:pt>
                <c:pt idx="7">
                  <c:v>8.9500000000000117</c:v>
                </c:pt>
                <c:pt idx="8">
                  <c:v>9.3000000000000114</c:v>
                </c:pt>
                <c:pt idx="9">
                  <c:v>9.650000000000011</c:v>
                </c:pt>
                <c:pt idx="10">
                  <c:v>10.000000000000011</c:v>
                </c:pt>
                <c:pt idx="11">
                  <c:v>10.35000000000001</c:v>
                </c:pt>
                <c:pt idx="12">
                  <c:v>10.70000000000001</c:v>
                </c:pt>
                <c:pt idx="13">
                  <c:v>11.05000000000001</c:v>
                </c:pt>
                <c:pt idx="14">
                  <c:v>11.400000000000009</c:v>
                </c:pt>
                <c:pt idx="15">
                  <c:v>11.750000000000009</c:v>
                </c:pt>
                <c:pt idx="16">
                  <c:v>12.100000000000009</c:v>
                </c:pt>
                <c:pt idx="17">
                  <c:v>12.450000000000008</c:v>
                </c:pt>
                <c:pt idx="18">
                  <c:v>12.800000000000008</c:v>
                </c:pt>
                <c:pt idx="19">
                  <c:v>13.150000000000007</c:v>
                </c:pt>
                <c:pt idx="20">
                  <c:v>13.500000000000007</c:v>
                </c:pt>
                <c:pt idx="21">
                  <c:v>13.850000000000007</c:v>
                </c:pt>
                <c:pt idx="22">
                  <c:v>14.200000000000006</c:v>
                </c:pt>
                <c:pt idx="23">
                  <c:v>14.550000000000006</c:v>
                </c:pt>
                <c:pt idx="24">
                  <c:v>14.900000000000006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0.10670750149578431</c:v>
                </c:pt>
                <c:pt idx="1">
                  <c:v>8.4381341909310376E-2</c:v>
                </c:pt>
                <c:pt idx="2">
                  <c:v>6.5930957349551358E-2</c:v>
                </c:pt>
                <c:pt idx="3">
                  <c:v>5.1014719475548267E-2</c:v>
                </c:pt>
                <c:pt idx="4">
                  <c:v>3.9161743831966751E-2</c:v>
                </c:pt>
                <c:pt idx="5">
                  <c:v>2.987083572012747E-2</c:v>
                </c:pt>
                <c:pt idx="6">
                  <c:v>2.2667235537714228E-2</c:v>
                </c:pt>
                <c:pt idx="7">
                  <c:v>1.7130592208531498E-2</c:v>
                </c:pt>
                <c:pt idx="8">
                  <c:v>1.2904823663016698E-2</c:v>
                </c:pt>
                <c:pt idx="9">
                  <c:v>9.697515715399431E-3</c:v>
                </c:pt>
                <c:pt idx="10">
                  <c:v>7.2739542164202489E-3</c:v>
                </c:pt>
                <c:pt idx="11">
                  <c:v>5.4489615866490622E-3</c:v>
                </c:pt>
                <c:pt idx="12">
                  <c:v>4.0783721224178565E-3</c:v>
                </c:pt>
                <c:pt idx="13">
                  <c:v>3.0511080778872412E-3</c:v>
                </c:pt>
                <c:pt idx="14">
                  <c:v>2.2822812410143219E-3</c:v>
                </c:pt>
                <c:pt idx="15">
                  <c:v>1.7074341810638283E-3</c:v>
                </c:pt>
                <c:pt idx="16">
                  <c:v>1.2778703130701314E-3</c:v>
                </c:pt>
                <c:pt idx="17">
                  <c:v>9.5694567422742861E-4</c:v>
                </c:pt>
                <c:pt idx="18">
                  <c:v>7.1717027665332465E-4</c:v>
                </c:pt>
                <c:pt idx="19">
                  <c:v>5.3796932319088563E-4</c:v>
                </c:pt>
                <c:pt idx="20">
                  <c:v>4.0397006327529854E-4</c:v>
                </c:pt>
                <c:pt idx="21">
                  <c:v>3.0370034350385265E-4</c:v>
                </c:pt>
                <c:pt idx="22">
                  <c:v>2.2860550847525715E-4</c:v>
                </c:pt>
                <c:pt idx="23">
                  <c:v>1.7230906193710645E-4</c:v>
                </c:pt>
                <c:pt idx="24">
                  <c:v>1.3005855438840853E-4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7-4C74-981D-901F8F9F5503}"/>
            </c:ext>
          </c:extLst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</c:v>
                </c:pt>
                <c:pt idx="1">
                  <c:v>3.0350000000000001</c:v>
                </c:pt>
                <c:pt idx="2">
                  <c:v>3.0700000000000003</c:v>
                </c:pt>
                <c:pt idx="3">
                  <c:v>3.1050000000000004</c:v>
                </c:pt>
                <c:pt idx="4">
                  <c:v>3.1400000000000006</c:v>
                </c:pt>
                <c:pt idx="5">
                  <c:v>3.1750000000000007</c:v>
                </c:pt>
                <c:pt idx="6">
                  <c:v>3.2100000000000009</c:v>
                </c:pt>
                <c:pt idx="7">
                  <c:v>3.245000000000001</c:v>
                </c:pt>
                <c:pt idx="8">
                  <c:v>3.2800000000000011</c:v>
                </c:pt>
                <c:pt idx="9">
                  <c:v>3.3150000000000013</c:v>
                </c:pt>
                <c:pt idx="10">
                  <c:v>3.3500000000000014</c:v>
                </c:pt>
                <c:pt idx="11">
                  <c:v>3.3850000000000016</c:v>
                </c:pt>
                <c:pt idx="12">
                  <c:v>3.4200000000000017</c:v>
                </c:pt>
                <c:pt idx="13">
                  <c:v>3.4550000000000018</c:v>
                </c:pt>
                <c:pt idx="14">
                  <c:v>3.490000000000002</c:v>
                </c:pt>
                <c:pt idx="15">
                  <c:v>3.5250000000000021</c:v>
                </c:pt>
                <c:pt idx="16">
                  <c:v>3.5600000000000023</c:v>
                </c:pt>
                <c:pt idx="17">
                  <c:v>3.5950000000000024</c:v>
                </c:pt>
                <c:pt idx="18">
                  <c:v>3.6300000000000026</c:v>
                </c:pt>
                <c:pt idx="19">
                  <c:v>3.6650000000000027</c:v>
                </c:pt>
                <c:pt idx="20">
                  <c:v>3.7000000000000028</c:v>
                </c:pt>
                <c:pt idx="21">
                  <c:v>3.735000000000003</c:v>
                </c:pt>
                <c:pt idx="22">
                  <c:v>3.7700000000000031</c:v>
                </c:pt>
                <c:pt idx="23">
                  <c:v>3.8050000000000033</c:v>
                </c:pt>
                <c:pt idx="24">
                  <c:v>3.8400000000000034</c:v>
                </c:pt>
                <c:pt idx="25">
                  <c:v>3.8750000000000036</c:v>
                </c:pt>
                <c:pt idx="26">
                  <c:v>3.9100000000000037</c:v>
                </c:pt>
                <c:pt idx="27">
                  <c:v>3.9450000000000038</c:v>
                </c:pt>
                <c:pt idx="28">
                  <c:v>3.980000000000004</c:v>
                </c:pt>
                <c:pt idx="29">
                  <c:v>4.0150000000000041</c:v>
                </c:pt>
                <c:pt idx="30">
                  <c:v>4.0500000000000043</c:v>
                </c:pt>
                <c:pt idx="31">
                  <c:v>4.0850000000000044</c:v>
                </c:pt>
                <c:pt idx="32">
                  <c:v>4.1200000000000045</c:v>
                </c:pt>
                <c:pt idx="33">
                  <c:v>4.1550000000000047</c:v>
                </c:pt>
                <c:pt idx="34">
                  <c:v>4.1900000000000048</c:v>
                </c:pt>
                <c:pt idx="35">
                  <c:v>4.225000000000005</c:v>
                </c:pt>
                <c:pt idx="36">
                  <c:v>4.2600000000000051</c:v>
                </c:pt>
                <c:pt idx="37">
                  <c:v>4.2950000000000053</c:v>
                </c:pt>
                <c:pt idx="38">
                  <c:v>4.3300000000000054</c:v>
                </c:pt>
                <c:pt idx="39">
                  <c:v>4.3650000000000055</c:v>
                </c:pt>
                <c:pt idx="40">
                  <c:v>4.4000000000000057</c:v>
                </c:pt>
                <c:pt idx="41">
                  <c:v>4.4350000000000058</c:v>
                </c:pt>
                <c:pt idx="42">
                  <c:v>4.470000000000006</c:v>
                </c:pt>
                <c:pt idx="43">
                  <c:v>4.5050000000000061</c:v>
                </c:pt>
                <c:pt idx="44">
                  <c:v>4.5400000000000063</c:v>
                </c:pt>
                <c:pt idx="45">
                  <c:v>4.5750000000000064</c:v>
                </c:pt>
                <c:pt idx="46">
                  <c:v>4.6100000000000065</c:v>
                </c:pt>
                <c:pt idx="47">
                  <c:v>4.6450000000000067</c:v>
                </c:pt>
                <c:pt idx="48">
                  <c:v>4.6800000000000068</c:v>
                </c:pt>
                <c:pt idx="49">
                  <c:v>4.715000000000007</c:v>
                </c:pt>
                <c:pt idx="50">
                  <c:v>4.7500000000000071</c:v>
                </c:pt>
                <c:pt idx="51">
                  <c:v>4.7850000000000072</c:v>
                </c:pt>
                <c:pt idx="52">
                  <c:v>4.8200000000000074</c:v>
                </c:pt>
                <c:pt idx="53">
                  <c:v>4.8550000000000075</c:v>
                </c:pt>
                <c:pt idx="54">
                  <c:v>4.8900000000000077</c:v>
                </c:pt>
                <c:pt idx="55">
                  <c:v>4.9250000000000078</c:v>
                </c:pt>
                <c:pt idx="56">
                  <c:v>4.960000000000008</c:v>
                </c:pt>
                <c:pt idx="57">
                  <c:v>4.9950000000000081</c:v>
                </c:pt>
                <c:pt idx="58">
                  <c:v>5.0300000000000082</c:v>
                </c:pt>
                <c:pt idx="59">
                  <c:v>5.0650000000000084</c:v>
                </c:pt>
                <c:pt idx="60">
                  <c:v>5.1000000000000085</c:v>
                </c:pt>
                <c:pt idx="61">
                  <c:v>5.1350000000000087</c:v>
                </c:pt>
                <c:pt idx="62">
                  <c:v>5.1700000000000088</c:v>
                </c:pt>
                <c:pt idx="63">
                  <c:v>5.205000000000009</c:v>
                </c:pt>
                <c:pt idx="64">
                  <c:v>5.2400000000000091</c:v>
                </c:pt>
                <c:pt idx="65">
                  <c:v>5.2750000000000092</c:v>
                </c:pt>
                <c:pt idx="66">
                  <c:v>5.3100000000000094</c:v>
                </c:pt>
                <c:pt idx="67">
                  <c:v>5.3450000000000095</c:v>
                </c:pt>
                <c:pt idx="68">
                  <c:v>5.3800000000000097</c:v>
                </c:pt>
                <c:pt idx="69">
                  <c:v>5.4150000000000098</c:v>
                </c:pt>
                <c:pt idx="70">
                  <c:v>5.4500000000000099</c:v>
                </c:pt>
                <c:pt idx="71">
                  <c:v>5.4850000000000101</c:v>
                </c:pt>
                <c:pt idx="72">
                  <c:v>5.5200000000000102</c:v>
                </c:pt>
                <c:pt idx="73">
                  <c:v>5.5550000000000104</c:v>
                </c:pt>
                <c:pt idx="74">
                  <c:v>5.5900000000000105</c:v>
                </c:pt>
                <c:pt idx="75">
                  <c:v>5.6250000000000107</c:v>
                </c:pt>
                <c:pt idx="76">
                  <c:v>5.6600000000000108</c:v>
                </c:pt>
                <c:pt idx="77">
                  <c:v>5.6950000000000109</c:v>
                </c:pt>
                <c:pt idx="78">
                  <c:v>5.7300000000000111</c:v>
                </c:pt>
                <c:pt idx="79">
                  <c:v>5.7650000000000112</c:v>
                </c:pt>
                <c:pt idx="80">
                  <c:v>5.8000000000000114</c:v>
                </c:pt>
                <c:pt idx="81">
                  <c:v>5.8350000000000115</c:v>
                </c:pt>
                <c:pt idx="82">
                  <c:v>5.8700000000000117</c:v>
                </c:pt>
                <c:pt idx="83">
                  <c:v>5.9050000000000118</c:v>
                </c:pt>
                <c:pt idx="84">
                  <c:v>5.9400000000000119</c:v>
                </c:pt>
                <c:pt idx="85">
                  <c:v>5.9750000000000121</c:v>
                </c:pt>
                <c:pt idx="86">
                  <c:v>6.0100000000000122</c:v>
                </c:pt>
                <c:pt idx="87">
                  <c:v>6.0450000000000124</c:v>
                </c:pt>
                <c:pt idx="88">
                  <c:v>6.0800000000000125</c:v>
                </c:pt>
                <c:pt idx="89">
                  <c:v>6.1150000000000126</c:v>
                </c:pt>
                <c:pt idx="90">
                  <c:v>6.1500000000000128</c:v>
                </c:pt>
                <c:pt idx="91">
                  <c:v>6.1850000000000129</c:v>
                </c:pt>
                <c:pt idx="92">
                  <c:v>6.2200000000000131</c:v>
                </c:pt>
                <c:pt idx="93">
                  <c:v>6.2550000000000132</c:v>
                </c:pt>
                <c:pt idx="94">
                  <c:v>6.2900000000000134</c:v>
                </c:pt>
                <c:pt idx="95">
                  <c:v>6.3250000000000135</c:v>
                </c:pt>
                <c:pt idx="96">
                  <c:v>6.3600000000000136</c:v>
                </c:pt>
                <c:pt idx="97">
                  <c:v>6.3950000000000138</c:v>
                </c:pt>
                <c:pt idx="98">
                  <c:v>6.4300000000000139</c:v>
                </c:pt>
                <c:pt idx="99">
                  <c:v>6.4650000000000141</c:v>
                </c:pt>
                <c:pt idx="100">
                  <c:v>6.5000000000000142</c:v>
                </c:pt>
              </c:numCache>
            </c:numRef>
          </c:xVal>
          <c:yVal>
            <c:numRef>
              <c:f>Shimko!$BG$13:$BG$113</c:f>
              <c:numCache>
                <c:formatCode>General</c:formatCode>
                <c:ptCount val="101"/>
                <c:pt idx="0">
                  <c:v>0.15037383024979056</c:v>
                </c:pt>
                <c:pt idx="1">
                  <c:v>0.15675573351460412</c:v>
                </c:pt>
                <c:pt idx="2">
                  <c:v>0.16317854141875254</c:v>
                </c:pt>
                <c:pt idx="3">
                  <c:v>0.1696282429760729</c:v>
                </c:pt>
                <c:pt idx="4">
                  <c:v>0.17609041340832324</c:v>
                </c:pt>
                <c:pt idx="5">
                  <c:v>0.18255028889925057</c:v>
                </c:pt>
                <c:pt idx="6">
                  <c:v>0.18899283099196623</c:v>
                </c:pt>
                <c:pt idx="7">
                  <c:v>0.19540280121584025</c:v>
                </c:pt>
                <c:pt idx="8">
                  <c:v>0.20176483269073564</c:v>
                </c:pt>
                <c:pt idx="9">
                  <c:v>0.20806350258651654</c:v>
                </c:pt>
                <c:pt idx="10">
                  <c:v>0.21428341770844705</c:v>
                </c:pt>
                <c:pt idx="11">
                  <c:v>0.22040928117972972</c:v>
                </c:pt>
                <c:pt idx="12">
                  <c:v>0.22642597452676066</c:v>
                </c:pt>
                <c:pt idx="13">
                  <c:v>0.23231862863138383</c:v>
                </c:pt>
                <c:pt idx="14">
                  <c:v>0.23807270464328739</c:v>
                </c:pt>
                <c:pt idx="15">
                  <c:v>0.24367405772549441</c:v>
                </c:pt>
                <c:pt idx="16">
                  <c:v>0.2491090101854079</c:v>
                </c:pt>
                <c:pt idx="17">
                  <c:v>0.25436441805995508</c:v>
                </c:pt>
                <c:pt idx="18">
                  <c:v>0.25942773380614043</c:v>
                </c:pt>
                <c:pt idx="19">
                  <c:v>0.26428706320721512</c:v>
                </c:pt>
                <c:pt idx="20">
                  <c:v>0.26893121873761661</c:v>
                </c:pt>
                <c:pt idx="21">
                  <c:v>0.27334977313741321</c:v>
                </c:pt>
                <c:pt idx="22">
                  <c:v>0.27753309568100787</c:v>
                </c:pt>
                <c:pt idx="23">
                  <c:v>0.28147239851060629</c:v>
                </c:pt>
                <c:pt idx="24">
                  <c:v>0.28515976797251991</c:v>
                </c:pt>
                <c:pt idx="25">
                  <c:v>0.28858818822243976</c:v>
                </c:pt>
                <c:pt idx="26">
                  <c:v>0.2917515674167519</c:v>
                </c:pt>
                <c:pt idx="27">
                  <c:v>0.29464474994907314</c:v>
                </c:pt>
                <c:pt idx="28">
                  <c:v>0.29726352959339192</c:v>
                </c:pt>
                <c:pt idx="29">
                  <c:v>0.2996046520802329</c:v>
                </c:pt>
                <c:pt idx="30">
                  <c:v>0.30166581274528381</c:v>
                </c:pt>
                <c:pt idx="31">
                  <c:v>0.30344565210564001</c:v>
                </c:pt>
                <c:pt idx="32">
                  <c:v>0.30494374152371917</c:v>
                </c:pt>
                <c:pt idx="33">
                  <c:v>0.30616056798811331</c:v>
                </c:pt>
                <c:pt idx="34">
                  <c:v>0.3070975111554845</c:v>
                </c:pt>
                <c:pt idx="35">
                  <c:v>0.30775681571750907</c:v>
                </c:pt>
                <c:pt idx="36">
                  <c:v>0.30814156507169543</c:v>
                </c:pt>
                <c:pt idx="37">
                  <c:v>0.30825564172396408</c:v>
                </c:pt>
                <c:pt idx="38">
                  <c:v>0.30810369536753879</c:v>
                </c:pt>
                <c:pt idx="39">
                  <c:v>0.30769109938860384</c:v>
                </c:pt>
                <c:pt idx="40">
                  <c:v>0.30702390239540001</c:v>
                </c:pt>
                <c:pt idx="41">
                  <c:v>0.30610879555647658</c:v>
                </c:pt>
                <c:pt idx="42">
                  <c:v>0.30495305742062462</c:v>
                </c:pt>
                <c:pt idx="43">
                  <c:v>0.30356450127277568</c:v>
                </c:pt>
                <c:pt idx="44">
                  <c:v>0.30195143357230297</c:v>
                </c:pt>
                <c:pt idx="45">
                  <c:v>0.30012260316380823</c:v>
                </c:pt>
                <c:pt idx="46">
                  <c:v>0.29808714165770678</c:v>
                </c:pt>
                <c:pt idx="47">
                  <c:v>0.29558216888259664</c:v>
                </c:pt>
                <c:pt idx="48">
                  <c:v>0.29314240877919956</c:v>
                </c:pt>
                <c:pt idx="49">
                  <c:v>0.29051061604943129</c:v>
                </c:pt>
                <c:pt idx="50">
                  <c:v>0.28769716405004936</c:v>
                </c:pt>
                <c:pt idx="51">
                  <c:v>0.2847124197023238</c:v>
                </c:pt>
                <c:pt idx="52">
                  <c:v>0.28156671325756338</c:v>
                </c:pt>
                <c:pt idx="53">
                  <c:v>0.27827031044875078</c:v>
                </c:pt>
                <c:pt idx="54">
                  <c:v>0.27483338987857125</c:v>
                </c:pt>
                <c:pt idx="55">
                  <c:v>0.27126601586924054</c:v>
                </c:pt>
                <c:pt idx="56">
                  <c:v>0.26757811307216833</c:v>
                </c:pt>
                <c:pt idx="57">
                  <c:v>0.26377945184915036</c:v>
                </c:pt>
                <c:pt idx="58">
                  <c:v>0.25987961524887554</c:v>
                </c:pt>
                <c:pt idx="59">
                  <c:v>0.25588799183086658</c:v>
                </c:pt>
                <c:pt idx="60">
                  <c:v>0.25203286628141952</c:v>
                </c:pt>
                <c:pt idx="61">
                  <c:v>0.24788701492838711</c:v>
                </c:pt>
                <c:pt idx="62">
                  <c:v>0.24368526849433325</c:v>
                </c:pt>
                <c:pt idx="63">
                  <c:v>0.23943539599403657</c:v>
                </c:pt>
                <c:pt idx="64">
                  <c:v>0.23514500389101481</c:v>
                </c:pt>
                <c:pt idx="65">
                  <c:v>0.23082150869790063</c:v>
                </c:pt>
                <c:pt idx="66">
                  <c:v>0.22647211819872951</c:v>
                </c:pt>
                <c:pt idx="67">
                  <c:v>0.22210380866071402</c:v>
                </c:pt>
                <c:pt idx="68">
                  <c:v>0.21772331148401247</c:v>
                </c:pt>
                <c:pt idx="69">
                  <c:v>0.21333709571859771</c:v>
                </c:pt>
                <c:pt idx="70">
                  <c:v>0.2089513623284236</c:v>
                </c:pt>
                <c:pt idx="71">
                  <c:v>0.20457202930111262</c:v>
                </c:pt>
                <c:pt idx="72">
                  <c:v>0.20020473004425737</c:v>
                </c:pt>
                <c:pt idx="73">
                  <c:v>0.19585480775878589</c:v>
                </c:pt>
                <c:pt idx="74">
                  <c:v>0.1915273108287292</c:v>
                </c:pt>
                <c:pt idx="75">
                  <c:v>0.18722699571753454</c:v>
                </c:pt>
                <c:pt idx="76">
                  <c:v>0.18295832400783812</c:v>
                </c:pt>
                <c:pt idx="77">
                  <c:v>0.17872546701142739</c:v>
                </c:pt>
                <c:pt idx="78">
                  <c:v>0.17453230924387694</c:v>
                </c:pt>
                <c:pt idx="79">
                  <c:v>0.17038245085292558</c:v>
                </c:pt>
                <c:pt idx="80">
                  <c:v>0.16627921711586865</c:v>
                </c:pt>
                <c:pt idx="81">
                  <c:v>0.16222565975865044</c:v>
                </c:pt>
                <c:pt idx="82">
                  <c:v>0.15822456799461238</c:v>
                </c:pt>
                <c:pt idx="83">
                  <c:v>0.15427847466275058</c:v>
                </c:pt>
                <c:pt idx="84">
                  <c:v>0.15038966607422147</c:v>
                </c:pt>
                <c:pt idx="85">
                  <c:v>0.14656018798996553</c:v>
                </c:pt>
                <c:pt idx="86">
                  <c:v>0.14279185916376927</c:v>
                </c:pt>
                <c:pt idx="87">
                  <c:v>0.1390862755579087</c:v>
                </c:pt>
                <c:pt idx="88">
                  <c:v>0.13544482358839835</c:v>
                </c:pt>
                <c:pt idx="89">
                  <c:v>0.13186868905687316</c:v>
                </c:pt>
                <c:pt idx="90">
                  <c:v>0.12835886689640602</c:v>
                </c:pt>
                <c:pt idx="91">
                  <c:v>0.12491616959965711</c:v>
                </c:pt>
                <c:pt idx="92">
                  <c:v>0.12154123909168968</c:v>
                </c:pt>
                <c:pt idx="93">
                  <c:v>0.11823455555385076</c:v>
                </c:pt>
                <c:pt idx="94">
                  <c:v>0.11499644588705885</c:v>
                </c:pt>
                <c:pt idx="95">
                  <c:v>0.11182709463214364</c:v>
                </c:pt>
                <c:pt idx="96">
                  <c:v>0.10872655264580817</c:v>
                </c:pt>
                <c:pt idx="97">
                  <c:v>0.105694746065506</c:v>
                </c:pt>
                <c:pt idx="98">
                  <c:v>0.10273148404413161</c:v>
                </c:pt>
                <c:pt idx="99">
                  <c:v>9.9836468266261247E-2</c:v>
                </c:pt>
                <c:pt idx="100">
                  <c:v>9.7009301674841647E-2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87-4C74-981D-901F8F9F5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16240"/>
        <c:axId val="1"/>
      </c:scatterChart>
      <c:valAx>
        <c:axId val="16051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"/>
              <c:y val="0.8965968586387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7793594306049819E-3"/>
              <c:y val="0.451570680628272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16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177935943060498"/>
          <c:y val="0.93848167539267013"/>
          <c:w val="0.44483985765124551"/>
          <c:h val="5.7591623036649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78647686832739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16370106761557E-2"/>
          <c:y val="0.12172774869109949"/>
          <c:w val="0.87366548042704617"/>
          <c:h val="0.7604712041884818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-1.2975927050231928</c:v>
                </c:pt>
                <c:pt idx="1">
                  <c:v>-1.2622250118200891</c:v>
                </c:pt>
                <c:pt idx="2">
                  <c:v>-1.2272628539302872</c:v>
                </c:pt>
                <c:pt idx="3">
                  <c:v>-1.1926970367320915</c:v>
                </c:pt>
                <c:pt idx="4">
                  <c:v>-1.158518674803616</c:v>
                </c:pt>
                <c:pt idx="5">
                  <c:v>-1.1247191782124983</c:v>
                </c:pt>
                <c:pt idx="6">
                  <c:v>-1.0912902395571948</c:v>
                </c:pt>
                <c:pt idx="7">
                  <c:v>-1.0582238217109652</c:v>
                </c:pt>
                <c:pt idx="8">
                  <c:v>-1.0255121462233046</c:v>
                </c:pt>
                <c:pt idx="9">
                  <c:v>-0.99314768233695272</c:v>
                </c:pt>
                <c:pt idx="10">
                  <c:v>-0.96112313658168957</c:v>
                </c:pt>
                <c:pt idx="11">
                  <c:v>-0.92943144290893864</c:v>
                </c:pt>
                <c:pt idx="12">
                  <c:v>-0.89806575333380756</c:v>
                </c:pt>
                <c:pt idx="13">
                  <c:v>-0.867019429053557</c:v>
                </c:pt>
                <c:pt idx="14">
                  <c:v>-0.83628603201368645</c:v>
                </c:pt>
                <c:pt idx="15">
                  <c:v>-0.80585931689483503</c:v>
                </c:pt>
                <c:pt idx="16">
                  <c:v>-0.77573322349555229</c:v>
                </c:pt>
                <c:pt idx="17">
                  <c:v>-0.74590186948769488</c:v>
                </c:pt>
                <c:pt idx="18">
                  <c:v>-0.71635954352279296</c:v>
                </c:pt>
                <c:pt idx="19">
                  <c:v>-0.68710069866917323</c:v>
                </c:pt>
                <c:pt idx="20">
                  <c:v>-0.65811994616097869</c:v>
                </c:pt>
                <c:pt idx="21">
                  <c:v>-0.62941204944146589</c:v>
                </c:pt>
                <c:pt idx="22">
                  <c:v>-0.60097191848410458</c:v>
                </c:pt>
                <c:pt idx="23">
                  <c:v>-0.57279460437608576</c:v>
                </c:pt>
                <c:pt idx="24">
                  <c:v>-0.54487529414981095</c:v>
                </c:pt>
                <c:pt idx="25">
                  <c:v>-0.51720930584887059</c:v>
                </c:pt>
                <c:pt idx="26">
                  <c:v>-0.48979208381585371</c:v>
                </c:pt>
                <c:pt idx="27">
                  <c:v>-0.4626191941901332</c:v>
                </c:pt>
                <c:pt idx="28">
                  <c:v>-0.43568632060449075</c:v>
                </c:pt>
                <c:pt idx="29">
                  <c:v>-0.40898926007014369</c:v>
                </c:pt>
                <c:pt idx="30">
                  <c:v>-0.38252391904035549</c:v>
                </c:pt>
                <c:pt idx="31">
                  <c:v>-0.35628630964341212</c:v>
                </c:pt>
                <c:pt idx="32">
                  <c:v>-0.33027254607629608</c:v>
                </c:pt>
                <c:pt idx="33">
                  <c:v>-0.30447884115089463</c:v>
                </c:pt>
                <c:pt idx="34">
                  <c:v>-0.27890150298507521</c:v>
                </c:pt>
                <c:pt idx="35">
                  <c:v>-0.25353693183138792</c:v>
                </c:pt>
                <c:pt idx="36">
                  <c:v>-0.22838161703658832</c:v>
                </c:pt>
                <c:pt idx="37">
                  <c:v>-0.20343213412555416</c:v>
                </c:pt>
                <c:pt idx="38">
                  <c:v>-0.17868514200354282</c:v>
                </c:pt>
                <c:pt idx="39">
                  <c:v>-0.15413738027106497</c:v>
                </c:pt>
                <c:pt idx="40">
                  <c:v>-0.12978566664598817</c:v>
                </c:pt>
                <c:pt idx="41">
                  <c:v>-0.10562689448776459</c:v>
                </c:pt>
                <c:pt idx="42">
                  <c:v>-8.1658030418969477E-2</c:v>
                </c:pt>
                <c:pt idx="43">
                  <c:v>-5.7876112039597506E-2</c:v>
                </c:pt>
                <c:pt idx="44">
                  <c:v>-3.4278245729804632E-2</c:v>
                </c:pt>
                <c:pt idx="45">
                  <c:v>-1.0861604537026823E-2</c:v>
                </c:pt>
                <c:pt idx="46">
                  <c:v>1.2376573856388124E-2</c:v>
                </c:pt>
                <c:pt idx="47">
                  <c:v>3.5438989088687069E-2</c:v>
                </c:pt>
                <c:pt idx="48">
                  <c:v>5.8328280000819271E-2</c:v>
                </c:pt>
                <c:pt idx="49">
                  <c:v>8.1047026448424805E-2</c:v>
                </c:pt>
                <c:pt idx="50">
                  <c:v>0.10359775104681999</c:v>
                </c:pt>
                <c:pt idx="51">
                  <c:v>0.12598292085192489</c:v>
                </c:pt>
                <c:pt idx="52">
                  <c:v>0.14820494897993888</c:v>
                </c:pt>
                <c:pt idx="53">
                  <c:v>0.17026619616842156</c:v>
                </c:pt>
                <c:pt idx="54">
                  <c:v>0.19216897228130336</c:v>
                </c:pt>
                <c:pt idx="55">
                  <c:v>0.21391553776022937</c:v>
                </c:pt>
                <c:pt idx="56">
                  <c:v>0.23550810502451103</c:v>
                </c:pt>
                <c:pt idx="57">
                  <c:v>0.2569488398218579</c:v>
                </c:pt>
                <c:pt idx="58">
                  <c:v>0.27823986253195099</c:v>
                </c:pt>
                <c:pt idx="59">
                  <c:v>0.29938324942481803</c:v>
                </c:pt>
                <c:pt idx="60">
                  <c:v>0.32038103387588118</c:v>
                </c:pt>
                <c:pt idx="61">
                  <c:v>0.34123520753945241</c:v>
                </c:pt>
                <c:pt idx="62">
                  <c:v>0.36194772148236931</c:v>
                </c:pt>
                <c:pt idx="63">
                  <c:v>0.38252048727939253</c:v>
                </c:pt>
                <c:pt idx="64">
                  <c:v>0.40295537807189097</c:v>
                </c:pt>
                <c:pt idx="65">
                  <c:v>0.42325422959128989</c:v>
                </c:pt>
                <c:pt idx="66">
                  <c:v>0.44341884114867669</c:v>
                </c:pt>
                <c:pt idx="67">
                  <c:v>0.46345097659189916</c:v>
                </c:pt>
                <c:pt idx="68">
                  <c:v>0.48335236523142866</c:v>
                </c:pt>
                <c:pt idx="69">
                  <c:v>0.50312470273620469</c:v>
                </c:pt>
                <c:pt idx="70">
                  <c:v>0.52276965200061942</c:v>
                </c:pt>
                <c:pt idx="71">
                  <c:v>0.54228884398375332</c:v>
                </c:pt>
                <c:pt idx="72">
                  <c:v>0.56168387852191815</c:v>
                </c:pt>
                <c:pt idx="73">
                  <c:v>0.58095632511551976</c:v>
                </c:pt>
                <c:pt idx="74">
                  <c:v>0.60010772369121401</c:v>
                </c:pt>
                <c:pt idx="75">
                  <c:v>0.6191395853402718</c:v>
                </c:pt>
                <c:pt idx="76">
                  <c:v>0.63805339303404596</c:v>
                </c:pt>
                <c:pt idx="77">
                  <c:v>0.65685060231738401</c:v>
                </c:pt>
                <c:pt idx="78">
                  <c:v>0.67553264198079854</c:v>
                </c:pt>
                <c:pt idx="79">
                  <c:v>0.6941009147121705</c:v>
                </c:pt>
                <c:pt idx="80">
                  <c:v>0.71255679772872915</c:v>
                </c:pt>
                <c:pt idx="81">
                  <c:v>0.73090164339002095</c:v>
                </c:pt>
                <c:pt idx="82">
                  <c:v>0.74913677979254922</c:v>
                </c:pt>
                <c:pt idx="83">
                  <c:v>0.76726351134673854</c:v>
                </c:pt>
                <c:pt idx="84">
                  <c:v>0.78528311933684858</c:v>
                </c:pt>
                <c:pt idx="85">
                  <c:v>0.80319686246444488</c:v>
                </c:pt>
                <c:pt idx="86">
                  <c:v>0.8210059773759939</c:v>
                </c:pt>
                <c:pt idx="87">
                  <c:v>0.83871167917514078</c:v>
                </c:pt>
                <c:pt idx="88">
                  <c:v>0.85631516192020107</c:v>
                </c:pt>
                <c:pt idx="89">
                  <c:v>0.87381759910737289</c:v>
                </c:pt>
                <c:pt idx="90">
                  <c:v>0.8912201441401596</c:v>
                </c:pt>
                <c:pt idx="91">
                  <c:v>0.90852393078547256</c:v>
                </c:pt>
                <c:pt idx="92">
                  <c:v>0.92573007361686588</c:v>
                </c:pt>
                <c:pt idx="93">
                  <c:v>0.94283966844533473</c:v>
                </c:pt>
                <c:pt idx="94">
                  <c:v>0.95985379273809468</c:v>
                </c:pt>
                <c:pt idx="95">
                  <c:v>0.97677350602574031</c:v>
                </c:pt>
                <c:pt idx="96">
                  <c:v>0.99359985029817377</c:v>
                </c:pt>
                <c:pt idx="97">
                  <c:v>1.0103338503896642</c:v>
                </c:pt>
                <c:pt idx="98">
                  <c:v>1.0269765143534002</c:v>
                </c:pt>
                <c:pt idx="99">
                  <c:v>1.0435288338258772</c:v>
                </c:pt>
                <c:pt idx="100">
                  <c:v>1.0599917843814457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0.15363946570104128</c:v>
                </c:pt>
                <c:pt idx="1">
                  <c:v>0.16148508490514976</c:v>
                </c:pt>
                <c:pt idx="2">
                  <c:v>0.16950034675183687</c:v>
                </c:pt>
                <c:pt idx="3">
                  <c:v>0.17767290324860352</c:v>
                </c:pt>
                <c:pt idx="4">
                  <c:v>0.18598939046555926</c:v>
                </c:pt>
                <c:pt idx="5">
                  <c:v>0.19443546362157069</c:v>
                </c:pt>
                <c:pt idx="6">
                  <c:v>0.20299584667994972</c:v>
                </c:pt>
                <c:pt idx="7">
                  <c:v>0.21165438512722989</c:v>
                </c:pt>
                <c:pt idx="8">
                  <c:v>0.22039411760218997</c:v>
                </c:pt>
                <c:pt idx="9">
                  <c:v>0.22919733637076761</c:v>
                </c:pt>
                <c:pt idx="10">
                  <c:v>0.23804567108281907</c:v>
                </c:pt>
                <c:pt idx="11">
                  <c:v>0.24692016540610912</c:v>
                </c:pt>
                <c:pt idx="12">
                  <c:v>0.25580137703374822</c:v>
                </c:pt>
                <c:pt idx="13">
                  <c:v>0.26466945720032836</c:v>
                </c:pt>
                <c:pt idx="14">
                  <c:v>0.27350425666639033</c:v>
                </c:pt>
                <c:pt idx="15">
                  <c:v>0.2822854235380407</c:v>
                </c:pt>
                <c:pt idx="16">
                  <c:v>0.29099250297663204</c:v>
                </c:pt>
                <c:pt idx="17">
                  <c:v>0.29960504938541171</c:v>
                </c:pt>
                <c:pt idx="18">
                  <c:v>0.30810271822665902</c:v>
                </c:pt>
                <c:pt idx="19">
                  <c:v>0.31646538460087736</c:v>
                </c:pt>
                <c:pt idx="20">
                  <c:v>0.32467323410956361</c:v>
                </c:pt>
                <c:pt idx="21">
                  <c:v>0.33270687368393265</c:v>
                </c:pt>
                <c:pt idx="22">
                  <c:v>0.34054742004574334</c:v>
                </c:pt>
                <c:pt idx="23">
                  <c:v>0.3481766064977681</c:v>
                </c:pt>
                <c:pt idx="24">
                  <c:v>0.3555768607196545</c:v>
                </c:pt>
                <c:pt idx="25">
                  <c:v>0.36273139945703814</c:v>
                </c:pt>
                <c:pt idx="26">
                  <c:v>0.36962430205626179</c:v>
                </c:pt>
                <c:pt idx="27">
                  <c:v>0.37624058609392974</c:v>
                </c:pt>
                <c:pt idx="28">
                  <c:v>0.38256627142121125</c:v>
                </c:pt>
                <c:pt idx="29">
                  <c:v>0.38858844691077038</c:v>
                </c:pt>
                <c:pt idx="30">
                  <c:v>0.39429530856862338</c:v>
                </c:pt>
                <c:pt idx="31">
                  <c:v>0.39967621788902358</c:v>
                </c:pt>
                <c:pt idx="32">
                  <c:v>0.40472172773945347</c:v>
                </c:pt>
                <c:pt idx="33">
                  <c:v>0.40942361278739325</c:v>
                </c:pt>
                <c:pt idx="34">
                  <c:v>0.41377489161048575</c:v>
                </c:pt>
                <c:pt idx="35">
                  <c:v>0.41776983760800362</c:v>
                </c:pt>
                <c:pt idx="36">
                  <c:v>0.42140398060605205</c:v>
                </c:pt>
                <c:pt idx="37">
                  <c:v>0.42467410396934641</c:v>
                </c:pt>
                <c:pt idx="38">
                  <c:v>0.42757823432271702</c:v>
                </c:pt>
                <c:pt idx="39">
                  <c:v>0.43011562334894748</c:v>
                </c:pt>
                <c:pt idx="40">
                  <c:v>0.43228672546910374</c:v>
                </c:pt>
                <c:pt idx="41">
                  <c:v>0.43409315626516837</c:v>
                </c:pt>
                <c:pt idx="42">
                  <c:v>0.43553766691143386</c:v>
                </c:pt>
                <c:pt idx="43">
                  <c:v>0.43662410058908718</c:v>
                </c:pt>
                <c:pt idx="44">
                  <c:v>0.4373573347248278</c:v>
                </c:pt>
                <c:pt idx="45">
                  <c:v>0.43774324013372506</c:v>
                </c:pt>
                <c:pt idx="46">
                  <c:v>0.43741764658314541</c:v>
                </c:pt>
                <c:pt idx="47">
                  <c:v>0.43710854523871717</c:v>
                </c:pt>
                <c:pt idx="48">
                  <c:v>0.43645598619135723</c:v>
                </c:pt>
                <c:pt idx="49">
                  <c:v>0.43546916499329136</c:v>
                </c:pt>
                <c:pt idx="50">
                  <c:v>0.43415779710583191</c:v>
                </c:pt>
                <c:pt idx="51">
                  <c:v>0.43253206531315636</c:v>
                </c:pt>
                <c:pt idx="52">
                  <c:v>0.43060257213286834</c:v>
                </c:pt>
                <c:pt idx="53">
                  <c:v>0.42838028317483295</c:v>
                </c:pt>
                <c:pt idx="54">
                  <c:v>0.4258764820241725</c:v>
                </c:pt>
                <c:pt idx="55">
                  <c:v>0.42310271681672468</c:v>
                </c:pt>
                <c:pt idx="56">
                  <c:v>0.4200707565468767</c:v>
                </c:pt>
                <c:pt idx="57">
                  <c:v>0.41679253425815205</c:v>
                </c:pt>
                <c:pt idx="58">
                  <c:v>0.41328010397937531</c:v>
                </c:pt>
                <c:pt idx="59">
                  <c:v>0.40954560044012484</c:v>
                </c:pt>
                <c:pt idx="60">
                  <c:v>0.4056011880086241</c:v>
                </c:pt>
                <c:pt idx="61">
                  <c:v>0.40178312225718249</c:v>
                </c:pt>
                <c:pt idx="62">
                  <c:v>0.39746113019867602</c:v>
                </c:pt>
                <c:pt idx="63">
                  <c:v>0.3929773640691851</c:v>
                </c:pt>
                <c:pt idx="64">
                  <c:v>0.38834303973922613</c:v>
                </c:pt>
                <c:pt idx="65">
                  <c:v>0.38356933335723647</c:v>
                </c:pt>
                <c:pt idx="66">
                  <c:v>0.3786673347143153</c:v>
                </c:pt>
                <c:pt idx="67">
                  <c:v>0.37364801014604998</c:v>
                </c:pt>
                <c:pt idx="68">
                  <c:v>0.36852216132081594</c:v>
                </c:pt>
                <c:pt idx="69">
                  <c:v>0.36330039640606993</c:v>
                </c:pt>
                <c:pt idx="70">
                  <c:v>0.35799309440926474</c:v>
                </c:pt>
                <c:pt idx="71">
                  <c:v>0.35261038379525356</c:v>
                </c:pt>
                <c:pt idx="72">
                  <c:v>0.34716211386557777</c:v>
                </c:pt>
                <c:pt idx="73">
                  <c:v>0.34165783852903853</c:v>
                </c:pt>
                <c:pt idx="74">
                  <c:v>0.33610680206195664</c:v>
                </c:pt>
                <c:pt idx="75">
                  <c:v>0.33051791264823621</c:v>
                </c:pt>
                <c:pt idx="76">
                  <c:v>0.32489974612069439</c:v>
                </c:pt>
                <c:pt idx="77">
                  <c:v>0.31926052604066379</c:v>
                </c:pt>
                <c:pt idx="78">
                  <c:v>0.31360812188827153</c:v>
                </c:pt>
                <c:pt idx="79">
                  <c:v>0.30795004248491847</c:v>
                </c:pt>
                <c:pt idx="80">
                  <c:v>0.30229343609371823</c:v>
                </c:pt>
                <c:pt idx="81">
                  <c:v>0.29664508477464901</c:v>
                </c:pt>
                <c:pt idx="82">
                  <c:v>0.29101141040585105</c:v>
                </c:pt>
                <c:pt idx="83">
                  <c:v>0.28539847627229342</c:v>
                </c:pt>
                <c:pt idx="84">
                  <c:v>0.27981198790094419</c:v>
                </c:pt>
                <c:pt idx="85">
                  <c:v>0.27425730180284602</c:v>
                </c:pt>
                <c:pt idx="86">
                  <c:v>0.26873942986620725</c:v>
                </c:pt>
                <c:pt idx="87">
                  <c:v>0.2632630477148068</c:v>
                </c:pt>
                <c:pt idx="88">
                  <c:v>0.25783250087681692</c:v>
                </c:pt>
                <c:pt idx="89">
                  <c:v>0.25245181723700555</c:v>
                </c:pt>
                <c:pt idx="90">
                  <c:v>0.24712471125561686</c:v>
                </c:pt>
                <c:pt idx="91">
                  <c:v>0.24185460112700949</c:v>
                </c:pt>
                <c:pt idx="92">
                  <c:v>0.23664461006246945</c:v>
                </c:pt>
                <c:pt idx="93">
                  <c:v>0.23149758667373688</c:v>
                </c:pt>
                <c:pt idx="94">
                  <c:v>0.22641610719374347</c:v>
                </c:pt>
                <c:pt idx="95">
                  <c:v>0.22140249393115935</c:v>
                </c:pt>
                <c:pt idx="96">
                  <c:v>0.21645882104551115</c:v>
                </c:pt>
                <c:pt idx="97">
                  <c:v>0.21158692949483407</c:v>
                </c:pt>
                <c:pt idx="98">
                  <c:v>0.20678843660903254</c:v>
                </c:pt>
                <c:pt idx="99">
                  <c:v>0.2020647469568233</c:v>
                </c:pt>
                <c:pt idx="100">
                  <c:v>0.19741706491358352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3-4FCE-BBEF-EC4FCA2DF981}"/>
            </c:ext>
          </c:extLst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3-4FCE-BBEF-EC4FCA2DF981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-1.2975927050231928</c:v>
                </c:pt>
                <c:pt idx="1">
                  <c:v>-1.368320239705332</c:v>
                </c:pt>
                <c:pt idx="2">
                  <c:v>-1.4390477743874712</c:v>
                </c:pt>
                <c:pt idx="3">
                  <c:v>-1.5097753090696104</c:v>
                </c:pt>
                <c:pt idx="4">
                  <c:v>-1.5805028437517497</c:v>
                </c:pt>
                <c:pt idx="5">
                  <c:v>-1.6512303784338889</c:v>
                </c:pt>
                <c:pt idx="6">
                  <c:v>-1.7219579131160281</c:v>
                </c:pt>
                <c:pt idx="7">
                  <c:v>-1.7926854477981673</c:v>
                </c:pt>
                <c:pt idx="8">
                  <c:v>-1.8634129824803065</c:v>
                </c:pt>
                <c:pt idx="9">
                  <c:v>-1.9341405171624457</c:v>
                </c:pt>
                <c:pt idx="10">
                  <c:v>-2.0048680518445847</c:v>
                </c:pt>
                <c:pt idx="11">
                  <c:v>-2.0755955865267239</c:v>
                </c:pt>
                <c:pt idx="12">
                  <c:v>-2.1463231212088631</c:v>
                </c:pt>
                <c:pt idx="13">
                  <c:v>-2.2170506558910024</c:v>
                </c:pt>
                <c:pt idx="14">
                  <c:v>-2.2877781905731416</c:v>
                </c:pt>
                <c:pt idx="15">
                  <c:v>-2.3585057252552808</c:v>
                </c:pt>
                <c:pt idx="16">
                  <c:v>-2.42923325993742</c:v>
                </c:pt>
                <c:pt idx="17">
                  <c:v>-2.4999607946195592</c:v>
                </c:pt>
                <c:pt idx="18">
                  <c:v>-2.5706883293016984</c:v>
                </c:pt>
                <c:pt idx="19">
                  <c:v>-2.6414158639838377</c:v>
                </c:pt>
                <c:pt idx="20">
                  <c:v>-2.7121433986659769</c:v>
                </c:pt>
                <c:pt idx="21">
                  <c:v>-2.7828709333481161</c:v>
                </c:pt>
                <c:pt idx="22">
                  <c:v>-2.8535984680302553</c:v>
                </c:pt>
                <c:pt idx="23">
                  <c:v>-2.9243260027123945</c:v>
                </c:pt>
                <c:pt idx="24">
                  <c:v>-2.9950535373945337</c:v>
                </c:pt>
                <c:pt idx="25">
                  <c:v>-3.0657810720766729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0.15363946570104131</c:v>
                </c:pt>
                <c:pt idx="1">
                  <c:v>0.13366447011356211</c:v>
                </c:pt>
                <c:pt idx="2">
                  <c:v>0.11431832712777067</c:v>
                </c:pt>
                <c:pt idx="3">
                  <c:v>9.5946916972986046E-2</c:v>
                </c:pt>
                <c:pt idx="4">
                  <c:v>7.8864441408454583E-2</c:v>
                </c:pt>
                <c:pt idx="5">
                  <c:v>6.3336958874714522E-2</c:v>
                </c:pt>
                <c:pt idx="6">
                  <c:v>4.9567348608406316E-2</c:v>
                </c:pt>
                <c:pt idx="7">
                  <c:v>3.7683249590820096E-2</c:v>
                </c:pt>
                <c:pt idx="8">
                  <c:v>2.7729542244393605E-2</c:v>
                </c:pt>
                <c:pt idx="9">
                  <c:v>1.9666745144905805E-2</c:v>
                </c:pt>
                <c:pt idx="10">
                  <c:v>1.3376237190825695E-2</c:v>
                </c:pt>
                <c:pt idx="11">
                  <c:v>8.6724753641248768E-3</c:v>
                </c:pt>
                <c:pt idx="12">
                  <c:v>5.3214072621261743E-3</c:v>
                </c:pt>
                <c:pt idx="13">
                  <c:v>3.0632041893545866E-3</c:v>
                </c:pt>
                <c:pt idx="14">
                  <c:v>1.6364786429168381E-3</c:v>
                </c:pt>
                <c:pt idx="15">
                  <c:v>8.0057507049855815E-4</c:v>
                </c:pt>
                <c:pt idx="16">
                  <c:v>3.5260641685683274E-4</c:v>
                </c:pt>
                <c:pt idx="17">
                  <c:v>1.3681100969525664E-4</c:v>
                </c:pt>
                <c:pt idx="18">
                  <c:v>4.5448106110440329E-5</c:v>
                </c:pt>
                <c:pt idx="19">
                  <c:v>1.244206966122376E-5</c:v>
                </c:pt>
                <c:pt idx="20">
                  <c:v>2.6633503893037237E-6</c:v>
                </c:pt>
                <c:pt idx="21">
                  <c:v>4.1367111466452322E-7</c:v>
                </c:pt>
                <c:pt idx="22">
                  <c:v>4.1730539151326857E-8</c:v>
                </c:pt>
                <c:pt idx="23">
                  <c:v>2.299727269081142E-9</c:v>
                </c:pt>
                <c:pt idx="24">
                  <c:v>5.1824234556750309E-11</c:v>
                </c:pt>
                <c:pt idx="25">
                  <c:v>2.7995207484119927E-13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3-4FCE-BBEF-EC4FCA2DF981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1.0599917843814457</c:v>
                </c:pt>
                <c:pt idx="1">
                  <c:v>1.2957502333219095</c:v>
                </c:pt>
                <c:pt idx="2">
                  <c:v>1.5315086822623734</c:v>
                </c:pt>
                <c:pt idx="3">
                  <c:v>1.7672671312028372</c:v>
                </c:pt>
                <c:pt idx="4">
                  <c:v>2.003025580143301</c:v>
                </c:pt>
                <c:pt idx="5">
                  <c:v>2.2387840290837651</c:v>
                </c:pt>
                <c:pt idx="6">
                  <c:v>2.4745424780242291</c:v>
                </c:pt>
                <c:pt idx="7">
                  <c:v>2.7103009269646932</c:v>
                </c:pt>
                <c:pt idx="8">
                  <c:v>2.9460593759051572</c:v>
                </c:pt>
                <c:pt idx="9">
                  <c:v>3.1818178248456213</c:v>
                </c:pt>
                <c:pt idx="10">
                  <c:v>3.4175762737860853</c:v>
                </c:pt>
                <c:pt idx="11">
                  <c:v>3.6533347227265494</c:v>
                </c:pt>
                <c:pt idx="12">
                  <c:v>3.8890931716670134</c:v>
                </c:pt>
                <c:pt idx="13">
                  <c:v>4.124851620607477</c:v>
                </c:pt>
                <c:pt idx="14">
                  <c:v>4.3606100695479411</c:v>
                </c:pt>
                <c:pt idx="15">
                  <c:v>4.5963685184884051</c:v>
                </c:pt>
                <c:pt idx="16">
                  <c:v>4.8321269674288692</c:v>
                </c:pt>
                <c:pt idx="17">
                  <c:v>5.0678854163693332</c:v>
                </c:pt>
                <c:pt idx="18">
                  <c:v>5.3036438653097973</c:v>
                </c:pt>
                <c:pt idx="19">
                  <c:v>5.5394023142502613</c:v>
                </c:pt>
                <c:pt idx="20">
                  <c:v>5.7751607631907254</c:v>
                </c:pt>
                <c:pt idx="21">
                  <c:v>6.0109192121311894</c:v>
                </c:pt>
                <c:pt idx="22">
                  <c:v>6.2466776610716535</c:v>
                </c:pt>
                <c:pt idx="23">
                  <c:v>6.4824361100121175</c:v>
                </c:pt>
                <c:pt idx="24">
                  <c:v>6.7181945589525816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0.19741706491358352</c:v>
                </c:pt>
                <c:pt idx="1">
                  <c:v>0.16689307075367063</c:v>
                </c:pt>
                <c:pt idx="2">
                  <c:v>0.13926032763360063</c:v>
                </c:pt>
                <c:pt idx="3">
                  <c:v>0.11495321736800003</c:v>
                </c:pt>
                <c:pt idx="4">
                  <c:v>9.4041281628109166E-2</c:v>
                </c:pt>
                <c:pt idx="5">
                  <c:v>7.6363011768053893E-2</c:v>
                </c:pt>
                <c:pt idx="6">
                  <c:v>6.1626689401947272E-2</c:v>
                </c:pt>
                <c:pt idx="7">
                  <c:v>4.9481334467987852E-2</c:v>
                </c:pt>
                <c:pt idx="8">
                  <c:v>3.9563408328815934E-2</c:v>
                </c:pt>
                <c:pt idx="9">
                  <c:v>3.1525277594716086E-2</c:v>
                </c:pt>
                <c:pt idx="10">
                  <c:v>2.5050749783662059E-2</c:v>
                </c:pt>
                <c:pt idx="11">
                  <c:v>1.9861931765008965E-2</c:v>
                </c:pt>
                <c:pt idx="12">
                  <c:v>1.5720592844552791E-2</c:v>
                </c:pt>
                <c:pt idx="13">
                  <c:v>1.2426292951370927E-2</c:v>
                </c:pt>
                <c:pt idx="14">
                  <c:v>9.812809113047832E-3</c:v>
                </c:pt>
                <c:pt idx="15">
                  <c:v>7.7438525621764875E-3</c:v>
                </c:pt>
                <c:pt idx="16">
                  <c:v>6.1086847554401233E-3</c:v>
                </c:pt>
                <c:pt idx="17">
                  <c:v>4.8179785922144308E-3</c:v>
                </c:pt>
                <c:pt idx="18">
                  <c:v>3.8000992637722969E-3</c:v>
                </c:pt>
                <c:pt idx="19">
                  <c:v>2.9978711967762572E-3</c:v>
                </c:pt>
                <c:pt idx="20">
                  <c:v>2.3658333015532111E-3</c:v>
                </c:pt>
                <c:pt idx="21">
                  <c:v>1.8679494050782509E-3</c:v>
                </c:pt>
                <c:pt idx="22">
                  <c:v>1.4757238840861497E-3</c:v>
                </c:pt>
                <c:pt idx="23">
                  <c:v>1.1666669510656089E-3</c:v>
                </c:pt>
                <c:pt idx="24">
                  <c:v>9.2305501764179752E-4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3-4FCE-BBEF-EC4FCA2D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36672"/>
        <c:axId val="1"/>
      </c:scatterChart>
      <c:valAx>
        <c:axId val="19423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5284697508896787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81675392670157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36672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2918149466192165"/>
          <c:y val="0.95942408376963362"/>
          <c:w val="0.40124555160142344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6" fmlaLink="$W$6" fmlaRange="$W$2:$W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76200</xdr:rowOff>
    </xdr:from>
    <xdr:to>
      <xdr:col>7</xdr:col>
      <xdr:colOff>327660</xdr:colOff>
      <xdr:row>25</xdr:row>
      <xdr:rowOff>137160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579120</xdr:colOff>
          <xdr:row>3</xdr:row>
          <xdr:rowOff>38100</xdr:rowOff>
        </xdr:from>
        <xdr:to>
          <xdr:col>13</xdr:col>
          <xdr:colOff>579120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22860</xdr:rowOff>
        </xdr:from>
        <xdr:to>
          <xdr:col>5</xdr:col>
          <xdr:colOff>556260</xdr:colOff>
          <xdr:row>4</xdr:row>
          <xdr:rowOff>60960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0.46125</cdr:x>
      <cdr:y>0.161</cdr:y>
    </cdr:from>
    <cdr:to>
      <cdr:x>0.62225</cdr:x>
      <cdr:y>0.195</cdr:y>
    </cdr:to>
    <cdr:sp macro="" textlink="VolSkew!$R$2">
      <cdr:nvSpPr>
        <cdr:cNvPr id="81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50551" y="937290"/>
          <a:ext cx="1378946" cy="1979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D251652D-E290-45A8-91F2-481E1ECC76EA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H17" sqref="H17"/>
    </sheetView>
  </sheetViews>
  <sheetFormatPr defaultRowHeight="13.2" x14ac:dyDescent="0.25"/>
  <cols>
    <col min="1" max="1" width="4.109375" customWidth="1"/>
    <col min="3" max="3" width="10.44140625" customWidth="1"/>
    <col min="15" max="15" width="2.33203125" customWidth="1"/>
  </cols>
  <sheetData>
    <row r="1" spans="1:33" ht="17.399999999999999" x14ac:dyDescent="0.3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"/>
      <c r="M1" s="1"/>
      <c r="N1" s="1"/>
      <c r="O1" s="11"/>
      <c r="P1" s="1"/>
      <c r="R1" t="str">
        <f>TEXT(Contract,"mmm-yy") &amp; IF(Commodity="NG"," Natural Gas"," Nymex") &amp; " Price Distributions"</f>
        <v>Oct-01 Natural Gas Price Distributions</v>
      </c>
    </row>
    <row r="2" spans="1:33" x14ac:dyDescent="0.25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VLOOKUP(0,ImpVolTable,2)</f>
        <v>0.51695810061000003</v>
      </c>
      <c r="L2" s="1"/>
      <c r="M2" s="1"/>
      <c r="N2" s="1"/>
      <c r="O2" s="11"/>
      <c r="P2" s="1"/>
      <c r="Q2" s="65"/>
      <c r="R2" t="str">
        <f>INDEX(W2:W5,W6,0) &amp; "-order polynomial"</f>
        <v>Third-order polynomial</v>
      </c>
      <c r="W2" t="s">
        <v>13</v>
      </c>
    </row>
    <row r="3" spans="1:33" ht="13.8" x14ac:dyDescent="0.25">
      <c r="A3" s="1"/>
      <c r="B3" s="68" t="s">
        <v>2</v>
      </c>
      <c r="C3" s="25">
        <v>37012</v>
      </c>
      <c r="D3" s="11"/>
      <c r="E3" s="26" t="s">
        <v>11</v>
      </c>
      <c r="F3" s="11"/>
      <c r="G3" s="11"/>
      <c r="H3" s="27"/>
      <c r="I3" s="13"/>
      <c r="J3" s="15" t="s">
        <v>61</v>
      </c>
      <c r="K3" s="16">
        <v>0.52500000000000002</v>
      </c>
      <c r="L3" s="1"/>
      <c r="M3" s="1"/>
      <c r="N3" s="1"/>
      <c r="O3" s="11"/>
      <c r="P3" s="11"/>
      <c r="W3" t="s">
        <v>14</v>
      </c>
    </row>
    <row r="4" spans="1:33" x14ac:dyDescent="0.25">
      <c r="A4" s="1"/>
      <c r="B4" s="68" t="s">
        <v>3</v>
      </c>
      <c r="C4" s="25">
        <f>VLOOKUP(Contract,ExpiryTable,MATCH(Commodity,expiry!C2:E2)+2)</f>
        <v>37159</v>
      </c>
      <c r="D4" s="11"/>
      <c r="E4" s="11"/>
      <c r="F4" s="11"/>
      <c r="G4" s="11"/>
      <c r="H4" s="28"/>
      <c r="I4" s="13"/>
      <c r="J4" s="68" t="s">
        <v>59</v>
      </c>
      <c r="K4" s="72" t="s">
        <v>56</v>
      </c>
      <c r="L4" s="1"/>
      <c r="M4" s="1"/>
      <c r="N4" s="1"/>
      <c r="O4" s="11"/>
      <c r="P4" s="11"/>
      <c r="W4" t="s">
        <v>15</v>
      </c>
    </row>
    <row r="5" spans="1:33" x14ac:dyDescent="0.25">
      <c r="A5" s="1"/>
      <c r="B5" s="68" t="s">
        <v>4</v>
      </c>
      <c r="C5" s="109">
        <v>4.8449999999999998</v>
      </c>
      <c r="D5" s="11"/>
      <c r="E5" s="11"/>
      <c r="F5" s="11"/>
      <c r="G5" s="11"/>
      <c r="H5" s="29"/>
      <c r="I5" s="17"/>
      <c r="J5" s="69" t="s">
        <v>54</v>
      </c>
      <c r="K5" s="73">
        <v>37165</v>
      </c>
      <c r="L5" s="11"/>
      <c r="M5" s="11"/>
      <c r="N5" s="11"/>
      <c r="O5" s="1"/>
      <c r="P5" s="11"/>
      <c r="W5" t="s">
        <v>31</v>
      </c>
    </row>
    <row r="6" spans="1:33" x14ac:dyDescent="0.25">
      <c r="A6" s="1"/>
      <c r="B6" s="68" t="s">
        <v>5</v>
      </c>
      <c r="C6" s="30">
        <v>4.3099999999999999E-2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W6">
        <v>2</v>
      </c>
    </row>
    <row r="7" spans="1:33" x14ac:dyDescent="0.25">
      <c r="A7" s="1"/>
      <c r="B7" s="70" t="s">
        <v>33</v>
      </c>
      <c r="C7" s="30">
        <v>4.3099999999999999E-2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6.4" x14ac:dyDescent="0.25">
      <c r="A8" s="1"/>
      <c r="B8" s="4" t="s">
        <v>10</v>
      </c>
      <c r="C8" s="5"/>
      <c r="D8" s="5"/>
      <c r="E8" s="5"/>
      <c r="F8" s="5"/>
      <c r="G8" s="6"/>
      <c r="H8" s="3"/>
      <c r="I8" s="17"/>
      <c r="J8" s="18" t="s">
        <v>1</v>
      </c>
      <c r="K8" s="18" t="s">
        <v>0</v>
      </c>
      <c r="L8" s="18" t="s">
        <v>6</v>
      </c>
      <c r="M8" s="19" t="s">
        <v>7</v>
      </c>
      <c r="N8" s="19" t="s">
        <v>8</v>
      </c>
      <c r="O8" s="11"/>
      <c r="P8" s="1"/>
    </row>
    <row r="9" spans="1:33" x14ac:dyDescent="0.25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17"/>
      <c r="J9" s="20">
        <v>0.50800000000000001</v>
      </c>
      <c r="K9" s="20">
        <v>5.15</v>
      </c>
      <c r="L9" s="20">
        <v>1</v>
      </c>
      <c r="M9" s="21">
        <f>IF(J9,(K9/UnderlyingPrice-1),"")</f>
        <v>6.2951496388029105E-2</v>
      </c>
      <c r="N9" s="21">
        <f>IF(J9,_xll.IMPVOLAB(J9,UnderlyingPrice,K9,IntRate,Yield,100,Expiry-Today,L9,100,0.0001),"")</f>
        <v>0.52216900859553628</v>
      </c>
      <c r="O9" s="11"/>
      <c r="P9" s="11"/>
      <c r="Q9" t="s">
        <v>117</v>
      </c>
      <c r="R9">
        <v>3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52</v>
      </c>
      <c r="AD9">
        <v>2</v>
      </c>
      <c r="AE9" s="23">
        <v>3</v>
      </c>
      <c r="AF9">
        <v>4</v>
      </c>
      <c r="AG9">
        <v>5</v>
      </c>
    </row>
    <row r="10" spans="1:33" x14ac:dyDescent="0.25">
      <c r="A10" s="1"/>
      <c r="B10" s="8">
        <f t="shared" ref="B10:G10" ca="1" si="0">VLOOKUP(B9,ImpVolTable,2)-ATMImpVol</f>
        <v>8.2210118999999082E-3</v>
      </c>
      <c r="C10" s="8">
        <f t="shared" ca="1" si="0"/>
        <v>-1.6899140000004031E-4</v>
      </c>
      <c r="D10" s="8">
        <f t="shared" ca="1" si="0"/>
        <v>-2.5721087000001308E-3</v>
      </c>
      <c r="E10" s="8">
        <f t="shared" ca="1" si="0"/>
        <v>6.5356746999999382E-3</v>
      </c>
      <c r="F10" s="8">
        <f t="shared" ca="1" si="0"/>
        <v>1.6023255400000047E-2</v>
      </c>
      <c r="G10" s="8">
        <f t="shared" ca="1" si="0"/>
        <v>2.7451082100000024E-2</v>
      </c>
      <c r="H10" s="3"/>
      <c r="I10" s="17"/>
      <c r="J10" s="20">
        <v>0.43099999999999999</v>
      </c>
      <c r="K10" s="20">
        <v>5.4</v>
      </c>
      <c r="L10" s="20">
        <v>1</v>
      </c>
      <c r="M10" s="21">
        <f t="shared" ref="M10:M26" si="1">IF(J10,(K10/UnderlyingPrice-1),"")</f>
        <v>0.11455108359133148</v>
      </c>
      <c r="N10" s="21">
        <f>IF(J10,_xll.IMPVOLAB(J10,UnderlyingPrice,K10,IntRate,Yield,100,Expiry-Today,L10,100,0.0001),"")</f>
        <v>0.52558496451568437</v>
      </c>
      <c r="O10" s="11"/>
      <c r="P10" s="11"/>
      <c r="Q10" t="s">
        <v>118</v>
      </c>
      <c r="R10">
        <v>4</v>
      </c>
      <c r="W10" s="33" t="s">
        <v>21</v>
      </c>
      <c r="X10" s="34">
        <f>+VALUE(CONCATENATE(AC17,AD17))</f>
        <v>0.51781999999999995</v>
      </c>
      <c r="Y10" s="34">
        <f>+VALUE(CONCATENATE(AF18,AG18))</f>
        <v>0.51744999999999997</v>
      </c>
      <c r="Z10" s="34">
        <f>+VALUE(CONCATENATE(AI19,AJ19))</f>
        <v>0.51602000000000003</v>
      </c>
      <c r="AA10" s="34">
        <f>+VALUE(CONCATENATE(AL20,AM20))</f>
        <v>0.51588999999999996</v>
      </c>
      <c r="AC10" s="33" t="s">
        <v>21</v>
      </c>
      <c r="AD10" s="34">
        <f>+X12*2</f>
        <v>0.39523999999999998</v>
      </c>
      <c r="AE10" s="34">
        <f>+Y12*2</f>
        <v>0.38624000000000003</v>
      </c>
      <c r="AF10" s="34">
        <f>+Z12*2</f>
        <v>0.60638000000000003</v>
      </c>
      <c r="AG10" s="34">
        <f>+AA12*2</f>
        <v>0.58886000000000005</v>
      </c>
    </row>
    <row r="11" spans="1:33" x14ac:dyDescent="0.25">
      <c r="A11" s="1"/>
      <c r="B11" s="9"/>
      <c r="C11" s="10"/>
      <c r="D11" s="3"/>
      <c r="E11" s="3"/>
      <c r="F11" s="3"/>
      <c r="G11" s="3"/>
      <c r="H11" s="3"/>
      <c r="I11" s="17"/>
      <c r="J11" s="20">
        <v>0.40400000000000003</v>
      </c>
      <c r="K11" s="20">
        <v>5.5</v>
      </c>
      <c r="L11" s="20">
        <v>1</v>
      </c>
      <c r="M11" s="21">
        <f t="shared" si="1"/>
        <v>0.1351909184726523</v>
      </c>
      <c r="N11" s="21">
        <f>IF(J11,_xll.IMPVOLAB(J11,UnderlyingPrice,K11,IntRate,Yield,100,Expiry-Today,L11,100,0.0001),"")</f>
        <v>0.52933534764034473</v>
      </c>
      <c r="O11" s="11"/>
      <c r="P11" s="11"/>
      <c r="Q11" t="s">
        <v>119</v>
      </c>
      <c r="R11">
        <v>4.5</v>
      </c>
      <c r="W11" s="33" t="s">
        <v>22</v>
      </c>
      <c r="X11" s="34">
        <f>+VALUE(CONCATENATE(AA17,AB17))</f>
        <v>3.5609000000000002E-2</v>
      </c>
      <c r="Y11" s="34">
        <f>+VALUE(CONCATENATE(AD18,AE18))</f>
        <v>5.1138000000000003E-2</v>
      </c>
      <c r="Z11" s="34">
        <f>+VALUE(CONCATENATE(AG19,AH19))</f>
        <v>5.3053999999999997E-2</v>
      </c>
      <c r="AA11" s="34">
        <f>+VALUE(CONCATENATE(AJ20,AK20))</f>
        <v>6.3214000000000006E-2</v>
      </c>
      <c r="AC11" s="33" t="s">
        <v>22</v>
      </c>
      <c r="AE11" s="34">
        <f>+Y13*6</f>
        <v>-1.01166</v>
      </c>
      <c r="AF11" s="34">
        <f>+Z13*6</f>
        <v>-1.33938</v>
      </c>
      <c r="AG11" s="34">
        <f>+AA13*6</f>
        <v>-3.3975</v>
      </c>
    </row>
    <row r="12" spans="1:33" x14ac:dyDescent="0.25">
      <c r="A12" s="1"/>
      <c r="B12" s="11"/>
      <c r="C12" s="12"/>
      <c r="D12" s="12"/>
      <c r="E12" s="12"/>
      <c r="F12" s="12"/>
      <c r="G12" s="12"/>
      <c r="H12" s="12"/>
      <c r="I12" s="17"/>
      <c r="J12" s="20">
        <v>0.34399999999999997</v>
      </c>
      <c r="K12" s="20">
        <v>5.75</v>
      </c>
      <c r="L12" s="20">
        <v>1</v>
      </c>
      <c r="M12" s="21">
        <f t="shared" si="1"/>
        <v>0.18679050567595468</v>
      </c>
      <c r="N12" s="21">
        <f>IF(J12,_xll.IMPVOLAB(J12,UnderlyingPrice,K12,IntRate,Yield,100,Expiry-Today,L12,100,0.0001),"")</f>
        <v>0.53367692921051058</v>
      </c>
      <c r="O12" s="11"/>
      <c r="P12" s="11"/>
      <c r="Q12" t="s">
        <v>120</v>
      </c>
      <c r="R12">
        <v>4.75</v>
      </c>
      <c r="W12" s="33" t="s">
        <v>23</v>
      </c>
      <c r="X12" s="34">
        <f>+Y17</f>
        <v>0.19761999999999999</v>
      </c>
      <c r="Y12" s="34">
        <f>+VALUE(CONCATENATE(AA18,AB18))</f>
        <v>0.19312000000000001</v>
      </c>
      <c r="Z12" s="34">
        <f>+VALUE(CONCATENATE(AD19,AE19))</f>
        <v>0.30319000000000002</v>
      </c>
      <c r="AA12" s="34">
        <f>+VALUE(CONCATENATE(AG20,AH20))</f>
        <v>0.29443000000000003</v>
      </c>
      <c r="AC12" s="33" t="s">
        <v>23</v>
      </c>
      <c r="AE12" s="34"/>
      <c r="AF12" s="34">
        <f>12*Z14</f>
        <v>-10.454280000000001</v>
      </c>
      <c r="AG12" s="34">
        <f>12*AA14</f>
        <v>-8.6377199999999998</v>
      </c>
    </row>
    <row r="13" spans="1:33" x14ac:dyDescent="0.25">
      <c r="A13" s="1"/>
      <c r="B13" s="9"/>
      <c r="C13" s="1"/>
      <c r="D13" s="1"/>
      <c r="E13" s="1"/>
      <c r="F13" s="1"/>
      <c r="G13" s="1"/>
      <c r="H13" s="1"/>
      <c r="I13" s="17"/>
      <c r="J13" s="20">
        <v>0.29199999999999998</v>
      </c>
      <c r="K13" s="20">
        <v>6</v>
      </c>
      <c r="L13" s="20">
        <v>1</v>
      </c>
      <c r="M13" s="21">
        <f t="shared" si="1"/>
        <v>0.23839009287925705</v>
      </c>
      <c r="N13" s="21">
        <f>IF(J13,_xll.IMPVOLAB(J13,UnderlyingPrice,K13,IntRate,Yield,100,Expiry-Today,L13,100,0.0001),"")</f>
        <v>0.53973952729036312</v>
      </c>
      <c r="O13" s="11"/>
      <c r="P13" s="11"/>
      <c r="Q13" t="s">
        <v>121</v>
      </c>
      <c r="R13">
        <v>5</v>
      </c>
      <c r="W13" s="33" t="s">
        <v>24</v>
      </c>
      <c r="X13" s="34"/>
      <c r="Y13" s="34">
        <f>+Y18</f>
        <v>-0.16861000000000001</v>
      </c>
      <c r="Z13" s="34">
        <f>+VALUE(CONCATENATE(AA19,AB19))</f>
        <v>-0.22323000000000001</v>
      </c>
      <c r="AA13" s="34">
        <f>VALUE(CONCATENATE(AD20,AE20))</f>
        <v>-0.56625000000000003</v>
      </c>
      <c r="AC13" s="33" t="s">
        <v>24</v>
      </c>
      <c r="AE13" s="34"/>
      <c r="AF13" s="34"/>
      <c r="AG13">
        <f>+AA15*20</f>
        <v>42.972000000000001</v>
      </c>
    </row>
    <row r="14" spans="1:33" x14ac:dyDescent="0.25">
      <c r="A14" s="1"/>
      <c r="B14" s="11"/>
      <c r="C14" s="1"/>
      <c r="D14" s="1"/>
      <c r="E14" s="1"/>
      <c r="F14" s="1"/>
      <c r="G14" s="1"/>
      <c r="H14" s="1"/>
      <c r="I14" s="17"/>
      <c r="J14" s="20">
        <v>0.249</v>
      </c>
      <c r="K14" s="20">
        <v>6.25</v>
      </c>
      <c r="L14" s="20">
        <v>1</v>
      </c>
      <c r="M14" s="21">
        <f t="shared" si="1"/>
        <v>0.28998968008255943</v>
      </c>
      <c r="N14" s="21">
        <f>IF(J14,_xll.IMPVOLAB(J14,UnderlyingPrice,K14,IntRate,Yield,100,Expiry-Today,L14,100,0.0001),"")</f>
        <v>0.54375158744185936</v>
      </c>
      <c r="O14" s="11"/>
      <c r="P14" s="11"/>
      <c r="Q14" t="s">
        <v>122</v>
      </c>
      <c r="R14">
        <v>5.4</v>
      </c>
      <c r="W14" s="33" t="s">
        <v>25</v>
      </c>
      <c r="X14" s="23"/>
      <c r="Z14" s="34">
        <f>+Y19</f>
        <v>-0.87119000000000002</v>
      </c>
      <c r="AA14" s="34">
        <f>+VALUE(CONCATENATE(AA20,AB20))</f>
        <v>-0.71980999999999995</v>
      </c>
    </row>
    <row r="15" spans="1:33" x14ac:dyDescent="0.25">
      <c r="A15" s="1"/>
      <c r="B15" s="9"/>
      <c r="C15" s="1"/>
      <c r="D15" s="1"/>
      <c r="E15" s="1"/>
      <c r="F15" s="1"/>
      <c r="G15" s="1"/>
      <c r="H15" s="1"/>
      <c r="I15" s="17"/>
      <c r="J15" s="20">
        <v>0.21299999999999999</v>
      </c>
      <c r="K15" s="20">
        <v>6.5</v>
      </c>
      <c r="L15" s="20">
        <v>1</v>
      </c>
      <c r="M15" s="21">
        <f t="shared" si="1"/>
        <v>0.34158926728586181</v>
      </c>
      <c r="N15" s="21">
        <f>IF(J15,_xll.IMPVOLAB(J15,UnderlyingPrice,K15,IntRate,Yield,100,Expiry-Today,L15,100,0.0001),"")</f>
        <v>0.54976871822942786</v>
      </c>
      <c r="O15" s="11"/>
      <c r="P15" s="11"/>
      <c r="W15" s="33" t="s">
        <v>32</v>
      </c>
      <c r="AA15" s="34">
        <f>+Y20</f>
        <v>2.1486000000000001</v>
      </c>
    </row>
    <row r="16" spans="1:33" x14ac:dyDescent="0.25">
      <c r="A16" s="1"/>
      <c r="B16" s="9"/>
      <c r="C16" s="1"/>
      <c r="D16" s="1"/>
      <c r="E16" s="1"/>
      <c r="F16" s="1"/>
      <c r="G16" s="1"/>
      <c r="H16" s="1"/>
      <c r="I16" s="17"/>
      <c r="J16" s="20">
        <v>4.3999999999999997E-2</v>
      </c>
      <c r="K16" s="20">
        <v>3</v>
      </c>
      <c r="L16" s="20">
        <v>0</v>
      </c>
      <c r="M16" s="21">
        <f t="shared" si="1"/>
        <v>-0.38080495356037147</v>
      </c>
      <c r="N16" s="21">
        <f>IF(J16,_xll.IMPVOLAB(J16,UnderlyingPrice,K16,IntRate,Yield,100,Expiry-Today,L16,100,0.0001),"")</f>
        <v>0.53360099989488174</v>
      </c>
      <c r="O16" s="11"/>
      <c r="P16" s="1"/>
    </row>
    <row r="17" spans="1:44" x14ac:dyDescent="0.25">
      <c r="A17" s="1"/>
      <c r="B17" s="9"/>
      <c r="C17" s="1"/>
      <c r="D17" s="1"/>
      <c r="E17" s="1"/>
      <c r="F17" s="1"/>
      <c r="G17" s="1"/>
      <c r="H17" s="1"/>
      <c r="I17" s="17"/>
      <c r="J17" s="20">
        <v>0.24399999999999999</v>
      </c>
      <c r="K17" s="20">
        <v>4</v>
      </c>
      <c r="L17" s="20">
        <v>0</v>
      </c>
      <c r="M17" s="21">
        <f t="shared" si="1"/>
        <v>-0.17440660474716196</v>
      </c>
      <c r="N17" s="21">
        <f>IF(J17,_xll.IMPVOLAB(J17,UnderlyingPrice,K17,IntRate,Yield,100,Expiry-Today,L17,100,0.0001),"")</f>
        <v>0.51725442008969025</v>
      </c>
      <c r="O17" s="11"/>
      <c r="P17" s="1"/>
      <c r="W17" s="37" t="s">
        <v>16</v>
      </c>
      <c r="X17" t="s">
        <v>17</v>
      </c>
      <c r="Y17" s="38">
        <v>0.19761999999999999</v>
      </c>
      <c r="Z17">
        <v>2</v>
      </c>
      <c r="AA17" t="s">
        <v>19</v>
      </c>
      <c r="AB17" s="38">
        <v>3.5609000000000002E-2</v>
      </c>
      <c r="AC17" t="s">
        <v>19</v>
      </c>
      <c r="AD17" s="38">
        <v>0.51781999999999995</v>
      </c>
    </row>
    <row r="18" spans="1:44" x14ac:dyDescent="0.25">
      <c r="A18" s="1"/>
      <c r="B18" s="11"/>
      <c r="C18" s="1"/>
      <c r="D18" s="1"/>
      <c r="E18" s="1"/>
      <c r="F18" s="1"/>
      <c r="G18" s="1"/>
      <c r="H18" s="1"/>
      <c r="I18" s="17"/>
      <c r="J18" s="20">
        <v>0.44</v>
      </c>
      <c r="K18" s="20">
        <v>4.5</v>
      </c>
      <c r="L18" s="20">
        <v>0</v>
      </c>
      <c r="M18" s="21">
        <f t="shared" si="1"/>
        <v>-7.120743034055721E-2</v>
      </c>
      <c r="N18" s="21">
        <f>IF(J18,_xll.IMPVOLAB(J18,UnderlyingPrice,K18,IntRate,Yield,100,Expiry-Today,L18,100,0.0001),"")</f>
        <v>0.51274829398997646</v>
      </c>
      <c r="O18" s="1"/>
      <c r="P18" s="11"/>
      <c r="W18" s="37" t="s">
        <v>16</v>
      </c>
      <c r="X18" t="s">
        <v>17</v>
      </c>
      <c r="Y18" s="38">
        <v>-0.16861000000000001</v>
      </c>
      <c r="Z18">
        <v>3</v>
      </c>
      <c r="AA18" t="s">
        <v>19</v>
      </c>
      <c r="AB18" s="38">
        <v>0.19312000000000001</v>
      </c>
      <c r="AC18">
        <v>2</v>
      </c>
      <c r="AD18" t="s">
        <v>19</v>
      </c>
      <c r="AE18" s="38">
        <v>5.1138000000000003E-2</v>
      </c>
      <c r="AF18" t="s">
        <v>19</v>
      </c>
      <c r="AG18" s="38">
        <v>0.51744999999999997</v>
      </c>
    </row>
    <row r="19" spans="1:44" x14ac:dyDescent="0.25">
      <c r="A19" s="1"/>
      <c r="B19" s="9"/>
      <c r="C19" s="1"/>
      <c r="D19" s="1"/>
      <c r="E19" s="1"/>
      <c r="F19" s="1"/>
      <c r="G19" s="1"/>
      <c r="H19" s="1"/>
      <c r="I19" s="17"/>
      <c r="J19" s="20">
        <v>0.56699999999999995</v>
      </c>
      <c r="K19" s="20">
        <v>4.75</v>
      </c>
      <c r="L19" s="20">
        <v>0</v>
      </c>
      <c r="M19" s="21">
        <f t="shared" si="1"/>
        <v>-1.9607843137254832E-2</v>
      </c>
      <c r="N19" s="21">
        <f>IF(J19,_xll.IMPVOLAB(J19,UnderlyingPrice,K19,IntRate,Yield,100,Expiry-Today,L19,100,0.0001),"")</f>
        <v>0.51319831598899668</v>
      </c>
      <c r="O19" s="1"/>
      <c r="P19" s="11"/>
      <c r="W19" s="37" t="s">
        <v>16</v>
      </c>
      <c r="X19" t="s">
        <v>17</v>
      </c>
      <c r="Y19" s="38">
        <v>-0.87119000000000002</v>
      </c>
      <c r="Z19">
        <v>4</v>
      </c>
      <c r="AA19" t="s">
        <v>18</v>
      </c>
      <c r="AB19" s="38">
        <v>0.22323000000000001</v>
      </c>
      <c r="AC19">
        <v>3</v>
      </c>
      <c r="AD19" t="s">
        <v>19</v>
      </c>
      <c r="AE19" s="38">
        <v>0.30319000000000002</v>
      </c>
      <c r="AF19">
        <v>2</v>
      </c>
      <c r="AG19" t="s">
        <v>19</v>
      </c>
      <c r="AH19" s="38">
        <v>5.3053999999999997E-2</v>
      </c>
      <c r="AI19" t="s">
        <v>19</v>
      </c>
      <c r="AJ19" s="38">
        <v>0.51602000000000003</v>
      </c>
    </row>
    <row r="20" spans="1:44" x14ac:dyDescent="0.25">
      <c r="A20" s="1"/>
      <c r="B20" s="11"/>
      <c r="C20" s="1"/>
      <c r="D20" s="1"/>
      <c r="E20" s="1"/>
      <c r="F20" s="1"/>
      <c r="G20" s="1"/>
      <c r="H20" s="1"/>
      <c r="I20" s="17"/>
      <c r="J20" s="20">
        <v>0.71499999999999997</v>
      </c>
      <c r="K20" s="20">
        <v>5</v>
      </c>
      <c r="L20" s="20">
        <v>0</v>
      </c>
      <c r="M20" s="21">
        <f t="shared" si="1"/>
        <v>3.1991744066047545E-2</v>
      </c>
      <c r="N20" s="21">
        <f>IF(J20,_xll.IMPVOLAB(J20,UnderlyingPrice,K20,IntRate,Yield,100,Expiry-Today,L20,100,0.0001),"")</f>
        <v>0.51839622539137742</v>
      </c>
      <c r="O20" s="1"/>
      <c r="P20" s="11"/>
      <c r="W20" s="37" t="s">
        <v>16</v>
      </c>
      <c r="X20" t="s">
        <v>17</v>
      </c>
      <c r="Y20" s="38">
        <v>2.1486000000000001</v>
      </c>
      <c r="Z20">
        <v>5</v>
      </c>
      <c r="AA20" t="s">
        <v>18</v>
      </c>
      <c r="AB20" s="38">
        <v>0.71980999999999995</v>
      </c>
      <c r="AC20">
        <v>4</v>
      </c>
      <c r="AD20" t="s">
        <v>18</v>
      </c>
      <c r="AE20" s="38">
        <v>0.56625000000000003</v>
      </c>
      <c r="AF20">
        <v>3</v>
      </c>
      <c r="AG20" t="s">
        <v>19</v>
      </c>
      <c r="AH20" s="38">
        <v>0.29443000000000003</v>
      </c>
      <c r="AI20">
        <v>2</v>
      </c>
      <c r="AJ20" t="s">
        <v>19</v>
      </c>
      <c r="AK20" s="38">
        <v>6.3214000000000006E-2</v>
      </c>
      <c r="AL20" t="s">
        <v>19</v>
      </c>
      <c r="AM20" s="38">
        <v>0.51588999999999996</v>
      </c>
    </row>
    <row r="21" spans="1:44" x14ac:dyDescent="0.25">
      <c r="A21" s="1"/>
      <c r="B21" s="9"/>
      <c r="C21" s="1"/>
      <c r="D21" s="1"/>
      <c r="E21" s="1"/>
      <c r="F21" s="1"/>
      <c r="G21" s="1"/>
      <c r="H21" s="1"/>
      <c r="I21" s="17"/>
      <c r="J21" s="20">
        <v>0.97899999999999998</v>
      </c>
      <c r="K21" s="20">
        <v>5.4</v>
      </c>
      <c r="L21" s="20">
        <v>0</v>
      </c>
      <c r="M21" s="21">
        <f t="shared" si="1"/>
        <v>0.11455108359133148</v>
      </c>
      <c r="N21" s="21">
        <f>IF(J21,_xll.IMPVOLAB(J21,UnderlyingPrice,K21,IntRate,Yield,100,Expiry-Today,L21,100,0.0001),"")</f>
        <v>0.52535874813965244</v>
      </c>
      <c r="O21" s="11"/>
      <c r="P21" s="11"/>
    </row>
    <row r="22" spans="1:44" x14ac:dyDescent="0.25">
      <c r="A22" s="1"/>
      <c r="B22" s="11"/>
      <c r="C22" s="1"/>
      <c r="D22" s="1"/>
      <c r="E22" s="1"/>
      <c r="F22" s="1"/>
      <c r="G22" s="1"/>
      <c r="H22" s="1"/>
      <c r="I22" s="1"/>
      <c r="J22" s="20">
        <v>0.11600000000000001</v>
      </c>
      <c r="K22" s="20">
        <v>3.5</v>
      </c>
      <c r="L22" s="20">
        <v>0</v>
      </c>
      <c r="M22" s="21">
        <f t="shared" si="1"/>
        <v>-0.27760577915376672</v>
      </c>
      <c r="N22" s="21">
        <f>IF(J22,_xll.IMPVOLAB(J22,UnderlyingPrice,K22,IntRate,Yield,100,Expiry-Today,L22,100,0.0001),"")</f>
        <v>0.52453184827824229</v>
      </c>
      <c r="O22" s="11"/>
      <c r="P22" s="11"/>
      <c r="Q22" t="s">
        <v>123</v>
      </c>
      <c r="R22">
        <v>3.5</v>
      </c>
    </row>
    <row r="23" spans="1:44" x14ac:dyDescent="0.25">
      <c r="A23" s="1"/>
      <c r="B23" s="9"/>
      <c r="C23" s="1"/>
      <c r="D23" s="1"/>
      <c r="E23" s="1"/>
      <c r="F23" s="1"/>
      <c r="G23" s="1"/>
      <c r="H23" s="1"/>
      <c r="I23" s="1"/>
      <c r="J23" s="20"/>
      <c r="K23" s="20"/>
      <c r="L23" s="20"/>
      <c r="M23" s="21" t="str">
        <f t="shared" si="1"/>
        <v/>
      </c>
      <c r="N23" s="21" t="str">
        <f>IF(J23,_xll.IMPVOLAB(J23,UnderlyingPrice,K23,IntRate,Yield,100,Expiry-Today,L23,100,0.0001),"")</f>
        <v/>
      </c>
      <c r="O23" s="11"/>
      <c r="P23" s="1"/>
    </row>
    <row r="24" spans="1:44" x14ac:dyDescent="0.25">
      <c r="A24" s="1"/>
      <c r="B24" s="1"/>
      <c r="C24" s="1"/>
      <c r="D24" s="1"/>
      <c r="E24" s="1"/>
      <c r="F24" s="1"/>
      <c r="G24" s="1"/>
      <c r="H24" s="1"/>
      <c r="I24" s="1"/>
      <c r="J24" s="20"/>
      <c r="K24" s="20"/>
      <c r="L24" s="20"/>
      <c r="M24" s="21" t="str">
        <f t="shared" si="1"/>
        <v/>
      </c>
      <c r="N24" s="21" t="str">
        <f>IF(J24,_xll.IMPVOLAB(J24,UnderlyingPrice,K24,IntRate,Yield,100,Expiry-Today,L24,100,0.0001),"")</f>
        <v/>
      </c>
      <c r="O24" s="1"/>
      <c r="P24" s="1"/>
    </row>
    <row r="25" spans="1:44" x14ac:dyDescent="0.25">
      <c r="A25" s="1"/>
      <c r="B25" s="11"/>
      <c r="C25" s="11"/>
      <c r="D25" s="11"/>
      <c r="E25" s="11"/>
      <c r="F25" s="11"/>
      <c r="G25" s="11"/>
      <c r="H25" s="1"/>
      <c r="I25" s="11"/>
      <c r="J25" s="20"/>
      <c r="K25" s="20"/>
      <c r="L25" s="20"/>
      <c r="M25" s="21" t="str">
        <f t="shared" si="1"/>
        <v/>
      </c>
      <c r="N25" s="21" t="str">
        <f>IF(J25,_xll.IMPVOLAB(J25,UnderlyingPrice,K25,IntRate,Yield,100,Expiry-Today,L25,100,0.0001),"")</f>
        <v/>
      </c>
      <c r="O25" s="11"/>
      <c r="P25" s="11"/>
    </row>
    <row r="26" spans="1:44" x14ac:dyDescent="0.25">
      <c r="A26" s="1"/>
      <c r="B26" s="11"/>
      <c r="C26" s="11"/>
      <c r="D26" s="1"/>
      <c r="E26" s="1"/>
      <c r="F26" s="1"/>
      <c r="G26" s="11"/>
      <c r="H26" s="1"/>
      <c r="I26" s="11"/>
      <c r="J26" s="20"/>
      <c r="K26" s="20"/>
      <c r="L26" s="20"/>
      <c r="M26" s="21" t="str">
        <f t="shared" si="1"/>
        <v/>
      </c>
      <c r="N26" s="21" t="str">
        <f>IF(J26,_xll.IMPVOLAB(J26,UnderlyingPrice,K26,IntRate,Yield,100,Expiry-Today,L26,100,0.0001),"")</f>
        <v/>
      </c>
      <c r="O26" s="11"/>
      <c r="P26" s="11"/>
    </row>
    <row r="27" spans="1:4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4</v>
      </c>
      <c r="AH28" t="s">
        <v>115</v>
      </c>
      <c r="AN28" t="s">
        <v>113</v>
      </c>
      <c r="AO28">
        <v>2</v>
      </c>
      <c r="AP28" s="23">
        <v>3</v>
      </c>
      <c r="AQ28" s="23">
        <v>4</v>
      </c>
      <c r="AR28">
        <v>5</v>
      </c>
    </row>
    <row r="29" spans="1:4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W29">
        <f ca="1">ROUNDUP(MAX(MoneynessRange),2)</f>
        <v>0.35000000000000003</v>
      </c>
      <c r="X29">
        <f ca="1">+(MaxMoneyness-MinMoneyness)*100</f>
        <v>74</v>
      </c>
      <c r="AF29" t="s">
        <v>60</v>
      </c>
      <c r="AH29">
        <v>37012</v>
      </c>
      <c r="AJ29" t="s">
        <v>104</v>
      </c>
      <c r="AK29" t="s">
        <v>105</v>
      </c>
      <c r="AN29" t="s">
        <v>21</v>
      </c>
      <c r="AO29" s="34">
        <f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14</v>
      </c>
      <c r="Z30" s="110" t="s">
        <v>29</v>
      </c>
      <c r="AA30" s="110"/>
      <c r="AF30">
        <v>-8</v>
      </c>
      <c r="AG30">
        <f>+IF(+AF30+UnderlyingPrice&lt;0,-2,+AF30/UnderlyingPrice)</f>
        <v>-2</v>
      </c>
      <c r="AH30">
        <v>3</v>
      </c>
      <c r="AI30" s="71">
        <f>+AH30/100</f>
        <v>0.03</v>
      </c>
      <c r="AJ30" s="71">
        <f>+AI30+$K$3</f>
        <v>0.55500000000000005</v>
      </c>
      <c r="AK30" t="str">
        <f t="shared" ref="AK30:AK49" si="2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-6.26</v>
      </c>
      <c r="AG31">
        <f t="shared" ref="AG31:AG49" si="3">+IF(+AF31+UnderlyingPrice&lt;0,-2,+AF31/UnderlyingPrice)</f>
        <v>-2</v>
      </c>
      <c r="AH31">
        <v>3</v>
      </c>
      <c r="AI31" s="71">
        <f t="shared" ref="AI31:AI49" si="4">+AH31/100</f>
        <v>0.03</v>
      </c>
      <c r="AJ31" s="71">
        <f t="shared" ref="AJ31:AJ49" si="5">+AI31+$K$3</f>
        <v>0.55500000000000005</v>
      </c>
      <c r="AK31" t="str">
        <f t="shared" si="2"/>
        <v/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6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0.52139246399054906</v>
      </c>
      <c r="X32" s="35">
        <f t="shared" ref="X32:X37" ca="1" si="7">+W32-N9</f>
        <v>-7.7654460498721711E-4</v>
      </c>
      <c r="Z32" s="36">
        <f ca="1">ROUNDUP(MIN(MoneynessRange),2)</f>
        <v>-0.39</v>
      </c>
      <c r="AA32">
        <f t="shared" ref="AA32:AA96" ca="1" si="8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0.53688150858999995</v>
      </c>
      <c r="AF32">
        <v>-5</v>
      </c>
      <c r="AG32">
        <f t="shared" si="3"/>
        <v>-2</v>
      </c>
      <c r="AH32">
        <v>3</v>
      </c>
      <c r="AI32" s="71">
        <f t="shared" si="4"/>
        <v>0.03</v>
      </c>
      <c r="AJ32" s="71">
        <f t="shared" si="5"/>
        <v>0.55500000000000005</v>
      </c>
      <c r="AK32" t="str">
        <f t="shared" si="2"/>
        <v/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6"/>
        <v>0.5255885810725518</v>
      </c>
      <c r="X33" s="35">
        <f t="shared" ca="1" si="7"/>
        <v>3.6165568674251247E-6</v>
      </c>
      <c r="Z33" s="36">
        <f ca="1">+Z32+0.01</f>
        <v>-0.38</v>
      </c>
      <c r="AA33">
        <f t="shared" ca="1" si="8"/>
        <v>0.53515605592000004</v>
      </c>
      <c r="AF33">
        <v>-4</v>
      </c>
      <c r="AG33">
        <f t="shared" si="3"/>
        <v>-0.82559339525283804</v>
      </c>
      <c r="AH33">
        <v>3</v>
      </c>
      <c r="AI33" s="71">
        <f t="shared" si="4"/>
        <v>0.03</v>
      </c>
      <c r="AJ33" s="71">
        <f t="shared" si="5"/>
        <v>0.55500000000000005</v>
      </c>
      <c r="AK33">
        <f t="shared" si="2"/>
        <v>-7.2675000000000059E-2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6"/>
        <v>0.52747636082643967</v>
      </c>
      <c r="X34" s="35">
        <f t="shared" ca="1" si="7"/>
        <v>-1.8589868139050614E-3</v>
      </c>
      <c r="Z34" s="36">
        <f t="shared" ref="Z34:Z92" ca="1" si="9">+Z33+0.01</f>
        <v>-0.37</v>
      </c>
      <c r="AA34">
        <f t="shared" ca="1" si="8"/>
        <v>0.53350767032999991</v>
      </c>
      <c r="AF34">
        <v>-3</v>
      </c>
      <c r="AG34">
        <f t="shared" si="3"/>
        <v>-0.61919504643962853</v>
      </c>
      <c r="AH34">
        <v>1.5</v>
      </c>
      <c r="AI34" s="71">
        <f t="shared" si="4"/>
        <v>1.4999999999999999E-2</v>
      </c>
      <c r="AJ34" s="71">
        <f t="shared" si="5"/>
        <v>0.54</v>
      </c>
      <c r="AK34">
        <f t="shared" si="2"/>
        <v>-9.6900000000000083E-2</v>
      </c>
      <c r="AM34" s="71"/>
      <c r="AN34" t="s">
        <v>32</v>
      </c>
      <c r="AR34" s="34">
        <f>+AP39</f>
        <v>0.80901000000000001</v>
      </c>
    </row>
    <row r="35" spans="1:5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6"/>
        <v>0.5326413099588001</v>
      </c>
      <c r="X35" s="35">
        <f t="shared" ca="1" si="7"/>
        <v>-1.0356192517104734E-3</v>
      </c>
      <c r="Z35" s="36">
        <f t="shared" ca="1" si="9"/>
        <v>-0.36</v>
      </c>
      <c r="AA35">
        <f t="shared" ca="1" si="8"/>
        <v>0.53193534015999999</v>
      </c>
      <c r="AF35">
        <v>-2.5</v>
      </c>
      <c r="AG35">
        <f t="shared" si="3"/>
        <v>-0.51599587203302377</v>
      </c>
      <c r="AH35">
        <v>0.5</v>
      </c>
      <c r="AI35" s="71">
        <f t="shared" si="4"/>
        <v>5.0000000000000001E-3</v>
      </c>
      <c r="AJ35" s="71">
        <f t="shared" si="5"/>
        <v>0.53</v>
      </c>
      <c r="AK35">
        <f t="shared" si="2"/>
        <v>-7.2674999999999518E-2</v>
      </c>
      <c r="AM35" s="71"/>
    </row>
    <row r="36" spans="1:5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6"/>
        <v>0.5383314979376832</v>
      </c>
      <c r="X36" s="35">
        <f t="shared" ca="1" si="7"/>
        <v>-1.4080293526799181E-3</v>
      </c>
      <c r="Z36" s="36">
        <f t="shared" ca="1" si="9"/>
        <v>-0.35</v>
      </c>
      <c r="AA36">
        <f t="shared" ca="1" si="8"/>
        <v>0.53043805374999997</v>
      </c>
      <c r="AF36">
        <v>-2</v>
      </c>
      <c r="AG36">
        <f t="shared" si="3"/>
        <v>-0.41279669762641902</v>
      </c>
      <c r="AH36">
        <v>-0.25</v>
      </c>
      <c r="AI36" s="71">
        <f t="shared" si="4"/>
        <v>-2.5000000000000001E-3</v>
      </c>
      <c r="AJ36" s="71">
        <f t="shared" si="5"/>
        <v>0.52250000000000008</v>
      </c>
      <c r="AK36">
        <f t="shared" si="2"/>
        <v>-2.4225000000000559E-2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6"/>
        <v>0.54440793805759713</v>
      </c>
      <c r="X37" s="35">
        <f t="shared" ca="1" si="7"/>
        <v>6.5635061573776632E-4</v>
      </c>
      <c r="Z37" s="36">
        <f t="shared" ca="1" si="9"/>
        <v>-0.33999999999999997</v>
      </c>
      <c r="AA37">
        <f t="shared" ca="1" si="8"/>
        <v>0.52901479943999996</v>
      </c>
      <c r="AF37">
        <v>-1.5</v>
      </c>
      <c r="AG37">
        <f t="shared" si="3"/>
        <v>-0.30959752321981426</v>
      </c>
      <c r="AH37">
        <v>-0.5</v>
      </c>
      <c r="AI37" s="71">
        <f t="shared" si="4"/>
        <v>-5.0000000000000001E-3</v>
      </c>
      <c r="AJ37" s="71">
        <f t="shared" si="5"/>
        <v>0.52</v>
      </c>
      <c r="AK37">
        <f t="shared" si="2"/>
        <v>0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0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0.55073164361305016</v>
      </c>
      <c r="X38" s="35">
        <f t="shared" ref="X38:X44" ca="1" si="11">+W38-N15</f>
        <v>9.6292538362230395E-4</v>
      </c>
      <c r="Z38" s="36">
        <f t="shared" ca="1" si="9"/>
        <v>-0.32999999999999996</v>
      </c>
      <c r="AA38">
        <f t="shared" ca="1" si="8"/>
        <v>0.52766456556999997</v>
      </c>
      <c r="AF38">
        <v>-0.5</v>
      </c>
      <c r="AG38">
        <f t="shared" si="3"/>
        <v>-0.10319917440660475</v>
      </c>
      <c r="AH38">
        <v>-0.5</v>
      </c>
      <c r="AI38" s="71">
        <f t="shared" si="4"/>
        <v>-5.0000000000000001E-3</v>
      </c>
      <c r="AJ38" s="71">
        <f t="shared" si="5"/>
        <v>0.52</v>
      </c>
      <c r="AK38">
        <f t="shared" si="2"/>
        <v>4.8450000000000042E-2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0"/>
        <v>0.5352920812697578</v>
      </c>
      <c r="X39" s="35">
        <f t="shared" ca="1" si="11"/>
        <v>1.6910813748760578E-3</v>
      </c>
      <c r="Z39" s="36">
        <f t="shared" ca="1" si="9"/>
        <v>-0.31999999999999995</v>
      </c>
      <c r="AA39">
        <f t="shared" ca="1" si="8"/>
        <v>0.52638634047999999</v>
      </c>
      <c r="AF39">
        <v>0</v>
      </c>
      <c r="AG39">
        <f t="shared" si="3"/>
        <v>0</v>
      </c>
      <c r="AH39">
        <v>0</v>
      </c>
      <c r="AI39" s="71">
        <f t="shared" si="4"/>
        <v>0</v>
      </c>
      <c r="AJ39" s="71">
        <f t="shared" si="5"/>
        <v>0.52500000000000002</v>
      </c>
      <c r="AK39">
        <f t="shared" si="2"/>
        <v>0.11628000000000009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0"/>
        <v>0.51529993731678747</v>
      </c>
      <c r="X40" s="35">
        <f t="shared" ca="1" si="11"/>
        <v>-1.9544827729027769E-3</v>
      </c>
      <c r="Z40" s="36">
        <f t="shared" ca="1" si="9"/>
        <v>-0.30999999999999994</v>
      </c>
      <c r="AA40">
        <f t="shared" ca="1" si="8"/>
        <v>0.52517911250999993</v>
      </c>
      <c r="AF40">
        <v>0.5</v>
      </c>
      <c r="AG40">
        <f t="shared" si="3"/>
        <v>0.10319917440660475</v>
      </c>
      <c r="AH40">
        <v>1.2</v>
      </c>
      <c r="AI40" s="71">
        <f t="shared" si="4"/>
        <v>1.2E-2</v>
      </c>
      <c r="AJ40" s="71">
        <f t="shared" si="5"/>
        <v>0.53700000000000003</v>
      </c>
      <c r="AK40">
        <f t="shared" si="2"/>
        <v>0.11351021040000027</v>
      </c>
      <c r="AM40" s="71"/>
    </row>
    <row r="41" spans="1:5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0"/>
        <v>0.51484868687205787</v>
      </c>
      <c r="X41" s="35">
        <f t="shared" ca="1" si="11"/>
        <v>2.1003928820814144E-3</v>
      </c>
      <c r="Z41" s="36">
        <f t="shared" ca="1" si="9"/>
        <v>-0.29999999999999993</v>
      </c>
      <c r="AA41">
        <f t="shared" ca="1" si="8"/>
        <v>0.52404187000000002</v>
      </c>
      <c r="AF41">
        <v>1</v>
      </c>
      <c r="AG41">
        <f t="shared" si="3"/>
        <v>0.20639834881320951</v>
      </c>
      <c r="AH41">
        <v>2.371416</v>
      </c>
      <c r="AI41" s="71">
        <f t="shared" si="4"/>
        <v>2.3714159999999998E-2</v>
      </c>
      <c r="AJ41" s="71">
        <f t="shared" si="5"/>
        <v>0.54871416000000006</v>
      </c>
      <c r="AK41">
        <f t="shared" si="2"/>
        <v>0.10550855615471948</v>
      </c>
      <c r="AM41" s="71"/>
    </row>
    <row r="42" spans="1:5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0"/>
        <v>0.51652281356341079</v>
      </c>
      <c r="X42" s="35">
        <f t="shared" ca="1" si="11"/>
        <v>3.3244975744141092E-3</v>
      </c>
      <c r="Z42" s="36">
        <f t="shared" ca="1" si="9"/>
        <v>-0.28999999999999992</v>
      </c>
      <c r="AA42">
        <f t="shared" ca="1" si="8"/>
        <v>0.52297360128999992</v>
      </c>
      <c r="AF42">
        <v>1.5</v>
      </c>
      <c r="AG42">
        <f t="shared" si="3"/>
        <v>0.30959752321981426</v>
      </c>
      <c r="AH42">
        <v>3.4602555887999999</v>
      </c>
      <c r="AI42" s="71">
        <f t="shared" si="4"/>
        <v>3.4602555888E-2</v>
      </c>
      <c r="AJ42" s="71">
        <f t="shared" si="5"/>
        <v>0.55960255588800001</v>
      </c>
      <c r="AK42">
        <f t="shared" si="2"/>
        <v>9.5906233445279973E-2</v>
      </c>
      <c r="AM42" s="71"/>
    </row>
    <row r="43" spans="1:5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0"/>
        <v>0.51927812592325318</v>
      </c>
      <c r="X43" s="35">
        <f t="shared" ca="1" si="11"/>
        <v>8.8190053187575668E-4</v>
      </c>
      <c r="Z43" s="36">
        <f t="shared" ca="1" si="9"/>
        <v>-0.27999999999999992</v>
      </c>
      <c r="AA43">
        <f t="shared" ca="1" si="8"/>
        <v>0.52197329471999987</v>
      </c>
      <c r="AF43">
        <v>2</v>
      </c>
      <c r="AG43">
        <f t="shared" si="3"/>
        <v>0.41279669762641902</v>
      </c>
      <c r="AH43">
        <v>4.45</v>
      </c>
      <c r="AI43" s="71">
        <f t="shared" si="4"/>
        <v>4.4500000000000005E-2</v>
      </c>
      <c r="AJ43" s="71">
        <f t="shared" si="5"/>
        <v>0.56950000000000001</v>
      </c>
      <c r="AK43">
        <f t="shared" si="2"/>
        <v>9.2172633662103695E-2</v>
      </c>
      <c r="AM43" s="71"/>
    </row>
    <row r="44" spans="1:5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0"/>
        <v>0.5255885810725518</v>
      </c>
      <c r="X44" s="35">
        <f t="shared" ca="1" si="11"/>
        <v>2.2983293289935425E-4</v>
      </c>
      <c r="Z44" s="36">
        <f t="shared" ca="1" si="9"/>
        <v>-0.26999999999999991</v>
      </c>
      <c r="AA44">
        <f t="shared" ca="1" si="8"/>
        <v>0.52103993862999998</v>
      </c>
      <c r="AF44">
        <v>2.5</v>
      </c>
      <c r="AG44">
        <f t="shared" si="3"/>
        <v>0.51599587203302377</v>
      </c>
      <c r="AH44">
        <v>5.4012139696811508</v>
      </c>
      <c r="AI44" s="71">
        <f t="shared" si="4"/>
        <v>5.4012139696811505E-2</v>
      </c>
      <c r="AJ44" s="71">
        <f t="shared" si="5"/>
        <v>0.57901213969681153</v>
      </c>
      <c r="AK44">
        <f t="shared" si="2"/>
        <v>8.3705167797880009E-2</v>
      </c>
      <c r="AM44" s="71"/>
    </row>
    <row r="45" spans="1:5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9"/>
        <v>-0.2599999999999999</v>
      </c>
      <c r="AA45">
        <f t="shared" ca="1" si="8"/>
        <v>0.52017252135999992</v>
      </c>
      <c r="AF45">
        <v>3</v>
      </c>
      <c r="AG45">
        <f t="shared" si="3"/>
        <v>0.61919504643962853</v>
      </c>
      <c r="AH45">
        <v>6.2650443907119016</v>
      </c>
      <c r="AI45" s="71">
        <f t="shared" si="4"/>
        <v>6.2650443907119019E-2</v>
      </c>
      <c r="AJ45" s="71">
        <f t="shared" si="5"/>
        <v>0.58765044390711907</v>
      </c>
      <c r="AK45">
        <f t="shared" si="2"/>
        <v>7.4842515308652741E-2</v>
      </c>
      <c r="AM45" s="71"/>
    </row>
    <row r="46" spans="1:5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9"/>
        <v>-0.24999999999999989</v>
      </c>
      <c r="AA46">
        <f t="shared" ca="1" si="8"/>
        <v>0.51937003125000003</v>
      </c>
      <c r="AF46">
        <v>4</v>
      </c>
      <c r="AG46">
        <f t="shared" si="3"/>
        <v>0.82559339525283804</v>
      </c>
      <c r="AH46">
        <v>7.8097815487852351</v>
      </c>
      <c r="AI46" s="71">
        <f t="shared" si="4"/>
        <v>7.8097815487852357E-2</v>
      </c>
      <c r="AJ46" s="71">
        <f t="shared" si="5"/>
        <v>0.60309781548785235</v>
      </c>
      <c r="AK46">
        <f t="shared" si="2"/>
        <v>6.8243412594203232E-2</v>
      </c>
      <c r="AM46" s="71"/>
    </row>
    <row r="47" spans="1:5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9"/>
        <v>-0.23999999999999988</v>
      </c>
      <c r="AA47">
        <f t="shared" ca="1" si="8"/>
        <v>0.51863145663999988</v>
      </c>
      <c r="AF47">
        <v>5</v>
      </c>
      <c r="AG47">
        <f t="shared" si="3"/>
        <v>1.0319917440660475</v>
      </c>
      <c r="AH47">
        <v>9.2183143164674508</v>
      </c>
      <c r="AI47" s="71">
        <f t="shared" si="4"/>
        <v>9.2183143164674505E-2</v>
      </c>
      <c r="AJ47" s="71">
        <f t="shared" si="5"/>
        <v>0.61718314316467449</v>
      </c>
      <c r="AK47">
        <f t="shared" si="2"/>
        <v>6.8243412594203454E-2</v>
      </c>
      <c r="AM47" s="71"/>
    </row>
    <row r="48" spans="1:5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9"/>
        <v>-0.22999999999999987</v>
      </c>
      <c r="AA48">
        <f t="shared" ca="1" si="8"/>
        <v>0.51795578587000002</v>
      </c>
      <c r="AF48">
        <v>10</v>
      </c>
      <c r="AG48">
        <f t="shared" si="3"/>
        <v>2.0639834881320951</v>
      </c>
      <c r="AH48">
        <v>16.260978154878529</v>
      </c>
      <c r="AI48" s="71">
        <f t="shared" si="4"/>
        <v>0.1626097815487853</v>
      </c>
      <c r="AJ48" s="71">
        <f t="shared" si="5"/>
        <v>0.68760978154878538</v>
      </c>
      <c r="AK48">
        <f t="shared" si="2"/>
        <v>6.8060390920832478E-2</v>
      </c>
      <c r="AM48" s="71"/>
    </row>
    <row r="49" spans="1:39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9"/>
        <v>-0.21999999999999986</v>
      </c>
      <c r="AA49">
        <f t="shared" ca="1" si="8"/>
        <v>0.5173420072799999</v>
      </c>
      <c r="AF49">
        <v>40</v>
      </c>
      <c r="AG49">
        <f t="shared" si="3"/>
        <v>8.2559339525283804</v>
      </c>
      <c r="AH49">
        <v>58.403635071802682</v>
      </c>
      <c r="AI49" s="71">
        <f t="shared" si="4"/>
        <v>0.58403635071802684</v>
      </c>
      <c r="AJ49" s="71">
        <f t="shared" si="5"/>
        <v>1.1090363507180268</v>
      </c>
      <c r="AK49">
        <f t="shared" si="2"/>
        <v>0.13433202798072097</v>
      </c>
      <c r="AM49" s="71"/>
    </row>
    <row r="50" spans="1:39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9"/>
        <v>-0.20999999999999985</v>
      </c>
      <c r="AA50">
        <f t="shared" ca="1" si="8"/>
        <v>0.51678910920999999</v>
      </c>
    </row>
    <row r="51" spans="1:39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9"/>
        <v>-0.19999999999999984</v>
      </c>
      <c r="AA51">
        <f t="shared" ca="1" si="8"/>
        <v>0.51629607999999994</v>
      </c>
    </row>
    <row r="52" spans="1:39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9"/>
        <v>-0.18999999999999984</v>
      </c>
      <c r="AA52">
        <f t="shared" ca="1" si="8"/>
        <v>0.51586190798999998</v>
      </c>
    </row>
    <row r="53" spans="1:39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9"/>
        <v>-0.17999999999999983</v>
      </c>
      <c r="AA53">
        <f t="shared" ca="1" si="8"/>
        <v>0.51548558152000001</v>
      </c>
    </row>
    <row r="54" spans="1:39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9"/>
        <v>-0.16999999999999982</v>
      </c>
      <c r="AA54">
        <f t="shared" ca="1" si="8"/>
        <v>0.51516608892999993</v>
      </c>
    </row>
    <row r="55" spans="1:39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9"/>
        <v>-0.15999999999999981</v>
      </c>
      <c r="AA55">
        <f t="shared" ca="1" si="8"/>
        <v>0.51490241855999996</v>
      </c>
    </row>
    <row r="56" spans="1:39" x14ac:dyDescent="0.25">
      <c r="Z56" s="36">
        <f t="shared" ca="1" si="9"/>
        <v>-0.1499999999999998</v>
      </c>
      <c r="AA56">
        <f t="shared" ca="1" si="8"/>
        <v>0.51469355874999989</v>
      </c>
    </row>
    <row r="57" spans="1:39" x14ac:dyDescent="0.25">
      <c r="Z57" s="36">
        <f t="shared" ca="1" si="9"/>
        <v>-0.13999999999999979</v>
      </c>
      <c r="AA57">
        <f t="shared" ca="1" si="8"/>
        <v>0.51453849783999994</v>
      </c>
    </row>
    <row r="58" spans="1:39" x14ac:dyDescent="0.25">
      <c r="Z58" s="36">
        <f t="shared" ca="1" si="9"/>
        <v>-0.12999999999999978</v>
      </c>
      <c r="AA58">
        <f t="shared" ca="1" si="8"/>
        <v>0.5144362241699999</v>
      </c>
    </row>
    <row r="59" spans="1:39" x14ac:dyDescent="0.25">
      <c r="Z59" s="36">
        <f t="shared" ca="1" si="9"/>
        <v>-0.11999999999999979</v>
      </c>
      <c r="AA59">
        <f t="shared" ca="1" si="8"/>
        <v>0.51438572607999999</v>
      </c>
    </row>
    <row r="60" spans="1:39" x14ac:dyDescent="0.25">
      <c r="Z60" s="36">
        <f t="shared" ca="1" si="9"/>
        <v>-0.10999999999999979</v>
      </c>
      <c r="AA60">
        <f t="shared" ca="1" si="8"/>
        <v>0.5143859919099999</v>
      </c>
    </row>
    <row r="61" spans="1:39" x14ac:dyDescent="0.25">
      <c r="Z61" s="36">
        <f t="shared" ca="1" si="9"/>
        <v>-9.9999999999999797E-2</v>
      </c>
      <c r="AA61">
        <f t="shared" ca="1" si="8"/>
        <v>0.51443601000000005</v>
      </c>
    </row>
    <row r="62" spans="1:39" x14ac:dyDescent="0.25">
      <c r="Z62" s="36">
        <f t="shared" ca="1" si="9"/>
        <v>-8.9999999999999802E-2</v>
      </c>
      <c r="AA62">
        <f t="shared" ca="1" si="8"/>
        <v>0.51453476868999992</v>
      </c>
    </row>
    <row r="63" spans="1:39" x14ac:dyDescent="0.25">
      <c r="Z63" s="36">
        <f t="shared" ca="1" si="9"/>
        <v>-7.9999999999999807E-2</v>
      </c>
      <c r="AA63">
        <f t="shared" ca="1" si="8"/>
        <v>0.51468125631999995</v>
      </c>
    </row>
    <row r="64" spans="1:39" x14ac:dyDescent="0.25">
      <c r="Z64" s="36">
        <f t="shared" ca="1" si="9"/>
        <v>-6.9999999999999812E-2</v>
      </c>
      <c r="AA64">
        <f t="shared" ca="1" si="8"/>
        <v>0.51487446122999991</v>
      </c>
    </row>
    <row r="65" spans="26:27" x14ac:dyDescent="0.25">
      <c r="Z65" s="36">
        <f t="shared" ca="1" si="9"/>
        <v>-5.999999999999981E-2</v>
      </c>
      <c r="AA65">
        <f t="shared" ca="1" si="8"/>
        <v>0.51511337175999994</v>
      </c>
    </row>
    <row r="66" spans="26:27" x14ac:dyDescent="0.25">
      <c r="Z66" s="36">
        <f t="shared" ca="1" si="9"/>
        <v>-4.9999999999999808E-2</v>
      </c>
      <c r="AA66">
        <f t="shared" ca="1" si="8"/>
        <v>0.51539697625000003</v>
      </c>
    </row>
    <row r="67" spans="26:27" x14ac:dyDescent="0.25">
      <c r="Z67" s="36">
        <f t="shared" ca="1" si="9"/>
        <v>-3.9999999999999807E-2</v>
      </c>
      <c r="AA67">
        <f t="shared" ca="1" si="8"/>
        <v>0.51572426303999996</v>
      </c>
    </row>
    <row r="68" spans="26:27" x14ac:dyDescent="0.25">
      <c r="Z68" s="36">
        <f t="shared" ca="1" si="9"/>
        <v>-2.9999999999999805E-2</v>
      </c>
      <c r="AA68">
        <f t="shared" ca="1" si="8"/>
        <v>0.51609422046999998</v>
      </c>
    </row>
    <row r="69" spans="26:27" x14ac:dyDescent="0.25">
      <c r="Z69" s="36">
        <f t="shared" ca="1" si="9"/>
        <v>-1.9999999999999803E-2</v>
      </c>
      <c r="AA69">
        <f t="shared" ca="1" si="8"/>
        <v>0.51650583687999996</v>
      </c>
    </row>
    <row r="70" spans="26:27" x14ac:dyDescent="0.25">
      <c r="Z70" s="36">
        <f t="shared" ca="1" si="9"/>
        <v>-9.9999999999998024E-3</v>
      </c>
      <c r="AA70">
        <f t="shared" ca="1" si="8"/>
        <v>0.51695810061000003</v>
      </c>
    </row>
    <row r="71" spans="26:27" x14ac:dyDescent="0.25">
      <c r="Z71" s="36">
        <f t="shared" ca="1" si="9"/>
        <v>1.9775847626135601E-16</v>
      </c>
      <c r="AA71">
        <f t="shared" ca="1" si="8"/>
        <v>0.51744999999999997</v>
      </c>
    </row>
    <row r="72" spans="26:27" x14ac:dyDescent="0.25">
      <c r="Z72" s="36">
        <f t="shared" ca="1" si="9"/>
        <v>1.0000000000000198E-2</v>
      </c>
      <c r="AA72">
        <f t="shared" ca="1" si="8"/>
        <v>0.51798052339000011</v>
      </c>
    </row>
    <row r="73" spans="26:27" x14ac:dyDescent="0.25">
      <c r="Z73" s="36">
        <f t="shared" ca="1" si="9"/>
        <v>2.0000000000000198E-2</v>
      </c>
      <c r="AA73">
        <f t="shared" ca="1" si="8"/>
        <v>0.51854865911999992</v>
      </c>
    </row>
    <row r="74" spans="26:27" x14ac:dyDescent="0.25">
      <c r="Z74" s="36">
        <f t="shared" ca="1" si="9"/>
        <v>3.00000000000002E-2</v>
      </c>
      <c r="AA74">
        <f t="shared" ca="1" si="8"/>
        <v>0.51915339552999995</v>
      </c>
    </row>
    <row r="75" spans="26:27" x14ac:dyDescent="0.25">
      <c r="Z75" s="36">
        <f t="shared" ca="1" si="9"/>
        <v>4.0000000000000202E-2</v>
      </c>
      <c r="AA75">
        <f t="shared" ca="1" si="8"/>
        <v>0.51979372095999998</v>
      </c>
    </row>
    <row r="76" spans="26:27" x14ac:dyDescent="0.25">
      <c r="Z76" s="36">
        <f t="shared" ca="1" si="9"/>
        <v>5.0000000000000204E-2</v>
      </c>
      <c r="AA76">
        <f t="shared" ca="1" si="8"/>
        <v>0.52046862374999991</v>
      </c>
    </row>
    <row r="77" spans="26:27" x14ac:dyDescent="0.25">
      <c r="Z77" s="36">
        <f t="shared" ca="1" si="9"/>
        <v>6.0000000000000206E-2</v>
      </c>
      <c r="AA77">
        <f t="shared" ca="1" si="8"/>
        <v>0.52117709223999997</v>
      </c>
    </row>
    <row r="78" spans="26:27" x14ac:dyDescent="0.25">
      <c r="Z78" s="36">
        <f t="shared" ca="1" si="9"/>
        <v>7.0000000000000201E-2</v>
      </c>
      <c r="AA78">
        <f t="shared" ca="1" si="8"/>
        <v>0.52191811476999994</v>
      </c>
    </row>
    <row r="79" spans="26:27" x14ac:dyDescent="0.25">
      <c r="Z79" s="36">
        <f t="shared" ca="1" si="9"/>
        <v>8.0000000000000196E-2</v>
      </c>
      <c r="AA79">
        <f t="shared" ca="1" si="8"/>
        <v>0.52269067968000005</v>
      </c>
    </row>
    <row r="80" spans="26:27" x14ac:dyDescent="0.25">
      <c r="Z80" s="36">
        <f t="shared" ca="1" si="9"/>
        <v>9.0000000000000191E-2</v>
      </c>
      <c r="AA80">
        <f t="shared" ca="1" si="8"/>
        <v>0.52349377530999996</v>
      </c>
    </row>
    <row r="81" spans="26:27" x14ac:dyDescent="0.25">
      <c r="Z81" s="36">
        <f t="shared" ca="1" si="9"/>
        <v>0.10000000000000019</v>
      </c>
      <c r="AA81">
        <f t="shared" ca="1" si="8"/>
        <v>0.52432639000000003</v>
      </c>
    </row>
    <row r="82" spans="26:27" x14ac:dyDescent="0.25">
      <c r="Z82" s="36">
        <f t="shared" ca="1" si="9"/>
        <v>0.11000000000000018</v>
      </c>
      <c r="AA82">
        <f t="shared" ca="1" si="8"/>
        <v>0.52518751209000003</v>
      </c>
    </row>
    <row r="83" spans="26:27" x14ac:dyDescent="0.25">
      <c r="Z83" s="36">
        <f t="shared" ca="1" si="9"/>
        <v>0.12000000000000018</v>
      </c>
      <c r="AA83">
        <f t="shared" ca="1" si="8"/>
        <v>0.52607612991999986</v>
      </c>
    </row>
    <row r="84" spans="26:27" x14ac:dyDescent="0.25">
      <c r="Z84" s="36">
        <f t="shared" ca="1" si="9"/>
        <v>0.13000000000000017</v>
      </c>
      <c r="AA84">
        <f t="shared" ca="1" si="8"/>
        <v>0.52699123182999996</v>
      </c>
    </row>
    <row r="85" spans="26:27" x14ac:dyDescent="0.25">
      <c r="Z85" s="36">
        <f t="shared" ca="1" si="9"/>
        <v>0.14000000000000018</v>
      </c>
      <c r="AA85">
        <f t="shared" ca="1" si="8"/>
        <v>0.52793180615999991</v>
      </c>
    </row>
    <row r="86" spans="26:27" x14ac:dyDescent="0.25">
      <c r="Z86" s="36">
        <f t="shared" ca="1" si="9"/>
        <v>0.15000000000000019</v>
      </c>
      <c r="AA86">
        <f t="shared" ca="1" si="8"/>
        <v>0.52889684125000003</v>
      </c>
    </row>
    <row r="87" spans="26:27" x14ac:dyDescent="0.25">
      <c r="Z87" s="36">
        <f t="shared" ca="1" si="9"/>
        <v>0.1600000000000002</v>
      </c>
      <c r="AA87">
        <f t="shared" ca="1" si="8"/>
        <v>0.52988532544</v>
      </c>
    </row>
    <row r="88" spans="26:27" x14ac:dyDescent="0.25">
      <c r="Z88" s="36">
        <f t="shared" ca="1" si="9"/>
        <v>0.17000000000000021</v>
      </c>
      <c r="AA88">
        <f t="shared" ca="1" si="8"/>
        <v>0.53089624706999994</v>
      </c>
    </row>
    <row r="89" spans="26:27" x14ac:dyDescent="0.25">
      <c r="Z89" s="36">
        <f t="shared" ca="1" si="9"/>
        <v>0.18000000000000022</v>
      </c>
      <c r="AA89">
        <f t="shared" ca="1" si="8"/>
        <v>0.53192859447999996</v>
      </c>
    </row>
    <row r="90" spans="26:27" x14ac:dyDescent="0.25">
      <c r="Z90" s="36">
        <f t="shared" ca="1" si="9"/>
        <v>0.19000000000000022</v>
      </c>
      <c r="AA90">
        <f t="shared" ca="1" si="8"/>
        <v>0.53298135601000007</v>
      </c>
    </row>
    <row r="91" spans="26:27" x14ac:dyDescent="0.25">
      <c r="Z91" s="36">
        <f t="shared" ca="1" si="9"/>
        <v>0.20000000000000023</v>
      </c>
      <c r="AA91">
        <f t="shared" ca="1" si="8"/>
        <v>0.53405351999999995</v>
      </c>
    </row>
    <row r="92" spans="26:27" x14ac:dyDescent="0.25">
      <c r="Z92" s="36">
        <f t="shared" ca="1" si="9"/>
        <v>0.21000000000000024</v>
      </c>
      <c r="AA92">
        <f t="shared" ca="1" si="8"/>
        <v>0.53514407479000003</v>
      </c>
    </row>
    <row r="93" spans="26:27" x14ac:dyDescent="0.25">
      <c r="Z93" s="36">
        <f t="shared" ref="Z93:Z151" ca="1" si="12">+Z92+0.01</f>
        <v>0.22000000000000025</v>
      </c>
      <c r="AA93">
        <f t="shared" ca="1" si="8"/>
        <v>0.53625200872000001</v>
      </c>
    </row>
    <row r="94" spans="26:27" x14ac:dyDescent="0.25">
      <c r="Z94" s="36">
        <f t="shared" ca="1" si="12"/>
        <v>0.23000000000000026</v>
      </c>
      <c r="AA94">
        <f t="shared" ca="1" si="8"/>
        <v>0.53737631012999987</v>
      </c>
    </row>
    <row r="95" spans="26:27" x14ac:dyDescent="0.25">
      <c r="Z95" s="36">
        <f t="shared" ca="1" si="12"/>
        <v>0.24000000000000027</v>
      </c>
      <c r="AA95">
        <f t="shared" ca="1" si="8"/>
        <v>0.53851596736000007</v>
      </c>
    </row>
    <row r="96" spans="26:27" x14ac:dyDescent="0.25">
      <c r="Z96" s="36">
        <f t="shared" ca="1" si="12"/>
        <v>0.25000000000000028</v>
      </c>
      <c r="AA96">
        <f t="shared" ca="1" si="8"/>
        <v>0.53966996874999995</v>
      </c>
    </row>
    <row r="97" spans="26:27" x14ac:dyDescent="0.25">
      <c r="Z97" s="36">
        <f t="shared" ca="1" si="12"/>
        <v>0.26000000000000029</v>
      </c>
      <c r="AA97">
        <f t="shared" ref="AA97:AA161" ca="1" si="13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0.54083730264000007</v>
      </c>
    </row>
    <row r="98" spans="26:27" x14ac:dyDescent="0.25">
      <c r="Z98" s="36">
        <f t="shared" ca="1" si="12"/>
        <v>0.2700000000000003</v>
      </c>
      <c r="AA98">
        <f t="shared" ca="1" si="13"/>
        <v>0.54201695737</v>
      </c>
    </row>
    <row r="99" spans="26:27" x14ac:dyDescent="0.25">
      <c r="Z99" s="36">
        <f t="shared" ca="1" si="12"/>
        <v>0.2800000000000003</v>
      </c>
      <c r="AA99">
        <f t="shared" ca="1" si="13"/>
        <v>0.54320792128000006</v>
      </c>
    </row>
    <row r="100" spans="26:27" x14ac:dyDescent="0.25">
      <c r="Z100" s="36">
        <f t="shared" ca="1" si="12"/>
        <v>0.29000000000000031</v>
      </c>
      <c r="AA100">
        <f t="shared" ca="1" si="13"/>
        <v>0.54440918271000005</v>
      </c>
    </row>
    <row r="101" spans="26:27" x14ac:dyDescent="0.25">
      <c r="Z101" s="36">
        <f t="shared" ca="1" si="12"/>
        <v>0.30000000000000032</v>
      </c>
      <c r="AA101">
        <f t="shared" ca="1" si="13"/>
        <v>0.54561973000000008</v>
      </c>
    </row>
    <row r="102" spans="26:27" x14ac:dyDescent="0.25">
      <c r="Z102" s="36">
        <f t="shared" ca="1" si="12"/>
        <v>0.31000000000000033</v>
      </c>
      <c r="AA102">
        <f t="shared" ca="1" si="13"/>
        <v>0.54683855149000005</v>
      </c>
    </row>
    <row r="103" spans="26:27" x14ac:dyDescent="0.25">
      <c r="Z103" s="36">
        <f t="shared" ca="1" si="12"/>
        <v>0.32000000000000034</v>
      </c>
      <c r="AA103">
        <f t="shared" ca="1" si="13"/>
        <v>0.54806463552000007</v>
      </c>
    </row>
    <row r="104" spans="26:27" x14ac:dyDescent="0.25">
      <c r="Z104" s="36">
        <f t="shared" ca="1" si="12"/>
        <v>0.33000000000000035</v>
      </c>
      <c r="AA104">
        <f t="shared" ca="1" si="13"/>
        <v>0.54929697043000003</v>
      </c>
    </row>
    <row r="105" spans="26:27" x14ac:dyDescent="0.25">
      <c r="Z105" s="36">
        <f t="shared" ca="1" si="12"/>
        <v>0.34000000000000036</v>
      </c>
      <c r="AA105">
        <f t="shared" ca="1" si="13"/>
        <v>0.55053454456000006</v>
      </c>
    </row>
    <row r="106" spans="26:27" x14ac:dyDescent="0.25">
      <c r="Z106" s="36">
        <f t="shared" ca="1" si="12"/>
        <v>0.35000000000000037</v>
      </c>
      <c r="AA106">
        <f t="shared" ca="1" si="13"/>
        <v>0.55177634625000005</v>
      </c>
    </row>
    <row r="107" spans="26:27" x14ac:dyDescent="0.25">
      <c r="Z107" s="36">
        <f t="shared" ca="1" si="12"/>
        <v>0.36000000000000038</v>
      </c>
      <c r="AA107">
        <f t="shared" ca="1" si="13"/>
        <v>0.55302136384</v>
      </c>
    </row>
    <row r="108" spans="26:27" x14ac:dyDescent="0.25">
      <c r="Z108" s="36">
        <f t="shared" ca="1" si="12"/>
        <v>0.37000000000000038</v>
      </c>
      <c r="AA108">
        <f t="shared" ca="1" si="13"/>
        <v>0.55426858567000004</v>
      </c>
    </row>
    <row r="109" spans="26:27" x14ac:dyDescent="0.25">
      <c r="Z109" s="36">
        <f t="shared" ca="1" si="12"/>
        <v>0.38000000000000039</v>
      </c>
      <c r="AA109">
        <f t="shared" ca="1" si="13"/>
        <v>0.55551700007999993</v>
      </c>
    </row>
    <row r="110" spans="26:27" x14ac:dyDescent="0.25">
      <c r="Z110" s="36">
        <f t="shared" ca="1" si="12"/>
        <v>0.3900000000000004</v>
      </c>
      <c r="AA110">
        <f t="shared" ca="1" si="13"/>
        <v>0.55676559541000004</v>
      </c>
    </row>
    <row r="111" spans="26:27" x14ac:dyDescent="0.25">
      <c r="Z111" s="36">
        <f t="shared" ca="1" si="12"/>
        <v>0.40000000000000041</v>
      </c>
      <c r="AA111">
        <f t="shared" ca="1" si="13"/>
        <v>0.5580133599999999</v>
      </c>
    </row>
    <row r="112" spans="26:27" x14ac:dyDescent="0.25">
      <c r="Z112" s="36">
        <f t="shared" ca="1" si="12"/>
        <v>0.41000000000000042</v>
      </c>
      <c r="AA112">
        <f t="shared" ca="1" si="13"/>
        <v>0.5592592821900001</v>
      </c>
    </row>
    <row r="113" spans="26:27" x14ac:dyDescent="0.25">
      <c r="Z113" s="36">
        <f t="shared" ca="1" si="12"/>
        <v>0.42000000000000043</v>
      </c>
      <c r="AA113">
        <f t="shared" ca="1" si="13"/>
        <v>0.56050235032000006</v>
      </c>
    </row>
    <row r="114" spans="26:27" x14ac:dyDescent="0.25">
      <c r="Z114" s="36">
        <f t="shared" ca="1" si="12"/>
        <v>0.43000000000000044</v>
      </c>
      <c r="AA114">
        <f t="shared" ca="1" si="13"/>
        <v>0.56174155273000004</v>
      </c>
    </row>
    <row r="115" spans="26:27" x14ac:dyDescent="0.25">
      <c r="Z115" s="36">
        <f t="shared" ca="1" si="12"/>
        <v>0.44000000000000045</v>
      </c>
      <c r="AA115">
        <f t="shared" ca="1" si="13"/>
        <v>0.56297587776000002</v>
      </c>
    </row>
    <row r="116" spans="26:27" x14ac:dyDescent="0.25">
      <c r="Z116" s="36">
        <f t="shared" ca="1" si="12"/>
        <v>0.45000000000000046</v>
      </c>
      <c r="AA116">
        <f t="shared" ca="1" si="13"/>
        <v>0.56420431375000002</v>
      </c>
    </row>
    <row r="117" spans="26:27" x14ac:dyDescent="0.25">
      <c r="Z117" s="36">
        <f t="shared" ca="1" si="12"/>
        <v>0.46000000000000046</v>
      </c>
      <c r="AA117">
        <f t="shared" ca="1" si="13"/>
        <v>0.56542584904000004</v>
      </c>
    </row>
    <row r="118" spans="26:27" x14ac:dyDescent="0.25">
      <c r="Z118" s="36">
        <f t="shared" ca="1" si="12"/>
        <v>0.47000000000000047</v>
      </c>
      <c r="AA118">
        <f t="shared" ca="1" si="13"/>
        <v>0.56663947196999997</v>
      </c>
    </row>
    <row r="119" spans="26:27" x14ac:dyDescent="0.25">
      <c r="Z119" s="36">
        <f t="shared" ca="1" si="12"/>
        <v>0.48000000000000048</v>
      </c>
      <c r="AA119">
        <f t="shared" ca="1" si="13"/>
        <v>0.56784417088000005</v>
      </c>
    </row>
    <row r="120" spans="26:27" x14ac:dyDescent="0.25">
      <c r="Z120" s="36">
        <f t="shared" ca="1" si="12"/>
        <v>0.49000000000000049</v>
      </c>
      <c r="AA120">
        <f t="shared" ca="1" si="13"/>
        <v>0.56903893411000006</v>
      </c>
    </row>
    <row r="121" spans="26:27" x14ac:dyDescent="0.25">
      <c r="Z121" s="36">
        <f t="shared" ca="1" si="12"/>
        <v>0.50000000000000044</v>
      </c>
      <c r="AA121">
        <f t="shared" ca="1" si="13"/>
        <v>0.57022275000000011</v>
      </c>
    </row>
    <row r="122" spans="26:27" x14ac:dyDescent="0.25">
      <c r="Z122" s="36">
        <f t="shared" ca="1" si="12"/>
        <v>0.51000000000000045</v>
      </c>
      <c r="AA122">
        <f t="shared" ca="1" si="13"/>
        <v>0.57139460688999999</v>
      </c>
    </row>
    <row r="123" spans="26:27" x14ac:dyDescent="0.25">
      <c r="Z123" s="36">
        <f t="shared" ca="1" si="12"/>
        <v>0.52000000000000046</v>
      </c>
      <c r="AA123">
        <f t="shared" ca="1" si="13"/>
        <v>0.57255349312000015</v>
      </c>
    </row>
    <row r="124" spans="26:27" x14ac:dyDescent="0.25">
      <c r="Z124" s="36">
        <f t="shared" ca="1" si="12"/>
        <v>0.53000000000000047</v>
      </c>
      <c r="AA124">
        <f t="shared" ca="1" si="13"/>
        <v>0.57369839703000003</v>
      </c>
    </row>
    <row r="125" spans="26:27" x14ac:dyDescent="0.25">
      <c r="Z125" s="36">
        <f t="shared" ca="1" si="12"/>
        <v>0.54000000000000048</v>
      </c>
      <c r="AA125">
        <f t="shared" ca="1" si="13"/>
        <v>0.57482830695999998</v>
      </c>
    </row>
    <row r="126" spans="26:27" x14ac:dyDescent="0.25">
      <c r="Z126" s="36">
        <f t="shared" ca="1" si="12"/>
        <v>0.55000000000000049</v>
      </c>
      <c r="AA126">
        <f t="shared" ca="1" si="13"/>
        <v>0.57594221125</v>
      </c>
    </row>
    <row r="127" spans="26:27" x14ac:dyDescent="0.25">
      <c r="Z127" s="36">
        <f t="shared" ca="1" si="12"/>
        <v>0.5600000000000005</v>
      </c>
      <c r="AA127">
        <f t="shared" ca="1" si="13"/>
        <v>0.57703909823999999</v>
      </c>
    </row>
    <row r="128" spans="26:27" x14ac:dyDescent="0.25">
      <c r="Z128" s="36">
        <f t="shared" ca="1" si="12"/>
        <v>0.57000000000000051</v>
      </c>
      <c r="AA128">
        <f t="shared" ca="1" si="13"/>
        <v>0.57811795627000007</v>
      </c>
    </row>
    <row r="129" spans="26:27" x14ac:dyDescent="0.25">
      <c r="Z129" s="36">
        <f t="shared" ca="1" si="12"/>
        <v>0.58000000000000052</v>
      </c>
      <c r="AA129">
        <f t="shared" ca="1" si="13"/>
        <v>0.57917777368000001</v>
      </c>
    </row>
    <row r="130" spans="26:27" x14ac:dyDescent="0.25">
      <c r="Z130" s="36">
        <f t="shared" ca="1" si="12"/>
        <v>0.59000000000000052</v>
      </c>
      <c r="AA130">
        <f t="shared" ca="1" si="13"/>
        <v>0.58021753881000004</v>
      </c>
    </row>
    <row r="131" spans="26:27" x14ac:dyDescent="0.25">
      <c r="Z131" s="36">
        <f t="shared" ca="1" si="12"/>
        <v>0.60000000000000053</v>
      </c>
      <c r="AA131">
        <f t="shared" ca="1" si="13"/>
        <v>0.58123623999999996</v>
      </c>
    </row>
    <row r="132" spans="26:27" x14ac:dyDescent="0.25">
      <c r="Z132" s="36">
        <f t="shared" ca="1" si="12"/>
        <v>0.61000000000000054</v>
      </c>
      <c r="AA132">
        <f t="shared" ca="1" si="13"/>
        <v>0.58223286559000009</v>
      </c>
    </row>
    <row r="133" spans="26:27" x14ac:dyDescent="0.25">
      <c r="Z133" s="36">
        <f t="shared" ca="1" si="12"/>
        <v>0.62000000000000055</v>
      </c>
      <c r="AA133">
        <f t="shared" ca="1" si="13"/>
        <v>0.58320640392</v>
      </c>
    </row>
    <row r="134" spans="26:27" x14ac:dyDescent="0.25">
      <c r="Z134" s="36">
        <f t="shared" ca="1" si="12"/>
        <v>0.63000000000000056</v>
      </c>
      <c r="AA134">
        <f t="shared" ca="1" si="13"/>
        <v>0.58415584333000004</v>
      </c>
    </row>
    <row r="135" spans="26:27" x14ac:dyDescent="0.25">
      <c r="Z135" s="36">
        <f t="shared" ca="1" si="12"/>
        <v>0.64000000000000057</v>
      </c>
      <c r="AA135">
        <f t="shared" ca="1" si="13"/>
        <v>0.58508017215999997</v>
      </c>
    </row>
    <row r="136" spans="26:27" x14ac:dyDescent="0.25">
      <c r="Z136" s="36">
        <f t="shared" ca="1" si="12"/>
        <v>0.65000000000000058</v>
      </c>
      <c r="AA136">
        <f t="shared" ca="1" si="13"/>
        <v>0.58597837874999992</v>
      </c>
    </row>
    <row r="137" spans="26:27" x14ac:dyDescent="0.25">
      <c r="Z137" s="36">
        <f t="shared" ca="1" si="12"/>
        <v>0.66000000000000059</v>
      </c>
      <c r="AA137">
        <f t="shared" ca="1" si="13"/>
        <v>0.58684945144</v>
      </c>
    </row>
    <row r="138" spans="26:27" x14ac:dyDescent="0.25">
      <c r="Z138" s="36">
        <f t="shared" ca="1" si="12"/>
        <v>0.6700000000000006</v>
      </c>
      <c r="AA138">
        <f t="shared" ca="1" si="13"/>
        <v>0.5876923785699999</v>
      </c>
    </row>
    <row r="139" spans="26:27" x14ac:dyDescent="0.25">
      <c r="Z139" s="36">
        <f t="shared" ca="1" si="12"/>
        <v>0.6800000000000006</v>
      </c>
      <c r="AA139">
        <f t="shared" ca="1" si="13"/>
        <v>0.58850614848000005</v>
      </c>
    </row>
    <row r="140" spans="26:27" x14ac:dyDescent="0.25">
      <c r="Z140" s="36">
        <f t="shared" ca="1" si="12"/>
        <v>0.69000000000000061</v>
      </c>
      <c r="AA140">
        <f t="shared" ca="1" si="13"/>
        <v>0.58928974950999991</v>
      </c>
    </row>
    <row r="141" spans="26:27" x14ac:dyDescent="0.25">
      <c r="Z141" s="36">
        <f t="shared" ca="1" si="12"/>
        <v>0.70000000000000062</v>
      </c>
      <c r="AA141">
        <f t="shared" ca="1" si="13"/>
        <v>0.59004217000000003</v>
      </c>
    </row>
    <row r="142" spans="26:27" x14ac:dyDescent="0.25">
      <c r="Z142" s="36">
        <f t="shared" ca="1" si="12"/>
        <v>0.71000000000000063</v>
      </c>
      <c r="AA142">
        <f t="shared" ca="1" si="13"/>
        <v>0.59076239828999999</v>
      </c>
    </row>
    <row r="143" spans="26:27" x14ac:dyDescent="0.25">
      <c r="Z143" s="36">
        <f t="shared" ca="1" si="12"/>
        <v>0.72000000000000064</v>
      </c>
      <c r="AA143">
        <f t="shared" ca="1" si="13"/>
        <v>0.59144942272000012</v>
      </c>
    </row>
    <row r="144" spans="26:27" x14ac:dyDescent="0.25">
      <c r="Z144" s="36">
        <f t="shared" ca="1" si="12"/>
        <v>0.73000000000000065</v>
      </c>
      <c r="AA144">
        <f t="shared" ca="1" si="13"/>
        <v>0.59210223162999998</v>
      </c>
    </row>
    <row r="145" spans="26:27" x14ac:dyDescent="0.25">
      <c r="Z145" s="36">
        <f t="shared" ca="1" si="12"/>
        <v>0.74000000000000066</v>
      </c>
      <c r="AA145">
        <f t="shared" ca="1" si="13"/>
        <v>0.59271981336000013</v>
      </c>
    </row>
    <row r="146" spans="26:27" x14ac:dyDescent="0.25">
      <c r="Z146" s="36">
        <f t="shared" ca="1" si="12"/>
        <v>0.75000000000000067</v>
      </c>
      <c r="AA146">
        <f t="shared" ca="1" si="13"/>
        <v>0.59330115625000002</v>
      </c>
    </row>
    <row r="147" spans="26:27" x14ac:dyDescent="0.25">
      <c r="Z147" s="36">
        <f t="shared" ca="1" si="12"/>
        <v>0.76000000000000068</v>
      </c>
      <c r="AA147">
        <f t="shared" ca="1" si="13"/>
        <v>0.59384524863999999</v>
      </c>
    </row>
    <row r="148" spans="26:27" x14ac:dyDescent="0.25">
      <c r="Z148" s="36">
        <f t="shared" ca="1" si="12"/>
        <v>0.77000000000000068</v>
      </c>
      <c r="AA148">
        <f t="shared" ca="1" si="13"/>
        <v>0.59435107887000005</v>
      </c>
    </row>
    <row r="149" spans="26:27" x14ac:dyDescent="0.25">
      <c r="Z149" s="36">
        <f t="shared" ca="1" si="12"/>
        <v>0.78000000000000069</v>
      </c>
      <c r="AA149">
        <f t="shared" ca="1" si="13"/>
        <v>0.59481763527999998</v>
      </c>
    </row>
    <row r="150" spans="26:27" x14ac:dyDescent="0.25">
      <c r="Z150" s="36">
        <f t="shared" ca="1" si="12"/>
        <v>0.7900000000000007</v>
      </c>
      <c r="AA150">
        <f t="shared" ca="1" si="13"/>
        <v>0.59524390621000012</v>
      </c>
    </row>
    <row r="151" spans="26:27" x14ac:dyDescent="0.25">
      <c r="Z151" s="36">
        <f t="shared" ca="1" si="12"/>
        <v>0.80000000000000071</v>
      </c>
      <c r="AA151">
        <f t="shared" ca="1" si="13"/>
        <v>0.59562888000000003</v>
      </c>
    </row>
    <row r="152" spans="26:27" x14ac:dyDescent="0.25">
      <c r="Z152" s="36">
        <f t="shared" ref="Z152:Z160" ca="1" si="14">+Z151+0.01</f>
        <v>0.81000000000000072</v>
      </c>
      <c r="AA152">
        <f t="shared" ca="1" si="13"/>
        <v>0.59597154499000005</v>
      </c>
    </row>
    <row r="153" spans="26:27" x14ac:dyDescent="0.25">
      <c r="Z153" s="36">
        <f t="shared" ca="1" si="14"/>
        <v>0.82000000000000073</v>
      </c>
      <c r="AA153">
        <f t="shared" ca="1" si="13"/>
        <v>0.59627088952000007</v>
      </c>
    </row>
    <row r="154" spans="26:27" x14ac:dyDescent="0.25">
      <c r="Z154" s="36">
        <f t="shared" ca="1" si="14"/>
        <v>0.83000000000000074</v>
      </c>
      <c r="AA154">
        <f t="shared" ca="1" si="13"/>
        <v>0.59652590192999999</v>
      </c>
    </row>
    <row r="155" spans="26:27" x14ac:dyDescent="0.25">
      <c r="Z155" s="36">
        <f t="shared" ca="1" si="14"/>
        <v>0.84000000000000075</v>
      </c>
      <c r="AA155">
        <f t="shared" ca="1" si="13"/>
        <v>0.59673557056000004</v>
      </c>
    </row>
    <row r="156" spans="26:27" x14ac:dyDescent="0.25">
      <c r="Z156" s="36">
        <f t="shared" ca="1" si="14"/>
        <v>0.85000000000000075</v>
      </c>
      <c r="AA156">
        <f t="shared" ca="1" si="13"/>
        <v>0.59689888375</v>
      </c>
    </row>
    <row r="157" spans="26:27" x14ac:dyDescent="0.25">
      <c r="Z157" s="36">
        <f t="shared" ca="1" si="14"/>
        <v>0.86000000000000076</v>
      </c>
      <c r="AA157">
        <f t="shared" ca="1" si="13"/>
        <v>0.59701482983999998</v>
      </c>
    </row>
    <row r="158" spans="26:27" x14ac:dyDescent="0.25">
      <c r="Z158" s="36">
        <f t="shared" ca="1" si="14"/>
        <v>0.87000000000000077</v>
      </c>
      <c r="AA158">
        <f t="shared" ca="1" si="13"/>
        <v>0.59708239716999989</v>
      </c>
    </row>
    <row r="159" spans="26:27" x14ac:dyDescent="0.25">
      <c r="Z159" s="36">
        <f t="shared" ca="1" si="14"/>
        <v>0.88000000000000078</v>
      </c>
      <c r="AA159">
        <f t="shared" ca="1" si="13"/>
        <v>0.59710057407999995</v>
      </c>
    </row>
    <row r="160" spans="26:27" x14ac:dyDescent="0.25">
      <c r="Z160" s="36">
        <f t="shared" ca="1" si="14"/>
        <v>0.89000000000000079</v>
      </c>
      <c r="AA160">
        <f t="shared" ca="1" si="13"/>
        <v>0.59706834890999994</v>
      </c>
    </row>
    <row r="161" spans="26:27" x14ac:dyDescent="0.25">
      <c r="Z161" s="36">
        <f t="shared" ref="Z161:Z200" ca="1" si="15">+Z160+0.01</f>
        <v>0.9000000000000008</v>
      </c>
      <c r="AA161">
        <f t="shared" ca="1" si="13"/>
        <v>0.59698471000000009</v>
      </c>
    </row>
    <row r="162" spans="26:27" x14ac:dyDescent="0.25">
      <c r="Z162" s="36">
        <f t="shared" ca="1" si="15"/>
        <v>0.91000000000000081</v>
      </c>
      <c r="AA162">
        <f t="shared" ref="AA162:AA200" ca="1" si="16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0.59684864568999996</v>
      </c>
    </row>
    <row r="163" spans="26:27" x14ac:dyDescent="0.25">
      <c r="Z163" s="36">
        <f t="shared" ca="1" si="15"/>
        <v>0.92000000000000082</v>
      </c>
      <c r="AA163">
        <f t="shared" ca="1" si="16"/>
        <v>0.59665914432</v>
      </c>
    </row>
    <row r="164" spans="26:27" x14ac:dyDescent="0.25">
      <c r="Z164" s="36">
        <f t="shared" ca="1" si="15"/>
        <v>0.93000000000000083</v>
      </c>
      <c r="AA164">
        <f t="shared" ca="1" si="16"/>
        <v>0.59641519422999989</v>
      </c>
    </row>
    <row r="165" spans="26:27" x14ac:dyDescent="0.25">
      <c r="Z165" s="36">
        <f t="shared" ca="1" si="15"/>
        <v>0.94000000000000083</v>
      </c>
      <c r="AA165">
        <f t="shared" ca="1" si="16"/>
        <v>0.59611578375999996</v>
      </c>
    </row>
    <row r="166" spans="26:27" x14ac:dyDescent="0.25">
      <c r="Z166" s="36">
        <f t="shared" ca="1" si="15"/>
        <v>0.95000000000000084</v>
      </c>
      <c r="AA166">
        <f t="shared" ca="1" si="16"/>
        <v>0.59575990124999989</v>
      </c>
    </row>
    <row r="167" spans="26:27" x14ac:dyDescent="0.25">
      <c r="Z167" s="36">
        <f t="shared" ca="1" si="15"/>
        <v>0.96000000000000085</v>
      </c>
      <c r="AA167">
        <f t="shared" ca="1" si="16"/>
        <v>0.59534653504000001</v>
      </c>
    </row>
    <row r="168" spans="26:27" x14ac:dyDescent="0.25">
      <c r="Z168" s="36">
        <f t="shared" ca="1" si="15"/>
        <v>0.97000000000000086</v>
      </c>
      <c r="AA168">
        <f t="shared" ca="1" si="16"/>
        <v>0.59487467347</v>
      </c>
    </row>
    <row r="169" spans="26:27" x14ac:dyDescent="0.25">
      <c r="Z169" s="36">
        <f t="shared" ca="1" si="15"/>
        <v>0.98000000000000087</v>
      </c>
      <c r="AA169">
        <f t="shared" ca="1" si="16"/>
        <v>0.59434330487999987</v>
      </c>
    </row>
    <row r="170" spans="26:27" x14ac:dyDescent="0.25">
      <c r="Z170" s="36">
        <f t="shared" ca="1" si="15"/>
        <v>0.99000000000000088</v>
      </c>
      <c r="AA170">
        <f t="shared" ca="1" si="16"/>
        <v>0.59375141761000005</v>
      </c>
    </row>
    <row r="171" spans="26:27" x14ac:dyDescent="0.25">
      <c r="Z171" s="36">
        <f t="shared" ca="1" si="15"/>
        <v>1.0000000000000009</v>
      </c>
      <c r="AA171">
        <f t="shared" ca="1" si="16"/>
        <v>0.59309799999999979</v>
      </c>
    </row>
    <row r="172" spans="26:27" x14ac:dyDescent="0.25">
      <c r="Z172" s="36">
        <f t="shared" ca="1" si="15"/>
        <v>1.0100000000000009</v>
      </c>
      <c r="AA172">
        <f t="shared" ca="1" si="16"/>
        <v>0.59238204038999998</v>
      </c>
    </row>
    <row r="173" spans="26:27" x14ac:dyDescent="0.25">
      <c r="Z173" s="36">
        <f t="shared" ca="1" si="15"/>
        <v>1.0200000000000009</v>
      </c>
      <c r="AA173">
        <f t="shared" ca="1" si="16"/>
        <v>0.59160252711999983</v>
      </c>
    </row>
    <row r="174" spans="26:27" x14ac:dyDescent="0.25">
      <c r="Z174" s="36">
        <f t="shared" ca="1" si="15"/>
        <v>1.0300000000000009</v>
      </c>
      <c r="AA174">
        <f t="shared" ca="1" si="16"/>
        <v>0.59075844852999992</v>
      </c>
    </row>
    <row r="175" spans="26:27" x14ac:dyDescent="0.25">
      <c r="Z175" s="36">
        <f t="shared" ca="1" si="15"/>
        <v>1.0400000000000009</v>
      </c>
      <c r="AA175">
        <f t="shared" ca="1" si="16"/>
        <v>0.58984879295999981</v>
      </c>
    </row>
    <row r="176" spans="26:27" x14ac:dyDescent="0.25">
      <c r="Z176" s="36">
        <f t="shared" ca="1" si="15"/>
        <v>1.0500000000000009</v>
      </c>
      <c r="AA176">
        <f t="shared" ca="1" si="16"/>
        <v>0.58887254874999995</v>
      </c>
    </row>
    <row r="177" spans="26:27" x14ac:dyDescent="0.25">
      <c r="Z177" s="36">
        <f t="shared" ca="1" si="15"/>
        <v>1.0600000000000009</v>
      </c>
      <c r="AA177">
        <f t="shared" ca="1" si="16"/>
        <v>0.58782870423999989</v>
      </c>
    </row>
    <row r="178" spans="26:27" x14ac:dyDescent="0.25">
      <c r="Z178" s="36">
        <f t="shared" ca="1" si="15"/>
        <v>1.070000000000001</v>
      </c>
      <c r="AA178">
        <f t="shared" ca="1" si="16"/>
        <v>0.58671624776999987</v>
      </c>
    </row>
    <row r="179" spans="26:27" x14ac:dyDescent="0.25">
      <c r="Z179" s="36">
        <f t="shared" ca="1" si="15"/>
        <v>1.080000000000001</v>
      </c>
      <c r="AA179">
        <f t="shared" ca="1" si="16"/>
        <v>0.58553416767999988</v>
      </c>
    </row>
    <row r="180" spans="26:27" x14ac:dyDescent="0.25">
      <c r="Z180" s="36">
        <f t="shared" ca="1" si="15"/>
        <v>1.090000000000001</v>
      </c>
      <c r="AA180">
        <f t="shared" ca="1" si="16"/>
        <v>0.58428145230999984</v>
      </c>
    </row>
    <row r="181" spans="26:27" x14ac:dyDescent="0.25">
      <c r="Z181" s="36">
        <f t="shared" ca="1" si="15"/>
        <v>1.100000000000001</v>
      </c>
      <c r="AA181">
        <f t="shared" ca="1" si="16"/>
        <v>0.58295708999999984</v>
      </c>
    </row>
    <row r="182" spans="26:27" x14ac:dyDescent="0.25">
      <c r="Z182" s="36">
        <f t="shared" ca="1" si="15"/>
        <v>1.110000000000001</v>
      </c>
      <c r="AA182">
        <f t="shared" ca="1" si="16"/>
        <v>0.5815600690899998</v>
      </c>
    </row>
    <row r="183" spans="26:27" x14ac:dyDescent="0.25">
      <c r="Z183" s="36">
        <f t="shared" ca="1" si="15"/>
        <v>1.120000000000001</v>
      </c>
      <c r="AA183">
        <f t="shared" ca="1" si="16"/>
        <v>0.58008937791999982</v>
      </c>
    </row>
    <row r="184" spans="26:27" x14ac:dyDescent="0.25">
      <c r="Z184" s="36">
        <f t="shared" ca="1" si="15"/>
        <v>1.130000000000001</v>
      </c>
      <c r="AA184">
        <f t="shared" ca="1" si="16"/>
        <v>0.57854400482999979</v>
      </c>
    </row>
    <row r="185" spans="26:27" x14ac:dyDescent="0.25">
      <c r="Z185" s="36">
        <f t="shared" ca="1" si="15"/>
        <v>1.140000000000001</v>
      </c>
      <c r="AA185">
        <f t="shared" ca="1" si="16"/>
        <v>0.57692293815999984</v>
      </c>
    </row>
    <row r="186" spans="26:27" x14ac:dyDescent="0.25">
      <c r="Z186" s="36">
        <f t="shared" ca="1" si="15"/>
        <v>1.150000000000001</v>
      </c>
      <c r="AA186">
        <f t="shared" ca="1" si="16"/>
        <v>0.57522516624999975</v>
      </c>
    </row>
    <row r="187" spans="26:27" x14ac:dyDescent="0.25">
      <c r="Z187" s="36">
        <f t="shared" ca="1" si="15"/>
        <v>1.160000000000001</v>
      </c>
      <c r="AA187">
        <f t="shared" ca="1" si="16"/>
        <v>0.57344967743999975</v>
      </c>
    </row>
    <row r="188" spans="26:27" x14ac:dyDescent="0.25">
      <c r="Z188" s="36">
        <f t="shared" ca="1" si="15"/>
        <v>1.170000000000001</v>
      </c>
      <c r="AA188">
        <f t="shared" ca="1" si="16"/>
        <v>0.57159546006999973</v>
      </c>
    </row>
    <row r="189" spans="26:27" x14ac:dyDescent="0.25">
      <c r="Z189" s="36">
        <f t="shared" ca="1" si="15"/>
        <v>1.180000000000001</v>
      </c>
      <c r="AA189">
        <f t="shared" ca="1" si="16"/>
        <v>0.5696615024799998</v>
      </c>
    </row>
    <row r="190" spans="26:27" x14ac:dyDescent="0.25">
      <c r="Z190" s="36">
        <f t="shared" ca="1" si="15"/>
        <v>1.1900000000000011</v>
      </c>
      <c r="AA190">
        <f t="shared" ca="1" si="16"/>
        <v>0.56764679300999976</v>
      </c>
    </row>
    <row r="191" spans="26:27" x14ac:dyDescent="0.25">
      <c r="Z191" s="36">
        <f t="shared" ca="1" si="15"/>
        <v>1.2000000000000011</v>
      </c>
      <c r="AA191">
        <f t="shared" ca="1" si="16"/>
        <v>0.56555031999999961</v>
      </c>
    </row>
    <row r="192" spans="26:27" x14ac:dyDescent="0.25">
      <c r="Z192" s="36">
        <f t="shared" ca="1" si="15"/>
        <v>1.2100000000000011</v>
      </c>
      <c r="AA192">
        <f t="shared" ca="1" si="16"/>
        <v>0.56337107178999979</v>
      </c>
    </row>
    <row r="193" spans="26:27" x14ac:dyDescent="0.25">
      <c r="Z193" s="36">
        <f t="shared" ca="1" si="15"/>
        <v>1.2200000000000011</v>
      </c>
      <c r="AA193">
        <f t="shared" ca="1" si="16"/>
        <v>0.56110803671999976</v>
      </c>
    </row>
    <row r="194" spans="26:27" x14ac:dyDescent="0.25">
      <c r="Z194" s="36">
        <f t="shared" ca="1" si="15"/>
        <v>1.2300000000000011</v>
      </c>
      <c r="AA194">
        <f t="shared" ca="1" si="16"/>
        <v>0.55876020312999986</v>
      </c>
    </row>
    <row r="195" spans="26:27" x14ac:dyDescent="0.25">
      <c r="Z195" s="36">
        <f t="shared" ca="1" si="15"/>
        <v>1.2400000000000011</v>
      </c>
      <c r="AA195">
        <f t="shared" ca="1" si="16"/>
        <v>0.55632655935999975</v>
      </c>
    </row>
    <row r="196" spans="26:27" x14ac:dyDescent="0.25">
      <c r="Z196" s="36">
        <f t="shared" ca="1" si="15"/>
        <v>1.2500000000000011</v>
      </c>
      <c r="AA196">
        <f t="shared" ca="1" si="16"/>
        <v>0.55380609374999978</v>
      </c>
    </row>
    <row r="197" spans="26:27" x14ac:dyDescent="0.25">
      <c r="Z197" s="36">
        <f t="shared" ca="1" si="15"/>
        <v>1.2600000000000011</v>
      </c>
      <c r="AA197">
        <f t="shared" ca="1" si="16"/>
        <v>0.55119779463999974</v>
      </c>
    </row>
    <row r="198" spans="26:27" x14ac:dyDescent="0.25">
      <c r="Z198" s="36">
        <f t="shared" ca="1" si="15"/>
        <v>1.2700000000000011</v>
      </c>
      <c r="AA198">
        <f t="shared" ca="1" si="16"/>
        <v>0.54850065036999962</v>
      </c>
    </row>
    <row r="199" spans="26:27" x14ac:dyDescent="0.25">
      <c r="Z199" s="36">
        <f t="shared" ca="1" si="15"/>
        <v>1.2800000000000011</v>
      </c>
      <c r="AA199">
        <f t="shared" ca="1" si="16"/>
        <v>0.54571364927999966</v>
      </c>
    </row>
    <row r="200" spans="26:27" x14ac:dyDescent="0.25">
      <c r="Z200" s="36">
        <f t="shared" ca="1" si="15"/>
        <v>1.2900000000000011</v>
      </c>
      <c r="AA200">
        <f t="shared" ca="1" si="16"/>
        <v>0.54283577970999963</v>
      </c>
    </row>
  </sheetData>
  <mergeCells count="1">
    <mergeCell ref="Z30:AA30"/>
  </mergeCells>
  <phoneticPr fontId="14" type="noConversion"/>
  <pageMargins left="0.71" right="0.61" top="1" bottom="1" header="0.5" footer="0.5"/>
  <pageSetup scale="9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579120</xdr:colOff>
                    <xdr:row>3</xdr:row>
                    <xdr:rowOff>38100</xdr:rowOff>
                  </from>
                  <to>
                    <xdr:col>13</xdr:col>
                    <xdr:colOff>579120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22860</xdr:rowOff>
                  </from>
                  <to>
                    <xdr:col>5</xdr:col>
                    <xdr:colOff>556260</xdr:colOff>
                    <xdr:row>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217"/>
  <sheetViews>
    <sheetView workbookViewId="0"/>
  </sheetViews>
  <sheetFormatPr defaultColWidth="8" defaultRowHeight="10.199999999999999" x14ac:dyDescent="0.2"/>
  <cols>
    <col min="1" max="2" width="8" style="39" customWidth="1"/>
    <col min="3" max="3" width="10" style="39" customWidth="1"/>
    <col min="4" max="4" width="8" style="39" customWidth="1"/>
    <col min="5" max="5" width="9.109375" style="39" customWidth="1"/>
    <col min="6" max="10" width="9.109375" style="39" hidden="1" customWidth="1"/>
    <col min="11" max="11" width="4.5546875" style="39" hidden="1" customWidth="1"/>
    <col min="12" max="13" width="8" style="39" hidden="1" customWidth="1"/>
    <col min="14" max="14" width="3" style="39" hidden="1" customWidth="1"/>
    <col min="15" max="16" width="8" style="39" hidden="1" customWidth="1"/>
    <col min="17" max="17" width="3.5546875" style="39" hidden="1" customWidth="1"/>
    <col min="18" max="19" width="8" style="39" hidden="1" customWidth="1"/>
    <col min="20" max="20" width="1.5546875" style="39" hidden="1" customWidth="1"/>
    <col min="21" max="21" width="8" style="39" hidden="1" customWidth="1"/>
    <col min="22" max="22" width="3.109375" style="39" hidden="1" customWidth="1"/>
    <col min="23" max="23" width="10" style="39" customWidth="1"/>
    <col min="24" max="24" width="11.6640625" style="39" hidden="1" customWidth="1"/>
    <col min="25" max="25" width="2.5546875" style="39" hidden="1" customWidth="1"/>
    <col min="26" max="30" width="10" style="39" hidden="1" customWidth="1"/>
    <col min="31" max="33" width="10" style="39" customWidth="1"/>
    <col min="34" max="35" width="10" style="39" hidden="1" customWidth="1"/>
    <col min="36" max="36" width="2.6640625" style="39" customWidth="1"/>
    <col min="37" max="37" width="9.6640625" style="39" customWidth="1"/>
    <col min="38" max="38" width="2.6640625" style="39" customWidth="1"/>
    <col min="39" max="40" width="10" style="39" customWidth="1"/>
    <col min="41" max="47" width="8" style="39" hidden="1" customWidth="1"/>
    <col min="48" max="48" width="8.109375" style="39" hidden="1" customWidth="1"/>
    <col min="49" max="50" width="8" style="39" hidden="1" customWidth="1"/>
    <col min="51" max="51" width="7.5546875" style="39" hidden="1" customWidth="1"/>
    <col min="52" max="58" width="8" style="39" hidden="1" customWidth="1"/>
    <col min="59" max="16384" width="8" style="39"/>
  </cols>
  <sheetData>
    <row r="1" spans="2:62" x14ac:dyDescent="0.2">
      <c r="AP1" s="64" t="s">
        <v>90</v>
      </c>
    </row>
    <row r="2" spans="2:62" ht="24.6" x14ac:dyDescent="0.4">
      <c r="B2" s="40" t="s">
        <v>34</v>
      </c>
    </row>
    <row r="3" spans="2:62" x14ac:dyDescent="0.2">
      <c r="AQ3" s="74" t="s">
        <v>63</v>
      </c>
      <c r="AR3" s="74" t="s">
        <v>62</v>
      </c>
      <c r="AS3" s="74" t="s">
        <v>64</v>
      </c>
    </row>
    <row r="4" spans="2:62" x14ac:dyDescent="0.2">
      <c r="C4" s="39" t="s">
        <v>4</v>
      </c>
      <c r="D4" s="61">
        <f>UnderlyingPrice</f>
        <v>4.8449999999999998</v>
      </c>
      <c r="E4" s="61"/>
      <c r="F4" s="61"/>
      <c r="G4" s="61"/>
      <c r="H4" s="61"/>
      <c r="I4" s="61"/>
      <c r="J4" s="61"/>
      <c r="AP4" s="75" t="s">
        <v>65</v>
      </c>
      <c r="AQ4" s="76">
        <f>SQRT(2*PI())</f>
        <v>2.5066282746310002</v>
      </c>
      <c r="AR4" s="76">
        <f>SQRT(2*PI())</f>
        <v>2.5066282746310002</v>
      </c>
      <c r="AS4" s="77" t="s">
        <v>66</v>
      </c>
    </row>
    <row r="5" spans="2:62" x14ac:dyDescent="0.2">
      <c r="D5" s="42"/>
      <c r="E5" s="42"/>
      <c r="F5" s="42"/>
      <c r="G5" s="42"/>
      <c r="H5" s="42"/>
      <c r="I5" s="42"/>
      <c r="J5" s="42"/>
      <c r="AP5" s="75" t="s">
        <v>67</v>
      </c>
      <c r="AQ5" s="78">
        <f ca="1">D13</f>
        <v>3</v>
      </c>
      <c r="AR5" s="78">
        <f ca="1">D113</f>
        <v>6.5000000000000142</v>
      </c>
      <c r="AS5" s="77" t="s">
        <v>68</v>
      </c>
    </row>
    <row r="6" spans="2:62" x14ac:dyDescent="0.2">
      <c r="C6" s="39" t="s">
        <v>35</v>
      </c>
      <c r="D6" s="41">
        <f>Expiry-Today</f>
        <v>147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69</v>
      </c>
      <c r="AQ6" s="80">
        <f ca="1">I13</f>
        <v>0.5352920812697578</v>
      </c>
      <c r="AR6" s="80">
        <f ca="1">I113</f>
        <v>0.55073164361305049</v>
      </c>
      <c r="AS6" s="77" t="s">
        <v>70</v>
      </c>
    </row>
    <row r="7" spans="2:62" x14ac:dyDescent="0.2">
      <c r="C7" s="39" t="s">
        <v>36</v>
      </c>
      <c r="D7" s="43">
        <f>IntRate</f>
        <v>4.3099999999999999E-2</v>
      </c>
      <c r="E7" s="43"/>
      <c r="F7" s="43"/>
      <c r="G7" s="43"/>
      <c r="H7" s="43"/>
      <c r="I7" s="43"/>
      <c r="J7" s="43"/>
      <c r="U7" s="39" t="s">
        <v>37</v>
      </c>
      <c r="W7" s="44">
        <f ca="1">SUM(W13:W142)*+(ROUNDUP(MAX(StrikeRange),1)-ROUNDDOWN(MIN(StrikeRange),1))/100</f>
        <v>0.82056020192190393</v>
      </c>
      <c r="AA7" s="44"/>
      <c r="AE7" s="44">
        <f ca="1">SUM(AE13:AE179)*(ROUNDUP(MAX(StrikeRange),1)-ROUNDDOWN(MIN(StrikeRange),1))/100</f>
        <v>0.81500880180780355</v>
      </c>
      <c r="AF7" s="44"/>
      <c r="AG7" s="44"/>
      <c r="AH7" s="44"/>
      <c r="AI7" s="44"/>
      <c r="AJ7" s="44"/>
      <c r="AK7" s="44"/>
      <c r="AL7" s="44"/>
      <c r="AM7" s="44"/>
      <c r="AP7" s="75" t="s">
        <v>71</v>
      </c>
      <c r="AQ7" s="76">
        <f>T/365.25</f>
        <v>0.40246406570841892</v>
      </c>
      <c r="AR7" s="76">
        <f>T/365.25</f>
        <v>0.40246406570841892</v>
      </c>
      <c r="AS7" s="77" t="s">
        <v>72</v>
      </c>
    </row>
    <row r="8" spans="2:62" x14ac:dyDescent="0.2">
      <c r="C8" s="39" t="s">
        <v>33</v>
      </c>
      <c r="D8" s="45">
        <f>Yield</f>
        <v>4.3099999999999999E-2</v>
      </c>
      <c r="E8" s="45"/>
      <c r="F8" s="45"/>
      <c r="G8" s="45"/>
      <c r="H8" s="45"/>
      <c r="I8" s="45"/>
      <c r="J8" s="45"/>
      <c r="O8" s="39" t="s">
        <v>38</v>
      </c>
      <c r="P8" s="46">
        <v>5.0000000000000001E-4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73</v>
      </c>
      <c r="AQ8" s="80">
        <f ca="1">AQ6*SQRT(AQ7)</f>
        <v>0.33958959408764366</v>
      </c>
      <c r="AR8" s="80">
        <f ca="1">AR6*SQRT(AR7)</f>
        <v>0.34938446102573201</v>
      </c>
      <c r="AS8" s="81" t="s">
        <v>74</v>
      </c>
    </row>
    <row r="9" spans="2:62" ht="12.6" x14ac:dyDescent="0.3">
      <c r="C9" s="39" t="s">
        <v>39</v>
      </c>
      <c r="D9" s="47">
        <f>EXP(-IntRate*T/365.25)</f>
        <v>0.98280337799071238</v>
      </c>
      <c r="E9" s="47"/>
      <c r="F9" s="47"/>
      <c r="G9" s="47"/>
      <c r="H9" s="47"/>
      <c r="I9" s="47"/>
      <c r="J9" s="47"/>
      <c r="AP9" s="75" t="s">
        <v>75</v>
      </c>
      <c r="AQ9" s="76">
        <f ca="1">((LN(AQ5/$D$4)+0.5*AQ8^2)/AQ8)*Gamma2</f>
        <v>-1.2576251129261238</v>
      </c>
      <c r="AR9" s="76">
        <f ca="1">((LN(AR5/$D$4)+0.5*AR8^2)/AR8)*Gamma2</f>
        <v>1.0287695850208864</v>
      </c>
      <c r="AS9" s="81" t="s">
        <v>76</v>
      </c>
    </row>
    <row r="10" spans="2:62" ht="11.4" x14ac:dyDescent="0.2">
      <c r="L10" s="48" t="s">
        <v>1</v>
      </c>
      <c r="M10" s="48"/>
      <c r="O10" s="104" t="s">
        <v>100</v>
      </c>
      <c r="P10" s="48"/>
      <c r="R10" s="104" t="s">
        <v>101</v>
      </c>
      <c r="S10" s="48"/>
      <c r="AP10" s="75" t="s">
        <v>77</v>
      </c>
      <c r="AQ10" s="76">
        <f ca="1">AQ9^2</f>
        <v>1.5816209246624455</v>
      </c>
      <c r="AR10" s="76">
        <f ca="1">AR9^2</f>
        <v>1.0583668590640469</v>
      </c>
      <c r="AS10" s="82"/>
    </row>
    <row r="11" spans="2:62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92</v>
      </c>
      <c r="AL11" s="50"/>
      <c r="AM11" s="111" t="s">
        <v>93</v>
      </c>
      <c r="AN11" s="111"/>
      <c r="AP11" s="75" t="s">
        <v>78</v>
      </c>
      <c r="AQ11" s="76">
        <f ca="1">W13</f>
        <v>0.15615743600818888</v>
      </c>
      <c r="AR11" s="76">
        <f ca="1">W113</f>
        <v>9.2608845521757618E-2</v>
      </c>
      <c r="AS11" s="77" t="s">
        <v>79</v>
      </c>
      <c r="BI11" s="64" t="s">
        <v>116</v>
      </c>
    </row>
    <row r="12" spans="2:62" x14ac:dyDescent="0.2">
      <c r="D12" s="51" t="s">
        <v>0</v>
      </c>
      <c r="E12" s="39" t="s">
        <v>43</v>
      </c>
      <c r="F12" s="64" t="s">
        <v>50</v>
      </c>
      <c r="G12" s="64" t="s">
        <v>51</v>
      </c>
      <c r="H12" s="64" t="s">
        <v>49</v>
      </c>
      <c r="I12" s="39" t="s">
        <v>44</v>
      </c>
      <c r="J12" s="64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67</v>
      </c>
      <c r="AH12" s="91" t="s">
        <v>102</v>
      </c>
      <c r="AI12" s="91" t="s">
        <v>103</v>
      </c>
      <c r="AJ12" s="92"/>
      <c r="AK12" s="91" t="s">
        <v>94</v>
      </c>
      <c r="AL12" s="92"/>
      <c r="AM12" s="91" t="s">
        <v>67</v>
      </c>
      <c r="AN12" s="91" t="s">
        <v>94</v>
      </c>
      <c r="AP12" s="75" t="s">
        <v>80</v>
      </c>
      <c r="AQ12" s="76">
        <f ca="1">NORMSDIST(AQ9)</f>
        <v>0.10426374902945001</v>
      </c>
      <c r="AR12" s="76">
        <f ca="1">NORMSDIST(AR9)</f>
        <v>0.84820600207901642</v>
      </c>
      <c r="AS12" s="77" t="s">
        <v>81</v>
      </c>
      <c r="AX12" s="64" t="s">
        <v>106</v>
      </c>
      <c r="AY12" s="64" t="s">
        <v>107</v>
      </c>
      <c r="AZ12" s="64" t="s">
        <v>108</v>
      </c>
      <c r="BB12" s="64" t="s">
        <v>109</v>
      </c>
      <c r="BC12" s="64" t="s">
        <v>111</v>
      </c>
      <c r="BD12" s="64" t="s">
        <v>110</v>
      </c>
      <c r="BF12" s="64" t="s">
        <v>112</v>
      </c>
      <c r="BG12" s="50" t="s">
        <v>42</v>
      </c>
      <c r="BI12" s="64" t="s">
        <v>114</v>
      </c>
    </row>
    <row r="13" spans="2:62" x14ac:dyDescent="0.2">
      <c r="C13" s="56">
        <v>0</v>
      </c>
      <c r="D13" s="63">
        <f ca="1">+ROUNDDOWN(MIN(StrikeRange),1)</f>
        <v>3</v>
      </c>
      <c r="E13" s="45">
        <f ca="1">+D13/UnderlyingPrice-1</f>
        <v>-0.38080495356037147</v>
      </c>
      <c r="F13" s="45">
        <f ca="1">+D13*(1+$P$8)/UnderlyingPrice-1</f>
        <v>-0.38049535603715168</v>
      </c>
      <c r="G13" s="45">
        <f ca="1">+D13*(1-$P$8)/UnderlyingPrice-1</f>
        <v>-0.38111455108359127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0.53523970469849647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0.5352920812697578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0.53534453178835306</v>
      </c>
      <c r="L13" s="58">
        <f ca="1">_xll.EURO(UnderlyingPrice,$D13,IntRate,Yield,$I13,$D$6,L$12,0)</f>
        <v>1.8582963288555434</v>
      </c>
      <c r="M13" s="58">
        <f ca="1">_xll.EURO(UnderlyingPrice,$D13,IntRate,Yield,$I13,$D$6,M$12,0)</f>
        <v>4.5024096462679963E-2</v>
      </c>
      <c r="O13" s="58">
        <f ca="1">_xll.EURO(UnderlyingPrice,$D13*(1+$P$8),IntRate,Yield,$H13,Expiry-Today,O$12,0)</f>
        <v>1.8569621932979303</v>
      </c>
      <c r="P13" s="58">
        <f ca="1">_xll.EURO(UnderlyingPrice,$D13*(1+$P$8),IntRate,Yield,$H13,Expiry-Today,P$12,0)</f>
        <v>4.5164165972052306E-2</v>
      </c>
      <c r="R13" s="58">
        <f ca="1">_xll.EURO(UnderlyingPrice,$D13*(1-$P$8),IntRate,Yield,$J13,Expiry-Today,R$12,0)</f>
        <v>1.8596308097252816</v>
      </c>
      <c r="S13" s="58">
        <f ca="1">_xll.EURO(UnderlyingPrice,$D13*(1-$P$8),IntRate,Yield,$J13,Expiry-Today,S$12,0)</f>
        <v>4.4884372265431627E-2</v>
      </c>
      <c r="U13" s="59">
        <f ca="1">(O13+R13-2*L13)/($P$8*$D13)^2</f>
        <v>0.15347205560721652</v>
      </c>
      <c r="V13" s="59"/>
      <c r="W13" s="62">
        <f t="shared" ref="W13:W44" ca="1" si="3">U13/$D$9</f>
        <v>0.15615743600818888</v>
      </c>
      <c r="X13" s="63"/>
      <c r="Z13" s="59">
        <f ca="1">(1/(D13*SQRT(2*PI()*T/365.25*ATMImpVol^2)))</f>
        <v>0.40548044180582721</v>
      </c>
      <c r="AA13" s="59">
        <f ca="1">LN(D13/UnderlyingPrice)+0.5*T/365.25*ATMImpVol^2</f>
        <v>-0.42555656566218181</v>
      </c>
      <c r="AB13" s="59">
        <f t="shared" ref="AB13:AB76" ca="1" si="4">-(AA13^2)</f>
        <v>-0.18109839057819085</v>
      </c>
      <c r="AC13" s="59">
        <f ca="1">AB13/(2*T/365.25*ATMImpVol^2)</f>
        <v>-0.84187341406470317</v>
      </c>
      <c r="AD13" s="60">
        <f t="shared" ref="AD13:AD76" ca="1" si="5">EXP(AC13)</f>
        <v>0.43090250797269053</v>
      </c>
      <c r="AE13" s="60">
        <f ca="1">AD13*Z13</f>
        <v>0.17472253930800555</v>
      </c>
      <c r="AF13" s="60"/>
      <c r="AG13" s="97">
        <f ca="1">(LN($D13/UnderlyingPrice)+0.5*ATMImpVol^2*(T/365.25))/(ATMImpVol*SQRT(T/365.25))</f>
        <v>-1.2975927050231928</v>
      </c>
      <c r="AH13" s="97">
        <f ca="1">(LN(($D13*(1+$P$8))/UnderlyingPrice)+0.5*ATMImpVol^2*(T/365.25))/(ATMImpVol*SQRT(T/365.25))</f>
        <v>-1.296068502931609</v>
      </c>
      <c r="AI13" s="97">
        <f ca="1">(LN($D13*(1-$P$8)/UnderlyingPrice)+0.5*ATMImpVol^2*(T/365.25))/(ATMImpVol*SQRT(T/365.25))</f>
        <v>-1.299117669406427</v>
      </c>
      <c r="AJ13" s="97"/>
      <c r="AK13" s="97">
        <f ca="1">W13/(AH13-AI13)*(D13*2*$P$8)</f>
        <v>0.15363946570104128</v>
      </c>
      <c r="AL13" s="97"/>
      <c r="AM13" s="95">
        <v>-3.1</v>
      </c>
      <c r="AN13" s="96">
        <f t="shared" ref="AN13:AN75" si="6">NORMDIST(AM13,0,1,FALSE)</f>
        <v>3.2668190561999178E-3</v>
      </c>
      <c r="AP13" s="83" t="s">
        <v>82</v>
      </c>
      <c r="AQ13" s="76">
        <f ca="1">AQ11*AQ5*AQ4*AQ8*EXP(AQ10/2)</f>
        <v>0.87937244381218294</v>
      </c>
      <c r="AR13" s="76">
        <f ca="1">AR11*AR5*AR4*AR8*EXP(AR10/2)</f>
        <v>0.89491294477926042</v>
      </c>
      <c r="AS13" s="81" t="s">
        <v>83</v>
      </c>
      <c r="AX13" s="107">
        <f ca="1"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f>
        <v>0.50590195922321457</v>
      </c>
      <c r="AY13" s="107">
        <f ca="1">OFFSET(ENAVolCoef,0,impvol_order-2)+OFFSET(ENAVolCoef,1,impvol_order-2)*F13+OFFSET(ENAVolCoef,2,impvol_order-2)*F13^2+IF(impvol_order&gt;2,OFFSET(ENAVolCoef,3,impvol_order-2)*F13^3,0)+IF(impvol_order&gt;3,OFFSET(ENAVolCoef,4,impvol_order-2)*F13^4,0)+IF(impvol_order&gt;4,OFFSET(ENAVolCoef,5,impvol_order-2)*F13^5,0)</f>
        <v>0.50586235359104281</v>
      </c>
      <c r="AZ13" s="107">
        <f ca="1">OFFSET(ENAVolCoef,0,impvol_order-2)+OFFSET(ENAVolCoef,1,impvol_order-2)*G13+OFFSET(ENAVolCoef,2,impvol_order-2)*G13^2+IF(impvol_order&gt;2,OFFSET(ENAVolCoef,3,impvol_order-2)*G13^3,0)+IF(impvol_order&gt;3,OFFSET(ENAVolCoef,4,impvol_order-2)*G13^4,0)+IF(impvol_order&gt;4,OFFSET(ENAVolCoef,5,impvol_order-2)*G13^5,0)</f>
        <v>0.50594161794489412</v>
      </c>
      <c r="BB13" s="39">
        <f ca="1">_xll.EURO(UnderlyingPrice,$D13,IntRate,Yield,AX13,$D$6,1,0)</f>
        <v>1.8487089328507897</v>
      </c>
      <c r="BC13" s="39">
        <f ca="1">_xll.EURO(UnderlyingPrice,$D13*(1+$P$8),IntRate,Yield,AY13,$D$6,1,0)</f>
        <v>1.8473572643879415</v>
      </c>
      <c r="BD13" s="39">
        <f ca="1">_xll.EURO(UnderlyingPrice,$D13*(1-$P$8),IntRate,Yield,AZ13,$D$6,1,0)</f>
        <v>1.8500609338364318</v>
      </c>
      <c r="BF13" s="59">
        <f ca="1">(BC13+BD13-2*BB13)/($P$8*$D13)^2</f>
        <v>0.14778790833089614</v>
      </c>
      <c r="BG13" s="39">
        <f ca="1">+BF13/$D$9</f>
        <v>0.15037383024979056</v>
      </c>
      <c r="BI13" s="58">
        <f ca="1">+BB13-L13</f>
        <v>-9.5873960047536677E-3</v>
      </c>
      <c r="BJ13" s="46">
        <f ca="1">+BI13/BB13</f>
        <v>-5.1859953908317442E-3</v>
      </c>
    </row>
    <row r="14" spans="2:62" x14ac:dyDescent="0.2">
      <c r="C14" s="56">
        <v>1</v>
      </c>
      <c r="D14" s="63">
        <f ca="1">D13+(ROUNDUP(MAX(StrikeRange),1)-ROUNDDOWN(MIN(StrikeRange),1))/100</f>
        <v>3.0350000000000001</v>
      </c>
      <c r="E14" s="45">
        <f t="shared" ref="E14:E77" ca="1" si="7">+D14/UnderlyingPrice-1</f>
        <v>-0.37358101135190913</v>
      </c>
      <c r="F14" s="45">
        <f t="shared" ref="F14:F65" ca="1" si="8">+D14*(1+$P$8)/UnderlyingPrice-1</f>
        <v>-0.37326780185758512</v>
      </c>
      <c r="G14" s="45">
        <f t="shared" ref="G14:G65" ca="1" si="9">+D14*(1-$P$8)/UnderlyingPrice-1</f>
        <v>-0.37389422084623314</v>
      </c>
      <c r="H14" s="45">
        <f t="shared" ca="1" si="0"/>
        <v>0.53403791496248931</v>
      </c>
      <c r="I14" s="45">
        <f t="shared" ca="1" si="1"/>
        <v>0.53408916521580785</v>
      </c>
      <c r="J14" s="45">
        <f t="shared" ca="1" si="2"/>
        <v>0.53414049043502998</v>
      </c>
      <c r="K14" s="58"/>
      <c r="L14" s="58">
        <f ca="1">_xll.EURO(UnderlyingPrice,$D14,IntRate,Yield,$I14,$D$6,L$12,0)</f>
        <v>1.8272576883631251</v>
      </c>
      <c r="M14" s="58">
        <f ca="1">_xll.EURO(UnderlyingPrice,$D14,IntRate,Yield,$I14,$D$6,M$12,0)</f>
        <v>4.8383574199935442E-2</v>
      </c>
      <c r="O14" s="58">
        <f ca="1">_xll.EURO(UnderlyingPrice,$D14*(1+$P$8),IntRate,Yield,$H14,Expiry-Today,O$12,0)</f>
        <v>1.8259163066619646</v>
      </c>
      <c r="P14" s="58">
        <f ca="1">_xll.EURO(UnderlyingPrice,$D14*(1+$P$8),IntRate,Yield,$H14,Expiry-Today,P$12,0)</f>
        <v>4.8533596624876219E-2</v>
      </c>
      <c r="R14" s="58">
        <f ca="1">_xll.EURO(UnderlyingPrice,$D14*(1-$P$8),IntRate,Yield,$J14,Expiry-Today,R$12,0)</f>
        <v>1.8285994372441836</v>
      </c>
      <c r="S14" s="58">
        <f ca="1">_xll.EURO(UnderlyingPrice,$D14*(1-$P$8),IntRate,Yield,$J14,Expiry-Today,S$12,0)</f>
        <v>4.8233918954894206E-2</v>
      </c>
      <c r="U14" s="59">
        <f t="shared" ref="U14:U45" ca="1" si="10">(O14+R14-2*L14)/($P$8*D14)^2</f>
        <v>0.15944888895538858</v>
      </c>
      <c r="V14" s="59"/>
      <c r="W14" s="62">
        <f t="shared" ca="1" si="3"/>
        <v>0.16223884911890829</v>
      </c>
      <c r="X14" s="63"/>
      <c r="Z14" s="59">
        <f t="shared" ref="Z14:Z77" ca="1" si="11">(1/(D14*SQRT(2*PI()*T/365.25*ATMImpVol^2)))</f>
        <v>0.40080439058236628</v>
      </c>
      <c r="AA14" s="59">
        <f t="shared" ref="AA14:AA77" ca="1" si="12">LN(D14/UnderlyingPrice)+0.5*T/365.25*ATMImpVol^2</f>
        <v>-0.41395742981882988</v>
      </c>
      <c r="AB14" s="59">
        <f t="shared" ca="1" si="4"/>
        <v>-0.17136075370221146</v>
      </c>
      <c r="AC14" s="59">
        <f t="shared" ref="AC14:AC77" ca="1" si="13">AB14/(2*T/365.25*ATMImpVol^2)</f>
        <v>-0.79660599023211187</v>
      </c>
      <c r="AD14" s="60">
        <f t="shared" ca="1" si="5"/>
        <v>0.45085658191887673</v>
      </c>
      <c r="AE14" s="60">
        <f t="shared" ref="AE14:AE77" ca="1" si="14">AD14*Z14</f>
        <v>0.18070529755604409</v>
      </c>
      <c r="AF14" s="60"/>
      <c r="AG14" s="97">
        <f t="shared" ref="AG14:AG77" ca="1" si="15">(LN($D14/UnderlyingPrice)+0.5*ATMImpVol^2*(T/365.25))/(ATMImpVol*SQRT(T/365.25))</f>
        <v>-1.2622250118200891</v>
      </c>
      <c r="AH14" s="97">
        <f t="shared" ref="AH14:AH77" ca="1" si="16">(LN(($D14*(1+$P$8))/UnderlyingPrice)+0.5*ATMImpVol^2*(T/365.25))/(ATMImpVol*SQRT(T/365.25))</f>
        <v>-1.2607008097285055</v>
      </c>
      <c r="AI14" s="97">
        <f t="shared" ref="AI14:AI77" ca="1" si="17">(LN($D14*(1-$P$8)/UnderlyingPrice)+0.5*ATMImpVol^2*(T/365.25))/(ATMImpVol*SQRT(T/365.25))</f>
        <v>-1.2637499762033233</v>
      </c>
      <c r="AJ14" s="97"/>
      <c r="AK14" s="97">
        <f t="shared" ref="AK14:AK77" ca="1" si="18">W14/(AH14-AI14)*(D14*2*$P$8)</f>
        <v>0.16148508490514976</v>
      </c>
      <c r="AL14" s="97"/>
      <c r="AM14" s="95">
        <v>-3</v>
      </c>
      <c r="AN14" s="96">
        <f t="shared" si="6"/>
        <v>4.4318484119380067E-3</v>
      </c>
      <c r="AP14" s="75" t="s">
        <v>84</v>
      </c>
      <c r="AQ14" s="84">
        <v>1.0128108109256508</v>
      </c>
      <c r="AR14" s="85"/>
      <c r="AS14" s="77" t="s">
        <v>85</v>
      </c>
      <c r="AX14" s="107">
        <f t="shared" ref="AX14:AX77" ca="1" si="19">OFFSET(ENAVolCoef,0,impvol_order-2)+OFFSET(ENAVolCoef,1,impvol_order-2)*E14+OFFSET(ENAVolCoef,2,impvol_order-2)*E14^2+IF(impvol_order&gt;2,OFFSET(ENAVolCoef,3,impvol_order-2)*E14^3,0)+IF(impvol_order&gt;3,OFFSET(ENAVolCoef,4,impvol_order-2)*E14^4,0)+IF(impvol_order&gt;4,OFFSET(ENAVolCoef,5,impvol_order-2)*E14^5,0)</f>
        <v>0.50499162184032265</v>
      </c>
      <c r="AY14" s="107">
        <f t="shared" ref="AY14:AY77" ca="1" si="20">OFFSET(ENAVolCoef,0,impvol_order-2)+OFFSET(ENAVolCoef,1,impvol_order-2)*F14+OFFSET(ENAVolCoef,2,impvol_order-2)*F14^2+IF(impvol_order&gt;2,OFFSET(ENAVolCoef,3,impvol_order-2)*F14^3,0)+IF(impvol_order&gt;3,OFFSET(ENAVolCoef,4,impvol_order-2)*F14^4,0)+IF(impvol_order&gt;4,OFFSET(ENAVolCoef,5,impvol_order-2)*F14^5,0)</f>
        <v>0.50495280239700557</v>
      </c>
      <c r="AZ14" s="107">
        <f t="shared" ref="AZ14:AZ77" ca="1" si="21">OFFSET(ENAVolCoef,0,impvol_order-2)+OFFSET(ENAVolCoef,1,impvol_order-2)*G14+OFFSET(ENAVolCoef,2,impvol_order-2)*G14^2+IF(impvol_order&gt;2,OFFSET(ENAVolCoef,3,impvol_order-2)*G14^3,0)+IF(impvol_order&gt;3,OFFSET(ENAVolCoef,4,impvol_order-2)*G14^4,0)+IF(impvol_order&gt;4,OFFSET(ENAVolCoef,5,impvol_order-2)*G14^5,0)</f>
        <v>0.50503049518146803</v>
      </c>
      <c r="BB14" s="39">
        <f ca="1">_xll.EURO(UnderlyingPrice,$D14,IntRate,Yield,AX14,$D$6,1,0)</f>
        <v>1.8172579185109505</v>
      </c>
      <c r="BC14" s="39">
        <f ca="1">_xll.EURO(UnderlyingPrice,$D14*(1+$P$8),IntRate,Yield,AY14,$D$6,1,0)</f>
        <v>1.8158985055120307</v>
      </c>
      <c r="BD14" s="39">
        <f ca="1">_xll.EURO(UnderlyingPrice,$D14*(1-$P$8),IntRate,Yield,AZ14,$D$6,1,0)</f>
        <v>1.8186176862803496</v>
      </c>
      <c r="BF14" s="59">
        <f t="shared" ref="BF14:BF77" ca="1" si="22">(BC14+BD14-2*BB14)/($P$8*$D14)^2</f>
        <v>0.15406006441756484</v>
      </c>
      <c r="BG14" s="39">
        <f t="shared" ref="BG14:BG77" ca="1" si="23">+BF14/$D$9</f>
        <v>0.15675573351460412</v>
      </c>
      <c r="BI14" s="58">
        <f t="shared" ref="BI14:BI77" ca="1" si="24">+BB14-L14</f>
        <v>-9.9997698521745448E-3</v>
      </c>
      <c r="BJ14" s="46">
        <f t="shared" ref="BJ14:BJ77" ca="1" si="25">+BI14/BB14</f>
        <v>-5.5026695717294172E-3</v>
      </c>
    </row>
    <row r="15" spans="2:62" x14ac:dyDescent="0.2">
      <c r="C15" s="56">
        <v>2</v>
      </c>
      <c r="D15" s="63">
        <f t="shared" ref="D15:D78" ca="1" si="26">D14+(ROUNDUP(MAX(StrikeRange),1)-ROUNDDOWN(MIN(StrikeRange),1))/100</f>
        <v>3.0700000000000003</v>
      </c>
      <c r="E15" s="45">
        <f t="shared" ca="1" si="7"/>
        <v>-0.36635706914344679</v>
      </c>
      <c r="F15" s="45">
        <f t="shared" ca="1" si="8"/>
        <v>-0.36604024767801857</v>
      </c>
      <c r="G15" s="45">
        <f t="shared" ca="1" si="9"/>
        <v>-0.36667389060887501</v>
      </c>
      <c r="H15" s="45">
        <f t="shared" ca="1" si="0"/>
        <v>0.53287602739879725</v>
      </c>
      <c r="I15" s="45">
        <f t="shared" ca="1" si="1"/>
        <v>0.532926127997434</v>
      </c>
      <c r="J15" s="45">
        <f t="shared" ca="1" si="2"/>
        <v>0.53297630456741196</v>
      </c>
      <c r="K15" s="58"/>
      <c r="L15" s="58">
        <f ca="1">_xll.EURO(UnderlyingPrice,$D15,IntRate,Yield,$I15,$D$6,L$12,0)</f>
        <v>1.7964143757494631</v>
      </c>
      <c r="M15" s="58">
        <f ca="1">_xll.EURO(UnderlyingPrice,$D15,IntRate,Yield,$I15,$D$6,M$12,0)</f>
        <v>5.1938379815949398E-2</v>
      </c>
      <c r="O15" s="58">
        <f ca="1">_xll.EURO(UnderlyingPrice,$D15*(1+$P$8),IntRate,Yield,$H15,Expiry-Today,O$12,0)</f>
        <v>1.7950662619156552</v>
      </c>
      <c r="P15" s="58">
        <f ca="1">_xll.EURO(UnderlyingPrice,$D15*(1+$P$8),IntRate,Yield,$H15,Expiry-Today,P$12,0)</f>
        <v>5.2098869167356621E-2</v>
      </c>
      <c r="R15" s="58">
        <f ca="1">_xll.EURO(UnderlyingPrice,$D15*(1-$P$8),IntRate,Yield,$J15,Expiry-Today,R$12,0)</f>
        <v>1.7977628794325646</v>
      </c>
      <c r="S15" s="58">
        <f ca="1">_xll.EURO(UnderlyingPrice,$D15*(1-$P$8),IntRate,Yield,$J15,Expiry-Today,S$12,0)</f>
        <v>5.1778280313835356E-2</v>
      </c>
      <c r="U15" s="59">
        <f t="shared" ca="1" si="10"/>
        <v>0.16545503665226266</v>
      </c>
      <c r="V15" s="59"/>
      <c r="W15" s="62">
        <f t="shared" ca="1" si="3"/>
        <v>0.1683500895067398</v>
      </c>
      <c r="X15" s="63"/>
      <c r="Z15" s="59">
        <f t="shared" ca="1" si="11"/>
        <v>0.39623495941937509</v>
      </c>
      <c r="AA15" s="59">
        <f t="shared" ca="1" si="12"/>
        <v>-0.40249129273118567</v>
      </c>
      <c r="AB15" s="59">
        <f t="shared" ca="1" si="4"/>
        <v>-0.16199924072442098</v>
      </c>
      <c r="AC15" s="59">
        <f t="shared" ca="1" si="13"/>
        <v>-0.75308705631855666</v>
      </c>
      <c r="AD15" s="60">
        <f t="shared" ca="1" si="5"/>
        <v>0.47091057908231754</v>
      </c>
      <c r="AE15" s="60">
        <f t="shared" ca="1" si="14"/>
        <v>0.18659123419283652</v>
      </c>
      <c r="AF15" s="60"/>
      <c r="AG15" s="97">
        <f t="shared" ca="1" si="15"/>
        <v>-1.2272628539302872</v>
      </c>
      <c r="AH15" s="97">
        <f t="shared" ca="1" si="16"/>
        <v>-1.2257386518387037</v>
      </c>
      <c r="AI15" s="97">
        <f t="shared" ca="1" si="17"/>
        <v>-1.2287878183135215</v>
      </c>
      <c r="AJ15" s="97"/>
      <c r="AK15" s="97">
        <f t="shared" ca="1" si="18"/>
        <v>0.16950034675183687</v>
      </c>
      <c r="AL15" s="97"/>
      <c r="AM15" s="95">
        <v>-2.9</v>
      </c>
      <c r="AN15" s="96">
        <f t="shared" si="6"/>
        <v>5.9525324197758529E-3</v>
      </c>
      <c r="AP15" s="75" t="s">
        <v>86</v>
      </c>
      <c r="AQ15" s="76">
        <f ca="1">(SUM(W13:W113)-(W13+W113)/2)*(ROUNDUP(MAX(StrikeRange),1)-ROUNDDOWN(MIN(StrikeRange),1))/100</f>
        <v>0.77534892868017669</v>
      </c>
      <c r="AR15" s="85"/>
      <c r="AS15" s="77" t="s">
        <v>87</v>
      </c>
      <c r="AX15" s="107">
        <f t="shared" ca="1" si="19"/>
        <v>0.5041099559271599</v>
      </c>
      <c r="AY15" s="107">
        <f t="shared" ca="1" si="20"/>
        <v>0.50407194124692767</v>
      </c>
      <c r="AZ15" s="107">
        <f t="shared" ca="1" si="21"/>
        <v>0.50414802530768843</v>
      </c>
      <c r="BB15" s="39">
        <f ca="1">_xll.EURO(UnderlyingPrice,$D15,IntRate,Yield,AX15,$D$6,1,0)</f>
        <v>1.7859956318481651</v>
      </c>
      <c r="BC15" s="39">
        <f ca="1">_xll.EURO(UnderlyingPrice,$D15*(1+$P$8),IntRate,Yield,AY15,$D$6,1,0)</f>
        <v>1.784628997730116</v>
      </c>
      <c r="BD15" s="39">
        <f ca="1">_xll.EURO(UnderlyingPrice,$D15*(1-$P$8),IntRate,Yield,AZ15,$D$6,1,0)</f>
        <v>1.7873626438397237</v>
      </c>
      <c r="BF15" s="59">
        <f t="shared" ca="1" si="22"/>
        <v>0.16037242172194738</v>
      </c>
      <c r="BG15" s="39">
        <f t="shared" ca="1" si="23"/>
        <v>0.16317854141875254</v>
      </c>
      <c r="BI15" s="58">
        <f t="shared" ca="1" si="24"/>
        <v>-1.0418743901297933E-2</v>
      </c>
      <c r="BJ15" s="46">
        <f t="shared" ca="1" si="25"/>
        <v>-5.8335774822229096E-3</v>
      </c>
    </row>
    <row r="16" spans="2:62" x14ac:dyDescent="0.2">
      <c r="C16" s="56">
        <v>3</v>
      </c>
      <c r="D16" s="63">
        <f t="shared" ca="1" si="26"/>
        <v>3.1050000000000004</v>
      </c>
      <c r="E16" s="45">
        <f t="shared" ca="1" si="7"/>
        <v>-0.35913312693498445</v>
      </c>
      <c r="F16" s="45">
        <f t="shared" ca="1" si="8"/>
        <v>-0.35881269349845191</v>
      </c>
      <c r="G16" s="45">
        <f t="shared" ca="1" si="9"/>
        <v>-0.35945356037151688</v>
      </c>
      <c r="H16" s="45">
        <f t="shared" ca="1" si="0"/>
        <v>0.53175366005554547</v>
      </c>
      <c r="I16" s="45">
        <f t="shared" ca="1" si="1"/>
        <v>0.53180258823511606</v>
      </c>
      <c r="J16" s="45">
        <f t="shared" ca="1" si="2"/>
        <v>0.53185159337776244</v>
      </c>
      <c r="L16" s="58">
        <f ca="1">_xll.EURO(UnderlyingPrice,$D16,IntRate,Yield,$I16,$D$6,L$12,0)</f>
        <v>1.7657737472293795</v>
      </c>
      <c r="M16" s="58">
        <f ca="1">_xll.EURO(UnderlyingPrice,$D16,IntRate,Yield,$I16,$D$6,M$12,0)</f>
        <v>5.5695869525540342E-2</v>
      </c>
      <c r="O16" s="58">
        <f ca="1">_xll.EURO(UnderlyingPrice,$D16*(1+$P$8),IntRate,Yield,$H16,Expiry-Today,O$12,0)</f>
        <v>1.7644194275214935</v>
      </c>
      <c r="P16" s="58">
        <f ca="1">_xll.EURO(UnderlyingPrice,$D16*(1+$P$8),IntRate,Yield,$H16,Expiry-Today,P$12,0)</f>
        <v>5.5867352061985842E-2</v>
      </c>
      <c r="R16" s="58">
        <f ca="1">_xll.EURO(UnderlyingPrice,$D16*(1-$P$8),IntRate,Yield,$J16,Expiry-Today,R$12,0)</f>
        <v>1.7671284802421985</v>
      </c>
      <c r="S16" s="58">
        <f ca="1">_xll.EURO(UnderlyingPrice,$D16*(1-$P$8),IntRate,Yield,$J16,Expiry-Today,S$12,0)</f>
        <v>5.5524800294028898E-2</v>
      </c>
      <c r="U16" s="59">
        <f t="shared" ca="1" si="10"/>
        <v>0.17147758996358542</v>
      </c>
      <c r="V16" s="59"/>
      <c r="W16" s="62">
        <f t="shared" ca="1" si="3"/>
        <v>0.17447802256659103</v>
      </c>
      <c r="X16" s="63"/>
      <c r="Z16" s="59">
        <f t="shared" ca="1" si="11"/>
        <v>0.39176854280756246</v>
      </c>
      <c r="AA16" s="59">
        <f t="shared" ca="1" si="12"/>
        <v>-0.39115513894484938</v>
      </c>
      <c r="AB16" s="59">
        <f t="shared" ca="1" si="4"/>
        <v>-0.15300234272296442</v>
      </c>
      <c r="AC16" s="59">
        <f t="shared" ca="1" si="13"/>
        <v>-0.71126311071475579</v>
      </c>
      <c r="AD16" s="60">
        <f t="shared" ca="1" si="5"/>
        <v>0.49102358843876992</v>
      </c>
      <c r="AE16" s="60">
        <f t="shared" ca="1" si="14"/>
        <v>0.19236759572679715</v>
      </c>
      <c r="AF16" s="60"/>
      <c r="AG16" s="97">
        <f t="shared" ca="1" si="15"/>
        <v>-1.1926970367320915</v>
      </c>
      <c r="AH16" s="97">
        <f t="shared" ca="1" si="16"/>
        <v>-1.1911728346405073</v>
      </c>
      <c r="AI16" s="97">
        <f t="shared" ca="1" si="17"/>
        <v>-1.1942220011153255</v>
      </c>
      <c r="AJ16" s="97"/>
      <c r="AK16" s="97">
        <f t="shared" ca="1" si="18"/>
        <v>0.17767290324860352</v>
      </c>
      <c r="AL16" s="97"/>
      <c r="AM16" s="95">
        <v>-2.8</v>
      </c>
      <c r="AN16" s="96">
        <f t="shared" si="6"/>
        <v>7.9154515829799668E-3</v>
      </c>
      <c r="AP16" s="75" t="s">
        <v>88</v>
      </c>
      <c r="AQ16" s="76">
        <f ca="1">1-AQ15</f>
        <v>0.22465107131982331</v>
      </c>
      <c r="AR16" s="76"/>
      <c r="AS16" s="82"/>
      <c r="AV16" s="106"/>
      <c r="AX16" s="107">
        <f t="shared" ca="1" si="19"/>
        <v>0.50325672866601712</v>
      </c>
      <c r="AY16" s="107">
        <f t="shared" ca="1" si="20"/>
        <v>0.50321953697369848</v>
      </c>
      <c r="AZ16" s="107">
        <f t="shared" ca="1" si="21"/>
        <v>0.50329397585489777</v>
      </c>
      <c r="BA16" s="108"/>
      <c r="BB16" s="39">
        <f ca="1">_xll.EURO(UnderlyingPrice,$D16,IntRate,Yield,AX16,$D$6,1,0)</f>
        <v>1.7549298040974399</v>
      </c>
      <c r="BC16" s="39">
        <f ca="1">_xll.EURO(UnderlyingPrice,$D16*(1+$P$8),IntRate,Yield,AY16,$D$6,1,0)</f>
        <v>1.7535564856459831</v>
      </c>
      <c r="BD16" s="39">
        <f ca="1">_xll.EURO(UnderlyingPrice,$D16*(1-$P$8),IntRate,Yield,AZ16,$D$6,1,0)</f>
        <v>1.7563035243656331</v>
      </c>
      <c r="BF16" s="59">
        <f t="shared" ca="1" si="22"/>
        <v>0.16671121019951377</v>
      </c>
      <c r="BG16" s="39">
        <f t="shared" ca="1" si="23"/>
        <v>0.1696282429760729</v>
      </c>
      <c r="BI16" s="58">
        <f t="shared" ca="1" si="24"/>
        <v>-1.0843943131939593E-2</v>
      </c>
      <c r="BJ16" s="46">
        <f t="shared" ca="1" si="25"/>
        <v>-6.1791321263226428E-3</v>
      </c>
    </row>
    <row r="17" spans="3:62" x14ac:dyDescent="0.2">
      <c r="C17" s="56">
        <v>4</v>
      </c>
      <c r="D17" s="63">
        <f t="shared" ca="1" si="26"/>
        <v>3.1400000000000006</v>
      </c>
      <c r="E17" s="45">
        <f t="shared" ca="1" si="7"/>
        <v>-0.351909184726522</v>
      </c>
      <c r="F17" s="45">
        <f t="shared" ca="1" si="8"/>
        <v>-0.35158513931888535</v>
      </c>
      <c r="G17" s="45">
        <f t="shared" ca="1" si="9"/>
        <v>-0.35223323013415875</v>
      </c>
      <c r="H17" s="45">
        <f t="shared" ca="1" si="0"/>
        <v>0.53067043098085842</v>
      </c>
      <c r="I17" s="45">
        <f t="shared" ca="1" si="1"/>
        <v>0.5307181645493344</v>
      </c>
      <c r="J17" s="45">
        <f t="shared" ca="1" si="2"/>
        <v>0.53076597605834486</v>
      </c>
      <c r="L17" s="58">
        <f ca="1">_xll.EURO(UnderlyingPrice,$D17,IntRate,Yield,$I17,$D$6,L$12,0)</f>
        <v>1.7353431790753291</v>
      </c>
      <c r="M17" s="58">
        <f ca="1">_xll.EURO(UnderlyingPrice,$D17,IntRate,Yield,$I17,$D$6,M$12,0)</f>
        <v>5.9663419601164502E-2</v>
      </c>
      <c r="O17" s="58">
        <f ca="1">_xll.EURO(UnderlyingPrice,$D17*(1+$P$8),IntRate,Yield,$H17,Expiry-Today,O$12,0)</f>
        <v>1.7339831913334685</v>
      </c>
      <c r="P17" s="58">
        <f ca="1">_xll.EURO(UnderlyingPrice,$D17*(1+$P$8),IntRate,Yield,$H17,Expiry-Today,P$12,0)</f>
        <v>5.9846433162749679E-2</v>
      </c>
      <c r="R17" s="58">
        <f ca="1">_xll.EURO(UnderlyingPrice,$D17*(1-$P$8),IntRate,Yield,$J17,Expiry-Today,R$12,0)</f>
        <v>1.7367036043449411</v>
      </c>
      <c r="S17" s="58">
        <f ca="1">_xll.EURO(UnderlyingPrice,$D17*(1-$P$8),IntRate,Yield,$J17,Expiry-Today,S$12,0)</f>
        <v>5.948084356733202E-2</v>
      </c>
      <c r="U17" s="59">
        <f t="shared" ca="1" si="10"/>
        <v>0.17750324612049564</v>
      </c>
      <c r="V17" s="59"/>
      <c r="W17" s="62">
        <f t="shared" ca="1" si="3"/>
        <v>0.18060911276413324</v>
      </c>
      <c r="X17" s="63"/>
      <c r="Z17" s="59">
        <f t="shared" ca="1" si="11"/>
        <v>0.38740169599282848</v>
      </c>
      <c r="AA17" s="59">
        <f t="shared" ca="1" si="12"/>
        <v>-0.3799460544101293</v>
      </c>
      <c r="AB17" s="59">
        <f t="shared" ca="1" si="4"/>
        <v>-0.14435900426182494</v>
      </c>
      <c r="AC17" s="59">
        <f t="shared" ca="1" si="13"/>
        <v>-0.67108275993436317</v>
      </c>
      <c r="AD17" s="60">
        <f t="shared" ca="1" si="5"/>
        <v>0.51115482008787072</v>
      </c>
      <c r="AE17" s="60">
        <f t="shared" ca="1" si="14"/>
        <v>0.19802224421695022</v>
      </c>
      <c r="AF17" s="60"/>
      <c r="AG17" s="97">
        <f t="shared" ca="1" si="15"/>
        <v>-1.158518674803616</v>
      </c>
      <c r="AH17" s="97">
        <f t="shared" ca="1" si="16"/>
        <v>-1.1569944727120325</v>
      </c>
      <c r="AI17" s="97">
        <f t="shared" ca="1" si="17"/>
        <v>-1.1600436391868503</v>
      </c>
      <c r="AJ17" s="97"/>
      <c r="AK17" s="97">
        <f t="shared" ca="1" si="18"/>
        <v>0.18598939046555926</v>
      </c>
      <c r="AL17" s="97"/>
      <c r="AM17" s="95">
        <v>-2.7</v>
      </c>
      <c r="AN17" s="96">
        <f t="shared" si="6"/>
        <v>1.042093481442259E-2</v>
      </c>
      <c r="AP17" s="86" t="s">
        <v>89</v>
      </c>
      <c r="AQ17" s="87">
        <f ca="1">(Alpha1/Gamma2*AQ12)+(Alpha2/Gamma2*(1-AR12))</f>
        <v>0.22465111846148586</v>
      </c>
      <c r="AR17" s="85"/>
      <c r="AS17" s="82"/>
      <c r="AV17" s="106"/>
      <c r="AX17" s="107">
        <f t="shared" ca="1" si="19"/>
        <v>0.50243170723918495</v>
      </c>
      <c r="AY17" s="107">
        <f t="shared" ca="1" si="20"/>
        <v>0.50239535641020772</v>
      </c>
      <c r="AZ17" s="107">
        <f t="shared" ca="1" si="21"/>
        <v>0.50246811435443872</v>
      </c>
      <c r="BB17" s="39">
        <f ca="1">_xll.EURO(UnderlyingPrice,$D17,IntRate,Yield,AX17,$D$6,1,0)</f>
        <v>1.7240681988292517</v>
      </c>
      <c r="BC17" s="39">
        <f ca="1">_xll.EURO(UnderlyingPrice,$D17*(1+$P$8),IntRate,Yield,AY17,$D$6,1,0)</f>
        <v>1.7226887455105255</v>
      </c>
      <c r="BD17" s="39">
        <f ca="1">_xll.EURO(UnderlyingPrice,$D17*(1-$P$8),IntRate,Yield,AZ17,$D$6,1,0)</f>
        <v>1.7254480787291255</v>
      </c>
      <c r="BF17" s="59">
        <f t="shared" ca="1" si="22"/>
        <v>0.17306225312948112</v>
      </c>
      <c r="BG17" s="39">
        <f t="shared" ca="1" si="23"/>
        <v>0.17609041340832324</v>
      </c>
      <c r="BI17" s="58">
        <f t="shared" ca="1" si="24"/>
        <v>-1.1274980246077426E-2</v>
      </c>
      <c r="BJ17" s="46">
        <f t="shared" ca="1" si="25"/>
        <v>-6.5397530409376098E-3</v>
      </c>
    </row>
    <row r="18" spans="3:62" x14ac:dyDescent="0.2">
      <c r="C18" s="56">
        <v>5</v>
      </c>
      <c r="D18" s="63">
        <f t="shared" ca="1" si="26"/>
        <v>3.1750000000000007</v>
      </c>
      <c r="E18" s="45">
        <f t="shared" ca="1" si="7"/>
        <v>-0.34468524251805965</v>
      </c>
      <c r="F18" s="45">
        <f t="shared" ca="1" si="8"/>
        <v>-0.34435758513931869</v>
      </c>
      <c r="G18" s="45">
        <f t="shared" ca="1" si="9"/>
        <v>-0.34501289989680062</v>
      </c>
      <c r="H18" s="45">
        <f t="shared" ca="1" si="0"/>
        <v>0.52962595822286085</v>
      </c>
      <c r="I18" s="45">
        <f t="shared" ca="1" si="1"/>
        <v>0.52967247556056918</v>
      </c>
      <c r="J18" s="45">
        <f t="shared" ca="1" si="2"/>
        <v>0.52971907180142264</v>
      </c>
      <c r="L18" s="58">
        <f ca="1">_xll.EURO(UnderlyingPrice,$D18,IntRate,Yield,$I18,$D$6,L$12,0)</f>
        <v>1.7051300513261745</v>
      </c>
      <c r="M18" s="58">
        <f ca="1">_xll.EURO(UnderlyingPrice,$D18,IntRate,Yield,$I18,$D$6,M$12,0)</f>
        <v>6.384841008168507E-2</v>
      </c>
      <c r="O18" s="58">
        <f ca="1">_xll.EURO(UnderlyingPrice,$D18*(1+$P$8),IntRate,Yield,$H18,Expiry-Today,O$12,0)</f>
        <v>1.703764944245203</v>
      </c>
      <c r="P18" s="58">
        <f ca="1">_xll.EURO(UnderlyingPrice,$D18*(1+$P$8),IntRate,Yield,$H18,Expiry-Today,P$12,0)</f>
        <v>6.4043503363274246E-2</v>
      </c>
      <c r="R18" s="58">
        <f ca="1">_xll.EURO(UnderlyingPrice,$D18*(1-$P$8),IntRate,Yield,$J18,Expiry-Today,R$12,0)</f>
        <v>1.7064956209020958</v>
      </c>
      <c r="S18" s="58">
        <f ca="1">_xll.EURO(UnderlyingPrice,$D18*(1-$P$8),IntRate,Yield,$J18,Expiry-Today,S$12,0)</f>
        <v>6.3653779295047175E-2</v>
      </c>
      <c r="U18" s="59">
        <f t="shared" ca="1" si="10"/>
        <v>0.18351836315436987</v>
      </c>
      <c r="V18" s="59"/>
      <c r="W18" s="62">
        <f t="shared" ca="1" si="3"/>
        <v>0.18672947943012069</v>
      </c>
      <c r="X18" s="63"/>
      <c r="Z18" s="59">
        <f t="shared" ca="1" si="11"/>
        <v>0.38313112611574218</v>
      </c>
      <c r="AA18" s="59">
        <f t="shared" ca="1" si="12"/>
        <v>-0.36886122198563631</v>
      </c>
      <c r="AB18" s="59">
        <f t="shared" ca="1" si="4"/>
        <v>-0.13605860108473686</v>
      </c>
      <c r="AC18" s="59">
        <f t="shared" ca="1" si="13"/>
        <v>-0.63249661491949871</v>
      </c>
      <c r="AD18" s="60">
        <f t="shared" ca="1" si="5"/>
        <v>0.53126378283529518</v>
      </c>
      <c r="AE18" s="60">
        <f t="shared" ca="1" si="14"/>
        <v>0.20354369138219575</v>
      </c>
      <c r="AF18" s="60"/>
      <c r="AG18" s="97">
        <f t="shared" ca="1" si="15"/>
        <v>-1.1247191782124983</v>
      </c>
      <c r="AH18" s="97">
        <f t="shared" ca="1" si="16"/>
        <v>-1.1231949761209143</v>
      </c>
      <c r="AI18" s="97">
        <f t="shared" ca="1" si="17"/>
        <v>-1.1262441425957326</v>
      </c>
      <c r="AJ18" s="97"/>
      <c r="AK18" s="97">
        <f t="shared" ca="1" si="18"/>
        <v>0.19443546362157069</v>
      </c>
      <c r="AL18" s="97"/>
      <c r="AM18" s="95">
        <v>-2.6</v>
      </c>
      <c r="AN18" s="96">
        <f t="shared" si="6"/>
        <v>1.3582969233685611E-2</v>
      </c>
      <c r="AX18" s="107">
        <f t="shared" ca="1" si="19"/>
        <v>0.50163465882895397</v>
      </c>
      <c r="AY18" s="107">
        <f t="shared" ca="1" si="20"/>
        <v>0.50159916638934454</v>
      </c>
      <c r="AZ18" s="107">
        <f t="shared" ca="1" si="21"/>
        <v>0.50167020833765374</v>
      </c>
      <c r="BB18" s="39">
        <f ca="1">_xll.EURO(UnderlyingPrice,$D18,IntRate,Yield,AX18,$D$6,1,0)</f>
        <v>1.6934185945925941</v>
      </c>
      <c r="BC18" s="39">
        <f ca="1">_xll.EURO(UnderlyingPrice,$D18*(1+$P$8),IntRate,Yield,AY18,$D$6,1,0)</f>
        <v>1.6920335678014626</v>
      </c>
      <c r="BD18" s="39">
        <f ca="1">_xll.EURO(UnderlyingPrice,$D18*(1-$P$8),IntRate,Yield,AZ18,$D$6,1,0)</f>
        <v>1.6948040735275809</v>
      </c>
      <c r="BF18" s="59">
        <f t="shared" ca="1" si="22"/>
        <v>0.17941104058336391</v>
      </c>
      <c r="BG18" s="39">
        <f t="shared" ca="1" si="23"/>
        <v>0.18255028889925057</v>
      </c>
      <c r="BI18" s="58">
        <f t="shared" ca="1" si="24"/>
        <v>-1.1711456733580317E-2</v>
      </c>
      <c r="BJ18" s="46">
        <f t="shared" ca="1" si="25"/>
        <v>-6.9158663847067774E-3</v>
      </c>
    </row>
    <row r="19" spans="3:62" x14ac:dyDescent="0.2">
      <c r="C19" s="56">
        <v>6</v>
      </c>
      <c r="D19" s="63">
        <f t="shared" ca="1" si="26"/>
        <v>3.2100000000000009</v>
      </c>
      <c r="E19" s="45">
        <f t="shared" ca="1" si="7"/>
        <v>-0.33746130030959731</v>
      </c>
      <c r="F19" s="45">
        <f t="shared" ca="1" si="8"/>
        <v>-0.33713003095975214</v>
      </c>
      <c r="G19" s="45">
        <f t="shared" ca="1" si="9"/>
        <v>-0.33779256965944249</v>
      </c>
      <c r="H19" s="45">
        <f t="shared" ca="1" si="0"/>
        <v>0.52861985982967785</v>
      </c>
      <c r="I19" s="45">
        <f t="shared" ca="1" si="1"/>
        <v>0.52866513988930053</v>
      </c>
      <c r="J19" s="45">
        <f t="shared" ca="1" si="2"/>
        <v>0.52871049979925899</v>
      </c>
      <c r="L19" s="58">
        <f ca="1">_xll.EURO(UnderlyingPrice,$D19,IntRate,Yield,$I19,$D$6,L$12,0)</f>
        <v>1.6751417310821926</v>
      </c>
      <c r="M19" s="58">
        <f ca="1">_xll.EURO(UnderlyingPrice,$D19,IntRate,Yield,$I19,$D$6,M$12,0)</f>
        <v>6.8258208067379422E-2</v>
      </c>
      <c r="O19" s="58">
        <f ca="1">_xll.EURO(UnderlyingPrice,$D19*(1+$P$8),IntRate,Yield,$H19,Expiry-Today,O$12,0)</f>
        <v>1.6737720634264557</v>
      </c>
      <c r="P19" s="58">
        <f ca="1">_xll.EURO(UnderlyingPrice,$D19*(1+$P$8),IntRate,Yield,$H19,Expiry-Today,P$12,0)</f>
        <v>6.8465939833317058E-2</v>
      </c>
      <c r="R19" s="58">
        <f ca="1">_xll.EURO(UnderlyingPrice,$D19*(1-$P$8),IntRate,Yield,$J19,Expiry-Today,R$12,0)</f>
        <v>1.6765118869179148</v>
      </c>
      <c r="S19" s="58">
        <f ca="1">_xll.EURO(UnderlyingPrice,$D19*(1-$P$8),IntRate,Yield,$J19,Expiry-Today,S$12,0)</f>
        <v>6.805096448142639E-2</v>
      </c>
      <c r="U19" s="59">
        <f t="shared" ca="1" si="10"/>
        <v>0.18950902468925263</v>
      </c>
      <c r="V19" s="59"/>
      <c r="W19" s="62">
        <f t="shared" ca="1" si="3"/>
        <v>0.19282496268652782</v>
      </c>
      <c r="X19" s="63"/>
      <c r="Z19" s="59">
        <f t="shared" ca="1" si="11"/>
        <v>0.37895368393067952</v>
      </c>
      <c r="AA19" s="59">
        <f t="shared" ca="1" si="12"/>
        <v>-0.35789791718836678</v>
      </c>
      <c r="AB19" s="59">
        <f t="shared" ca="1" si="4"/>
        <v>-0.12809091912777104</v>
      </c>
      <c r="AC19" s="59">
        <f t="shared" ca="1" si="13"/>
        <v>-0.59545719347639969</v>
      </c>
      <c r="AD19" s="60">
        <f t="shared" ca="1" si="5"/>
        <v>0.55131045269752865</v>
      </c>
      <c r="AE19" s="60">
        <f t="shared" ca="1" si="14"/>
        <v>0.20892112703921911</v>
      </c>
      <c r="AF19" s="60"/>
      <c r="AG19" s="97">
        <f t="shared" ca="1" si="15"/>
        <v>-1.0912902395571948</v>
      </c>
      <c r="AH19" s="97">
        <f t="shared" ca="1" si="16"/>
        <v>-1.0897660374656111</v>
      </c>
      <c r="AI19" s="97">
        <f t="shared" ca="1" si="17"/>
        <v>-1.0928152039404289</v>
      </c>
      <c r="AJ19" s="97"/>
      <c r="AK19" s="97">
        <f t="shared" ca="1" si="18"/>
        <v>0.20299584667994972</v>
      </c>
      <c r="AL19" s="97"/>
      <c r="AM19" s="95">
        <v>-2.5</v>
      </c>
      <c r="AN19" s="96">
        <f t="shared" si="6"/>
        <v>1.7528300493568537E-2</v>
      </c>
      <c r="AX19" s="107">
        <f t="shared" ca="1" si="19"/>
        <v>0.50086535061761484</v>
      </c>
      <c r="AY19" s="107">
        <f t="shared" ca="1" si="20"/>
        <v>0.50083073374399834</v>
      </c>
      <c r="AZ19" s="107">
        <f t="shared" ca="1" si="21"/>
        <v>0.50090002533588562</v>
      </c>
      <c r="BB19" s="39">
        <f ca="1">_xll.EURO(UnderlyingPrice,$D19,IntRate,Yield,AX19,$D$6,1,0)</f>
        <v>1.6629887671462114</v>
      </c>
      <c r="BC19" s="39">
        <f ca="1">_xll.EURO(UnderlyingPrice,$D19*(1+$P$8),IntRate,Yield,AY19,$D$6,1,0)</f>
        <v>1.6615987393936202</v>
      </c>
      <c r="BD19" s="39">
        <f ca="1">_xll.EURO(UnderlyingPrice,$D19*(1-$P$8),IntRate,Yield,AZ19,$D$6,1,0)</f>
        <v>1.6643792733768801</v>
      </c>
      <c r="BF19" s="59">
        <f t="shared" ca="1" si="22"/>
        <v>0.18574279271493221</v>
      </c>
      <c r="BG19" s="39">
        <f t="shared" ca="1" si="23"/>
        <v>0.18899283099196623</v>
      </c>
      <c r="BI19" s="58">
        <f t="shared" ca="1" si="24"/>
        <v>-1.2152963935981198E-2</v>
      </c>
      <c r="BJ19" s="46">
        <f t="shared" ca="1" si="25"/>
        <v>-7.3079050057784905E-3</v>
      </c>
    </row>
    <row r="20" spans="3:62" x14ac:dyDescent="0.2">
      <c r="C20" s="56">
        <v>7</v>
      </c>
      <c r="D20" s="63">
        <f t="shared" ca="1" si="26"/>
        <v>3.245000000000001</v>
      </c>
      <c r="E20" s="45">
        <f t="shared" ca="1" si="7"/>
        <v>-0.33023735810113497</v>
      </c>
      <c r="F20" s="45">
        <f t="shared" ca="1" si="8"/>
        <v>-0.32990247678018558</v>
      </c>
      <c r="G20" s="45">
        <f t="shared" ca="1" si="9"/>
        <v>-0.33057223942208436</v>
      </c>
      <c r="H20" s="45">
        <f t="shared" ca="1" si="0"/>
        <v>0.52765175384943386</v>
      </c>
      <c r="I20" s="45">
        <f t="shared" ca="1" si="1"/>
        <v>0.52769577615600838</v>
      </c>
      <c r="J20" s="45">
        <f t="shared" ca="1" si="2"/>
        <v>0.52773987924411769</v>
      </c>
      <c r="L20" s="58">
        <f ca="1">_xll.EURO(UnderlyingPrice,$D20,IntRate,Yield,$I20,$D$6,L$12,0)</f>
        <v>1.645385555463855</v>
      </c>
      <c r="M20" s="58">
        <f ca="1">_xll.EURO(UnderlyingPrice,$D20,IntRate,Yield,$I20,$D$6,M$12,0)</f>
        <v>7.2900150678715525E-2</v>
      </c>
      <c r="O20" s="58">
        <f ca="1">_xll.EURO(UnderlyingPrice,$D20*(1+$P$8),IntRate,Yield,$H20,Expiry-Today,O$12,0)</f>
        <v>1.644011895225959</v>
      </c>
      <c r="P20" s="58">
        <f ca="1">_xll.EURO(UnderlyingPrice,$D20*(1+$P$8),IntRate,Yield,$H20,Expiry-Today,P$12,0)</f>
        <v>7.3121088921610122E-2</v>
      </c>
      <c r="R20" s="58">
        <f ca="1">_xll.EURO(UnderlyingPrice,$D20*(1-$P$8),IntRate,Yield,$J20,Expiry-Today,R$12,0)</f>
        <v>1.6467597302543275</v>
      </c>
      <c r="S20" s="58">
        <f ca="1">_xll.EURO(UnderlyingPrice,$D20*(1-$P$8),IntRate,Yield,$J20,Expiry-Today,S$12,0)</f>
        <v>7.2679726988400195E-2</v>
      </c>
      <c r="U20" s="59">
        <f t="shared" ca="1" si="10"/>
        <v>0.19546110348155452</v>
      </c>
      <c r="V20" s="59"/>
      <c r="W20" s="62">
        <f t="shared" ca="1" si="3"/>
        <v>0.19888118809803446</v>
      </c>
      <c r="X20" s="63"/>
      <c r="Z20" s="59">
        <f t="shared" ca="1" si="11"/>
        <v>0.37486635606085711</v>
      </c>
      <c r="AA20" s="59">
        <f t="shared" ca="1" si="12"/>
        <v>-0.34705350417423791</v>
      </c>
      <c r="AB20" s="59">
        <f t="shared" ca="1" si="4"/>
        <v>-0.12044613475961777</v>
      </c>
      <c r="AC20" s="59">
        <f t="shared" ca="1" si="13"/>
        <v>-0.55991882841828011</v>
      </c>
      <c r="AD20" s="60">
        <f t="shared" ca="1" si="5"/>
        <v>0.57125543167386961</v>
      </c>
      <c r="AE20" s="60">
        <f t="shared" ca="1" si="14"/>
        <v>0.21414444205155544</v>
      </c>
      <c r="AF20" s="60"/>
      <c r="AG20" s="97">
        <f t="shared" ca="1" si="15"/>
        <v>-1.0582238217109652</v>
      </c>
      <c r="AH20" s="97">
        <f t="shared" ca="1" si="16"/>
        <v>-1.0566996196193814</v>
      </c>
      <c r="AI20" s="97">
        <f t="shared" ca="1" si="17"/>
        <v>-1.0597487860941992</v>
      </c>
      <c r="AJ20" s="97"/>
      <c r="AK20" s="97">
        <f t="shared" ca="1" si="18"/>
        <v>0.21165438512722989</v>
      </c>
      <c r="AL20" s="97"/>
      <c r="AM20" s="95">
        <v>-2.4</v>
      </c>
      <c r="AN20" s="96">
        <f t="shared" si="6"/>
        <v>2.2394530294842896E-2</v>
      </c>
      <c r="AP20" s="64" t="s">
        <v>91</v>
      </c>
      <c r="AX20" s="107">
        <f t="shared" ca="1" si="19"/>
        <v>0.5001235497874581</v>
      </c>
      <c r="AY20" s="107">
        <f t="shared" ca="1" si="20"/>
        <v>0.5000898253070587</v>
      </c>
      <c r="AZ20" s="107">
        <f t="shared" ca="1" si="21"/>
        <v>0.50015733288047692</v>
      </c>
      <c r="BB20" s="39">
        <f ca="1">_xll.EURO(UnderlyingPrice,$D20,IntRate,Yield,AX20,$D$6,1,0)</f>
        <v>1.6327864713610696</v>
      </c>
      <c r="BC20" s="39">
        <f ca="1">_xll.EURO(UnderlyingPrice,$D20*(1+$P$8),IntRate,Yield,AY20,$D$6,1,0)</f>
        <v>1.6313920254032803</v>
      </c>
      <c r="BD20" s="39">
        <f ca="1">_xll.EURO(UnderlyingPrice,$D20*(1-$P$8),IntRate,Yield,AZ20,$D$6,1,0)</f>
        <v>1.6341814228720275</v>
      </c>
      <c r="BF20" s="59">
        <f t="shared" ca="1" si="22"/>
        <v>0.19204253310377548</v>
      </c>
      <c r="BG20" s="39">
        <f t="shared" ca="1" si="23"/>
        <v>0.19540280121584025</v>
      </c>
      <c r="BI20" s="58">
        <f t="shared" ca="1" si="24"/>
        <v>-1.2599084102785429E-2</v>
      </c>
      <c r="BJ20" s="46">
        <f t="shared" ca="1" si="25"/>
        <v>-7.7163084847726576E-3</v>
      </c>
    </row>
    <row r="21" spans="3:62" x14ac:dyDescent="0.2">
      <c r="C21" s="56">
        <v>8</v>
      </c>
      <c r="D21" s="63">
        <f t="shared" ca="1" si="26"/>
        <v>3.2800000000000011</v>
      </c>
      <c r="E21" s="45">
        <f t="shared" ca="1" si="7"/>
        <v>-0.32301341589267263</v>
      </c>
      <c r="F21" s="45">
        <f t="shared" ca="1" si="8"/>
        <v>-0.32267492260061903</v>
      </c>
      <c r="G21" s="45">
        <f t="shared" ca="1" si="9"/>
        <v>-0.32335190918472623</v>
      </c>
      <c r="H21" s="45">
        <f t="shared" ca="1" si="0"/>
        <v>0.52672125833025385</v>
      </c>
      <c r="I21" s="45">
        <f t="shared" ca="1" si="1"/>
        <v>0.5267640029811731</v>
      </c>
      <c r="J21" s="45">
        <f t="shared" ca="1" si="2"/>
        <v>0.52680682932826195</v>
      </c>
      <c r="L21" s="58">
        <f ca="1">_xll.EURO(UnderlyingPrice,$D21,IntRate,Yield,$I21,$D$6,L$12,0)</f>
        <v>1.6158688143156978</v>
      </c>
      <c r="M21" s="58">
        <f ca="1">_xll.EURO(UnderlyingPrice,$D21,IntRate,Yield,$I21,$D$6,M$12,0)</f>
        <v>7.7781527760233893E-2</v>
      </c>
      <c r="O21" s="58">
        <f ca="1">_xll.EURO(UnderlyingPrice,$D21*(1+$P$8),IntRate,Yield,$H21,Expiry-Today,O$12,0)</f>
        <v>1.6144917378223749</v>
      </c>
      <c r="P21" s="58">
        <f ca="1">_xll.EURO(UnderlyingPrice,$D21*(1+$P$8),IntRate,Yield,$H21,Expiry-Today,P$12,0)</f>
        <v>7.801624880681679E-2</v>
      </c>
      <c r="R21" s="58">
        <f ca="1">_xll.EURO(UnderlyingPrice,$D21*(1-$P$8),IntRate,Yield,$J21,Expiry-Today,R$12,0)</f>
        <v>1.6172464323877862</v>
      </c>
      <c r="S21" s="58">
        <f ca="1">_xll.EURO(UnderlyingPrice,$D21*(1-$P$8),IntRate,Yield,$J21,Expiry-Today,S$12,0)</f>
        <v>7.7547348292418439E-2</v>
      </c>
      <c r="U21" s="59">
        <f t="shared" ca="1" si="10"/>
        <v>0.20136033811329421</v>
      </c>
      <c r="V21" s="59"/>
      <c r="W21" s="62">
        <f t="shared" ca="1" si="3"/>
        <v>0.20488364470720927</v>
      </c>
      <c r="X21" s="63"/>
      <c r="Z21" s="59">
        <f t="shared" ca="1" si="11"/>
        <v>0.3708662577492321</v>
      </c>
      <c r="AA21" s="59">
        <f t="shared" ca="1" si="12"/>
        <v>-0.33632543193423886</v>
      </c>
      <c r="AB21" s="59">
        <f t="shared" ca="1" si="4"/>
        <v>-0.11311479616575233</v>
      </c>
      <c r="AC21" s="59">
        <f t="shared" ca="1" si="13"/>
        <v>-0.52583758102576417</v>
      </c>
      <c r="AD21" s="60">
        <f t="shared" ca="1" si="5"/>
        <v>0.59106009626047096</v>
      </c>
      <c r="AE21" s="60">
        <f t="shared" ca="1" si="14"/>
        <v>0.21920424600502175</v>
      </c>
      <c r="AF21" s="60"/>
      <c r="AG21" s="97">
        <f t="shared" ca="1" si="15"/>
        <v>-1.0255121462233046</v>
      </c>
      <c r="AH21" s="97">
        <f t="shared" ca="1" si="16"/>
        <v>-1.023987944131721</v>
      </c>
      <c r="AI21" s="97">
        <f t="shared" ca="1" si="17"/>
        <v>-1.0270371106065388</v>
      </c>
      <c r="AJ21" s="97"/>
      <c r="AK21" s="97">
        <f t="shared" ca="1" si="18"/>
        <v>0.22039411760218997</v>
      </c>
      <c r="AL21" s="97"/>
      <c r="AM21" s="95">
        <v>-2.2999999999999998</v>
      </c>
      <c r="AN21" s="96">
        <f t="shared" si="6"/>
        <v>2.8327037741601183E-2</v>
      </c>
      <c r="AX21" s="107">
        <f t="shared" ca="1" si="19"/>
        <v>0.49940902352077426</v>
      </c>
      <c r="AY21" s="107">
        <f t="shared" ca="1" si="20"/>
        <v>0.49937620791141485</v>
      </c>
      <c r="AZ21" s="107">
        <f t="shared" ca="1" si="21"/>
        <v>0.49944189850276999</v>
      </c>
      <c r="BB21" s="39">
        <f ca="1">_xll.EURO(UnderlyingPrice,$D21,IntRate,Yield,AX21,$D$6,1,0)</f>
        <v>1.6028194228803527</v>
      </c>
      <c r="BC21" s="39">
        <f ca="1">_xll.EURO(UnderlyingPrice,$D21*(1+$P$8),IntRate,Yield,AY21,$D$6,1,0)</f>
        <v>1.6014211507933225</v>
      </c>
      <c r="BD21" s="39">
        <f ca="1">_xll.EURO(UnderlyingPrice,$D21*(1-$P$8),IntRate,Yield,AZ21,$D$6,1,0)</f>
        <v>1.604218228302043</v>
      </c>
      <c r="BF21" s="59">
        <f t="shared" ca="1" si="22"/>
        <v>0.1982951591281859</v>
      </c>
      <c r="BG21" s="39">
        <f t="shared" ca="1" si="23"/>
        <v>0.20176483269073564</v>
      </c>
      <c r="BI21" s="58">
        <f t="shared" ca="1" si="24"/>
        <v>-1.3049391435345115E-2</v>
      </c>
      <c r="BJ21" s="46">
        <f t="shared" ca="1" si="25"/>
        <v>-8.141523149185861E-3</v>
      </c>
    </row>
    <row r="22" spans="3:62" x14ac:dyDescent="0.2">
      <c r="C22" s="56">
        <v>9</v>
      </c>
      <c r="D22" s="63">
        <f t="shared" ca="1" si="26"/>
        <v>3.3150000000000013</v>
      </c>
      <c r="E22" s="45">
        <f t="shared" ca="1" si="7"/>
        <v>-0.31578947368421018</v>
      </c>
      <c r="F22" s="45">
        <f t="shared" ca="1" si="8"/>
        <v>-0.31544736842105237</v>
      </c>
      <c r="G22" s="45">
        <f t="shared" ca="1" si="9"/>
        <v>-0.3161315789473681</v>
      </c>
      <c r="H22" s="45">
        <f t="shared" ca="1" si="0"/>
        <v>0.52582799132026248</v>
      </c>
      <c r="I22" s="45">
        <f t="shared" ca="1" si="1"/>
        <v>0.52586943898527483</v>
      </c>
      <c r="J22" s="45">
        <f t="shared" ca="1" si="2"/>
        <v>0.5259109692439552</v>
      </c>
      <c r="L22" s="58">
        <f ca="1">_xll.EURO(UnderlyingPrice,$D22,IntRate,Yield,$I22,$D$6,L$12,0)</f>
        <v>1.5865987327397955</v>
      </c>
      <c r="M22" s="58">
        <f ca="1">_xll.EURO(UnderlyingPrice,$D22,IntRate,Yield,$I22,$D$6,M$12,0)</f>
        <v>8.2909564414006764E-2</v>
      </c>
      <c r="O22" s="58">
        <f ca="1">_xll.EURO(UnderlyingPrice,$D22*(1+$P$8),IntRate,Yield,$H22,Expiry-Today,O$12,0)</f>
        <v>1.5852188237082778</v>
      </c>
      <c r="P22" s="58">
        <f ca="1">_xll.EURO(UnderlyingPrice,$D22*(1+$P$8),IntRate,Yield,$H22,Expiry-Today,P$12,0)</f>
        <v>8.315865198150868E-2</v>
      </c>
      <c r="R22" s="58">
        <f ca="1">_xll.EURO(UnderlyingPrice,$D22*(1-$P$8),IntRate,Yield,$J22,Expiry-Today,R$12,0)</f>
        <v>1.5879792109922741</v>
      </c>
      <c r="S22" s="58">
        <f ca="1">_xll.EURO(UnderlyingPrice,$D22*(1-$P$8),IntRate,Yield,$J22,Expiry-Today,S$12,0)</f>
        <v>8.2661046067466049E-2</v>
      </c>
      <c r="U22" s="59">
        <f t="shared" ca="1" si="10"/>
        <v>0.20719239474414886</v>
      </c>
      <c r="V22" s="59"/>
      <c r="W22" s="62">
        <f t="shared" ca="1" si="3"/>
        <v>0.21081774786706814</v>
      </c>
      <c r="X22" s="63"/>
      <c r="Z22" s="59">
        <f t="shared" ca="1" si="11"/>
        <v>0.36695062606862178</v>
      </c>
      <c r="AA22" s="59">
        <f t="shared" ca="1" si="12"/>
        <v>-0.32571123069246521</v>
      </c>
      <c r="AB22" s="59">
        <f t="shared" ca="1" si="4"/>
        <v>-0.1060878057992003</v>
      </c>
      <c r="AC22" s="59">
        <f t="shared" ca="1" si="13"/>
        <v>-0.49317115946563034</v>
      </c>
      <c r="AD22" s="60">
        <f t="shared" ca="1" si="5"/>
        <v>0.61068673530488582</v>
      </c>
      <c r="AE22" s="60">
        <f t="shared" ca="1" si="14"/>
        <v>0.22409187985193055</v>
      </c>
      <c r="AF22" s="60"/>
      <c r="AG22" s="97">
        <f t="shared" ca="1" si="15"/>
        <v>-0.99314768233695272</v>
      </c>
      <c r="AH22" s="97">
        <f t="shared" ca="1" si="16"/>
        <v>-0.99162348024536928</v>
      </c>
      <c r="AI22" s="97">
        <f t="shared" ca="1" si="17"/>
        <v>-0.99467264672018729</v>
      </c>
      <c r="AJ22" s="97"/>
      <c r="AK22" s="97">
        <f t="shared" ca="1" si="18"/>
        <v>0.22919733637076761</v>
      </c>
      <c r="AL22" s="97"/>
      <c r="AM22" s="95">
        <v>-2.2000000000000002</v>
      </c>
      <c r="AN22" s="96">
        <f t="shared" si="6"/>
        <v>3.5474592846231418E-2</v>
      </c>
      <c r="AP22" s="56"/>
      <c r="AQ22" s="74" t="s">
        <v>62</v>
      </c>
      <c r="AR22" s="74" t="s">
        <v>63</v>
      </c>
      <c r="AX22" s="107">
        <f t="shared" ca="1" si="19"/>
        <v>0.49872153899985416</v>
      </c>
      <c r="AY22" s="107">
        <f t="shared" ca="1" si="20"/>
        <v>0.49868964838995627</v>
      </c>
      <c r="AZ22" s="107">
        <f t="shared" ca="1" si="21"/>
        <v>0.49875348973410766</v>
      </c>
      <c r="BB22" s="39">
        <f ca="1">_xll.EURO(UnderlyingPrice,$D22,IntRate,Yield,AX22,$D$6,1,0)</f>
        <v>1.5730952796257611</v>
      </c>
      <c r="BC22" s="39">
        <f ca="1">_xll.EURO(UnderlyingPrice,$D22*(1+$P$8),IntRate,Yield,AY22,$D$6,1,0)</f>
        <v>1.5716937818283263</v>
      </c>
      <c r="BD22" s="39">
        <f ca="1">_xll.EURO(UnderlyingPrice,$D22*(1-$P$8),IntRate,Yield,AZ22,$D$6,1,0)</f>
        <v>1.5744973392075243</v>
      </c>
      <c r="BF22" s="59">
        <f t="shared" ca="1" si="22"/>
        <v>0.20448551317860778</v>
      </c>
      <c r="BG22" s="39">
        <f t="shared" ca="1" si="23"/>
        <v>0.20806350258651654</v>
      </c>
      <c r="BI22" s="58">
        <f t="shared" ca="1" si="24"/>
        <v>-1.3503453114034336E-2</v>
      </c>
      <c r="BJ22" s="46">
        <f t="shared" ca="1" si="25"/>
        <v>-8.5840020556458632E-3</v>
      </c>
    </row>
    <row r="23" spans="3:62" x14ac:dyDescent="0.2">
      <c r="C23" s="56">
        <v>10</v>
      </c>
      <c r="D23" s="63">
        <f t="shared" ca="1" si="26"/>
        <v>3.3500000000000014</v>
      </c>
      <c r="E23" s="45">
        <f t="shared" ca="1" si="7"/>
        <v>-0.30856553147574783</v>
      </c>
      <c r="F23" s="45">
        <f t="shared" ca="1" si="8"/>
        <v>-0.30821981424148581</v>
      </c>
      <c r="G23" s="45">
        <f t="shared" ca="1" si="9"/>
        <v>-0.30891124871000997</v>
      </c>
      <c r="H23" s="45">
        <f t="shared" ca="1" si="0"/>
        <v>0.52497157086758461</v>
      </c>
      <c r="I23" s="45">
        <f t="shared" ca="1" si="1"/>
        <v>0.52501170278879339</v>
      </c>
      <c r="J23" s="45">
        <f t="shared" ca="1" si="2"/>
        <v>0.52505191818346086</v>
      </c>
      <c r="L23" s="58">
        <f ca="1">_xll.EURO(UnderlyingPrice,$D23,IntRate,Yield,$I23,$D$6,L$12,0)</f>
        <v>1.5575824535457499</v>
      </c>
      <c r="M23" s="58">
        <f ca="1">_xll.EURO(UnderlyingPrice,$D23,IntRate,Yield,$I23,$D$6,M$12,0)</f>
        <v>8.8291403449636818E-2</v>
      </c>
      <c r="O23" s="58">
        <f ca="1">_xll.EURO(UnderlyingPrice,$D23*(1+$P$8),IntRate,Yield,$H23,Expiry-Today,O$12,0)</f>
        <v>1.5562003020945059</v>
      </c>
      <c r="P23" s="58">
        <f ca="1">_xll.EURO(UnderlyingPrice,$D23*(1+$P$8),IntRate,Yield,$H23,Expiry-Today,P$12,0)</f>
        <v>8.8555447656526398E-2</v>
      </c>
      <c r="R23" s="58">
        <f ca="1">_xll.EURO(UnderlyingPrice,$D23*(1-$P$8),IntRate,Yield,$J23,Expiry-Today,R$12,0)</f>
        <v>1.5589652024350462</v>
      </c>
      <c r="S23" s="58">
        <f ca="1">_xll.EURO(UnderlyingPrice,$D23*(1-$P$8),IntRate,Yield,$J23,Expiry-Today,S$12,0)</f>
        <v>8.8027956680798158E-2</v>
      </c>
      <c r="U23" s="59">
        <f t="shared" ca="1" si="10"/>
        <v>0.21294294581892806</v>
      </c>
      <c r="V23" s="59"/>
      <c r="W23" s="62">
        <f t="shared" ca="1" si="3"/>
        <v>0.21666891932573354</v>
      </c>
      <c r="X23" s="63"/>
      <c r="Z23" s="59">
        <f t="shared" ca="1" si="11"/>
        <v>0.36311681355745706</v>
      </c>
      <c r="AA23" s="59">
        <f t="shared" ca="1" si="12"/>
        <v>-0.315208508493316</v>
      </c>
      <c r="AB23" s="59">
        <f t="shared" ca="1" si="4"/>
        <v>-9.9356403826580869E-2</v>
      </c>
      <c r="AC23" s="59">
        <f t="shared" ca="1" si="13"/>
        <v>-0.46187884183631256</v>
      </c>
      <c r="AD23" s="60">
        <f t="shared" ca="1" si="5"/>
        <v>0.63009867691603216</v>
      </c>
      <c r="AE23" s="60">
        <f t="shared" ca="1" si="14"/>
        <v>0.22879942378851922</v>
      </c>
      <c r="AF23" s="60"/>
      <c r="AG23" s="97">
        <f t="shared" ca="1" si="15"/>
        <v>-0.96112313658168957</v>
      </c>
      <c r="AH23" s="97">
        <f t="shared" ca="1" si="16"/>
        <v>-0.95959893449010625</v>
      </c>
      <c r="AI23" s="97">
        <f t="shared" ca="1" si="17"/>
        <v>-0.96264810096492393</v>
      </c>
      <c r="AJ23" s="97"/>
      <c r="AK23" s="97">
        <f t="shared" ca="1" si="18"/>
        <v>0.23804567108281907</v>
      </c>
      <c r="AL23" s="97"/>
      <c r="AM23" s="95">
        <v>-2.1</v>
      </c>
      <c r="AN23" s="96">
        <f t="shared" si="6"/>
        <v>4.3983595980427184E-2</v>
      </c>
      <c r="AP23" s="74" t="s">
        <v>97</v>
      </c>
      <c r="AQ23" s="99">
        <f>2*PI()</f>
        <v>6.2831853071795862</v>
      </c>
      <c r="AR23" s="76">
        <f>2*PI()</f>
        <v>6.2831853071795862</v>
      </c>
      <c r="AX23" s="107">
        <f t="shared" ca="1" si="19"/>
        <v>0.4980608634069883</v>
      </c>
      <c r="AY23" s="107">
        <f t="shared" ca="1" si="20"/>
        <v>0.49802991357557241</v>
      </c>
      <c r="AZ23" s="107">
        <f t="shared" ca="1" si="21"/>
        <v>0.49809187410583244</v>
      </c>
      <c r="BB23" s="39">
        <f ca="1">_xll.EURO(UnderlyingPrice,$D23,IntRate,Yield,AX23,$D$6,1,0)</f>
        <v>1.5436216232407052</v>
      </c>
      <c r="BC23" s="39">
        <f ca="1">_xll.EURO(UnderlyingPrice,$D23*(1+$P$8),IntRate,Yield,AY23,$D$6,1,0)</f>
        <v>1.5422175074706503</v>
      </c>
      <c r="BD23" s="39">
        <f ca="1">_xll.EURO(UnderlyingPrice,$D23*(1-$P$8),IntRate,Yield,AZ23,$D$6,1,0)</f>
        <v>1.5450263298710833</v>
      </c>
      <c r="BF23" s="59">
        <f t="shared" ca="1" si="22"/>
        <v>0.2105984667712566</v>
      </c>
      <c r="BG23" s="39">
        <f t="shared" ca="1" si="23"/>
        <v>0.21428341770844705</v>
      </c>
      <c r="BI23" s="58">
        <f t="shared" ca="1" si="24"/>
        <v>-1.3960830305044691E-2</v>
      </c>
      <c r="BJ23" s="46">
        <f t="shared" ca="1" si="25"/>
        <v>-9.0442049365278328E-3</v>
      </c>
    </row>
    <row r="24" spans="3:62" x14ac:dyDescent="0.2">
      <c r="C24" s="56">
        <v>11</v>
      </c>
      <c r="D24" s="63">
        <f t="shared" ca="1" si="26"/>
        <v>3.3850000000000016</v>
      </c>
      <c r="E24" s="45">
        <f t="shared" ca="1" si="7"/>
        <v>-0.30134158926728549</v>
      </c>
      <c r="F24" s="45">
        <f t="shared" ca="1" si="8"/>
        <v>-0.30099226006191915</v>
      </c>
      <c r="G24" s="45">
        <f t="shared" ca="1" si="9"/>
        <v>-0.30169091847265184</v>
      </c>
      <c r="H24" s="45">
        <f t="shared" ca="1" si="0"/>
        <v>0.52415161502034469</v>
      </c>
      <c r="I24" s="45">
        <f t="shared" ca="1" si="1"/>
        <v>0.52419041301220926</v>
      </c>
      <c r="J24" s="45">
        <f t="shared" ca="1" si="2"/>
        <v>0.5242292953390425</v>
      </c>
      <c r="L24" s="58">
        <f ca="1">_xll.EURO(UnderlyingPrice,$D24,IntRate,Yield,$I24,$D$6,L$12,0)</f>
        <v>1.528827019705949</v>
      </c>
      <c r="M24" s="58">
        <f ca="1">_xll.EURO(UnderlyingPrice,$D24,IntRate,Yield,$I24,$D$6,M$12,0)</f>
        <v>9.3934087839510294E-2</v>
      </c>
      <c r="O24" s="58">
        <f ca="1">_xll.EURO(UnderlyingPrice,$D24*(1+$P$8),IntRate,Yield,$H24,Expiry-Today,O$12,0)</f>
        <v>1.5274432213239897</v>
      </c>
      <c r="P24" s="58">
        <f ca="1">_xll.EURO(UnderlyingPrice,$D24*(1+$P$8),IntRate,Yield,$H24,Expiry-Today,P$12,0)</f>
        <v>9.4213684174800583E-2</v>
      </c>
      <c r="R24" s="58">
        <f ca="1">_xll.EURO(UnderlyingPrice,$D24*(1-$P$8),IntRate,Yield,$J24,Expiry-Today,R$12,0)</f>
        <v>1.5302114442734238</v>
      </c>
      <c r="S24" s="58">
        <f ca="1">_xll.EURO(UnderlyingPrice,$D24*(1-$P$8),IntRate,Yield,$J24,Expiry-Today,S$12,0)</f>
        <v>9.3655117689737E-2</v>
      </c>
      <c r="U24" s="59">
        <f t="shared" ca="1" si="10"/>
        <v>0.21859773758672521</v>
      </c>
      <c r="V24" s="59"/>
      <c r="W24" s="62">
        <f t="shared" ca="1" si="3"/>
        <v>0.22242265592700372</v>
      </c>
      <c r="X24" s="63"/>
      <c r="Z24" s="59">
        <f t="shared" ca="1" si="11"/>
        <v>0.35936228225036371</v>
      </c>
      <c r="AA24" s="59">
        <f t="shared" ca="1" si="12"/>
        <v>-0.30481494796605274</v>
      </c>
      <c r="AB24" s="59">
        <f t="shared" ca="1" si="4"/>
        <v>-9.2912152503547438E-2</v>
      </c>
      <c r="AC24" s="59">
        <f t="shared" ca="1" si="13"/>
        <v>-0.43192140353389574</v>
      </c>
      <c r="AD24" s="60">
        <f t="shared" ca="1" si="5"/>
        <v>0.64926040425318354</v>
      </c>
      <c r="AE24" s="60">
        <f t="shared" ca="1" si="14"/>
        <v>0.2333197006472178</v>
      </c>
      <c r="AF24" s="60"/>
      <c r="AG24" s="97">
        <f t="shared" ca="1" si="15"/>
        <v>-0.92943144290893864</v>
      </c>
      <c r="AH24" s="97">
        <f t="shared" ca="1" si="16"/>
        <v>-0.92790724081735465</v>
      </c>
      <c r="AI24" s="97">
        <f t="shared" ca="1" si="17"/>
        <v>-0.93095640729217299</v>
      </c>
      <c r="AJ24" s="97"/>
      <c r="AK24" s="97">
        <f t="shared" ca="1" si="18"/>
        <v>0.24692016540610912</v>
      </c>
      <c r="AL24" s="97"/>
      <c r="AM24" s="95">
        <v>-2</v>
      </c>
      <c r="AN24" s="96">
        <f t="shared" si="6"/>
        <v>5.3990966513188049E-2</v>
      </c>
      <c r="AP24" s="74" t="s">
        <v>78</v>
      </c>
      <c r="AQ24" s="99">
        <f ca="1">AG13</f>
        <v>-1.2975927050231928</v>
      </c>
      <c r="AR24" s="76">
        <f ca="1">AG113</f>
        <v>1.0599917843814457</v>
      </c>
      <c r="AX24" s="107">
        <f t="shared" ca="1" si="19"/>
        <v>0.49742676392446722</v>
      </c>
      <c r="AY24" s="107">
        <f t="shared" ca="1" si="20"/>
        <v>0.49739677030115254</v>
      </c>
      <c r="AZ24" s="107">
        <f t="shared" ca="1" si="21"/>
        <v>0.49745681914928691</v>
      </c>
      <c r="BB24" s="39">
        <f ca="1">_xll.EURO(UnderlyingPrice,$D24,IntRate,Yield,AX24,$D$6,1,0)</f>
        <v>1.5144059405621384</v>
      </c>
      <c r="BC24" s="39">
        <f ca="1">_xll.EURO(UnderlyingPrice,$D24*(1+$P$8),IntRate,Yield,AY24,$D$6,1,0)</f>
        <v>1.5129998208095321</v>
      </c>
      <c r="BD24" s="39">
        <f ca="1">_xll.EURO(UnderlyingPrice,$D24*(1-$P$8),IntRate,Yield,AZ24,$D$6,1,0)</f>
        <v>1.5158126808320151</v>
      </c>
      <c r="BF24" s="59">
        <f t="shared" ca="1" si="22"/>
        <v>0.21661898608394312</v>
      </c>
      <c r="BG24" s="39">
        <f t="shared" ca="1" si="23"/>
        <v>0.22040928117972972</v>
      </c>
      <c r="BI24" s="58">
        <f t="shared" ca="1" si="24"/>
        <v>-1.4421079143810633E-2</v>
      </c>
      <c r="BJ24" s="46">
        <f t="shared" ca="1" si="25"/>
        <v>-9.522598107649799E-3</v>
      </c>
    </row>
    <row r="25" spans="3:62" x14ac:dyDescent="0.2">
      <c r="C25" s="56">
        <v>12</v>
      </c>
      <c r="D25" s="63">
        <f t="shared" ca="1" si="26"/>
        <v>3.4200000000000017</v>
      </c>
      <c r="E25" s="45">
        <f t="shared" ca="1" si="7"/>
        <v>-0.29411764705882315</v>
      </c>
      <c r="F25" s="45">
        <f t="shared" ca="1" si="8"/>
        <v>-0.29376470588235259</v>
      </c>
      <c r="G25" s="45">
        <f t="shared" ca="1" si="9"/>
        <v>-0.29447058823529371</v>
      </c>
      <c r="H25" s="45">
        <f t="shared" ca="1" si="0"/>
        <v>0.52336774182666801</v>
      </c>
      <c r="I25" s="45">
        <f t="shared" ca="1" si="1"/>
        <v>0.52340518827600235</v>
      </c>
      <c r="J25" s="45">
        <f t="shared" ca="1" si="2"/>
        <v>0.52344271990296343</v>
      </c>
      <c r="L25" s="58">
        <f ca="1">_xll.EURO(UnderlyingPrice,$D25,IntRate,Yield,$I25,$D$6,L$12,0)</f>
        <v>1.5003393569058066</v>
      </c>
      <c r="M25" s="58">
        <f ca="1">_xll.EURO(UnderlyingPrice,$D25,IntRate,Yield,$I25,$D$6,M$12,0)</f>
        <v>9.9844543269043462E-2</v>
      </c>
      <c r="O25" s="58">
        <f ca="1">_xll.EURO(UnderlyingPrice,$D25*(1+$P$8),IntRate,Yield,$H25,Expiry-Today,O$12,0)</f>
        <v>1.4989545113851399</v>
      </c>
      <c r="P25" s="58">
        <f ca="1">_xll.EURO(UnderlyingPrice,$D25*(1+$P$8),IntRate,Yield,$H25,Expiry-Today,P$12,0)</f>
        <v>0.10014029152474002</v>
      </c>
      <c r="R25" s="58">
        <f ca="1">_xll.EURO(UnderlyingPrice,$D25*(1-$P$8),IntRate,Yield,$J25,Expiry-Today,R$12,0)</f>
        <v>1.5017248578420661</v>
      </c>
      <c r="S25" s="58">
        <f ca="1">_xll.EURO(UnderlyingPrice,$D25*(1-$P$8),IntRate,Yield,$J25,Expiry-Today,S$12,0)</f>
        <v>9.954945042893959E-2</v>
      </c>
      <c r="U25" s="59">
        <f t="shared" ca="1" si="10"/>
        <v>0.22414267395420512</v>
      </c>
      <c r="V25" s="59"/>
      <c r="W25" s="62">
        <f t="shared" ca="1" si="3"/>
        <v>0.22806461493086494</v>
      </c>
      <c r="X25" s="63"/>
      <c r="Z25" s="59">
        <f t="shared" ca="1" si="11"/>
        <v>0.35568459807528685</v>
      </c>
      <c r="AA25" s="59">
        <f t="shared" ca="1" si="12"/>
        <v>-0.29452830325577728</v>
      </c>
      <c r="AB25" s="59">
        <f t="shared" ca="1" si="4"/>
        <v>-8.6746921418727099E-2</v>
      </c>
      <c r="AC25" s="59">
        <f t="shared" ca="1" si="13"/>
        <v>-0.4032610486555096</v>
      </c>
      <c r="AD25" s="60">
        <f t="shared" ca="1" si="5"/>
        <v>0.6681376601181217</v>
      </c>
      <c r="AE25" s="60">
        <f t="shared" ca="1" si="14"/>
        <v>0.23764627509807673</v>
      </c>
      <c r="AF25" s="60"/>
      <c r="AG25" s="97">
        <f t="shared" ca="1" si="15"/>
        <v>-0.89806575333380756</v>
      </c>
      <c r="AH25" s="97">
        <f t="shared" ca="1" si="16"/>
        <v>-0.8965415512422239</v>
      </c>
      <c r="AI25" s="97">
        <f t="shared" ca="1" si="17"/>
        <v>-0.8995907177170418</v>
      </c>
      <c r="AJ25" s="97"/>
      <c r="AK25" s="97">
        <f t="shared" ca="1" si="18"/>
        <v>0.25580137703374822</v>
      </c>
      <c r="AL25" s="97"/>
      <c r="AM25" s="95">
        <v>-1.9</v>
      </c>
      <c r="AN25" s="96">
        <f t="shared" si="6"/>
        <v>6.5615814774676581E-2</v>
      </c>
      <c r="AP25" s="74" t="s">
        <v>98</v>
      </c>
      <c r="AQ25" s="99">
        <f ca="1">NORMSDIST(AG13/Gamma)</f>
        <v>0.50000000021792623</v>
      </c>
      <c r="AR25" s="76">
        <f ca="1">NORMSDIST(AG113/Gamma)</f>
        <v>0.49999999978200915</v>
      </c>
      <c r="AX25" s="107">
        <f t="shared" ca="1" si="19"/>
        <v>0.49681900773458165</v>
      </c>
      <c r="AY25" s="107">
        <f t="shared" ca="1" si="20"/>
        <v>0.49678998539958619</v>
      </c>
      <c r="AZ25" s="107">
        <f t="shared" ca="1" si="21"/>
        <v>0.49684809239581373</v>
      </c>
      <c r="BB25" s="39">
        <f ca="1">_xll.EURO(UnderlyingPrice,$D25,IntRate,Yield,AX25,$D$6,1,0)</f>
        <v>1.4854556052131023</v>
      </c>
      <c r="BC25" s="39">
        <f ca="1">_xll.EURO(UnderlyingPrice,$D25*(1+$P$8),IntRate,Yield,AY25,$D$6,1,0)</f>
        <v>1.4840481006156581</v>
      </c>
      <c r="BD25" s="39">
        <f ca="1">_xll.EURO(UnderlyingPrice,$D25*(1-$P$8),IntRate,Yield,AZ25,$D$6,1,0)</f>
        <v>1.4868637605169894</v>
      </c>
      <c r="BF25" s="59">
        <f t="shared" ca="1" si="22"/>
        <v>0.22253221262973938</v>
      </c>
      <c r="BG25" s="39">
        <f t="shared" ca="1" si="23"/>
        <v>0.22642597452676066</v>
      </c>
      <c r="BI25" s="58">
        <f t="shared" ca="1" si="24"/>
        <v>-1.4883751692704283E-2</v>
      </c>
      <c r="BJ25" s="46">
        <f t="shared" ca="1" si="25"/>
        <v>-1.0019654333977267E-2</v>
      </c>
    </row>
    <row r="26" spans="3:62" ht="11.4" x14ac:dyDescent="0.2">
      <c r="C26" s="56">
        <v>13</v>
      </c>
      <c r="D26" s="63">
        <f t="shared" ca="1" si="26"/>
        <v>3.4550000000000018</v>
      </c>
      <c r="E26" s="45">
        <f t="shared" ca="1" si="7"/>
        <v>-0.28689370485036081</v>
      </c>
      <c r="F26" s="45">
        <f t="shared" ca="1" si="8"/>
        <v>-0.28653715170278593</v>
      </c>
      <c r="G26" s="45">
        <f t="shared" ca="1" si="9"/>
        <v>-0.28725025799793558</v>
      </c>
      <c r="H26" s="45">
        <f t="shared" ca="1" si="0"/>
        <v>0.52261956933467901</v>
      </c>
      <c r="I26" s="45">
        <f t="shared" ca="1" si="1"/>
        <v>0.52265564720065294</v>
      </c>
      <c r="J26" s="45">
        <f t="shared" ca="1" si="2"/>
        <v>0.52269181106748697</v>
      </c>
      <c r="L26" s="58">
        <f ca="1">_xll.EURO(UnderlyingPrice,$D26,IntRate,Yield,$I26,$D$6,L$12,0)</f>
        <v>1.4721262562790396</v>
      </c>
      <c r="M26" s="58">
        <f ca="1">_xll.EURO(UnderlyingPrice,$D26,IntRate,Yield,$I26,$D$6,M$12,0)</f>
        <v>0.10602956087195137</v>
      </c>
      <c r="O26" s="58">
        <f ca="1">_xll.EURO(UnderlyingPrice,$D26*(1+$P$8),IntRate,Yield,$H26,Expiry-Today,O$12,0)</f>
        <v>1.4707409666151161</v>
      </c>
      <c r="P26" s="58">
        <f ca="1">_xll.EURO(UnderlyingPrice,$D26*(1+$P$8),IntRate,Yield,$H26,Expiry-Today,P$12,0)</f>
        <v>0.10634206404350655</v>
      </c>
      <c r="R26" s="58">
        <f ca="1">_xll.EURO(UnderlyingPrice,$D26*(1-$P$8),IntRate,Yield,$J26,Expiry-Today,R$12,0)</f>
        <v>1.4735122310203992</v>
      </c>
      <c r="S26" s="58">
        <f ca="1">_xll.EURO(UnderlyingPrice,$D26*(1-$P$8),IntRate,Yield,$J26,Expiry-Today,S$12,0)</f>
        <v>0.10571774277783264</v>
      </c>
      <c r="U26" s="59">
        <f t="shared" ca="1" si="10"/>
        <v>0.22956387746975324</v>
      </c>
      <c r="V26" s="59"/>
      <c r="W26" s="62">
        <f t="shared" ca="1" si="3"/>
        <v>0.23358067606471195</v>
      </c>
      <c r="X26" s="63"/>
      <c r="Z26" s="59">
        <f t="shared" ca="1" si="11"/>
        <v>0.35208142559116673</v>
      </c>
      <c r="AA26" s="59">
        <f t="shared" ca="1" si="12"/>
        <v>-0.28434639711065779</v>
      </c>
      <c r="AB26" s="59">
        <f t="shared" ca="1" si="4"/>
        <v>-8.0852873549811896E-2</v>
      </c>
      <c r="AC26" s="59">
        <f t="shared" ca="1" si="13"/>
        <v>-0.37586134517817793</v>
      </c>
      <c r="AD26" s="60">
        <f t="shared" ca="1" si="5"/>
        <v>0.68669754036677644</v>
      </c>
      <c r="AE26" s="60">
        <f t="shared" ca="1" si="14"/>
        <v>0.24177344896228242</v>
      </c>
      <c r="AF26" s="60"/>
      <c r="AG26" s="97">
        <f t="shared" ca="1" si="15"/>
        <v>-0.867019429053557</v>
      </c>
      <c r="AH26" s="97">
        <f t="shared" ca="1" si="16"/>
        <v>-0.8654952269619729</v>
      </c>
      <c r="AI26" s="97">
        <f t="shared" ca="1" si="17"/>
        <v>-0.86854439343679113</v>
      </c>
      <c r="AJ26" s="97"/>
      <c r="AK26" s="97">
        <f t="shared" ca="1" si="18"/>
        <v>0.26466945720032836</v>
      </c>
      <c r="AL26" s="97"/>
      <c r="AM26" s="95">
        <v>-1.8</v>
      </c>
      <c r="AN26" s="96">
        <f t="shared" si="6"/>
        <v>7.8950158300894135E-2</v>
      </c>
      <c r="AP26" s="74" t="s">
        <v>99</v>
      </c>
      <c r="AQ26" s="99" t="e">
        <f ca="1">EXP(((Gamma*AG13)^2)/2)</f>
        <v>#NUM!</v>
      </c>
      <c r="AR26" s="76" t="e">
        <f ca="1">EXP(((Gamma*AG113)^2)/2)</f>
        <v>#NUM!</v>
      </c>
      <c r="AX26" s="107">
        <f t="shared" ca="1" si="19"/>
        <v>0.49623736201962221</v>
      </c>
      <c r="AY26" s="107">
        <f t="shared" ca="1" si="20"/>
        <v>0.49620932570376269</v>
      </c>
      <c r="AZ26" s="107">
        <f t="shared" ca="1" si="21"/>
        <v>0.49626546137675542</v>
      </c>
      <c r="BB26" s="39">
        <f ca="1">_xll.EURO(UnderlyingPrice,$D26,IntRate,Yield,AX26,$D$6,1,0)</f>
        <v>1.4567778594077461</v>
      </c>
      <c r="BC26" s="39">
        <f ca="1">_xll.EURO(UnderlyingPrice,$D26*(1+$P$8),IntRate,Yield,AY26,$D$6,1,0)</f>
        <v>1.4553695931132093</v>
      </c>
      <c r="BD26" s="39">
        <f ca="1">_xll.EURO(UnderlyingPrice,$D26*(1-$P$8),IntRate,Yield,AZ26,$D$6,1,0)</f>
        <v>1.4581868070782131</v>
      </c>
      <c r="BF26" s="59">
        <f t="shared" ca="1" si="22"/>
        <v>0.22832353298909386</v>
      </c>
      <c r="BG26" s="39">
        <f t="shared" ca="1" si="23"/>
        <v>0.23231862863138383</v>
      </c>
      <c r="BI26" s="58">
        <f t="shared" ca="1" si="24"/>
        <v>-1.5348396871293524E-2</v>
      </c>
      <c r="BJ26" s="46">
        <f t="shared" ca="1" si="25"/>
        <v>-1.0535852650543045E-2</v>
      </c>
    </row>
    <row r="27" spans="3:62" x14ac:dyDescent="0.2">
      <c r="C27" s="56">
        <v>14</v>
      </c>
      <c r="D27" s="63">
        <f t="shared" ca="1" si="26"/>
        <v>3.490000000000002</v>
      </c>
      <c r="E27" s="45">
        <f t="shared" ca="1" si="7"/>
        <v>-0.27966976264189847</v>
      </c>
      <c r="F27" s="45">
        <f t="shared" ca="1" si="8"/>
        <v>-0.27930959752321949</v>
      </c>
      <c r="G27" s="45">
        <f t="shared" ca="1" si="9"/>
        <v>-0.28002992776057745</v>
      </c>
      <c r="H27" s="45">
        <f t="shared" ca="1" si="0"/>
        <v>0.52190671559250257</v>
      </c>
      <c r="I27" s="45">
        <f t="shared" ca="1" si="1"/>
        <v>0.52194140840664105</v>
      </c>
      <c r="J27" s="45">
        <f t="shared" ca="1" si="2"/>
        <v>0.52197618802487677</v>
      </c>
      <c r="L27" s="58">
        <f ca="1">_xll.EURO(UnderlyingPrice,$D27,IntRate,Yield,$I27,$D$6,L$12,0)</f>
        <v>1.444194357417492</v>
      </c>
      <c r="M27" s="58">
        <f ca="1">_xll.EURO(UnderlyingPrice,$D27,IntRate,Yield,$I27,$D$6,M$12,0)</f>
        <v>0.11249578024007911</v>
      </c>
      <c r="O27" s="58">
        <f ca="1">_xll.EURO(UnderlyingPrice,$D27*(1+$P$8),IntRate,Yield,$H27,Expiry-Today,O$12,0)</f>
        <v>1.4428092286828109</v>
      </c>
      <c r="P27" s="58">
        <f ca="1">_xll.EURO(UnderlyingPrice,$D27*(1+$P$8),IntRate,Yield,$H27,Expiry-Today,P$12,0)</f>
        <v>0.11282564339999135</v>
      </c>
      <c r="R27" s="58">
        <f ca="1">_xll.EURO(UnderlyingPrice,$D27*(1-$P$8),IntRate,Yield,$J27,Expiry-Today,R$12,0)</f>
        <v>1.445580201269502</v>
      </c>
      <c r="S27" s="58">
        <f ca="1">_xll.EURO(UnderlyingPrice,$D27*(1-$P$8),IntRate,Yield,$J27,Expiry-Today,S$12,0)</f>
        <v>0.11216663219749612</v>
      </c>
      <c r="U27" s="59">
        <f t="shared" ca="1" si="10"/>
        <v>0.23484776936439963</v>
      </c>
      <c r="V27" s="59"/>
      <c r="W27" s="62">
        <f t="shared" ca="1" si="3"/>
        <v>0.23895702296478979</v>
      </c>
      <c r="X27" s="63"/>
      <c r="Z27" s="59">
        <f t="shared" ca="1" si="11"/>
        <v>0.34855052304225814</v>
      </c>
      <c r="AA27" s="59">
        <f t="shared" ca="1" si="12"/>
        <v>-0.27426711811595522</v>
      </c>
      <c r="AB27" s="59">
        <f t="shared" ca="1" si="4"/>
        <v>-7.5222452079631338E-2</v>
      </c>
      <c r="AC27" s="59">
        <f t="shared" ca="1" si="13"/>
        <v>-0.34968716367059832</v>
      </c>
      <c r="AD27" s="60">
        <f t="shared" ca="1" si="5"/>
        <v>0.70490857624037295</v>
      </c>
      <c r="AE27" s="60">
        <f t="shared" ca="1" si="14"/>
        <v>0.2456962529455555</v>
      </c>
      <c r="AF27" s="60"/>
      <c r="AG27" s="97">
        <f t="shared" ca="1" si="15"/>
        <v>-0.83628603201368645</v>
      </c>
      <c r="AH27" s="97">
        <f t="shared" ca="1" si="16"/>
        <v>-0.8347618299221029</v>
      </c>
      <c r="AI27" s="97">
        <f t="shared" ca="1" si="17"/>
        <v>-0.83781099639692069</v>
      </c>
      <c r="AJ27" s="97"/>
      <c r="AK27" s="97">
        <f t="shared" ca="1" si="18"/>
        <v>0.27350425666639033</v>
      </c>
      <c r="AL27" s="97"/>
      <c r="AM27" s="95">
        <v>-1.7</v>
      </c>
      <c r="AN27" s="96">
        <f t="shared" si="6"/>
        <v>9.4049077376886933E-2</v>
      </c>
      <c r="AP27" s="74" t="s">
        <v>82</v>
      </c>
      <c r="AQ27" s="99" t="e">
        <f ca="1">AK13*SQRT(2*PI())*EXP(((Gamma*AG13)^2)/2)</f>
        <v>#NUM!</v>
      </c>
      <c r="AR27" s="76" t="e">
        <f ca="1">AK113*SQRT(2*PI())*EXP(((Gamma*AG113)^2)/2)</f>
        <v>#NUM!</v>
      </c>
      <c r="AX27" s="107">
        <f t="shared" ca="1" si="19"/>
        <v>0.49568159396187933</v>
      </c>
      <c r="AY27" s="107">
        <f t="shared" ca="1" si="20"/>
        <v>0.49565455804657155</v>
      </c>
      <c r="AZ27" s="107">
        <f t="shared" ca="1" si="21"/>
        <v>0.49570869362345454</v>
      </c>
      <c r="BB27" s="39">
        <f ca="1">_xll.EURO(UnderlyingPrice,$D27,IntRate,Yield,AX27,$D$6,1,0)</f>
        <v>1.4283797960594948</v>
      </c>
      <c r="BC27" s="39">
        <f ca="1">_xll.EURO(UnderlyingPrice,$D27*(1+$P$8),IntRate,Yield,AY27,$D$6,1,0)</f>
        <v>1.4269713940603515</v>
      </c>
      <c r="BD27" s="39">
        <f ca="1">_xll.EURO(UnderlyingPrice,$D27*(1-$P$8),IntRate,Yield,AZ27,$D$6,1,0)</f>
        <v>1.4297889105295023</v>
      </c>
      <c r="BF27" s="59">
        <f t="shared" ca="1" si="22"/>
        <v>0.233978658330808</v>
      </c>
      <c r="BG27" s="39">
        <f t="shared" ca="1" si="23"/>
        <v>0.23807270464328739</v>
      </c>
      <c r="BI27" s="58">
        <f t="shared" ca="1" si="24"/>
        <v>-1.5814561357997192E-2</v>
      </c>
      <c r="BJ27" s="46">
        <f t="shared" ca="1" si="25"/>
        <v>-1.1071678136042807E-2</v>
      </c>
    </row>
    <row r="28" spans="3:62" x14ac:dyDescent="0.2">
      <c r="C28" s="56">
        <v>15</v>
      </c>
      <c r="D28" s="63">
        <f t="shared" ca="1" si="26"/>
        <v>3.5250000000000021</v>
      </c>
      <c r="E28" s="45">
        <f t="shared" ca="1" si="7"/>
        <v>-0.27244582043343601</v>
      </c>
      <c r="F28" s="45">
        <f t="shared" ca="1" si="8"/>
        <v>-0.27208204334365282</v>
      </c>
      <c r="G28" s="45">
        <f t="shared" ca="1" si="9"/>
        <v>-0.27280959752321932</v>
      </c>
      <c r="H28" s="45">
        <f t="shared" ca="1" si="0"/>
        <v>0.52122879864826321</v>
      </c>
      <c r="I28" s="45">
        <f t="shared" ca="1" si="1"/>
        <v>0.52126209051444694</v>
      </c>
      <c r="J28" s="45">
        <f t="shared" ca="1" si="2"/>
        <v>0.52129546996739606</v>
      </c>
      <c r="L28" s="58">
        <f ca="1">_xll.EURO(UnderlyingPrice,$D28,IntRate,Yield,$I28,$D$6,L$12,0)</f>
        <v>1.41655013174383</v>
      </c>
      <c r="M28" s="58">
        <f ca="1">_xll.EURO(UnderlyingPrice,$D28,IntRate,Yield,$I28,$D$6,M$12,0)</f>
        <v>0.11924967279609233</v>
      </c>
      <c r="O28" s="58">
        <f ca="1">_xll.EURO(UnderlyingPrice,$D28*(1+$P$8),IntRate,Yield,$H28,Expiry-Today,O$12,0)</f>
        <v>1.4151657699400602</v>
      </c>
      <c r="P28" s="58">
        <f ca="1">_xll.EURO(UnderlyingPrice,$D28*(1+$P$8),IntRate,Yield,$H28,Expiry-Today,P$12,0)</f>
        <v>0.1195975019460308</v>
      </c>
      <c r="R28" s="58">
        <f ca="1">_xll.EURO(UnderlyingPrice,$D28*(1-$P$8),IntRate,Yield,$J28,Expiry-Today,R$12,0)</f>
        <v>1.4179352390265065</v>
      </c>
      <c r="S28" s="58">
        <f ca="1">_xll.EURO(UnderlyingPrice,$D28*(1-$P$8),IntRate,Yield,$J28,Expiry-Today,S$12,0)</f>
        <v>0.11890258912506046</v>
      </c>
      <c r="U28" s="59">
        <f t="shared" ca="1" si="10"/>
        <v>0.23998113788409228</v>
      </c>
      <c r="V28" s="59"/>
      <c r="W28" s="62">
        <f t="shared" ca="1" si="3"/>
        <v>0.24418021270411236</v>
      </c>
      <c r="X28" s="63"/>
      <c r="Z28" s="59">
        <f t="shared" ca="1" si="11"/>
        <v>0.34508973770708679</v>
      </c>
      <c r="AA28" s="59">
        <f t="shared" ca="1" si="12"/>
        <v>-0.26428841806605891</v>
      </c>
      <c r="AB28" s="59">
        <f t="shared" ca="1" si="4"/>
        <v>-6.9848367923859928E-2</v>
      </c>
      <c r="AC28" s="59">
        <f t="shared" ca="1" si="13"/>
        <v>-0.32470461931310496</v>
      </c>
      <c r="AD28" s="60">
        <f t="shared" ca="1" si="5"/>
        <v>0.72274080579136069</v>
      </c>
      <c r="AE28" s="60">
        <f t="shared" ca="1" si="14"/>
        <v>0.2494104351007492</v>
      </c>
      <c r="AF28" s="60"/>
      <c r="AG28" s="97">
        <f t="shared" ca="1" si="15"/>
        <v>-0.80585931689483503</v>
      </c>
      <c r="AH28" s="97">
        <f t="shared" ca="1" si="16"/>
        <v>-0.80433511480325137</v>
      </c>
      <c r="AI28" s="97">
        <f t="shared" ca="1" si="17"/>
        <v>-0.80738428127806938</v>
      </c>
      <c r="AJ28" s="97"/>
      <c r="AK28" s="97">
        <f t="shared" ca="1" si="18"/>
        <v>0.2822854235380407</v>
      </c>
      <c r="AL28" s="97"/>
      <c r="AM28" s="95">
        <v>-1.6</v>
      </c>
      <c r="AN28" s="96">
        <f t="shared" si="6"/>
        <v>0.11092083467945553</v>
      </c>
      <c r="AP28" s="74" t="s">
        <v>84</v>
      </c>
      <c r="AQ28" s="100">
        <v>1466240572062.2017</v>
      </c>
      <c r="AR28" s="101"/>
      <c r="AX28" s="107">
        <f t="shared" ca="1" si="19"/>
        <v>0.49515147074364385</v>
      </c>
      <c r="AY28" s="107">
        <f t="shared" ca="1" si="20"/>
        <v>0.49512544926090202</v>
      </c>
      <c r="AZ28" s="107">
        <f t="shared" ca="1" si="21"/>
        <v>0.49517755666725377</v>
      </c>
      <c r="BB28" s="39">
        <f ca="1">_xll.EURO(UnderlyingPrice,$D28,IntRate,Yield,AX28,$D$6,1,0)</f>
        <v>1.4002683412812966</v>
      </c>
      <c r="BC28" s="39">
        <f ca="1">_xll.EURO(UnderlyingPrice,$D28*(1+$P$8),IntRate,Yield,AY28,$D$6,1,0)</f>
        <v>1.3988604312272446</v>
      </c>
      <c r="BD28" s="39">
        <f ca="1">_xll.EURO(UnderlyingPrice,$D28*(1-$P$8),IntRate,Yield,AZ28,$D$6,1,0)</f>
        <v>1.4016769952689709</v>
      </c>
      <c r="BF28" s="59">
        <f t="shared" ca="1" si="22"/>
        <v>0.23948368706131976</v>
      </c>
      <c r="BG28" s="39">
        <f t="shared" ca="1" si="23"/>
        <v>0.24367405772549441</v>
      </c>
      <c r="BI28" s="58">
        <f t="shared" ca="1" si="24"/>
        <v>-1.6281790462533419E-2</v>
      </c>
      <c r="BJ28" s="46">
        <f t="shared" ca="1" si="25"/>
        <v>-1.1627621636889246E-2</v>
      </c>
    </row>
    <row r="29" spans="3:62" x14ac:dyDescent="0.2">
      <c r="C29" s="56">
        <v>16</v>
      </c>
      <c r="D29" s="63">
        <f t="shared" ca="1" si="26"/>
        <v>3.5600000000000023</v>
      </c>
      <c r="E29" s="45">
        <f t="shared" ca="1" si="7"/>
        <v>-0.26522187822497367</v>
      </c>
      <c r="F29" s="45">
        <f t="shared" ca="1" si="8"/>
        <v>-0.26485448916408627</v>
      </c>
      <c r="G29" s="45">
        <f t="shared" ca="1" si="9"/>
        <v>-0.26558926728586119</v>
      </c>
      <c r="H29" s="45">
        <f t="shared" ca="1" si="0"/>
        <v>0.52058543655008604</v>
      </c>
      <c r="I29" s="45">
        <f t="shared" ca="1" si="1"/>
        <v>0.52061731214455054</v>
      </c>
      <c r="J29" s="45">
        <f t="shared" ca="1" si="2"/>
        <v>0.52064927608730838</v>
      </c>
      <c r="L29" s="58">
        <f ca="1">_xll.EURO(UnderlyingPrice,$D29,IntRate,Yield,$I29,$D$6,L$12,0)</f>
        <v>1.3891998663334189</v>
      </c>
      <c r="M29" s="58">
        <f ca="1">_xll.EURO(UnderlyingPrice,$D29,IntRate,Yield,$I29,$D$6,M$12,0)</f>
        <v>0.12629752561535534</v>
      </c>
      <c r="O29" s="58">
        <f ca="1">_xll.EURO(UnderlyingPrice,$D29*(1+$P$8),IntRate,Yield,$H29,Expiry-Today,O$12,0)</f>
        <v>1.3878168772275976</v>
      </c>
      <c r="P29" s="58">
        <f ca="1">_xll.EURO(UnderlyingPrice,$D29*(1+$P$8),IntRate,Yield,$H29,Expiry-Today,P$12,0)</f>
        <v>0.12666392652235825</v>
      </c>
      <c r="R29" s="58">
        <f ca="1">_xll.EURO(UnderlyingPrice,$D29*(1-$P$8),IntRate,Yield,$J29,Expiry-Today,R$12,0)</f>
        <v>1.3905836315426354</v>
      </c>
      <c r="S29" s="58">
        <f ca="1">_xll.EURO(UnderlyingPrice,$D29*(1-$P$8),IntRate,Yield,$J29,Expiry-Today,S$12,0)</f>
        <v>0.12593190081174965</v>
      </c>
      <c r="U29" s="59">
        <f t="shared" ca="1" si="10"/>
        <v>0.24495120418127886</v>
      </c>
      <c r="V29" s="59"/>
      <c r="W29" s="62">
        <f t="shared" ca="1" si="3"/>
        <v>0.24923724283698348</v>
      </c>
      <c r="X29" s="63"/>
      <c r="Z29" s="59">
        <f t="shared" ca="1" si="11"/>
        <v>0.3416970015217643</v>
      </c>
      <c r="AA29" s="59">
        <f t="shared" ca="1" si="12"/>
        <v>-0.25440830946635179</v>
      </c>
      <c r="AB29" s="59">
        <f t="shared" ca="1" si="4"/>
        <v>-6.4723587925527015E-2</v>
      </c>
      <c r="AC29" s="59">
        <f t="shared" ca="1" si="13"/>
        <v>-0.30088101701740017</v>
      </c>
      <c r="AD29" s="60">
        <f t="shared" ca="1" si="5"/>
        <v>0.74016583464629471</v>
      </c>
      <c r="AE29" s="60">
        <f t="shared" ca="1" si="14"/>
        <v>0.25291244632749288</v>
      </c>
      <c r="AF29" s="60"/>
      <c r="AG29" s="97">
        <f t="shared" ca="1" si="15"/>
        <v>-0.77573322349555229</v>
      </c>
      <c r="AH29" s="97">
        <f t="shared" ca="1" si="16"/>
        <v>-0.77420902140396886</v>
      </c>
      <c r="AI29" s="97">
        <f t="shared" ca="1" si="17"/>
        <v>-0.77725818787878664</v>
      </c>
      <c r="AJ29" s="97"/>
      <c r="AK29" s="97">
        <f t="shared" ca="1" si="18"/>
        <v>0.29099250297663204</v>
      </c>
      <c r="AL29" s="97"/>
      <c r="AM29" s="95">
        <v>-1.5</v>
      </c>
      <c r="AN29" s="96">
        <f t="shared" si="6"/>
        <v>0.12951759566589172</v>
      </c>
      <c r="AP29" s="74" t="s">
        <v>86</v>
      </c>
      <c r="AQ29" s="99">
        <f ca="1">AQ15</f>
        <v>0.77534892868017669</v>
      </c>
      <c r="AR29" s="101"/>
      <c r="AX29" s="107">
        <f t="shared" ca="1" si="19"/>
        <v>0.49464675954720616</v>
      </c>
      <c r="AY29" s="107">
        <f t="shared" ca="1" si="20"/>
        <v>0.4946217661796436</v>
      </c>
      <c r="AZ29" s="107">
        <f t="shared" ca="1" si="21"/>
        <v>0.49467181803949561</v>
      </c>
      <c r="BB29" s="39">
        <f ca="1">_xll.EURO(UnderlyingPrice,$D29,IntRate,Yield,AX29,$D$6,1,0)</f>
        <v>1.3724502373643364</v>
      </c>
      <c r="BC29" s="39">
        <f ca="1">_xll.EURO(UnderlyingPrice,$D29*(1+$P$8),IntRate,Yield,AY29,$D$6,1,0)</f>
        <v>1.3710434473581885</v>
      </c>
      <c r="BD29" s="39">
        <f ca="1">_xll.EURO(UnderlyingPrice,$D29*(1-$P$8),IntRate,Yield,AZ29,$D$6,1,0)</f>
        <v>1.3738578030745741</v>
      </c>
      <c r="BF29" s="59">
        <f t="shared" ca="1" si="22"/>
        <v>0.24482517669814166</v>
      </c>
      <c r="BG29" s="39">
        <f t="shared" ca="1" si="23"/>
        <v>0.2491090101854079</v>
      </c>
      <c r="BI29" s="58">
        <f t="shared" ca="1" si="24"/>
        <v>-1.6749628969082497E-2</v>
      </c>
      <c r="BJ29" s="46">
        <f t="shared" ca="1" si="25"/>
        <v>-1.2204179439867058E-2</v>
      </c>
    </row>
    <row r="30" spans="3:62" x14ac:dyDescent="0.2">
      <c r="C30" s="56">
        <v>17</v>
      </c>
      <c r="D30" s="63">
        <f t="shared" ca="1" si="26"/>
        <v>3.5950000000000024</v>
      </c>
      <c r="E30" s="45">
        <f t="shared" ca="1" si="7"/>
        <v>-0.25799793601651133</v>
      </c>
      <c r="F30" s="45">
        <f t="shared" ca="1" si="8"/>
        <v>-0.25762693498451961</v>
      </c>
      <c r="G30" s="45">
        <f t="shared" ca="1" si="9"/>
        <v>-0.25836893704850306</v>
      </c>
      <c r="H30" s="45">
        <f t="shared" ca="1" si="0"/>
        <v>0.51997624734609571</v>
      </c>
      <c r="I30" s="45">
        <f t="shared" ca="1" si="1"/>
        <v>0.5200066919174321</v>
      </c>
      <c r="J30" s="45">
        <f t="shared" ca="1" si="2"/>
        <v>0.52003722557687715</v>
      </c>
      <c r="L30" s="58">
        <f ca="1">_xll.EURO(UnderlyingPrice,$D30,IntRate,Yield,$I30,$D$6,L$12,0)</f>
        <v>1.3621496482690003</v>
      </c>
      <c r="M30" s="58">
        <f ca="1">_xll.EURO(UnderlyingPrice,$D30,IntRate,Yield,$I30,$D$6,M$12,0)</f>
        <v>0.13364542578061289</v>
      </c>
      <c r="O30" s="58">
        <f ca="1">_xll.EURO(UnderlyingPrice,$D30*(1+$P$8),IntRate,Yield,$H30,Expiry-Today,O$12,0)</f>
        <v>1.3607686362195142</v>
      </c>
      <c r="P30" s="58">
        <f ca="1">_xll.EURO(UnderlyingPrice,$D30*(1+$P$8),IntRate,Yield,$H30,Expiry-Today,P$12,0)</f>
        <v>0.13403100280306446</v>
      </c>
      <c r="R30" s="58">
        <f ca="1">_xll.EURO(UnderlyingPrice,$D30*(1-$P$8),IntRate,Yield,$J30,Expiry-Today,R$12,0)</f>
        <v>1.3635314672483871</v>
      </c>
      <c r="S30" s="58">
        <f ca="1">_xll.EURO(UnderlyingPrice,$D30*(1-$P$8),IntRate,Yield,$J30,Expiry-Today,S$12,0)</f>
        <v>0.133260655688061</v>
      </c>
      <c r="U30" s="59">
        <f t="shared" ca="1" si="10"/>
        <v>0.2497456947588145</v>
      </c>
      <c r="V30" s="59"/>
      <c r="W30" s="62">
        <f t="shared" ca="1" si="3"/>
        <v>0.25411562511049351</v>
      </c>
      <c r="X30" s="63"/>
      <c r="Z30" s="59">
        <f t="shared" ca="1" si="11"/>
        <v>0.33837032695896546</v>
      </c>
      <c r="AA30" s="59">
        <f t="shared" ca="1" si="12"/>
        <v>-0.24462486315728083</v>
      </c>
      <c r="AB30" s="59">
        <f t="shared" ca="1" si="4"/>
        <v>-5.9841323674718366E-2</v>
      </c>
      <c r="AC30" s="59">
        <f t="shared" ca="1" si="13"/>
        <v>-0.27818479945261904</v>
      </c>
      <c r="AD30" s="60">
        <f t="shared" ca="1" si="5"/>
        <v>0.75715688640661349</v>
      </c>
      <c r="AE30" s="60">
        <f t="shared" ca="1" si="14"/>
        <v>0.25619942321263806</v>
      </c>
      <c r="AF30" s="60"/>
      <c r="AG30" s="97">
        <f t="shared" ca="1" si="15"/>
        <v>-0.74590186948769488</v>
      </c>
      <c r="AH30" s="97">
        <f t="shared" ca="1" si="16"/>
        <v>-0.74437766739611111</v>
      </c>
      <c r="AI30" s="97">
        <f t="shared" ca="1" si="17"/>
        <v>-0.74742683387092923</v>
      </c>
      <c r="AJ30" s="97"/>
      <c r="AK30" s="97">
        <f t="shared" ca="1" si="18"/>
        <v>0.29960504938541171</v>
      </c>
      <c r="AL30" s="97"/>
      <c r="AM30" s="95">
        <v>-1.4</v>
      </c>
      <c r="AN30" s="96">
        <f t="shared" si="6"/>
        <v>0.14972746563574485</v>
      </c>
      <c r="AP30" s="74" t="s">
        <v>88</v>
      </c>
      <c r="AQ30" s="99">
        <f ca="1">1-AQ29</f>
        <v>0.22465107131982331</v>
      </c>
      <c r="AR30" s="76"/>
      <c r="AX30" s="107">
        <f t="shared" ca="1" si="19"/>
        <v>0.49416722755485709</v>
      </c>
      <c r="AY30" s="107">
        <f t="shared" ca="1" si="20"/>
        <v>0.49414327563568566</v>
      </c>
      <c r="AZ30" s="107">
        <f t="shared" ca="1" si="21"/>
        <v>0.49419124527152269</v>
      </c>
      <c r="BB30" s="39">
        <f ca="1">_xll.EURO(UnderlyingPrice,$D30,IntRate,Yield,AX30,$D$6,1,0)</f>
        <v>1.3449320263185656</v>
      </c>
      <c r="BC30" s="39">
        <f ca="1">_xll.EURO(UnderlyingPrice,$D30*(1+$P$8),IntRate,Yield,AY30,$D$6,1,0)</f>
        <v>1.3435269837013273</v>
      </c>
      <c r="BD30" s="39">
        <f ca="1">_xll.EURO(UnderlyingPrice,$D30*(1-$P$8),IntRate,Yield,AZ30,$D$6,1,0)</f>
        <v>1.3463378766557326</v>
      </c>
      <c r="BF30" s="59">
        <f t="shared" ca="1" si="22"/>
        <v>0.2499902093099656</v>
      </c>
      <c r="BG30" s="39">
        <f t="shared" ca="1" si="23"/>
        <v>0.25436441805995508</v>
      </c>
      <c r="BI30" s="58">
        <f t="shared" ca="1" si="24"/>
        <v>-1.7217621950434747E-2</v>
      </c>
      <c r="BJ30" s="46">
        <f t="shared" ca="1" si="25"/>
        <v>-1.2801852891825269E-2</v>
      </c>
    </row>
    <row r="31" spans="3:62" x14ac:dyDescent="0.2">
      <c r="C31" s="56">
        <v>18</v>
      </c>
      <c r="D31" s="63">
        <f t="shared" ca="1" si="26"/>
        <v>3.6300000000000026</v>
      </c>
      <c r="E31" s="45">
        <f t="shared" ca="1" si="7"/>
        <v>-0.25077399380804899</v>
      </c>
      <c r="F31" s="45">
        <f t="shared" ca="1" si="8"/>
        <v>-0.25039938080495305</v>
      </c>
      <c r="G31" s="45">
        <f t="shared" ca="1" si="9"/>
        <v>-0.25114860681114493</v>
      </c>
      <c r="H31" s="45">
        <f t="shared" ca="1" si="0"/>
        <v>0.51940084908441708</v>
      </c>
      <c r="I31" s="45">
        <f t="shared" ca="1" si="1"/>
        <v>0.51942984845357176</v>
      </c>
      <c r="J31" s="45">
        <f t="shared" ca="1" si="2"/>
        <v>0.51945893762836559</v>
      </c>
      <c r="L31" s="58">
        <f ca="1">_xll.EURO(UnderlyingPrice,$D31,IntRate,Yield,$I31,$D$6,L$12,0)</f>
        <v>1.3354053496084206</v>
      </c>
      <c r="M31" s="58">
        <f ca="1">_xll.EURO(UnderlyingPrice,$D31,IntRate,Yield,$I31,$D$6,M$12,0)</f>
        <v>0.14129924534970706</v>
      </c>
      <c r="O31" s="58">
        <f ca="1">_xll.EURO(UnderlyingPrice,$D31*(1+$P$8),IntRate,Yield,$H31,Expiry-Today,O$12,0)</f>
        <v>1.3340269163865397</v>
      </c>
      <c r="P31" s="58">
        <f ca="1">_xll.EURO(UnderlyingPrice,$D31*(1+$P$8),IntRate,Yield,$H31,Expiry-Today,P$12,0)</f>
        <v>0.14170460025887921</v>
      </c>
      <c r="R31" s="58">
        <f ca="1">_xll.EURO(UnderlyingPrice,$D31*(1-$P$8),IntRate,Yield,$J31,Expiry-Today,R$12,0)</f>
        <v>1.3367846207259602</v>
      </c>
      <c r="S31" s="58">
        <f ca="1">_xll.EURO(UnderlyingPrice,$D31*(1-$P$8),IntRate,Yield,$J31,Expiry-Today,S$12,0)</f>
        <v>0.14089472833619454</v>
      </c>
      <c r="U31" s="59">
        <f t="shared" ca="1" si="10"/>
        <v>0.25435289290625973</v>
      </c>
      <c r="V31" s="59"/>
      <c r="W31" s="62">
        <f t="shared" ca="1" si="3"/>
        <v>0.25880343780082471</v>
      </c>
      <c r="X31" s="63"/>
      <c r="Z31" s="59">
        <f t="shared" ca="1" si="11"/>
        <v>0.33510780314531152</v>
      </c>
      <c r="AA31" s="59">
        <f t="shared" ca="1" si="12"/>
        <v>-0.23493620605353144</v>
      </c>
      <c r="AB31" s="59">
        <f t="shared" ca="1" si="4"/>
        <v>-5.5195020914827385E-2</v>
      </c>
      <c r="AC31" s="59">
        <f t="shared" ca="1" si="13"/>
        <v>-0.2565854977980922</v>
      </c>
      <c r="AD31" s="60">
        <f t="shared" ca="1" si="5"/>
        <v>0.77368884303911967</v>
      </c>
      <c r="AE31" s="60">
        <f t="shared" ca="1" si="14"/>
        <v>0.25926916850887716</v>
      </c>
      <c r="AF31" s="60"/>
      <c r="AG31" s="97">
        <f t="shared" ca="1" si="15"/>
        <v>-0.71635954352279296</v>
      </c>
      <c r="AH31" s="97">
        <f t="shared" ca="1" si="16"/>
        <v>-0.7148353414312093</v>
      </c>
      <c r="AI31" s="97">
        <f t="shared" ca="1" si="17"/>
        <v>-0.7178845079060272</v>
      </c>
      <c r="AJ31" s="97"/>
      <c r="AK31" s="97">
        <f t="shared" ca="1" si="18"/>
        <v>0.30810271822665902</v>
      </c>
      <c r="AL31" s="97"/>
      <c r="AM31" s="95">
        <v>-1.3</v>
      </c>
      <c r="AN31" s="96">
        <f t="shared" si="6"/>
        <v>0.17136859204780733</v>
      </c>
      <c r="AP31" s="102" t="s">
        <v>89</v>
      </c>
      <c r="AQ31" s="103" t="e">
        <f ca="1">SQRT(AQ23)/Gamma*((AR24*AR26*(1-AR25))+(AQ24*AQ26*AQ25))</f>
        <v>#NUM!</v>
      </c>
      <c r="AR31" s="101"/>
      <c r="AX31" s="107">
        <f t="shared" ca="1" si="19"/>
        <v>0.49371264194888714</v>
      </c>
      <c r="AY31" s="107">
        <f t="shared" ca="1" si="20"/>
        <v>0.4936897444619176</v>
      </c>
      <c r="AZ31" s="107">
        <f t="shared" ca="1" si="21"/>
        <v>0.49373560589467769</v>
      </c>
      <c r="BB31" s="39">
        <f ca="1">_xll.EURO(UnderlyingPrice,$D31,IntRate,Yield,AX31,$D$6,1,0)</f>
        <v>1.3177200340545583</v>
      </c>
      <c r="BC31" s="39">
        <f ca="1">_xll.EURO(UnderlyingPrice,$D31*(1+$P$8),IntRate,Yield,AY31,$D$6,1,0)</f>
        <v>1.3163173641855215</v>
      </c>
      <c r="BD31" s="39">
        <f ca="1">_xll.EURO(UnderlyingPrice,$D31*(1-$P$8),IntRate,Yield,AZ31,$D$6,1,0)</f>
        <v>1.3191235438404592</v>
      </c>
      <c r="BF31" s="59">
        <f t="shared" ca="1" si="22"/>
        <v>0.25496645312915012</v>
      </c>
      <c r="BG31" s="39">
        <f t="shared" ca="1" si="23"/>
        <v>0.25942773380614043</v>
      </c>
      <c r="BI31" s="58">
        <f t="shared" ca="1" si="24"/>
        <v>-1.7685315553862324E-2</v>
      </c>
      <c r="BJ31" s="46">
        <f t="shared" ca="1" si="25"/>
        <v>-1.3421147965281743E-2</v>
      </c>
    </row>
    <row r="32" spans="3:62" x14ac:dyDescent="0.2">
      <c r="C32" s="56">
        <v>19</v>
      </c>
      <c r="D32" s="63">
        <f t="shared" ca="1" si="26"/>
        <v>3.6650000000000027</v>
      </c>
      <c r="E32" s="45">
        <f t="shared" ca="1" si="7"/>
        <v>-0.24355005159958665</v>
      </c>
      <c r="F32" s="45">
        <f t="shared" ca="1" si="8"/>
        <v>-0.24317182662538639</v>
      </c>
      <c r="G32" s="45">
        <f t="shared" ca="1" si="9"/>
        <v>-0.2439282765737868</v>
      </c>
      <c r="H32" s="45">
        <f t="shared" ca="1" si="0"/>
        <v>0.51885885981317459</v>
      </c>
      <c r="I32" s="45">
        <f t="shared" ca="1" si="1"/>
        <v>0.51888640037344969</v>
      </c>
      <c r="J32" s="45">
        <f t="shared" ca="1" si="2"/>
        <v>0.51891403143403747</v>
      </c>
      <c r="L32" s="58">
        <f ca="1">_xll.EURO(UnderlyingPrice,$D32,IntRate,Yield,$I32,$D$6,L$12,0)</f>
        <v>1.308972613041532</v>
      </c>
      <c r="M32" s="58">
        <f ca="1">_xll.EURO(UnderlyingPrice,$D32,IntRate,Yield,$I32,$D$6,M$12,0)</f>
        <v>0.14926462701249388</v>
      </c>
      <c r="O32" s="58">
        <f ca="1">_xll.EURO(UnderlyingPrice,$D32*(1+$P$8),IntRate,Yield,$H32,Expiry-Today,O$12,0)</f>
        <v>1.3075973566543579</v>
      </c>
      <c r="P32" s="58">
        <f ca="1">_xll.EURO(UnderlyingPrice,$D32*(1+$P$8),IntRate,Yield,$H32,Expiry-Today,P$12,0)</f>
        <v>0.1496903578154879</v>
      </c>
      <c r="R32" s="58">
        <f ca="1">_xll.EURO(UnderlyingPrice,$D32*(1-$P$8),IntRate,Yield,$J32,Expiry-Today,R$12,0)</f>
        <v>1.3103487383650805</v>
      </c>
      <c r="S32" s="58">
        <f ca="1">_xll.EURO(UnderlyingPrice,$D32*(1-$P$8),IntRate,Yield,$J32,Expiry-Today,S$12,0)</f>
        <v>0.14883976514587427</v>
      </c>
      <c r="U32" s="59">
        <f t="shared" ca="1" si="10"/>
        <v>0.25876170907192375</v>
      </c>
      <c r="V32" s="59"/>
      <c r="W32" s="62">
        <f t="shared" ca="1" si="3"/>
        <v>0.26328939731663098</v>
      </c>
      <c r="X32" s="63"/>
      <c r="Z32" s="59">
        <f t="shared" ca="1" si="11"/>
        <v>0.33190759220122262</v>
      </c>
      <c r="AA32" s="59">
        <f t="shared" ca="1" si="12"/>
        <v>-0.22534051899167601</v>
      </c>
      <c r="AB32" s="59">
        <f t="shared" ca="1" si="4"/>
        <v>-5.0778349499437894E-2</v>
      </c>
      <c r="AC32" s="59">
        <f t="shared" ca="1" si="13"/>
        <v>-0.23605368505583296</v>
      </c>
      <c r="AD32" s="60">
        <f t="shared" ca="1" si="5"/>
        <v>0.78973827565131416</v>
      </c>
      <c r="AE32" s="60">
        <f t="shared" ca="1" si="14"/>
        <v>0.26212012954057312</v>
      </c>
      <c r="AF32" s="60"/>
      <c r="AG32" s="97">
        <f t="shared" ca="1" si="15"/>
        <v>-0.68710069866917323</v>
      </c>
      <c r="AH32" s="97">
        <f t="shared" ca="1" si="16"/>
        <v>-0.68557649657758912</v>
      </c>
      <c r="AI32" s="97">
        <f t="shared" ca="1" si="17"/>
        <v>-0.68862566305240736</v>
      </c>
      <c r="AJ32" s="97"/>
      <c r="AK32" s="97">
        <f t="shared" ca="1" si="18"/>
        <v>0.31646538460087736</v>
      </c>
      <c r="AL32" s="97"/>
      <c r="AM32" s="95">
        <v>-1.2</v>
      </c>
      <c r="AN32" s="96">
        <f t="shared" si="6"/>
        <v>0.19418605498321292</v>
      </c>
      <c r="AX32" s="107">
        <f t="shared" ca="1" si="19"/>
        <v>0.49328276991158687</v>
      </c>
      <c r="AY32" s="107">
        <f t="shared" ca="1" si="20"/>
        <v>0.4932609394912289</v>
      </c>
      <c r="AZ32" s="107">
        <f t="shared" ca="1" si="21"/>
        <v>0.49330466744030305</v>
      </c>
      <c r="BB32" s="39">
        <f ca="1">_xll.EURO(UnderlyingPrice,$D32,IntRate,Yield,AX32,$D$6,1,0)</f>
        <v>1.2908203552819209</v>
      </c>
      <c r="BC32" s="39">
        <f ca="1">_xll.EURO(UnderlyingPrice,$D32*(1+$P$8),IntRate,Yield,AY32,$D$6,1,0)</f>
        <v>1.289420680319628</v>
      </c>
      <c r="BD32" s="39">
        <f ca="1">_xll.EURO(UnderlyingPrice,$D32*(1-$P$8),IntRate,Yield,AZ32,$D$6,1,0)</f>
        <v>1.2922209024731939</v>
      </c>
      <c r="BF32" s="59">
        <f t="shared" ca="1" si="22"/>
        <v>0.25974221847929596</v>
      </c>
      <c r="BG32" s="39">
        <f t="shared" ca="1" si="23"/>
        <v>0.26428706320721512</v>
      </c>
      <c r="BI32" s="58">
        <f t="shared" ca="1" si="24"/>
        <v>-1.8152257759611157E-2</v>
      </c>
      <c r="BJ32" s="46">
        <f t="shared" ca="1" si="25"/>
        <v>-1.4062574769086768E-2</v>
      </c>
    </row>
    <row r="33" spans="3:62" x14ac:dyDescent="0.2">
      <c r="C33" s="56">
        <v>20</v>
      </c>
      <c r="D33" s="63">
        <f t="shared" ca="1" si="26"/>
        <v>3.7000000000000028</v>
      </c>
      <c r="E33" s="45">
        <f t="shared" ca="1" si="7"/>
        <v>-0.2363261093911242</v>
      </c>
      <c r="F33" s="45">
        <f t="shared" ca="1" si="8"/>
        <v>-0.23594427244581984</v>
      </c>
      <c r="G33" s="45">
        <f t="shared" ca="1" si="9"/>
        <v>-0.23670794633642867</v>
      </c>
      <c r="H33" s="45">
        <f t="shared" ca="1" si="0"/>
        <v>0.51834989758049332</v>
      </c>
      <c r="I33" s="45">
        <f t="shared" ca="1" si="1"/>
        <v>0.5183759662975459</v>
      </c>
      <c r="J33" s="45">
        <f t="shared" ca="1" si="2"/>
        <v>0.51840212618615589</v>
      </c>
      <c r="L33" s="58">
        <f ca="1">_xll.EURO(UnderlyingPrice,$D33,IntRate,Yield,$I33,$D$6,L$12,0)</f>
        <v>1.2828568383078487</v>
      </c>
      <c r="M33" s="58">
        <f ca="1">_xll.EURO(UnderlyingPrice,$D33,IntRate,Yield,$I33,$D$6,M$12,0)</f>
        <v>0.15754697050848543</v>
      </c>
      <c r="O33" s="58">
        <f ca="1">_xll.EURO(UnderlyingPrice,$D33*(1+$P$8),IntRate,Yield,$H33,Expiry-Today,O$12,0)</f>
        <v>1.2814853518284872</v>
      </c>
      <c r="P33" s="58">
        <f ca="1">_xll.EURO(UnderlyingPrice,$D33*(1+$P$8),IntRate,Yield,$H33,Expiry-Today,P$12,0)</f>
        <v>0.1579936702784065</v>
      </c>
      <c r="R33" s="58">
        <f ca="1">_xll.EURO(UnderlyingPrice,$D33*(1-$P$8),IntRate,Yield,$J33,Expiry-Today,R$12,0)</f>
        <v>1.2842292247737133</v>
      </c>
      <c r="S33" s="58">
        <f ca="1">_xll.EURO(UnderlyingPrice,$D33*(1-$P$8),IntRate,Yield,$J33,Expiry-Today,S$12,0)</f>
        <v>0.15710117072506802</v>
      </c>
      <c r="U33" s="59">
        <f t="shared" ca="1" si="10"/>
        <v>0.2629617247918421</v>
      </c>
      <c r="V33" s="59"/>
      <c r="W33" s="62">
        <f t="shared" ca="1" si="3"/>
        <v>0.26756290289666373</v>
      </c>
      <c r="X33" s="63"/>
      <c r="Z33" s="59">
        <f t="shared" ca="1" si="11"/>
        <v>0.32876792578850833</v>
      </c>
      <c r="AA33" s="59">
        <f t="shared" ca="1" si="12"/>
        <v>-0.21583603468011192</v>
      </c>
      <c r="AB33" s="59">
        <f t="shared" ca="1" si="4"/>
        <v>-4.6585193866434477E-2</v>
      </c>
      <c r="AC33" s="59">
        <f t="shared" ca="1" si="13"/>
        <v>-0.21656093176746471</v>
      </c>
      <c r="AD33" s="60">
        <f t="shared" ca="1" si="5"/>
        <v>0.80528346608286272</v>
      </c>
      <c r="AE33" s="60">
        <f t="shared" ca="1" si="14"/>
        <v>0.26475137481584338</v>
      </c>
      <c r="AF33" s="60"/>
      <c r="AG33" s="97">
        <f t="shared" ca="1" si="15"/>
        <v>-0.65811994616097869</v>
      </c>
      <c r="AH33" s="97">
        <f t="shared" ca="1" si="16"/>
        <v>-0.65659574406939503</v>
      </c>
      <c r="AI33" s="97">
        <f t="shared" ca="1" si="17"/>
        <v>-0.65964491054421315</v>
      </c>
      <c r="AJ33" s="97"/>
      <c r="AK33" s="97">
        <f t="shared" ca="1" si="18"/>
        <v>0.32467323410956361</v>
      </c>
      <c r="AL33" s="97"/>
      <c r="AM33" s="95">
        <v>-1.1000000000000001</v>
      </c>
      <c r="AN33" s="96">
        <f t="shared" si="6"/>
        <v>0.2178521770325505</v>
      </c>
      <c r="AX33" s="107">
        <f t="shared" ca="1" si="19"/>
        <v>0.49287737862524705</v>
      </c>
      <c r="AY33" s="107">
        <f t="shared" ca="1" si="20"/>
        <v>0.49285662755650883</v>
      </c>
      <c r="AZ33" s="107">
        <f t="shared" ca="1" si="21"/>
        <v>0.4928981974397415</v>
      </c>
      <c r="BB33" s="39">
        <f ca="1">_xll.EURO(UnderlyingPrice,$D33,IntRate,Yield,AX33,$D$6,1,0)</f>
        <v>1.2642388391945838</v>
      </c>
      <c r="BC33" s="39">
        <f ca="1">_xll.EURO(UnderlyingPrice,$D33*(1+$P$8),IntRate,Yield,AY33,$D$6,1,0)</f>
        <v>1.2628427768845016</v>
      </c>
      <c r="BD33" s="39">
        <f ca="1">_xll.EURO(UnderlyingPrice,$D33*(1-$P$8),IntRate,Yield,AZ33,$D$6,1,0)</f>
        <v>1.2656358060936972</v>
      </c>
      <c r="BF33" s="59">
        <f t="shared" ca="1" si="22"/>
        <v>0.26430651022248874</v>
      </c>
      <c r="BG33" s="39">
        <f t="shared" ca="1" si="23"/>
        <v>0.26893121873761661</v>
      </c>
      <c r="BI33" s="58">
        <f t="shared" ca="1" si="24"/>
        <v>-1.8617999113264894E-2</v>
      </c>
      <c r="BJ33" s="46">
        <f t="shared" ca="1" si="25"/>
        <v>-1.4726647003762338E-2</v>
      </c>
    </row>
    <row r="34" spans="3:62" x14ac:dyDescent="0.2">
      <c r="C34" s="56">
        <v>21</v>
      </c>
      <c r="D34" s="63">
        <f t="shared" ca="1" si="26"/>
        <v>3.735000000000003</v>
      </c>
      <c r="E34" s="45">
        <f t="shared" ca="1" si="7"/>
        <v>-0.22910216718266185</v>
      </c>
      <c r="F34" s="45">
        <f t="shared" ca="1" si="8"/>
        <v>-0.22871671826625328</v>
      </c>
      <c r="G34" s="45">
        <f t="shared" ca="1" si="9"/>
        <v>-0.22948761609907053</v>
      </c>
      <c r="H34" s="45">
        <f t="shared" ca="1" si="0"/>
        <v>0.51787358043449794</v>
      </c>
      <c r="I34" s="45">
        <f t="shared" ca="1" si="1"/>
        <v>0.51789816484634055</v>
      </c>
      <c r="J34" s="45">
        <f t="shared" ca="1" si="2"/>
        <v>0.51792284107698461</v>
      </c>
      <c r="L34" s="58">
        <f ca="1">_xll.EURO(UnderlyingPrice,$D34,IntRate,Yield,$I34,$D$6,L$12,0)</f>
        <v>1.2570631694411927</v>
      </c>
      <c r="M34" s="58">
        <f ca="1">_xll.EURO(UnderlyingPrice,$D34,IntRate,Yield,$I34,$D$6,M$12,0)</f>
        <v>0.16615141987150539</v>
      </c>
      <c r="O34" s="58">
        <f ca="1">_xll.EURO(UnderlyingPrice,$D34*(1+$P$8),IntRate,Yield,$H34,Expiry-Today,O$12,0)</f>
        <v>1.2556960398519372</v>
      </c>
      <c r="P34" s="58">
        <f ca="1">_xll.EURO(UnderlyingPrice,$D34*(1+$P$8),IntRate,Yield,$H34,Expiry-Today,P$12,0)</f>
        <v>0.16661967559064694</v>
      </c>
      <c r="R34" s="58">
        <f ca="1">_xll.EURO(UnderlyingPrice,$D34*(1-$P$8),IntRate,Yield,$J34,Expiry-Today,R$12,0)</f>
        <v>1.2584312300100486</v>
      </c>
      <c r="S34" s="58">
        <f ca="1">_xll.EURO(UnderlyingPrice,$D34*(1-$P$8),IntRate,Yield,$J34,Expiry-Today,S$12,0)</f>
        <v>0.16568409513196358</v>
      </c>
      <c r="U34" s="59">
        <f t="shared" ca="1" si="10"/>
        <v>0.26694325016891324</v>
      </c>
      <c r="V34" s="59"/>
      <c r="W34" s="62">
        <f t="shared" ca="1" si="3"/>
        <v>0.27161409509465062</v>
      </c>
      <c r="X34" s="63"/>
      <c r="Z34" s="59">
        <f t="shared" ca="1" si="11"/>
        <v>0.32568710185206984</v>
      </c>
      <c r="AA34" s="59">
        <f t="shared" ca="1" si="12"/>
        <v>-0.20642103574551007</v>
      </c>
      <c r="AB34" s="59">
        <f t="shared" ca="1" si="4"/>
        <v>-4.2609643998249146E-2</v>
      </c>
      <c r="AC34" s="59">
        <f t="shared" ca="1" si="13"/>
        <v>-0.19807976399105309</v>
      </c>
      <c r="AD34" s="60">
        <f t="shared" ca="1" si="5"/>
        <v>0.82030441977385293</v>
      </c>
      <c r="AE34" s="60">
        <f t="shared" ca="1" si="14"/>
        <v>0.2671625691125899</v>
      </c>
      <c r="AF34" s="60"/>
      <c r="AG34" s="97">
        <f t="shared" ca="1" si="15"/>
        <v>-0.62941204944146589</v>
      </c>
      <c r="AH34" s="97">
        <f t="shared" ca="1" si="16"/>
        <v>-0.62788784734988223</v>
      </c>
      <c r="AI34" s="97">
        <f t="shared" ca="1" si="17"/>
        <v>-0.63093701382470013</v>
      </c>
      <c r="AJ34" s="97"/>
      <c r="AK34" s="97">
        <f t="shared" ca="1" si="18"/>
        <v>0.33270687368393265</v>
      </c>
      <c r="AL34" s="97"/>
      <c r="AM34" s="95">
        <v>-1</v>
      </c>
      <c r="AN34" s="96">
        <f t="shared" si="6"/>
        <v>0.24197072451914334</v>
      </c>
      <c r="AX34" s="107">
        <f t="shared" ca="1" si="19"/>
        <v>0.49249623527215808</v>
      </c>
      <c r="AY34" s="107">
        <f t="shared" ca="1" si="20"/>
        <v>0.49247657549064694</v>
      </c>
      <c r="AZ34" s="107">
        <f t="shared" ca="1" si="21"/>
        <v>0.49251596342433551</v>
      </c>
      <c r="BB34" s="39">
        <f ca="1">_xll.EURO(UnderlyingPrice,$D34,IntRate,Yield,AX34,$D$6,1,0)</f>
        <v>1.2379810760079146</v>
      </c>
      <c r="BC34" s="39">
        <f ca="1">_xll.EURO(UnderlyingPrice,$D34*(1+$P$8),IntRate,Yield,AY34,$D$6,1,0)</f>
        <v>1.2365892384826229</v>
      </c>
      <c r="BD34" s="39">
        <f ca="1">_xll.EURO(UnderlyingPrice,$D34*(1-$P$8),IntRate,Yield,AZ34,$D$6,1,0)</f>
        <v>1.2393738504619858</v>
      </c>
      <c r="BF34" s="59">
        <f t="shared" ca="1" si="22"/>
        <v>0.26864908041244462</v>
      </c>
      <c r="BG34" s="39">
        <f t="shared" ca="1" si="23"/>
        <v>0.27334977313741321</v>
      </c>
      <c r="BI34" s="58">
        <f t="shared" ca="1" si="24"/>
        <v>-1.9082093433278047E-2</v>
      </c>
      <c r="BJ34" s="46">
        <f t="shared" ca="1" si="25"/>
        <v>-1.541388136142725E-2</v>
      </c>
    </row>
    <row r="35" spans="3:62" x14ac:dyDescent="0.2">
      <c r="C35" s="56">
        <v>22</v>
      </c>
      <c r="D35" s="63">
        <f t="shared" ca="1" si="26"/>
        <v>3.7700000000000031</v>
      </c>
      <c r="E35" s="45">
        <f t="shared" ca="1" si="7"/>
        <v>-0.22187822497419951</v>
      </c>
      <c r="F35" s="45">
        <f t="shared" ca="1" si="8"/>
        <v>-0.22148916408668673</v>
      </c>
      <c r="G35" s="45">
        <f t="shared" ca="1" si="9"/>
        <v>-0.2222672858617124</v>
      </c>
      <c r="H35" s="45">
        <f t="shared" ca="1" si="0"/>
        <v>0.5174295264233133</v>
      </c>
      <c r="I35" s="45">
        <f t="shared" ca="1" si="1"/>
        <v>0.51745261464031389</v>
      </c>
      <c r="J35" s="45">
        <f t="shared" ca="1" si="2"/>
        <v>0.51747579529878662</v>
      </c>
      <c r="L35" s="58">
        <f ca="1">_xll.EURO(UnderlyingPrice,$D35,IntRate,Yield,$I35,$D$6,L$12,0)</f>
        <v>1.2315964829019652</v>
      </c>
      <c r="M35" s="58">
        <f ca="1">_xll.EURO(UnderlyingPrice,$D35,IntRate,Yield,$I35,$D$6,M$12,0)</f>
        <v>0.1750828515619528</v>
      </c>
      <c r="O35" s="58">
        <f ca="1">_xll.EURO(UnderlyingPrice,$D35*(1+$P$8),IntRate,Yield,$H35,Expiry-Today,O$12,0)</f>
        <v>1.2302342899561673</v>
      </c>
      <c r="P35" s="58">
        <f ca="1">_xll.EURO(UnderlyingPrice,$D35*(1+$P$8),IntRate,Yield,$H35,Expiry-Today,P$12,0)</f>
        <v>0.17557324298366717</v>
      </c>
      <c r="R35" s="58">
        <f ca="1">_xll.EURO(UnderlyingPrice,$D35*(1-$P$8),IntRate,Yield,$J35,Expiry-Today,R$12,0)</f>
        <v>1.2329596376963914</v>
      </c>
      <c r="S35" s="58">
        <f ca="1">_xll.EURO(UnderlyingPrice,$D35*(1-$P$8),IntRate,Yield,$J35,Expiry-Today,S$12,0)</f>
        <v>0.1745934219888664</v>
      </c>
      <c r="U35" s="59">
        <f t="shared" ca="1" si="10"/>
        <v>0.27069736036988545</v>
      </c>
      <c r="V35" s="59"/>
      <c r="W35" s="62">
        <f t="shared" ca="1" si="3"/>
        <v>0.2754338929148894</v>
      </c>
      <c r="X35" s="63"/>
      <c r="Z35" s="59">
        <f t="shared" ca="1" si="11"/>
        <v>0.32266348154309832</v>
      </c>
      <c r="AA35" s="59">
        <f t="shared" ca="1" si="12"/>
        <v>-0.19709385287037129</v>
      </c>
      <c r="AB35" s="59">
        <f t="shared" ca="1" si="4"/>
        <v>-3.8845986839287562E-2</v>
      </c>
      <c r="AC35" s="59">
        <f t="shared" ca="1" si="13"/>
        <v>-0.18058362340323261</v>
      </c>
      <c r="AD35" s="60">
        <f t="shared" ca="1" si="5"/>
        <v>0.83478287039351406</v>
      </c>
      <c r="AE35" s="60">
        <f t="shared" ca="1" si="14"/>
        <v>0.26935394729371226</v>
      </c>
      <c r="AF35" s="60"/>
      <c r="AG35" s="97">
        <f t="shared" ca="1" si="15"/>
        <v>-0.60097191848410458</v>
      </c>
      <c r="AH35" s="97">
        <f t="shared" ca="1" si="16"/>
        <v>-0.59944771639252126</v>
      </c>
      <c r="AI35" s="97">
        <f t="shared" ca="1" si="17"/>
        <v>-0.60249688286733893</v>
      </c>
      <c r="AJ35" s="97"/>
      <c r="AK35" s="97">
        <f t="shared" ca="1" si="18"/>
        <v>0.34054742004574334</v>
      </c>
      <c r="AL35" s="97"/>
      <c r="AM35" s="95">
        <v>-0.9</v>
      </c>
      <c r="AN35" s="96">
        <f t="shared" si="6"/>
        <v>0.26608524989875482</v>
      </c>
      <c r="AX35" s="107">
        <f t="shared" ca="1" si="19"/>
        <v>0.49213910703461072</v>
      </c>
      <c r="AY35" s="107">
        <f t="shared" ca="1" si="20"/>
        <v>0.49212055012653255</v>
      </c>
      <c r="AZ35" s="107">
        <f t="shared" ca="1" si="21"/>
        <v>0.49215773292542769</v>
      </c>
      <c r="BB35" s="39">
        <f ca="1">_xll.EURO(UnderlyingPrice,$D35,IntRate,Yield,AX35,$D$6,1,0)</f>
        <v>1.2120523844068907</v>
      </c>
      <c r="BC35" s="39">
        <f ca="1">_xll.EURO(UnderlyingPrice,$D35*(1+$P$8),IntRate,Yield,AY35,$D$6,1,0)</f>
        <v>1.2106653770044211</v>
      </c>
      <c r="BD35" s="39">
        <f ca="1">_xll.EURO(UnderlyingPrice,$D35*(1-$P$8),IntRate,Yield,AZ35,$D$6,1,0)</f>
        <v>1.2134403609886597</v>
      </c>
      <c r="BF35" s="59">
        <f t="shared" ca="1" si="22"/>
        <v>0.27276046393951414</v>
      </c>
      <c r="BG35" s="39">
        <f t="shared" ca="1" si="23"/>
        <v>0.27753309568100787</v>
      </c>
      <c r="BI35" s="58">
        <f t="shared" ca="1" si="24"/>
        <v>-1.9544098495074547E-2</v>
      </c>
      <c r="BJ35" s="46">
        <f t="shared" ca="1" si="25"/>
        <v>-1.6124796870589313E-2</v>
      </c>
    </row>
    <row r="36" spans="3:62" x14ac:dyDescent="0.2">
      <c r="C36" s="56">
        <v>23</v>
      </c>
      <c r="D36" s="63">
        <f t="shared" ca="1" si="26"/>
        <v>3.8050000000000033</v>
      </c>
      <c r="E36" s="45">
        <f t="shared" ca="1" si="7"/>
        <v>-0.21465428276573717</v>
      </c>
      <c r="F36" s="45">
        <f t="shared" ca="1" si="8"/>
        <v>-0.21426160990712007</v>
      </c>
      <c r="G36" s="45">
        <f t="shared" ca="1" si="9"/>
        <v>-0.21504695562435427</v>
      </c>
      <c r="H36" s="45">
        <f t="shared" ca="1" si="0"/>
        <v>0.51701735359506407</v>
      </c>
      <c r="I36" s="45">
        <f t="shared" ca="1" si="1"/>
        <v>0.51703893429994585</v>
      </c>
      <c r="J36" s="45">
        <f t="shared" ca="1" si="2"/>
        <v>0.5170606080438257</v>
      </c>
      <c r="L36" s="58">
        <f ca="1">_xll.EURO(UnderlyingPrice,$D36,IntRate,Yield,$I36,$D$6,L$12,0)</f>
        <v>1.2064613766514287</v>
      </c>
      <c r="M36" s="58">
        <f ca="1">_xll.EURO(UnderlyingPrice,$D36,IntRate,Yield,$I36,$D$6,M$12,0)</f>
        <v>0.18434586354109161</v>
      </c>
      <c r="O36" s="58">
        <f ca="1">_xll.EURO(UnderlyingPrice,$D36*(1+$P$8),IntRate,Yield,$H36,Expiry-Today,O$12,0)</f>
        <v>1.2051046917596064</v>
      </c>
      <c r="P36" s="58">
        <f ca="1">_xll.EURO(UnderlyingPrice,$D36*(1+$P$8),IntRate,Yield,$H36,Expiry-Today,P$12,0)</f>
        <v>0.18485896207589647</v>
      </c>
      <c r="R36" s="58">
        <f ca="1">_xll.EURO(UnderlyingPrice,$D36*(1-$P$8),IntRate,Yield,$J36,Expiry-Today,R$12,0)</f>
        <v>1.2078190540695761</v>
      </c>
      <c r="S36" s="58">
        <f ca="1">_xll.EURO(UnderlyingPrice,$D36*(1-$P$8),IntRate,Yield,$J36,Expiry-Today,S$12,0)</f>
        <v>0.18383375753261111</v>
      </c>
      <c r="U36" s="59">
        <f t="shared" ca="1" si="10"/>
        <v>0.27421594454425474</v>
      </c>
      <c r="V36" s="59"/>
      <c r="W36" s="62">
        <f t="shared" ca="1" si="3"/>
        <v>0.27901404358710508</v>
      </c>
      <c r="X36" s="63"/>
      <c r="Z36" s="59">
        <f t="shared" ca="1" si="11"/>
        <v>0.31969548631208428</v>
      </c>
      <c r="AA36" s="59">
        <f t="shared" ca="1" si="12"/>
        <v>-0.18785286301664153</v>
      </c>
      <c r="AB36" s="59">
        <f t="shared" ca="1" si="4"/>
        <v>-3.528869814354909E-2</v>
      </c>
      <c r="AC36" s="59">
        <f t="shared" ca="1" si="13"/>
        <v>-0.16404682940117826</v>
      </c>
      <c r="AD36" s="60">
        <f t="shared" ca="1" si="5"/>
        <v>0.84870227673019527</v>
      </c>
      <c r="AE36" s="60">
        <f t="shared" ca="1" si="14"/>
        <v>0.27132628709343293</v>
      </c>
      <c r="AF36" s="60"/>
      <c r="AG36" s="97">
        <f t="shared" ca="1" si="15"/>
        <v>-0.57279460437608576</v>
      </c>
      <c r="AH36" s="97">
        <f t="shared" ca="1" si="16"/>
        <v>-0.57127040228450188</v>
      </c>
      <c r="AI36" s="97">
        <f t="shared" ca="1" si="17"/>
        <v>-0.57431956875932</v>
      </c>
      <c r="AJ36" s="97"/>
      <c r="AK36" s="97">
        <f t="shared" ca="1" si="18"/>
        <v>0.3481766064977681</v>
      </c>
      <c r="AL36" s="97"/>
      <c r="AM36" s="95">
        <v>-0.8</v>
      </c>
      <c r="AN36" s="96">
        <f t="shared" si="6"/>
        <v>0.28969155276148267</v>
      </c>
      <c r="AX36" s="107">
        <f t="shared" ca="1" si="19"/>
        <v>0.49180576109489549</v>
      </c>
      <c r="AY36" s="107">
        <f t="shared" ca="1" si="20"/>
        <v>0.49178831829705499</v>
      </c>
      <c r="AZ36" s="107">
        <f t="shared" ca="1" si="21"/>
        <v>0.49182327347436078</v>
      </c>
      <c r="BB36" s="39">
        <f ca="1">_xll.EURO(UnderlyingPrice,$D36,IntRate,Yield,AX36,$D$6,1,0)</f>
        <v>1.1864577999583048</v>
      </c>
      <c r="BC36" s="39">
        <f ca="1">_xll.EURO(UnderlyingPrice,$D36*(1+$P$8),IntRate,Yield,AY36,$D$6,1,0)</f>
        <v>1.1850762200642011</v>
      </c>
      <c r="BD36" s="39">
        <f ca="1">_xll.EURO(UnderlyingPrice,$D36*(1-$P$8),IntRate,Yield,AZ36,$D$6,1,0)</f>
        <v>1.1878403811237486</v>
      </c>
      <c r="BF36" s="59">
        <f t="shared" ca="1" si="22"/>
        <v>0.27663202406737181</v>
      </c>
      <c r="BG36" s="39">
        <f t="shared" ca="1" si="23"/>
        <v>0.28147239851060629</v>
      </c>
      <c r="BI36" s="58">
        <f t="shared" ca="1" si="24"/>
        <v>-2.0003576693123915E-2</v>
      </c>
      <c r="BJ36" s="46">
        <f t="shared" ca="1" si="25"/>
        <v>-1.6859914186435364E-2</v>
      </c>
    </row>
    <row r="37" spans="3:62" x14ac:dyDescent="0.2">
      <c r="C37" s="56">
        <v>24</v>
      </c>
      <c r="D37" s="63">
        <f t="shared" ca="1" si="26"/>
        <v>3.8400000000000034</v>
      </c>
      <c r="E37" s="45">
        <f t="shared" ca="1" si="7"/>
        <v>-0.20743034055727483</v>
      </c>
      <c r="F37" s="45">
        <f t="shared" ca="1" si="8"/>
        <v>-0.20703405572755351</v>
      </c>
      <c r="G37" s="45">
        <f t="shared" ca="1" si="9"/>
        <v>-0.20782662538699614</v>
      </c>
      <c r="H37" s="45">
        <f t="shared" ca="1" si="0"/>
        <v>0.51663667999787488</v>
      </c>
      <c r="I37" s="45">
        <f t="shared" ca="1" si="1"/>
        <v>0.5166567424457168</v>
      </c>
      <c r="J37" s="45">
        <f t="shared" ca="1" si="2"/>
        <v>0.51667689850436505</v>
      </c>
      <c r="L37" s="58">
        <f ca="1">_xll.EURO(UnderlyingPrice,$D37,IntRate,Yield,$I37,$D$6,L$12,0)</f>
        <v>1.1816621602159656</v>
      </c>
      <c r="M37" s="58">
        <f ca="1">_xll.EURO(UnderlyingPrice,$D37,IntRate,Yield,$I37,$D$6,M$12,0)</f>
        <v>0.19394476533530358</v>
      </c>
      <c r="O37" s="58">
        <f ca="1">_xll.EURO(UnderlyingPrice,$D37*(1+$P$8),IntRate,Yield,$H37,Expiry-Today,O$12,0)</f>
        <v>1.1803115453614628</v>
      </c>
      <c r="P37" s="58">
        <f ca="1">_xll.EURO(UnderlyingPrice,$D37*(1+$P$8),IntRate,Yield,$H37,Expiry-Today,P$12,0)</f>
        <v>0.19448113296654257</v>
      </c>
      <c r="R37" s="58">
        <f ca="1">_xll.EURO(UnderlyingPrice,$D37*(1-$P$8),IntRate,Yield,$J37,Expiry-Today,R$12,0)</f>
        <v>1.1830137980159798</v>
      </c>
      <c r="S37" s="58">
        <f ca="1">_xll.EURO(UnderlyingPrice,$D37*(1-$P$8),IntRate,Yield,$J37,Expiry-Today,S$12,0)</f>
        <v>0.19340942064957622</v>
      </c>
      <c r="U37" s="59">
        <f t="shared" ca="1" si="10"/>
        <v>0.27749172944026085</v>
      </c>
      <c r="V37" s="59"/>
      <c r="W37" s="62">
        <f t="shared" ca="1" si="3"/>
        <v>0.28234714659566745</v>
      </c>
      <c r="Z37" s="59">
        <f t="shared" ca="1" si="11"/>
        <v>0.31678159516080223</v>
      </c>
      <c r="AA37" s="59">
        <f t="shared" ca="1" si="12"/>
        <v>-0.17869648773065519</v>
      </c>
      <c r="AB37" s="59">
        <f t="shared" ca="1" si="4"/>
        <v>-3.1932434727272203E-2</v>
      </c>
      <c r="AC37" s="59">
        <f t="shared" ca="1" si="13"/>
        <v>-0.1484445430874215</v>
      </c>
      <c r="AD37" s="60">
        <f t="shared" ca="1" si="5"/>
        <v>0.86204781235509076</v>
      </c>
      <c r="AE37" s="60">
        <f t="shared" ca="1" si="14"/>
        <v>0.27308088110272555</v>
      </c>
      <c r="AF37" s="60"/>
      <c r="AG37" s="97">
        <f t="shared" ca="1" si="15"/>
        <v>-0.54487529414981095</v>
      </c>
      <c r="AH37" s="97">
        <f t="shared" ca="1" si="16"/>
        <v>-0.54335109205822718</v>
      </c>
      <c r="AI37" s="97">
        <f t="shared" ca="1" si="17"/>
        <v>-0.54640025853304508</v>
      </c>
      <c r="AJ37" s="97"/>
      <c r="AK37" s="97">
        <f t="shared" ca="1" si="18"/>
        <v>0.3555768607196545</v>
      </c>
      <c r="AL37" s="97"/>
      <c r="AM37" s="95">
        <v>-0.7</v>
      </c>
      <c r="AN37" s="96">
        <f t="shared" si="6"/>
        <v>0.31225393336676122</v>
      </c>
      <c r="AX37" s="107">
        <f t="shared" ca="1" si="19"/>
        <v>0.4914959646353031</v>
      </c>
      <c r="AY37" s="107">
        <f t="shared" ca="1" si="20"/>
        <v>0.49147964683510387</v>
      </c>
      <c r="AZ37" s="107">
        <f t="shared" ca="1" si="21"/>
        <v>0.49151235260247716</v>
      </c>
      <c r="BB37" s="39">
        <f ca="1">_xll.EURO(UnderlyingPrice,$D37,IntRate,Yield,AX37,$D$6,1,0)</f>
        <v>1.1612020645336116</v>
      </c>
      <c r="BC37" s="39">
        <f ca="1">_xll.EURO(UnderlyingPrice,$D37*(1+$P$8),IntRate,Yield,AY37,$D$6,1,0)</f>
        <v>1.1598265004520285</v>
      </c>
      <c r="BD37" s="39">
        <f ca="1">_xll.EURO(UnderlyingPrice,$D37*(1-$P$8),IntRate,Yield,AZ37,$D$6,1,0)</f>
        <v>1.1625786617508513</v>
      </c>
      <c r="BF37" s="59">
        <f t="shared" ca="1" si="22"/>
        <v>0.28025598323044032</v>
      </c>
      <c r="BG37" s="39">
        <f t="shared" ca="1" si="23"/>
        <v>0.28515976797251991</v>
      </c>
      <c r="BI37" s="58">
        <f t="shared" ca="1" si="24"/>
        <v>-2.0460095682353963E-2</v>
      </c>
      <c r="BJ37" s="46">
        <f t="shared" ca="1" si="25"/>
        <v>-1.7619754827573109E-2</v>
      </c>
    </row>
    <row r="38" spans="3:62" x14ac:dyDescent="0.2">
      <c r="C38" s="56">
        <v>25</v>
      </c>
      <c r="D38" s="63">
        <f t="shared" ca="1" si="26"/>
        <v>3.8750000000000036</v>
      </c>
      <c r="E38" s="45">
        <f t="shared" ca="1" si="7"/>
        <v>-0.20020639834881249</v>
      </c>
      <c r="F38" s="45">
        <f t="shared" ca="1" si="8"/>
        <v>-0.19980650154798685</v>
      </c>
      <c r="G38" s="45">
        <f t="shared" ca="1" si="9"/>
        <v>-0.20060629514963801</v>
      </c>
      <c r="H38" s="45">
        <f t="shared" ca="1" si="0"/>
        <v>0.51628712367987084</v>
      </c>
      <c r="I38" s="45">
        <f t="shared" ca="1" si="1"/>
        <v>0.51630565769810677</v>
      </c>
      <c r="J38" s="45">
        <f t="shared" ca="1" si="2"/>
        <v>0.51632428587266832</v>
      </c>
      <c r="L38" s="58">
        <f ca="1">_xll.EURO(UnderlyingPrice,$D38,IntRate,Yield,$I38,$D$6,L$12,0)</f>
        <v>1.1572028457823578</v>
      </c>
      <c r="M38" s="58">
        <f ca="1">_xll.EURO(UnderlyingPrice,$D38,IntRate,Yield,$I38,$D$6,M$12,0)</f>
        <v>0.20388356913137018</v>
      </c>
      <c r="O38" s="58">
        <f ca="1">_xll.EURO(UnderlyingPrice,$D38*(1+$P$8),IntRate,Yield,$H38,Expiry-Today,O$12,0)</f>
        <v>1.1558588524717086</v>
      </c>
      <c r="P38" s="58">
        <f ca="1">_xll.EURO(UnderlyingPrice,$D38*(1+$P$8),IntRate,Yield,$H38,Expiry-Today,P$12,0)</f>
        <v>0.20444375736557807</v>
      </c>
      <c r="R38" s="58">
        <f ca="1">_xll.EURO(UnderlyingPrice,$D38*(1-$P$8),IntRate,Yield,$J38,Expiry-Today,R$12,0)</f>
        <v>1.1585478921324621</v>
      </c>
      <c r="S38" s="58">
        <f ca="1">_xll.EURO(UnderlyingPrice,$D38*(1-$P$8),IntRate,Yield,$J38,Expiry-Today,S$12,0)</f>
        <v>0.20332443393661803</v>
      </c>
      <c r="U38" s="59">
        <f t="shared" ca="1" si="10"/>
        <v>0.28051831480606976</v>
      </c>
      <c r="V38" s="59"/>
      <c r="W38" s="62">
        <f t="shared" ca="1" si="3"/>
        <v>0.28542668970020646</v>
      </c>
      <c r="Z38" s="59">
        <f t="shared" ca="1" si="11"/>
        <v>0.31392034204322078</v>
      </c>
      <c r="AA38" s="59">
        <f t="shared" ca="1" si="12"/>
        <v>-0.16962319152498034</v>
      </c>
      <c r="AB38" s="59">
        <f t="shared" ca="1" si="4"/>
        <v>-2.8772027103120164E-2</v>
      </c>
      <c r="AC38" s="59">
        <f t="shared" ca="1" si="13"/>
        <v>-0.13375273302833524</v>
      </c>
      <c r="AD38" s="60">
        <f t="shared" ca="1" si="5"/>
        <v>0.8748063485788965</v>
      </c>
      <c r="AE38" s="60">
        <f t="shared" ca="1" si="14"/>
        <v>0.27461950816746822</v>
      </c>
      <c r="AF38" s="60"/>
      <c r="AG38" s="97">
        <f t="shared" ca="1" si="15"/>
        <v>-0.51720930584887059</v>
      </c>
      <c r="AH38" s="97">
        <f t="shared" ca="1" si="16"/>
        <v>-0.51568510375728649</v>
      </c>
      <c r="AI38" s="97">
        <f t="shared" ca="1" si="17"/>
        <v>-0.51873427023210472</v>
      </c>
      <c r="AJ38" s="97"/>
      <c r="AK38" s="97">
        <f t="shared" ca="1" si="18"/>
        <v>0.36273139945703814</v>
      </c>
      <c r="AL38" s="97"/>
      <c r="AM38" s="95">
        <v>-0.6</v>
      </c>
      <c r="AN38" s="96">
        <f t="shared" si="6"/>
        <v>0.33322460289179962</v>
      </c>
      <c r="AX38" s="107">
        <f t="shared" ca="1" si="19"/>
        <v>0.49120948483812404</v>
      </c>
      <c r="AY38" s="107">
        <f t="shared" ca="1" si="20"/>
        <v>0.49119430257356844</v>
      </c>
      <c r="AZ38" s="107">
        <f t="shared" ca="1" si="21"/>
        <v>0.49122473784111953</v>
      </c>
      <c r="BB38" s="39">
        <f ca="1">_xll.EURO(UnderlyingPrice,$D38,IntRate,Yield,AX38,$D$6,1,0)</f>
        <v>1.1362896167822951</v>
      </c>
      <c r="BC38" s="39">
        <f ca="1">_xll.EURO(UnderlyingPrice,$D38*(1+$P$8),IntRate,Yield,AY38,$D$6,1,0)</f>
        <v>1.1349206466412429</v>
      </c>
      <c r="BD38" s="39">
        <f ca="1">_xll.EURO(UnderlyingPrice,$D38*(1-$P$8),IntRate,Yield,AZ38,$D$6,1,0)</f>
        <v>1.1376596516266826</v>
      </c>
      <c r="BF38" s="59">
        <f t="shared" ca="1" si="22"/>
        <v>0.28362544623323332</v>
      </c>
      <c r="BG38" s="39">
        <f t="shared" ca="1" si="23"/>
        <v>0.28858818822243976</v>
      </c>
      <c r="BI38" s="58">
        <f t="shared" ca="1" si="24"/>
        <v>-2.091322900006265E-2</v>
      </c>
      <c r="BJ38" s="46">
        <f t="shared" ca="1" si="25"/>
        <v>-1.8404840360403886E-2</v>
      </c>
    </row>
    <row r="39" spans="3:62" x14ac:dyDescent="0.2">
      <c r="C39" s="56">
        <v>26</v>
      </c>
      <c r="D39" s="63">
        <f t="shared" ca="1" si="26"/>
        <v>3.9100000000000037</v>
      </c>
      <c r="E39" s="45">
        <f t="shared" ca="1" si="7"/>
        <v>-0.19298245614035003</v>
      </c>
      <c r="F39" s="45">
        <f t="shared" ca="1" si="8"/>
        <v>-0.19257894736842029</v>
      </c>
      <c r="G39" s="45">
        <f t="shared" ca="1" si="9"/>
        <v>-0.19338596491227988</v>
      </c>
      <c r="H39" s="45">
        <f t="shared" ca="1" si="0"/>
        <v>0.51596830268917648</v>
      </c>
      <c r="I39" s="45">
        <f t="shared" ca="1" si="1"/>
        <v>0.51598529867759579</v>
      </c>
      <c r="J39" s="45">
        <f t="shared" ca="1" si="2"/>
        <v>0.51600238934099885</v>
      </c>
      <c r="L39" s="58">
        <f ca="1">_xll.EURO(UnderlyingPrice,$D39,IntRate,Yield,$I39,$D$6,L$12,0)</f>
        <v>1.1330871403581853</v>
      </c>
      <c r="M39" s="58">
        <f ca="1">_xll.EURO(UnderlyingPrice,$D39,IntRate,Yield,$I39,$D$6,M$12,0)</f>
        <v>0.21416598193687297</v>
      </c>
      <c r="O39" s="58">
        <f ca="1">_xll.EURO(UnderlyingPrice,$D39*(1+$P$8),IntRate,Yield,$H39,Expiry-Today,O$12,0)</f>
        <v>1.1317503086110023</v>
      </c>
      <c r="P39" s="58">
        <f ca="1">_xll.EURO(UnderlyingPrice,$D39*(1+$P$8),IntRate,Yield,$H39,Expiry-Today,P$12,0)</f>
        <v>0.21475053079366158</v>
      </c>
      <c r="R39" s="58">
        <f ca="1">_xll.EURO(UnderlyingPrice,$D39*(1-$P$8),IntRate,Yield,$J39,Expiry-Today,R$12,0)</f>
        <v>1.1344250548475592</v>
      </c>
      <c r="S39" s="58">
        <f ca="1">_xll.EURO(UnderlyingPrice,$D39*(1-$P$8),IntRate,Yield,$J39,Expiry-Today,S$12,0)</f>
        <v>0.21358251582227561</v>
      </c>
      <c r="U39" s="59">
        <f t="shared" ca="1" si="10"/>
        <v>0.28329019067547911</v>
      </c>
      <c r="V39" s="59"/>
      <c r="W39" s="62">
        <f t="shared" ca="1" si="3"/>
        <v>0.28824706652377446</v>
      </c>
      <c r="Z39" s="59">
        <f t="shared" ca="1" si="11"/>
        <v>0.31111031340600526</v>
      </c>
      <c r="AA39" s="59">
        <f t="shared" ca="1" si="12"/>
        <v>-0.16063148033301614</v>
      </c>
      <c r="AB39" s="59">
        <f t="shared" ca="1" si="4"/>
        <v>-2.580247247397615E-2</v>
      </c>
      <c r="AC39" s="59">
        <f t="shared" ca="1" si="13"/>
        <v>-0.11994814268433811</v>
      </c>
      <c r="AD39" s="60">
        <f t="shared" ca="1" si="5"/>
        <v>0.88696643122277685</v>
      </c>
      <c r="AE39" s="60">
        <f t="shared" ca="1" si="14"/>
        <v>0.27594440439832413</v>
      </c>
      <c r="AF39" s="60"/>
      <c r="AG39" s="97">
        <f t="shared" ca="1" si="15"/>
        <v>-0.48979208381585371</v>
      </c>
      <c r="AH39" s="97">
        <f t="shared" ca="1" si="16"/>
        <v>-0.4882678817242701</v>
      </c>
      <c r="AI39" s="97">
        <f t="shared" ca="1" si="17"/>
        <v>-0.49131704819908811</v>
      </c>
      <c r="AJ39" s="97"/>
      <c r="AK39" s="97">
        <f t="shared" ca="1" si="18"/>
        <v>0.36962430205626179</v>
      </c>
      <c r="AL39" s="97"/>
      <c r="AM39" s="95">
        <v>-0.5</v>
      </c>
      <c r="AN39" s="96">
        <f t="shared" si="6"/>
        <v>0.35206532676429947</v>
      </c>
      <c r="AX39" s="107">
        <f t="shared" ca="1" si="19"/>
        <v>0.49094608888564906</v>
      </c>
      <c r="AY39" s="107">
        <f t="shared" ca="1" si="20"/>
        <v>0.49093205234533821</v>
      </c>
      <c r="AZ39" s="107">
        <f t="shared" ca="1" si="21"/>
        <v>0.49096019672163049</v>
      </c>
      <c r="BB39" s="39">
        <f ca="1">_xll.EURO(UnderlyingPrice,$D39,IntRate,Yield,AX39,$D$6,1,0)</f>
        <v>1.1117245836887584</v>
      </c>
      <c r="BC39" s="39">
        <f ca="1">_xll.EURO(UnderlyingPrice,$D39*(1+$P$8),IntRate,Yield,AY39,$D$6,1,0)</f>
        <v>1.1103627743843636</v>
      </c>
      <c r="BD39" s="39">
        <f ca="1">_xll.EURO(UnderlyingPrice,$D39*(1-$P$8),IntRate,Yield,AZ39,$D$6,1,0)</f>
        <v>1.1130874888992977</v>
      </c>
      <c r="BF39" s="59">
        <f t="shared" ca="1" si="22"/>
        <v>0.2867344259912688</v>
      </c>
      <c r="BG39" s="39">
        <f t="shared" ca="1" si="23"/>
        <v>0.2917515674167519</v>
      </c>
      <c r="BI39" s="58">
        <f t="shared" ca="1" si="24"/>
        <v>-2.136255666942688E-2</v>
      </c>
      <c r="BJ39" s="46">
        <f t="shared" ca="1" si="25"/>
        <v>-1.9215691532649962E-2</v>
      </c>
    </row>
    <row r="40" spans="3:62" x14ac:dyDescent="0.2">
      <c r="C40" s="56">
        <v>27</v>
      </c>
      <c r="D40" s="63">
        <f t="shared" ca="1" si="26"/>
        <v>3.9450000000000038</v>
      </c>
      <c r="E40" s="45">
        <f t="shared" ca="1" si="7"/>
        <v>-0.18575851393188769</v>
      </c>
      <c r="F40" s="45">
        <f t="shared" ca="1" si="8"/>
        <v>-0.18535139318885363</v>
      </c>
      <c r="G40" s="45">
        <f t="shared" ca="1" si="9"/>
        <v>-0.18616563467492175</v>
      </c>
      <c r="H40" s="45">
        <f t="shared" ca="1" si="0"/>
        <v>0.51567983507391657</v>
      </c>
      <c r="I40" s="45">
        <f t="shared" ca="1" si="1"/>
        <v>0.51569528400466402</v>
      </c>
      <c r="J40" s="45">
        <f t="shared" ca="1" si="2"/>
        <v>0.51571082810161994</v>
      </c>
      <c r="L40" s="58">
        <f ca="1">_xll.EURO(UnderlyingPrice,$D40,IntRate,Yield,$I40,$D$6,L$12,0)</f>
        <v>1.109318439024181</v>
      </c>
      <c r="M40" s="58">
        <f ca="1">_xll.EURO(UnderlyingPrice,$D40,IntRate,Yield,$I40,$D$6,M$12,0)</f>
        <v>0.22479539883254351</v>
      </c>
      <c r="O40" s="58">
        <f ca="1">_xll.EURO(UnderlyingPrice,$D40*(1+$P$8),IntRate,Yield,$H40,Expiry-Today,O$12,0)</f>
        <v>1.1079892964071338</v>
      </c>
      <c r="P40" s="58">
        <f ca="1">_xll.EURO(UnderlyingPrice,$D40*(1+$P$8),IntRate,Yield,$H40,Expiry-Today,P$12,0)</f>
        <v>0.22540483587858295</v>
      </c>
      <c r="R40" s="58">
        <f ca="1">_xll.EURO(UnderlyingPrice,$D40*(1-$P$8),IntRate,Yield,$J40,Expiry-Today,R$12,0)</f>
        <v>1.1106486936300848</v>
      </c>
      <c r="S40" s="58">
        <f ca="1">_xll.EURO(UnderlyingPrice,$D40*(1-$P$8),IntRate,Yield,$J40,Expiry-Today,S$12,0)</f>
        <v>0.2241870737753604</v>
      </c>
      <c r="U40" s="59">
        <f t="shared" ca="1" si="10"/>
        <v>0.2858027553255954</v>
      </c>
      <c r="V40" s="59"/>
      <c r="W40" s="62">
        <f t="shared" ca="1" si="3"/>
        <v>0.29080359482473844</v>
      </c>
      <c r="Z40" s="59">
        <f t="shared" ca="1" si="11"/>
        <v>0.30835014585994436</v>
      </c>
      <c r="AA40" s="59">
        <f t="shared" ca="1" si="12"/>
        <v>-0.15171990003245298</v>
      </c>
      <c r="AB40" s="59">
        <f t="shared" ca="1" si="4"/>
        <v>-2.3018928065857525E-2</v>
      </c>
      <c r="AC40" s="59">
        <f t="shared" ca="1" si="13"/>
        <v>-0.10700825941656407</v>
      </c>
      <c r="AD40" s="60">
        <f t="shared" ca="1" si="5"/>
        <v>0.89851825172312649</v>
      </c>
      <c r="AE40" s="60">
        <f t="shared" ca="1" si="14"/>
        <v>0.27705823397664825</v>
      </c>
      <c r="AF40" s="60"/>
      <c r="AG40" s="97">
        <f t="shared" ca="1" si="15"/>
        <v>-0.4626191941901332</v>
      </c>
      <c r="AH40" s="97">
        <f t="shared" ca="1" si="16"/>
        <v>-0.46109499209854926</v>
      </c>
      <c r="AI40" s="97">
        <f t="shared" ca="1" si="17"/>
        <v>-0.46414415857336755</v>
      </c>
      <c r="AJ40" s="97"/>
      <c r="AK40" s="97">
        <f t="shared" ca="1" si="18"/>
        <v>0.37624058609392974</v>
      </c>
      <c r="AL40" s="97"/>
      <c r="AM40" s="95">
        <v>-0.4</v>
      </c>
      <c r="AN40" s="96">
        <f t="shared" si="6"/>
        <v>0.36827014030332328</v>
      </c>
      <c r="AX40" s="107">
        <f t="shared" ca="1" si="19"/>
        <v>0.49070554396016863</v>
      </c>
      <c r="AY40" s="107">
        <f t="shared" ca="1" si="20"/>
        <v>0.49069266298330239</v>
      </c>
      <c r="AZ40" s="107">
        <f t="shared" ca="1" si="21"/>
        <v>0.49071849677535251</v>
      </c>
      <c r="BB40" s="39">
        <f ca="1">_xll.EURO(UnderlyingPrice,$D40,IntRate,Yield,AX40,$D$6,1,0)</f>
        <v>1.0875107732388001</v>
      </c>
      <c r="BC40" s="39">
        <f ca="1">_xll.EURO(UnderlyingPrice,$D40*(1+$P$8),IntRate,Yield,AY40,$D$6,1,0)</f>
        <v>1.0861566794231328</v>
      </c>
      <c r="BD40" s="39">
        <f ca="1">_xll.EURO(UnderlyingPrice,$D40*(1-$P$8),IntRate,Yield,AZ40,$D$6,1,0)</f>
        <v>1.0888659937313188</v>
      </c>
      <c r="BF40" s="59">
        <f t="shared" ca="1" si="22"/>
        <v>0.28957785555717785</v>
      </c>
      <c r="BG40" s="39">
        <f t="shared" ca="1" si="23"/>
        <v>0.29464474994907314</v>
      </c>
      <c r="BI40" s="58">
        <f t="shared" ca="1" si="24"/>
        <v>-2.1807665785380959E-2</v>
      </c>
      <c r="BJ40" s="46">
        <f t="shared" ca="1" si="25"/>
        <v>-2.0052827357685717E-2</v>
      </c>
    </row>
    <row r="41" spans="3:62" x14ac:dyDescent="0.2">
      <c r="C41" s="56">
        <v>28</v>
      </c>
      <c r="D41" s="63">
        <f t="shared" ca="1" si="26"/>
        <v>3.980000000000004</v>
      </c>
      <c r="E41" s="45">
        <f t="shared" ca="1" si="7"/>
        <v>-0.17853457172342535</v>
      </c>
      <c r="F41" s="45">
        <f t="shared" ca="1" si="8"/>
        <v>-0.17812383900928708</v>
      </c>
      <c r="G41" s="45">
        <f t="shared" ca="1" si="9"/>
        <v>-0.17894530443756362</v>
      </c>
      <c r="H41" s="45">
        <f t="shared" ca="1" si="0"/>
        <v>0.51542133888221575</v>
      </c>
      <c r="I41" s="45">
        <f t="shared" ca="1" si="1"/>
        <v>0.51543523229979171</v>
      </c>
      <c r="J41" s="45">
        <f t="shared" ca="1" si="2"/>
        <v>0.51544922134679516</v>
      </c>
      <c r="L41" s="58">
        <f ca="1">_xll.EURO(UnderlyingPrice,$D41,IntRate,Yield,$I41,$D$6,L$12,0)</f>
        <v>1.0858998192981457</v>
      </c>
      <c r="M41" s="58">
        <f ca="1">_xll.EURO(UnderlyingPrice,$D41,IntRate,Yield,$I41,$D$6,M$12,0)</f>
        <v>0.23577489733618373</v>
      </c>
      <c r="O41" s="58">
        <f ca="1">_xll.EURO(UnderlyingPrice,$D41*(1+$P$8),IntRate,Yield,$H41,Expiry-Today,O$12,0)</f>
        <v>1.0845788800072236</v>
      </c>
      <c r="P41" s="58">
        <f ca="1">_xll.EURO(UnderlyingPrice,$D41*(1+$P$8),IntRate,Yield,$H41,Expiry-Today,P$12,0)</f>
        <v>0.23640973676746291</v>
      </c>
      <c r="R41" s="58">
        <f ca="1">_xll.EURO(UnderlyingPrice,$D41*(1-$P$8),IntRate,Yield,$J41,Expiry-Today,R$12,0)</f>
        <v>1.0872218993050744</v>
      </c>
      <c r="S41" s="58">
        <f ca="1">_xll.EURO(UnderlyingPrice,$D41*(1-$P$8),IntRate,Yield,$J41,Expiry-Today,S$12,0)</f>
        <v>0.23514119862091154</v>
      </c>
      <c r="U41" s="59">
        <f t="shared" ca="1" si="10"/>
        <v>0.28805232356314658</v>
      </c>
      <c r="V41" s="59"/>
      <c r="W41" s="62">
        <f t="shared" ca="1" si="3"/>
        <v>0.29309252492808252</v>
      </c>
      <c r="Z41" s="59">
        <f t="shared" ca="1" si="11"/>
        <v>0.30563852397424135</v>
      </c>
      <c r="AA41" s="59">
        <f t="shared" ca="1" si="12"/>
        <v>-0.1428870350339442</v>
      </c>
      <c r="AB41" s="59">
        <f t="shared" ca="1" si="4"/>
        <v>-2.0416704780791599E-2</v>
      </c>
      <c r="AC41" s="59">
        <f t="shared" ca="1" si="13"/>
        <v>-9.491128498093955E-2</v>
      </c>
      <c r="AD41" s="60">
        <f t="shared" ca="1" si="5"/>
        <v>0.90945361308409534</v>
      </c>
      <c r="AE41" s="60">
        <f t="shared" ca="1" si="14"/>
        <v>0.27796405992606371</v>
      </c>
      <c r="AF41" s="60"/>
      <c r="AG41" s="97">
        <f t="shared" ca="1" si="15"/>
        <v>-0.43568632060449075</v>
      </c>
      <c r="AH41" s="97">
        <f t="shared" ca="1" si="16"/>
        <v>-0.43416211851290681</v>
      </c>
      <c r="AI41" s="97">
        <f t="shared" ca="1" si="17"/>
        <v>-0.43721128498772505</v>
      </c>
      <c r="AJ41" s="97"/>
      <c r="AK41" s="97">
        <f t="shared" ca="1" si="18"/>
        <v>0.38256627142121125</v>
      </c>
      <c r="AL41" s="97"/>
      <c r="AM41" s="95">
        <v>-0.3</v>
      </c>
      <c r="AN41" s="96">
        <f t="shared" si="6"/>
        <v>0.38138781546052408</v>
      </c>
      <c r="AX41" s="107">
        <f t="shared" ca="1" si="19"/>
        <v>0.49048761724397349</v>
      </c>
      <c r="AY41" s="107">
        <f t="shared" ca="1" si="20"/>
        <v>0.49047590132035057</v>
      </c>
      <c r="AZ41" s="107">
        <f t="shared" ca="1" si="21"/>
        <v>0.49049940553362836</v>
      </c>
      <c r="BB41" s="39">
        <f ca="1">_xll.EURO(UnderlyingPrice,$D41,IntRate,Yield,AX41,$D$6,1,0)</f>
        <v>1.063651668214677</v>
      </c>
      <c r="BC41" s="39">
        <f ca="1">_xll.EURO(UnderlyingPrice,$D41*(1+$P$8),IntRate,Yield,AY41,$D$6,1,0)</f>
        <v>1.0623058313313911</v>
      </c>
      <c r="BD41" s="39">
        <f ca="1">_xll.EURO(UnderlyingPrice,$D41*(1-$P$8),IntRate,Yield,AZ41,$D$6,1,0)</f>
        <v>1.0649986620475183</v>
      </c>
      <c r="BF41" s="59">
        <f t="shared" ca="1" si="22"/>
        <v>0.29215160103782767</v>
      </c>
      <c r="BG41" s="39">
        <f t="shared" ca="1" si="23"/>
        <v>0.29726352959339192</v>
      </c>
      <c r="BI41" s="58">
        <f t="shared" ca="1" si="24"/>
        <v>-2.224815108346867E-2</v>
      </c>
      <c r="BJ41" s="46">
        <f t="shared" ca="1" si="25"/>
        <v>-2.0916764151568387E-2</v>
      </c>
    </row>
    <row r="42" spans="3:62" x14ac:dyDescent="0.2">
      <c r="C42" s="56">
        <v>29</v>
      </c>
      <c r="D42" s="63">
        <f t="shared" ca="1" si="26"/>
        <v>4.0150000000000041</v>
      </c>
      <c r="E42" s="45">
        <f t="shared" ca="1" si="7"/>
        <v>-0.17131062951496301</v>
      </c>
      <c r="F42" s="45">
        <f t="shared" ca="1" si="8"/>
        <v>-0.17089628482972052</v>
      </c>
      <c r="G42" s="45">
        <f t="shared" ca="1" si="9"/>
        <v>-0.17172497420020538</v>
      </c>
      <c r="H42" s="45">
        <f t="shared" ca="1" si="0"/>
        <v>0.51519243216219934</v>
      </c>
      <c r="I42" s="45">
        <f t="shared" ca="1" si="1"/>
        <v>0.51520476218345901</v>
      </c>
      <c r="J42" s="45">
        <f t="shared" ca="1" si="2"/>
        <v>0.51521718826878782</v>
      </c>
      <c r="L42" s="58">
        <f ca="1">_xll.EURO(UnderlyingPrice,$D42,IntRate,Yield,$I42,$D$6,L$12,0)</f>
        <v>1.0628340366227187</v>
      </c>
      <c r="M42" s="58">
        <f ca="1">_xll.EURO(UnderlyingPrice,$D42,IntRate,Yield,$I42,$D$6,M$12,0)</f>
        <v>0.24710723289043202</v>
      </c>
      <c r="O42" s="58">
        <f ca="1">_xll.EURO(UnderlyingPrice,$D42*(1+$P$8),IntRate,Yield,$H42,Expiry-Today,O$12,0)</f>
        <v>1.0615218006176472</v>
      </c>
      <c r="P42" s="58">
        <f ca="1">_xll.EURO(UnderlyingPrice,$D42*(1+$P$8),IntRate,Yield,$H42,Expiry-Today,P$12,0)</f>
        <v>0.24776797466667611</v>
      </c>
      <c r="R42" s="58">
        <f ca="1">_xll.EURO(UnderlyingPrice,$D42*(1-$P$8),IntRate,Yield,$J42,Expiry-Today,R$12,0)</f>
        <v>1.0641474414897352</v>
      </c>
      <c r="S42" s="58">
        <f ca="1">_xll.EURO(UnderlyingPrice,$D42*(1-$P$8),IntRate,Yield,$J42,Expiry-Today,S$12,0)</f>
        <v>0.24644765997613161</v>
      </c>
      <c r="U42" s="59">
        <f t="shared" ca="1" si="10"/>
        <v>0.29003613659516519</v>
      </c>
      <c r="V42" s="59"/>
      <c r="W42" s="62">
        <f t="shared" ca="1" si="3"/>
        <v>0.29511104976880337</v>
      </c>
      <c r="Z42" s="59">
        <f t="shared" ca="1" si="11"/>
        <v>0.30297417818617201</v>
      </c>
      <c r="AA42" s="59">
        <f t="shared" ca="1" si="12"/>
        <v>-0.13413150693156553</v>
      </c>
      <c r="AB42" s="59">
        <f t="shared" ca="1" si="4"/>
        <v>-1.7991261151732611E-2</v>
      </c>
      <c r="AC42" s="59">
        <f t="shared" ca="1" si="13"/>
        <v>-8.3636107426361794E-2</v>
      </c>
      <c r="AD42" s="60">
        <f t="shared" ca="1" si="5"/>
        <v>0.91976589118310759</v>
      </c>
      <c r="AE42" s="60">
        <f t="shared" ca="1" si="14"/>
        <v>0.27866531500487413</v>
      </c>
      <c r="AF42" s="60"/>
      <c r="AG42" s="97">
        <f t="shared" ca="1" si="15"/>
        <v>-0.40898926007014369</v>
      </c>
      <c r="AH42" s="97">
        <f t="shared" ca="1" si="16"/>
        <v>-0.40746505797855992</v>
      </c>
      <c r="AI42" s="97">
        <f t="shared" ca="1" si="17"/>
        <v>-0.41051422445337749</v>
      </c>
      <c r="AJ42" s="97"/>
      <c r="AK42" s="97">
        <f t="shared" ca="1" si="18"/>
        <v>0.38858844691077038</v>
      </c>
      <c r="AL42" s="97"/>
      <c r="AM42" s="95">
        <v>-0.2</v>
      </c>
      <c r="AN42" s="96">
        <f t="shared" si="6"/>
        <v>0.39104269397545582</v>
      </c>
      <c r="AX42" s="107">
        <f t="shared" ca="1" si="19"/>
        <v>0.49029207591935414</v>
      </c>
      <c r="AY42" s="107">
        <f t="shared" ca="1" si="20"/>
        <v>0.49028153418937209</v>
      </c>
      <c r="AZ42" s="107">
        <f t="shared" ca="1" si="21"/>
        <v>0.49030269052780051</v>
      </c>
      <c r="BB42" s="39">
        <f ca="1">_xll.EURO(UnderlyingPrice,$D42,IntRate,Yield,AX42,$D$6,1,0)</f>
        <v>1.0401504211308228</v>
      </c>
      <c r="BC42" s="39">
        <f ca="1">_xll.EURO(UnderlyingPrice,$D42*(1+$P$8),IntRate,Yield,AY42,$D$6,1,0)</f>
        <v>1.0388133685024914</v>
      </c>
      <c r="BD42" s="39">
        <f ca="1">_xll.EURO(UnderlyingPrice,$D42*(1-$P$8),IntRate,Yield,AZ42,$D$6,1,0)</f>
        <v>1.0414886604191476</v>
      </c>
      <c r="BF42" s="59">
        <f t="shared" ca="1" si="22"/>
        <v>0.29445246412618503</v>
      </c>
      <c r="BG42" s="39">
        <f t="shared" ca="1" si="23"/>
        <v>0.2996046520802329</v>
      </c>
      <c r="BI42" s="58">
        <f t="shared" ca="1" si="24"/>
        <v>-2.2683615491895903E-2</v>
      </c>
      <c r="BJ42" s="46">
        <f t="shared" ca="1" si="25"/>
        <v>-2.1808014524702019E-2</v>
      </c>
    </row>
    <row r="43" spans="3:62" x14ac:dyDescent="0.2">
      <c r="C43" s="56">
        <v>30</v>
      </c>
      <c r="D43" s="63">
        <f t="shared" ca="1" si="26"/>
        <v>4.0500000000000043</v>
      </c>
      <c r="E43" s="45">
        <f t="shared" ca="1" si="7"/>
        <v>-0.16408668730650067</v>
      </c>
      <c r="F43" s="45">
        <f t="shared" ca="1" si="8"/>
        <v>-0.16366873065015397</v>
      </c>
      <c r="G43" s="45">
        <f t="shared" ca="1" si="9"/>
        <v>-0.16450464396284736</v>
      </c>
      <c r="H43" s="45">
        <f t="shared" ca="1" si="0"/>
        <v>0.51499273296199144</v>
      </c>
      <c r="I43" s="45">
        <f t="shared" ca="1" si="1"/>
        <v>0.51500349227614584</v>
      </c>
      <c r="J43" s="45">
        <f t="shared" ca="1" si="2"/>
        <v>0.51501434805986135</v>
      </c>
      <c r="L43" s="58">
        <f ca="1">_xll.EURO(UnderlyingPrice,$D43,IntRate,Yield,$I43,$D$6,L$12,0)</f>
        <v>1.0401235209821262</v>
      </c>
      <c r="M43" s="58">
        <f ca="1">_xll.EURO(UnderlyingPrice,$D43,IntRate,Yield,$I43,$D$6,M$12,0)</f>
        <v>0.25879483547951421</v>
      </c>
      <c r="O43" s="58">
        <f ca="1">_xll.EURO(UnderlyingPrice,$D43*(1+$P$8),IntRate,Yield,$H43,Expiry-Today,O$12,0)</f>
        <v>1.0388204731763757</v>
      </c>
      <c r="P43" s="58">
        <f ca="1">_xll.EURO(UnderlyingPrice,$D43*(1+$P$8),IntRate,Yield,$H43,Expiry-Today,P$12,0)</f>
        <v>0.25948196451419481</v>
      </c>
      <c r="R43" s="58">
        <f ca="1">_xll.EURO(UnderlyingPrice,$D43*(1-$P$8),IntRate,Yield,$J43,Expiry-Today,R$12,0)</f>
        <v>1.0414277651548578</v>
      </c>
      <c r="S43" s="58">
        <f ca="1">_xll.EURO(UnderlyingPrice,$D43*(1-$P$8),IntRate,Yield,$J43,Expiry-Today,S$12,0)</f>
        <v>0.25810890281181553</v>
      </c>
      <c r="U43" s="59">
        <f t="shared" ca="1" si="10"/>
        <v>0.29175235019972634</v>
      </c>
      <c r="V43" s="59"/>
      <c r="W43" s="62">
        <f t="shared" ca="1" si="3"/>
        <v>0.29685729285566564</v>
      </c>
      <c r="Z43" s="59">
        <f t="shared" ca="1" si="11"/>
        <v>0.300355882819131</v>
      </c>
      <c r="AA43" s="59">
        <f t="shared" ca="1" si="12"/>
        <v>-0.12545197321184276</v>
      </c>
      <c r="AB43" s="59">
        <f t="shared" ca="1" si="4"/>
        <v>-1.5738197582744914E-2</v>
      </c>
      <c r="AC43" s="59">
        <f t="shared" ca="1" si="13"/>
        <v>-7.3162274318996218E-2</v>
      </c>
      <c r="AD43" s="60">
        <f t="shared" ca="1" si="5"/>
        <v>0.92944999192306821</v>
      </c>
      <c r="AE43" s="60">
        <f t="shared" ca="1" si="14"/>
        <v>0.27916577286028732</v>
      </c>
      <c r="AF43" s="60"/>
      <c r="AG43" s="97">
        <f t="shared" ca="1" si="15"/>
        <v>-0.38252391904035549</v>
      </c>
      <c r="AH43" s="97">
        <f t="shared" ca="1" si="16"/>
        <v>-0.38099971694877172</v>
      </c>
      <c r="AI43" s="97">
        <f t="shared" ca="1" si="17"/>
        <v>-0.38404888342358967</v>
      </c>
      <c r="AJ43" s="97"/>
      <c r="AK43" s="97">
        <f t="shared" ca="1" si="18"/>
        <v>0.39429530856862338</v>
      </c>
      <c r="AL43" s="97"/>
      <c r="AM43" s="95">
        <v>-0.1</v>
      </c>
      <c r="AN43" s="96">
        <f t="shared" si="6"/>
        <v>0.39695254747701175</v>
      </c>
      <c r="AX43" s="107">
        <f t="shared" ca="1" si="19"/>
        <v>0.4901186871686013</v>
      </c>
      <c r="AY43" s="107">
        <f t="shared" ca="1" si="20"/>
        <v>0.49010932842325633</v>
      </c>
      <c r="AZ43" s="107">
        <f t="shared" ca="1" si="21"/>
        <v>0.49012811928921157</v>
      </c>
      <c r="BB43" s="39">
        <f ca="1">_xll.EURO(UnderlyingPrice,$D43,IntRate,Yield,AX43,$D$6,1,0)</f>
        <v>1.0170098503153207</v>
      </c>
      <c r="BC43" s="39">
        <f ca="1">_xll.EURO(UnderlyingPrice,$D43*(1+$P$8),IntRate,Yield,AY43,$D$6,1,0)</f>
        <v>1.0156820942860039</v>
      </c>
      <c r="BD43" s="39">
        <f ca="1">_xll.EURO(UnderlyingPrice,$D43*(1-$P$8),IntRate,Yield,AZ43,$D$6,1,0)</f>
        <v>1.0183388220904734</v>
      </c>
      <c r="BF43" s="59">
        <f t="shared" ca="1" si="22"/>
        <v>0.2964781797903786</v>
      </c>
      <c r="BG43" s="39">
        <f t="shared" ca="1" si="23"/>
        <v>0.30166581274528381</v>
      </c>
      <c r="BI43" s="58">
        <f t="shared" ca="1" si="24"/>
        <v>-2.3113670666805586E-2</v>
      </c>
      <c r="BJ43" s="46">
        <f t="shared" ca="1" si="25"/>
        <v>-2.2727086330225087E-2</v>
      </c>
    </row>
    <row r="44" spans="3:62" x14ac:dyDescent="0.2">
      <c r="C44" s="56">
        <v>31</v>
      </c>
      <c r="D44" s="63">
        <f t="shared" ca="1" si="26"/>
        <v>4.0850000000000044</v>
      </c>
      <c r="E44" s="45">
        <f t="shared" ca="1" si="7"/>
        <v>-0.15686274509803821</v>
      </c>
      <c r="F44" s="45">
        <f t="shared" ca="1" si="8"/>
        <v>-0.15644117647058731</v>
      </c>
      <c r="G44" s="45">
        <f t="shared" ca="1" si="9"/>
        <v>-0.15728431372548923</v>
      </c>
      <c r="H44" s="45">
        <f t="shared" ca="1" si="0"/>
        <v>0.51482185932971736</v>
      </c>
      <c r="I44" s="45">
        <f t="shared" ca="1" si="1"/>
        <v>0.51483104119833245</v>
      </c>
      <c r="J44" s="45">
        <f t="shared" ca="1" si="2"/>
        <v>0.5148403199122793</v>
      </c>
      <c r="L44" s="58">
        <f ca="1">_xll.EURO(UnderlyingPrice,$D44,IntRate,Yield,$I44,$D$6,L$12,0)</f>
        <v>1.0177703746458873</v>
      </c>
      <c r="M44" s="58">
        <f ca="1">_xll.EURO(UnderlyingPrice,$D44,IntRate,Yield,$I44,$D$6,M$12,0)</f>
        <v>0.27083980737295077</v>
      </c>
      <c r="O44" s="58">
        <f ca="1">_xll.EURO(UnderlyingPrice,$D44*(1+$P$8),IntRate,Yield,$H44,Expiry-Today,O$12,0)</f>
        <v>1.0164769841553603</v>
      </c>
      <c r="P44" s="58">
        <f ca="1">_xll.EURO(UnderlyingPrice,$D44*(1+$P$8),IntRate,Yield,$H44,Expiry-Today,P$12,0)</f>
        <v>0.27155379278196867</v>
      </c>
      <c r="R44" s="58">
        <f ca="1">_xll.EURO(UnderlyingPrice,$D44*(1-$P$8),IntRate,Yield,$J44,Expiry-Today,R$12,0)</f>
        <v>1.0190649883101668</v>
      </c>
      <c r="S44" s="58">
        <f ca="1">_xll.EURO(UnderlyingPrice,$D44*(1-$P$8),IntRate,Yield,$J44,Expiry-Today,S$12,0)</f>
        <v>0.27012704513768382</v>
      </c>
      <c r="U44" s="59">
        <f t="shared" ca="1" si="10"/>
        <v>0.29320003835437475</v>
      </c>
      <c r="V44" s="59"/>
      <c r="W44" s="62">
        <f t="shared" ca="1" si="3"/>
        <v>0.29833031196311732</v>
      </c>
      <c r="Z44" s="59">
        <f t="shared" ca="1" si="11"/>
        <v>0.29778245420256561</v>
      </c>
      <c r="AA44" s="59">
        <f t="shared" ca="1" si="12"/>
        <v>-0.11684712601832417</v>
      </c>
      <c r="AB44" s="59">
        <f t="shared" ca="1" si="4"/>
        <v>-1.365325085874213E-2</v>
      </c>
      <c r="AC44" s="59">
        <f t="shared" ca="1" si="13"/>
        <v>-6.3469967219660667E-2</v>
      </c>
      <c r="AD44" s="60">
        <f t="shared" ca="1" si="5"/>
        <v>0.93850230471098406</v>
      </c>
      <c r="AE44" s="60">
        <f t="shared" ca="1" si="14"/>
        <v>0.27946951957160088</v>
      </c>
      <c r="AF44" s="60"/>
      <c r="AG44" s="97">
        <f t="shared" ca="1" si="15"/>
        <v>-0.35628630964341212</v>
      </c>
      <c r="AH44" s="97">
        <f t="shared" ca="1" si="16"/>
        <v>-0.35476210755182852</v>
      </c>
      <c r="AI44" s="97">
        <f t="shared" ca="1" si="17"/>
        <v>-0.3578112740266467</v>
      </c>
      <c r="AJ44" s="97"/>
      <c r="AK44" s="97">
        <f t="shared" ca="1" si="18"/>
        <v>0.39967621788902358</v>
      </c>
      <c r="AL44" s="97"/>
      <c r="AM44" s="95">
        <v>0</v>
      </c>
      <c r="AN44" s="96">
        <f t="shared" si="6"/>
        <v>0.39894228040143265</v>
      </c>
      <c r="AX44" s="107">
        <f t="shared" ca="1" si="19"/>
        <v>0.48996721817400546</v>
      </c>
      <c r="AY44" s="107">
        <f t="shared" ca="1" si="20"/>
        <v>0.48995905085489272</v>
      </c>
      <c r="AZ44" s="107">
        <f t="shared" ca="1" si="21"/>
        <v>0.48997545934920422</v>
      </c>
      <c r="BB44" s="39">
        <f ca="1">_xll.EURO(UnderlyingPrice,$D44,IntRate,Yield,AX44,$D$6,1,0)</f>
        <v>0.99423243713548759</v>
      </c>
      <c r="BC44" s="39">
        <f ca="1">_xll.EURO(UnderlyingPrice,$D44*(1+$P$8),IntRate,Yield,AY44,$D$6,1,0)</f>
        <v>0.99291447427166712</v>
      </c>
      <c r="BD44" s="39">
        <f ca="1">_xll.EURO(UnderlyingPrice,$D44*(1-$P$8),IntRate,Yield,AZ44,$D$6,1,0)</f>
        <v>0.99555164414628905</v>
      </c>
      <c r="BF44" s="59">
        <f t="shared" ca="1" si="22"/>
        <v>0.29822741192601754</v>
      </c>
      <c r="BG44" s="39">
        <f t="shared" ca="1" si="23"/>
        <v>0.30344565210564001</v>
      </c>
      <c r="BI44" s="58">
        <f t="shared" ca="1" si="24"/>
        <v>-2.3537937510399676E-2</v>
      </c>
      <c r="BJ44" s="46">
        <f t="shared" ca="1" si="25"/>
        <v>-2.3674481571145999E-2</v>
      </c>
    </row>
    <row r="45" spans="3:62" x14ac:dyDescent="0.2">
      <c r="C45" s="56">
        <v>32</v>
      </c>
      <c r="D45" s="63">
        <f t="shared" ca="1" si="26"/>
        <v>4.1200000000000045</v>
      </c>
      <c r="E45" s="45">
        <f t="shared" ca="1" si="7"/>
        <v>-0.14963880288957587</v>
      </c>
      <c r="F45" s="45">
        <f t="shared" ca="1" si="8"/>
        <v>-0.14921362229102064</v>
      </c>
      <c r="G45" s="45">
        <f t="shared" ca="1" si="9"/>
        <v>-0.1500639834881311</v>
      </c>
      <c r="H45" s="45">
        <f t="shared" ref="H45:H65" ca="1" si="27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0.51467942931350152</v>
      </c>
      <c r="I45" s="45">
        <f t="shared" ref="I45:I76" ca="1" si="28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0.51468702757049889</v>
      </c>
      <c r="J45" s="45">
        <f t="shared" ref="J45:J65" ca="1" si="29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0.51469472301830499</v>
      </c>
      <c r="L45" s="58">
        <f ca="1">_xll.EURO(UnderlyingPrice,$D45,IntRate,Yield,$I45,$D$6,L$12,0)</f>
        <v>0.99577637103062289</v>
      </c>
      <c r="M45" s="58">
        <f ca="1">_xll.EURO(UnderlyingPrice,$D45,IntRate,Yield,$I45,$D$6,M$12,0)</f>
        <v>0.28324392198736192</v>
      </c>
      <c r="O45" s="58">
        <f ca="1">_xll.EURO(UnderlyingPrice,$D45*(1+$P$8),IntRate,Yield,$H45,Expiry-Today,O$12,0)</f>
        <v>0.99449309048364487</v>
      </c>
      <c r="P45" s="58">
        <f ca="1">_xll.EURO(UnderlyingPrice,$D45*(1+$P$8),IntRate,Yield,$H45,Expiry-Today,P$12,0)</f>
        <v>0.28398521639904417</v>
      </c>
      <c r="R45" s="58">
        <f ca="1">_xll.EURO(UnderlyingPrice,$D45*(1-$P$8),IntRate,Yield,$J45,Expiry-Today,R$12,0)</f>
        <v>0.99706090080505971</v>
      </c>
      <c r="S45" s="58">
        <f ca="1">_xll.EURO(UnderlyingPrice,$D45*(1-$P$8),IntRate,Yield,$J45,Expiry-Today,S$12,0)</f>
        <v>0.28250387680313715</v>
      </c>
      <c r="U45" s="59">
        <f t="shared" ca="1" si="10"/>
        <v>0.2943791730630847</v>
      </c>
      <c r="V45" s="59"/>
      <c r="W45" s="62">
        <f t="shared" ref="W45:W65" ca="1" si="30">U45/$D$9</f>
        <v>0.29953007860527175</v>
      </c>
      <c r="Z45" s="59">
        <f t="shared" ca="1" si="11"/>
        <v>0.29525274888773795</v>
      </c>
      <c r="AA45" s="59">
        <f t="shared" ca="1" si="12"/>
        <v>-0.10831569096885538</v>
      </c>
      <c r="AB45" s="59">
        <f t="shared" ca="1" si="4"/>
        <v>-1.1732288910060578E-2</v>
      </c>
      <c r="AC45" s="59">
        <f t="shared" ca="1" si="13"/>
        <v>-5.4539977345859553E-2</v>
      </c>
      <c r="AD45" s="60">
        <f t="shared" ca="1" si="5"/>
        <v>0.94692065272670067</v>
      </c>
      <c r="AE45" s="60">
        <f t="shared" ca="1" si="14"/>
        <v>0.27958092569612947</v>
      </c>
      <c r="AF45" s="60"/>
      <c r="AG45" s="97">
        <f t="shared" ca="1" si="15"/>
        <v>-0.33027254607629608</v>
      </c>
      <c r="AH45" s="97">
        <f t="shared" ca="1" si="16"/>
        <v>-0.32874834398471209</v>
      </c>
      <c r="AI45" s="97">
        <f t="shared" ca="1" si="17"/>
        <v>-0.33179751045953049</v>
      </c>
      <c r="AJ45" s="97"/>
      <c r="AK45" s="97">
        <f t="shared" ca="1" si="18"/>
        <v>0.40472172773945347</v>
      </c>
      <c r="AL45" s="97"/>
      <c r="AM45" s="95">
        <v>0.1</v>
      </c>
      <c r="AN45" s="96">
        <f t="shared" si="6"/>
        <v>0.39695254747701175</v>
      </c>
      <c r="AX45" s="107">
        <f t="shared" ca="1" si="19"/>
        <v>0.48983743611785735</v>
      </c>
      <c r="AY45" s="107">
        <f t="shared" ca="1" si="20"/>
        <v>0.4898304683171707</v>
      </c>
      <c r="AZ45" s="107">
        <f t="shared" ca="1" si="21"/>
        <v>0.48984447823912097</v>
      </c>
      <c r="BB45" s="39">
        <f ca="1">_xll.EURO(UnderlyingPrice,$D45,IntRate,Yield,AX45,$D$6,1,0)</f>
        <v>0.97182032435936039</v>
      </c>
      <c r="BC45" s="39">
        <f ca="1">_xll.EURO(UnderlyingPrice,$D45*(1+$P$8),IntRate,Yield,AY45,$D$6,1,0)</f>
        <v>0.97051263471198546</v>
      </c>
      <c r="BD45" s="39">
        <f ca="1">_xll.EURO(UnderlyingPrice,$D45*(1-$P$8),IntRate,Yield,AZ45,$D$6,1,0)</f>
        <v>0.97312928581254887</v>
      </c>
      <c r="BF45" s="59">
        <f t="shared" ca="1" si="22"/>
        <v>0.29969973926663784</v>
      </c>
      <c r="BG45" s="39">
        <f t="shared" ca="1" si="23"/>
        <v>0.30494374152371917</v>
      </c>
      <c r="BI45" s="58">
        <f t="shared" ca="1" si="24"/>
        <v>-2.3956046671262499E-2</v>
      </c>
      <c r="BJ45" s="46">
        <f t="shared" ca="1" si="25"/>
        <v>-2.4650695268237686E-2</v>
      </c>
    </row>
    <row r="46" spans="3:62" x14ac:dyDescent="0.2">
      <c r="C46" s="56">
        <v>33</v>
      </c>
      <c r="D46" s="63">
        <f t="shared" ca="1" si="26"/>
        <v>4.1550000000000047</v>
      </c>
      <c r="E46" s="45">
        <f t="shared" ca="1" si="7"/>
        <v>-0.14241486068111353</v>
      </c>
      <c r="F46" s="45">
        <f t="shared" ca="1" si="8"/>
        <v>-0.1419860681114542</v>
      </c>
      <c r="G46" s="45">
        <f t="shared" ca="1" si="9"/>
        <v>-0.14284365325077286</v>
      </c>
      <c r="H46" s="45">
        <f t="shared" ca="1" si="27"/>
        <v>0.51456506096146892</v>
      </c>
      <c r="I46" s="45">
        <f t="shared" ca="1" si="28"/>
        <v>0.51457107001312552</v>
      </c>
      <c r="J46" s="45">
        <f t="shared" ca="1" si="29"/>
        <v>0.51457717657020197</v>
      </c>
      <c r="L46" s="58">
        <f ca="1">_xll.EURO(UnderlyingPrice,$D46,IntRate,Yield,$I46,$D$6,L$12,0)</f>
        <v>0.97414295466445555</v>
      </c>
      <c r="M46" s="58">
        <f ca="1">_xll.EURO(UnderlyingPrice,$D46,IntRate,Yield,$I46,$D$6,M$12,0)</f>
        <v>0.29600862385086923</v>
      </c>
      <c r="O46" s="58">
        <f ca="1">_xll.EURO(UnderlyingPrice,$D46*(1+$P$8),IntRate,Yield,$H46,Expiry-Today,O$12,0)</f>
        <v>0.97287021957528452</v>
      </c>
      <c r="P46" s="58">
        <f ca="1">_xll.EURO(UnderlyingPrice,$D46*(1+$P$8),IntRate,Yield,$H46,Expiry-Today,P$12,0)</f>
        <v>0.29677766277947315</v>
      </c>
      <c r="R46" s="58">
        <f ca="1">_xll.EURO(UnderlyingPrice,$D46*(1-$P$8),IntRate,Yield,$J46,Expiry-Today,R$12,0)</f>
        <v>0.97541696422973834</v>
      </c>
      <c r="S46" s="58">
        <f ca="1">_xll.EURO(UnderlyingPrice,$D46*(1-$P$8),IntRate,Yield,$J46,Expiry-Today,S$12,0)</f>
        <v>0.29524085939837641</v>
      </c>
      <c r="U46" s="59">
        <f t="shared" ref="U46:U77" ca="1" si="31">(O46+R46-2*L46)/($P$8*D46)^2</f>
        <v>0.29529060847784472</v>
      </c>
      <c r="V46" s="59"/>
      <c r="W46" s="62">
        <f t="shared" ca="1" si="30"/>
        <v>0.30045746187965916</v>
      </c>
      <c r="Z46" s="59">
        <f t="shared" ca="1" si="11"/>
        <v>0.29276566195366555</v>
      </c>
      <c r="AA46" s="59">
        <f t="shared" ca="1" si="12"/>
        <v>-9.9856426022878864E-2</v>
      </c>
      <c r="AB46" s="59">
        <f t="shared" ca="1" si="4"/>
        <v>-9.9713058180626798E-3</v>
      </c>
      <c r="AC46" s="59">
        <f t="shared" ca="1" si="13"/>
        <v>-4.6353682354295864E-2</v>
      </c>
      <c r="AD46" s="60">
        <f t="shared" ca="1" si="5"/>
        <v>0.95470424042771029</v>
      </c>
      <c r="AE46" s="60">
        <f t="shared" ca="1" si="14"/>
        <v>0.27950461891879008</v>
      </c>
      <c r="AF46" s="60"/>
      <c r="AG46" s="97">
        <f t="shared" ca="1" si="15"/>
        <v>-0.30447884115089463</v>
      </c>
      <c r="AH46" s="97">
        <f t="shared" ca="1" si="16"/>
        <v>-0.30295463905931114</v>
      </c>
      <c r="AI46" s="97">
        <f t="shared" ca="1" si="17"/>
        <v>-0.30600380553412865</v>
      </c>
      <c r="AJ46" s="97"/>
      <c r="AK46" s="97">
        <f t="shared" ca="1" si="18"/>
        <v>0.40942361278739325</v>
      </c>
      <c r="AL46" s="97"/>
      <c r="AM46" s="95">
        <v>0.2</v>
      </c>
      <c r="AN46" s="96">
        <f t="shared" si="6"/>
        <v>0.39104269397545582</v>
      </c>
      <c r="AX46" s="107">
        <f t="shared" ca="1" si="19"/>
        <v>0.48972910818244753</v>
      </c>
      <c r="AY46" s="107">
        <f t="shared" ca="1" si="20"/>
        <v>0.48972334764297965</v>
      </c>
      <c r="AZ46" s="107">
        <f t="shared" ca="1" si="21"/>
        <v>0.48973494349030433</v>
      </c>
      <c r="BB46" s="39">
        <f ca="1">_xll.EURO(UnderlyingPrice,$D46,IntRate,Yield,AX46,$D$6,1,0)</f>
        <v>0.94977531563851159</v>
      </c>
      <c r="BC46" s="39">
        <f ca="1">_xll.EURO(UnderlyingPrice,$D46*(1+$P$8),IntRate,Yield,AY46,$D$6,1,0)</f>
        <v>0.94847836206849179</v>
      </c>
      <c r="BD46" s="39">
        <f ca="1">_xll.EURO(UnderlyingPrice,$D46*(1-$P$8),IntRate,Yield,AZ46,$D$6,1,0)</f>
        <v>0.95107356787599606</v>
      </c>
      <c r="BF46" s="59">
        <f t="shared" ca="1" si="22"/>
        <v>0.30089564042627293</v>
      </c>
      <c r="BG46" s="39">
        <f t="shared" ca="1" si="23"/>
        <v>0.30616056798811331</v>
      </c>
      <c r="BI46" s="58">
        <f t="shared" ca="1" si="24"/>
        <v>-2.4367639025943966E-2</v>
      </c>
      <c r="BJ46" s="46">
        <f t="shared" ca="1" si="25"/>
        <v>-2.5656214290600061E-2</v>
      </c>
    </row>
    <row r="47" spans="3:62" x14ac:dyDescent="0.2">
      <c r="C47" s="56">
        <v>34</v>
      </c>
      <c r="D47" s="63">
        <f t="shared" ca="1" si="26"/>
        <v>4.1900000000000048</v>
      </c>
      <c r="E47" s="45">
        <f t="shared" ca="1" si="7"/>
        <v>-0.13519091847265119</v>
      </c>
      <c r="F47" s="45">
        <f t="shared" ca="1" si="8"/>
        <v>-0.13475851393188754</v>
      </c>
      <c r="G47" s="45">
        <f t="shared" ca="1" si="9"/>
        <v>-0.13562332301341484</v>
      </c>
      <c r="H47" s="45">
        <f t="shared" ca="1" si="27"/>
        <v>0.51447837232174398</v>
      </c>
      <c r="I47" s="45">
        <f t="shared" ca="1" si="28"/>
        <v>0.51448278714669238</v>
      </c>
      <c r="J47" s="45">
        <f t="shared" ca="1" si="29"/>
        <v>0.51448729976023344</v>
      </c>
      <c r="L47" s="58">
        <f ca="1">_xll.EURO(UnderlyingPrice,$D47,IntRate,Yield,$I47,$D$6,L$12,0)</f>
        <v>0.95287124223212905</v>
      </c>
      <c r="M47" s="58">
        <f ca="1">_xll.EURO(UnderlyingPrice,$D47,IntRate,Yield,$I47,$D$6,M$12,0)</f>
        <v>0.30913502964821693</v>
      </c>
      <c r="O47" s="58">
        <f ca="1">_xll.EURO(UnderlyingPrice,$D47*(1+$P$8),IntRate,Yield,$H47,Expiry-Today,O$12,0)</f>
        <v>0.95160947043976529</v>
      </c>
      <c r="P47" s="58">
        <f ca="1">_xll.EURO(UnderlyingPrice,$D47*(1+$P$8),IntRate,Yield,$H47,Expiry-Today,P$12,0)</f>
        <v>0.30993223093274391</v>
      </c>
      <c r="R47" s="58">
        <f ca="1">_xll.EURO(UnderlyingPrice,$D47*(1-$P$8),IntRate,Yield,$J47,Expiry-Today,R$12,0)</f>
        <v>0.95413431289525796</v>
      </c>
      <c r="S47" s="58">
        <f ca="1">_xll.EURO(UnderlyingPrice,$D47*(1-$P$8),IntRate,Yield,$J47,Expiry-Today,S$12,0)</f>
        <v>0.308339127234456</v>
      </c>
      <c r="U47" s="59">
        <f t="shared" ca="1" si="31"/>
        <v>0.29593605986867294</v>
      </c>
      <c r="V47" s="59"/>
      <c r="W47" s="62">
        <f t="shared" ca="1" si="30"/>
        <v>0.30111420706926956</v>
      </c>
      <c r="Z47" s="59">
        <f t="shared" ca="1" si="11"/>
        <v>0.2903201253979667</v>
      </c>
      <c r="AA47" s="59">
        <f t="shared" ca="1" si="12"/>
        <v>-9.1468120396244024E-2</v>
      </c>
      <c r="AB47" s="59">
        <f t="shared" ca="1" si="4"/>
        <v>-8.3664170488217914E-3</v>
      </c>
      <c r="AC47" s="59">
        <f t="shared" ca="1" si="13"/>
        <v>-3.8893024183666948E-2</v>
      </c>
      <c r="AD47" s="60">
        <f t="shared" ca="1" si="5"/>
        <v>0.96185359871683629</v>
      </c>
      <c r="AE47" s="60">
        <f t="shared" ca="1" si="14"/>
        <v>0.27924545739395745</v>
      </c>
      <c r="AF47" s="60"/>
      <c r="AG47" s="97">
        <f t="shared" ca="1" si="15"/>
        <v>-0.27890150298507521</v>
      </c>
      <c r="AH47" s="97">
        <f t="shared" ca="1" si="16"/>
        <v>-0.27737730089349133</v>
      </c>
      <c r="AI47" s="97">
        <f t="shared" ca="1" si="17"/>
        <v>-0.28042646736830956</v>
      </c>
      <c r="AJ47" s="97"/>
      <c r="AK47" s="97">
        <f t="shared" ca="1" si="18"/>
        <v>0.41377489161048575</v>
      </c>
      <c r="AL47" s="97"/>
      <c r="AM47" s="95">
        <v>0.3</v>
      </c>
      <c r="AN47" s="96">
        <f t="shared" si="6"/>
        <v>0.38138781546052408</v>
      </c>
      <c r="AX47" s="107">
        <f t="shared" ca="1" si="19"/>
        <v>0.48964200155006654</v>
      </c>
      <c r="AY47" s="107">
        <f t="shared" ca="1" si="20"/>
        <v>0.48963745566520889</v>
      </c>
      <c r="AZ47" s="107">
        <f t="shared" ca="1" si="21"/>
        <v>0.48964662263409703</v>
      </c>
      <c r="BB47" s="39">
        <f ca="1">_xll.EURO(UnderlyingPrice,$D47,IntRate,Yield,AX47,$D$6,1,0)</f>
        <v>0.92809887609161867</v>
      </c>
      <c r="BC47" s="39">
        <f ca="1">_xll.EURO(UnderlyingPrice,$D47*(1+$P$8),IntRate,Yield,AY47,$D$6,1,0)</f>
        <v>0.9268131036606726</v>
      </c>
      <c r="BD47" s="39">
        <f ca="1">_xll.EURO(UnderlyingPrice,$D47*(1-$P$8),IntRate,Yield,AZ47,$D$6,1,0)</f>
        <v>0.92938597320260286</v>
      </c>
      <c r="BF47" s="59">
        <f t="shared" ca="1" si="22"/>
        <v>0.30181647133615064</v>
      </c>
      <c r="BG47" s="39">
        <f t="shared" ca="1" si="23"/>
        <v>0.3070975111554845</v>
      </c>
      <c r="BI47" s="58">
        <f t="shared" ca="1" si="24"/>
        <v>-2.4772366140510371E-2</v>
      </c>
      <c r="BJ47" s="46">
        <f t="shared" ca="1" si="25"/>
        <v>-2.6691516150553908E-2</v>
      </c>
    </row>
    <row r="48" spans="3:62" x14ac:dyDescent="0.2">
      <c r="C48" s="56">
        <v>35</v>
      </c>
      <c r="D48" s="63">
        <f t="shared" ca="1" si="26"/>
        <v>4.225000000000005</v>
      </c>
      <c r="E48" s="45">
        <f t="shared" ca="1" si="7"/>
        <v>-0.12796697626418885</v>
      </c>
      <c r="F48" s="45">
        <f t="shared" ca="1" si="8"/>
        <v>-0.12753095975232087</v>
      </c>
      <c r="G48" s="45">
        <f t="shared" ca="1" si="9"/>
        <v>-0.12840299277605671</v>
      </c>
      <c r="H48" s="45">
        <f t="shared" ca="1" si="27"/>
        <v>0.51441898144245191</v>
      </c>
      <c r="I48" s="45">
        <f t="shared" ca="1" si="28"/>
        <v>0.51442179759167939</v>
      </c>
      <c r="J48" s="45">
        <f t="shared" ca="1" si="29"/>
        <v>0.51442471178066285</v>
      </c>
      <c r="L48" s="58">
        <f ca="1">_xll.EURO(UnderlyingPrice,$D48,IntRate,Yield,$I48,$D$6,L$12,0)</f>
        <v>0.93196202467306799</v>
      </c>
      <c r="M48" s="58">
        <f ca="1">_xll.EURO(UnderlyingPrice,$D48,IntRate,Yield,$I48,$D$6,M$12,0)</f>
        <v>0.32262393031883163</v>
      </c>
      <c r="O48" s="58">
        <f ca="1">_xll.EURO(UnderlyingPrice,$D48*(1+$P$8),IntRate,Yield,$H48,Expiry-Today,O$12,0)</f>
        <v>0.93071161584671058</v>
      </c>
      <c r="P48" s="58">
        <f ca="1">_xll.EURO(UnderlyingPrice,$D48*(1+$P$8),IntRate,Yield,$H48,Expiry-Today,P$12,0)</f>
        <v>0.32344969362847942</v>
      </c>
      <c r="R48" s="58">
        <f ca="1">_xll.EURO(UnderlyingPrice,$D48*(1-$P$8),IntRate,Yield,$J48,Expiry-Today,R$12,0)</f>
        <v>0.93321375586513788</v>
      </c>
      <c r="S48" s="58">
        <f ca="1">_xll.EURO(UnderlyingPrice,$D48*(1-$P$8),IntRate,Yield,$J48,Expiry-Today,S$12,0)</f>
        <v>0.32179948937489611</v>
      </c>
      <c r="U48" s="59">
        <f t="shared" ca="1" si="31"/>
        <v>0.29631807569451818</v>
      </c>
      <c r="V48" s="59"/>
      <c r="W48" s="62">
        <f t="shared" ca="1" si="30"/>
        <v>0.30150290722476375</v>
      </c>
      <c r="Z48" s="59">
        <f t="shared" ca="1" si="11"/>
        <v>0.28791510660768765</v>
      </c>
      <c r="AA48" s="59">
        <f t="shared" ca="1" si="12"/>
        <v>-8.3149593521153226E-2</v>
      </c>
      <c r="AB48" s="59">
        <f t="shared" ca="1" si="4"/>
        <v>-6.9138549027330061E-3</v>
      </c>
      <c r="AC48" s="59">
        <f t="shared" ca="1" si="13"/>
        <v>-3.2140487901236921E-2</v>
      </c>
      <c r="AD48" s="60">
        <f t="shared" ca="1" si="5"/>
        <v>0.96837052817933433</v>
      </c>
      <c r="AE48" s="60">
        <f t="shared" ca="1" si="14"/>
        <v>0.27880850385649586</v>
      </c>
      <c r="AF48" s="60"/>
      <c r="AG48" s="97">
        <f t="shared" ca="1" si="15"/>
        <v>-0.25353693183138792</v>
      </c>
      <c r="AH48" s="97">
        <f t="shared" ca="1" si="16"/>
        <v>-0.25201272973980376</v>
      </c>
      <c r="AI48" s="97">
        <f t="shared" ca="1" si="17"/>
        <v>-0.25506189621462211</v>
      </c>
      <c r="AJ48" s="97"/>
      <c r="AK48" s="97">
        <f t="shared" ca="1" si="18"/>
        <v>0.41776983760800362</v>
      </c>
      <c r="AL48" s="97"/>
      <c r="AM48" s="95">
        <v>0.4</v>
      </c>
      <c r="AN48" s="96">
        <f t="shared" si="6"/>
        <v>0.36827014030332328</v>
      </c>
      <c r="AX48" s="107">
        <f t="shared" ca="1" si="19"/>
        <v>0.48957588340300512</v>
      </c>
      <c r="AY48" s="107">
        <f t="shared" ca="1" si="20"/>
        <v>0.48957255921674792</v>
      </c>
      <c r="AZ48" s="107">
        <f t="shared" ca="1" si="21"/>
        <v>0.48957928320184163</v>
      </c>
      <c r="BB48" s="39">
        <f ca="1">_xll.EURO(UnderlyingPrice,$D48,IntRate,Yield,AX48,$D$6,1,0)</f>
        <v>0.90679213396247826</v>
      </c>
      <c r="BC48" s="39">
        <f ca="1">_xll.EURO(UnderlyingPrice,$D48*(1+$P$8),IntRate,Yield,AY48,$D$6,1,0)</f>
        <v>0.90551796939085705</v>
      </c>
      <c r="BD48" s="39">
        <f ca="1">_xll.EURO(UnderlyingPrice,$D48*(1-$P$8),IntRate,Yield,AZ48,$D$6,1,0)</f>
        <v>0.90806764832891451</v>
      </c>
      <c r="BF48" s="59">
        <f t="shared" ca="1" si="22"/>
        <v>0.3024644380868331</v>
      </c>
      <c r="BG48" s="39">
        <f t="shared" ca="1" si="23"/>
        <v>0.30775681571750907</v>
      </c>
      <c r="BI48" s="58">
        <f t="shared" ca="1" si="24"/>
        <v>-2.5169890710589726E-2</v>
      </c>
      <c r="BJ48" s="46">
        <f t="shared" ca="1" si="25"/>
        <v>-2.7757067764365078E-2</v>
      </c>
    </row>
    <row r="49" spans="3:62" x14ac:dyDescent="0.2">
      <c r="C49" s="56">
        <v>36</v>
      </c>
      <c r="D49" s="63">
        <f t="shared" ca="1" si="26"/>
        <v>4.2600000000000051</v>
      </c>
      <c r="E49" s="45">
        <f t="shared" ca="1" si="7"/>
        <v>-0.12074303405572651</v>
      </c>
      <c r="F49" s="45">
        <f t="shared" ca="1" si="8"/>
        <v>-0.12030340557275432</v>
      </c>
      <c r="G49" s="45">
        <f t="shared" ca="1" si="9"/>
        <v>-0.12118266253869858</v>
      </c>
      <c r="H49" s="45">
        <f t="shared" ca="1" si="27"/>
        <v>0.51438650637171712</v>
      </c>
      <c r="I49" s="45">
        <f t="shared" ca="1" si="28"/>
        <v>0.51438771996856691</v>
      </c>
      <c r="J49" s="45">
        <f t="shared" ca="1" si="29"/>
        <v>0.51438903182375384</v>
      </c>
      <c r="L49" s="58">
        <f ca="1">_xll.EURO(UnderlyingPrice,$D49,IntRate,Yield,$I49,$D$6,L$12,0)</f>
        <v>0.91141577029897647</v>
      </c>
      <c r="M49" s="58">
        <f ca="1">_xll.EURO(UnderlyingPrice,$D49,IntRate,Yield,$I49,$D$6,M$12,0)</f>
        <v>0.33647579417441498</v>
      </c>
      <c r="O49" s="58">
        <f ca="1">_xll.EURO(UnderlyingPrice,$D49*(1+$P$8),IntRate,Yield,$H49,Expiry-Today,O$12,0)</f>
        <v>0.91017710551101239</v>
      </c>
      <c r="P49" s="58">
        <f ca="1">_xll.EURO(UnderlyingPrice,$D49*(1+$P$8),IntRate,Yield,$H49,Expiry-Today,P$12,0)</f>
        <v>0.33733050058157077</v>
      </c>
      <c r="R49" s="58">
        <f ca="1">_xll.EURO(UnderlyingPrice,$D49*(1-$P$8),IntRate,Yield,$J49,Expiry-Today,R$12,0)</f>
        <v>0.91265578000559699</v>
      </c>
      <c r="S49" s="58">
        <f ca="1">_xll.EURO(UnderlyingPrice,$D49*(1-$P$8),IntRate,Yield,$J49,Expiry-Today,S$12,0)</f>
        <v>0.33562243268591518</v>
      </c>
      <c r="U49" s="59">
        <f t="shared" ca="1" si="31"/>
        <v>0.29644000450592367</v>
      </c>
      <c r="V49" s="59"/>
      <c r="W49" s="62">
        <f t="shared" ca="1" si="30"/>
        <v>0.30162696948801604</v>
      </c>
      <c r="Z49" s="59">
        <f t="shared" ca="1" si="11"/>
        <v>0.28554960690551179</v>
      </c>
      <c r="AA49" s="59">
        <f t="shared" ca="1" si="12"/>
        <v>-7.4899694049011339E-2</v>
      </c>
      <c r="AB49" s="59">
        <f t="shared" ca="1" si="4"/>
        <v>-5.6099641686355043E-3</v>
      </c>
      <c r="AC49" s="59">
        <f t="shared" ca="1" si="13"/>
        <v>-2.607908150012344E-2</v>
      </c>
      <c r="AD49" s="60">
        <f t="shared" ca="1" si="5"/>
        <v>0.97425804077484901</v>
      </c>
      <c r="AE49" s="60">
        <f t="shared" ca="1" si="14"/>
        <v>0.27819900056779223</v>
      </c>
      <c r="AF49" s="60"/>
      <c r="AG49" s="97">
        <f t="shared" ca="1" si="15"/>
        <v>-0.22838161703658832</v>
      </c>
      <c r="AH49" s="97">
        <f t="shared" ca="1" si="16"/>
        <v>-0.22685741494500422</v>
      </c>
      <c r="AI49" s="97">
        <f t="shared" ca="1" si="17"/>
        <v>-0.22990658141982251</v>
      </c>
      <c r="AJ49" s="97"/>
      <c r="AK49" s="97">
        <f t="shared" ca="1" si="18"/>
        <v>0.42140398060605205</v>
      </c>
      <c r="AL49" s="97"/>
      <c r="AM49" s="95">
        <v>0.5</v>
      </c>
      <c r="AN49" s="96">
        <f t="shared" si="6"/>
        <v>0.35206532676429947</v>
      </c>
      <c r="AX49" s="107">
        <f t="shared" ca="1" si="19"/>
        <v>0.48953052092355376</v>
      </c>
      <c r="AY49" s="107">
        <f t="shared" ca="1" si="20"/>
        <v>0.48952842513048617</v>
      </c>
      <c r="AZ49" s="107">
        <f t="shared" ca="1" si="21"/>
        <v>0.48953269272488065</v>
      </c>
      <c r="BB49" s="39">
        <f ca="1">_xll.EURO(UnderlyingPrice,$D49,IntRate,Yield,AX49,$D$6,1,0)</f>
        <v>0.88585588332082743</v>
      </c>
      <c r="BC49" s="39">
        <f ca="1">_xll.EURO(UnderlyingPrice,$D49*(1+$P$8),IntRate,Yield,AY49,$D$6,1,0)</f>
        <v>0.88459373451299328</v>
      </c>
      <c r="BD49" s="39">
        <f ca="1">_xll.EURO(UnderlyingPrice,$D49*(1-$P$8),IntRate,Yield,AZ49,$D$6,1,0)</f>
        <v>0.88711940609512219</v>
      </c>
      <c r="BF49" s="59">
        <f t="shared" ca="1" si="22"/>
        <v>0.30284257105180717</v>
      </c>
      <c r="BG49" s="39">
        <f t="shared" ca="1" si="23"/>
        <v>0.30814156507169543</v>
      </c>
      <c r="BI49" s="58">
        <f t="shared" ca="1" si="24"/>
        <v>-2.5559886978149038E-2</v>
      </c>
      <c r="BJ49" s="46">
        <f t="shared" ca="1" si="25"/>
        <v>-2.8853324179924308E-2</v>
      </c>
    </row>
    <row r="50" spans="3:62" x14ac:dyDescent="0.2">
      <c r="C50" s="56">
        <v>37</v>
      </c>
      <c r="D50" s="63">
        <f t="shared" ca="1" si="26"/>
        <v>4.2950000000000053</v>
      </c>
      <c r="E50" s="45">
        <f t="shared" ca="1" si="7"/>
        <v>-0.11351909184726405</v>
      </c>
      <c r="F50" s="45">
        <f t="shared" ca="1" si="8"/>
        <v>-0.11307585139318788</v>
      </c>
      <c r="G50" s="45">
        <f t="shared" ca="1" si="9"/>
        <v>-0.11396233230134034</v>
      </c>
      <c r="H50" s="45">
        <f t="shared" ca="1" si="27"/>
        <v>0.51438056515766462</v>
      </c>
      <c r="I50" s="45">
        <f t="shared" ca="1" si="28"/>
        <v>0.514380172897835</v>
      </c>
      <c r="J50" s="45">
        <f t="shared" ca="1" si="29"/>
        <v>0.51437987908176974</v>
      </c>
      <c r="L50" s="58">
        <f ca="1">_xll.EURO(UnderlyingPrice,$D50,IntRate,Yield,$I50,$D$6,L$12,0)</f>
        <v>0.89123262889244304</v>
      </c>
      <c r="M50" s="58">
        <f ca="1">_xll.EURO(UnderlyingPrice,$D50,IntRate,Yield,$I50,$D$6,M$12,0)</f>
        <v>0.35069077099755686</v>
      </c>
      <c r="O50" s="58">
        <f ca="1">_xll.EURO(UnderlyingPrice,$D50*(1+$P$8),IntRate,Yield,$H50,Expiry-Today,O$12,0)</f>
        <v>0.89000607025947209</v>
      </c>
      <c r="P50" s="58">
        <f ca="1">_xll.EURO(UnderlyingPrice,$D50*(1+$P$8),IntRate,Yield,$H50,Expiry-Today,P$12,0)</f>
        <v>0.35157478261882114</v>
      </c>
      <c r="R50" s="58">
        <f ca="1">_xll.EURO(UnderlyingPrice,$D50*(1-$P$8),IntRate,Yield,$J50,Expiry-Today,R$12,0)</f>
        <v>0.89246055401627844</v>
      </c>
      <c r="S50" s="58">
        <f ca="1">_xll.EURO(UnderlyingPrice,$D50*(1-$P$8),IntRate,Yield,$J50,Expiry-Today,S$12,0)</f>
        <v>0.34980812586715748</v>
      </c>
      <c r="U50" s="59">
        <f t="shared" ca="1" si="31"/>
        <v>0.29630596032971801</v>
      </c>
      <c r="V50" s="59"/>
      <c r="W50" s="62">
        <f t="shared" ca="1" si="30"/>
        <v>0.30149057987112265</v>
      </c>
      <c r="Z50" s="59">
        <f t="shared" ca="1" si="11"/>
        <v>0.28322266016705011</v>
      </c>
      <c r="AA50" s="59">
        <f t="shared" ca="1" si="12"/>
        <v>-6.6717298894071547E-2</v>
      </c>
      <c r="AB50" s="59">
        <f t="shared" ca="1" si="4"/>
        <v>-4.4511979717208805E-3</v>
      </c>
      <c r="AC50" s="59">
        <f t="shared" ca="1" si="13"/>
        <v>-2.0692316597438726E-2</v>
      </c>
      <c r="AD50" s="60">
        <f t="shared" ca="1" si="5"/>
        <v>0.97952030034796245</v>
      </c>
      <c r="AE50" s="60">
        <f t="shared" ca="1" si="14"/>
        <v>0.27742234515217784</v>
      </c>
      <c r="AF50" s="60"/>
      <c r="AG50" s="97">
        <f t="shared" ca="1" si="15"/>
        <v>-0.20343213412555416</v>
      </c>
      <c r="AH50" s="97">
        <f t="shared" ca="1" si="16"/>
        <v>-0.20190793203397089</v>
      </c>
      <c r="AI50" s="97">
        <f t="shared" ca="1" si="17"/>
        <v>-0.20495709850878835</v>
      </c>
      <c r="AJ50" s="97"/>
      <c r="AK50" s="97">
        <f t="shared" ca="1" si="18"/>
        <v>0.42467410396934641</v>
      </c>
      <c r="AL50" s="97"/>
      <c r="AM50" s="95">
        <v>0.6</v>
      </c>
      <c r="AN50" s="96">
        <f t="shared" si="6"/>
        <v>0.33322460289179962</v>
      </c>
      <c r="AX50" s="107">
        <f t="shared" ca="1" si="19"/>
        <v>0.48950568129400313</v>
      </c>
      <c r="AY50" s="107">
        <f t="shared" ca="1" si="20"/>
        <v>0.48950482023931302</v>
      </c>
      <c r="AZ50" s="107">
        <f t="shared" ca="1" si="21"/>
        <v>0.48950661873455675</v>
      </c>
      <c r="BB50" s="39">
        <f ca="1">_xll.EURO(UnderlyingPrice,$D50,IntRate,Yield,AX50,$D$6,1,0)</f>
        <v>0.86529058776942191</v>
      </c>
      <c r="BC50" s="39">
        <f ca="1">_xll.EURO(UnderlyingPrice,$D50*(1+$P$8),IntRate,Yield,AY50,$D$6,1,0)</f>
        <v>0.86404084340835308</v>
      </c>
      <c r="BD50" s="39">
        <f ca="1">_xll.EURO(UnderlyingPrice,$D50*(1-$P$8),IntRate,Yield,AZ50,$D$6,1,0)</f>
        <v>0.86654172928365725</v>
      </c>
      <c r="BF50" s="59">
        <f t="shared" ca="1" si="22"/>
        <v>0.30295468597100667</v>
      </c>
      <c r="BG50" s="39">
        <f t="shared" ca="1" si="23"/>
        <v>0.30825564172396408</v>
      </c>
      <c r="BI50" s="58">
        <f t="shared" ca="1" si="24"/>
        <v>-2.594204112302112E-2</v>
      </c>
      <c r="BJ50" s="46">
        <f t="shared" ca="1" si="25"/>
        <v>-2.9980727272089568E-2</v>
      </c>
    </row>
    <row r="51" spans="3:62" x14ac:dyDescent="0.2">
      <c r="C51" s="56">
        <v>38</v>
      </c>
      <c r="D51" s="63">
        <f t="shared" ca="1" si="26"/>
        <v>4.3300000000000054</v>
      </c>
      <c r="E51" s="45">
        <f t="shared" ca="1" si="7"/>
        <v>-0.10629514963880171</v>
      </c>
      <c r="F51" s="45">
        <f t="shared" ca="1" si="8"/>
        <v>-0.10584829721362121</v>
      </c>
      <c r="G51" s="45">
        <f t="shared" ca="1" si="9"/>
        <v>-0.10674200206398232</v>
      </c>
      <c r="H51" s="45">
        <f t="shared" ca="1" si="27"/>
        <v>0.51440077584841903</v>
      </c>
      <c r="I51" s="45">
        <f t="shared" ca="1" si="28"/>
        <v>0.51439877499996378</v>
      </c>
      <c r="J51" s="45">
        <f t="shared" ca="1" si="29"/>
        <v>0.51439687274697399</v>
      </c>
      <c r="L51" s="58">
        <f ca="1">_xll.EURO(UnderlyingPrice,$D51,IntRate,Yield,$I51,$D$6,L$12,0)</f>
        <v>0.87141243674337243</v>
      </c>
      <c r="M51" s="58">
        <f ca="1">_xll.EURO(UnderlyingPrice,$D51,IntRate,Yield,$I51,$D$6,M$12,0)</f>
        <v>0.36526869707816179</v>
      </c>
      <c r="O51" s="58">
        <f ca="1">_xll.EURO(UnderlyingPrice,$D51*(1+$P$8),IntRate,Yield,$H51,Expiry-Today,O$12,0)</f>
        <v>0.87019832713531686</v>
      </c>
      <c r="P51" s="58">
        <f ca="1">_xll.EURO(UnderlyingPrice,$D51*(1+$P$8),IntRate,Yield,$H51,Expiry-Today,P$12,0)</f>
        <v>0.36618235678345523</v>
      </c>
      <c r="R51" s="58">
        <f ca="1">_xll.EURO(UnderlyingPrice,$D51*(1-$P$8),IntRate,Yield,$J51,Expiry-Today,R$12,0)</f>
        <v>0.87262793339872768</v>
      </c>
      <c r="S51" s="58">
        <f ca="1">_xll.EURO(UnderlyingPrice,$D51*(1-$P$8),IntRate,Yield,$J51,Expiry-Today,S$12,0)</f>
        <v>0.36435642442016669</v>
      </c>
      <c r="U51" s="59">
        <f t="shared" ca="1" si="31"/>
        <v>0.29592078461851662</v>
      </c>
      <c r="V51" s="59"/>
      <c r="W51" s="62">
        <f t="shared" ca="1" si="30"/>
        <v>0.30109866454011425</v>
      </c>
      <c r="Z51" s="59">
        <f t="shared" ca="1" si="11"/>
        <v>0.28093333150519173</v>
      </c>
      <c r="AA51" s="59">
        <f t="shared" ca="1" si="12"/>
        <v>-5.8601312315891781E-2</v>
      </c>
      <c r="AB51" s="59">
        <f t="shared" ca="1" si="4"/>
        <v>-3.4341138051446896E-3</v>
      </c>
      <c r="AC51" s="59">
        <f t="shared" ca="1" si="13"/>
        <v>-1.5964189986413132E-2</v>
      </c>
      <c r="AD51" s="60">
        <f t="shared" ca="1" si="5"/>
        <v>0.98416256229899635</v>
      </c>
      <c r="AE51" s="60">
        <f t="shared" ca="1" si="14"/>
        <v>0.27648406736934283</v>
      </c>
      <c r="AF51" s="60"/>
      <c r="AG51" s="97">
        <f t="shared" ca="1" si="15"/>
        <v>-0.17868514200354282</v>
      </c>
      <c r="AH51" s="97">
        <f t="shared" ca="1" si="16"/>
        <v>-0.17716093991195925</v>
      </c>
      <c r="AI51" s="97">
        <f t="shared" ca="1" si="17"/>
        <v>-0.18021010638677723</v>
      </c>
      <c r="AJ51" s="97"/>
      <c r="AK51" s="97">
        <f t="shared" ca="1" si="18"/>
        <v>0.42757823432271702</v>
      </c>
      <c r="AL51" s="97"/>
      <c r="AM51" s="95">
        <v>0.7</v>
      </c>
      <c r="AN51" s="96">
        <f t="shared" si="6"/>
        <v>0.31225393336676122</v>
      </c>
      <c r="AX51" s="107">
        <f t="shared" ca="1" si="19"/>
        <v>0.48950113169664389</v>
      </c>
      <c r="AY51" s="107">
        <f t="shared" ca="1" si="20"/>
        <v>0.48950151137611775</v>
      </c>
      <c r="AZ51" s="107">
        <f t="shared" ca="1" si="21"/>
        <v>0.48950082876221246</v>
      </c>
      <c r="BB51" s="39">
        <f ca="1">_xll.EURO(UnderlyingPrice,$D51,IntRate,Yield,AX51,$D$6,1,0)</f>
        <v>0.84509638511624985</v>
      </c>
      <c r="BC51" s="39">
        <f ca="1">_xll.EURO(UnderlyingPrice,$D51*(1+$P$8),IntRate,Yield,AY51,$D$6,1,0)</f>
        <v>0.84385941432665756</v>
      </c>
      <c r="BD51" s="39">
        <f ca="1">_xll.EURO(UnderlyingPrice,$D51*(1-$P$8),IntRate,Yield,AZ51,$D$6,1,0)</f>
        <v>0.84633477522266087</v>
      </c>
      <c r="BF51" s="59">
        <f t="shared" ca="1" si="22"/>
        <v>0.3028053525786385</v>
      </c>
      <c r="BG51" s="39">
        <f t="shared" ca="1" si="23"/>
        <v>0.30810369536753879</v>
      </c>
      <c r="BI51" s="58">
        <f t="shared" ca="1" si="24"/>
        <v>-2.6316051627122583E-2</v>
      </c>
      <c r="BJ51" s="46">
        <f t="shared" ca="1" si="25"/>
        <v>-3.1139704406027719E-2</v>
      </c>
    </row>
    <row r="52" spans="3:62" x14ac:dyDescent="0.2">
      <c r="C52" s="56">
        <v>39</v>
      </c>
      <c r="D52" s="63">
        <f t="shared" ca="1" si="26"/>
        <v>4.3650000000000055</v>
      </c>
      <c r="E52" s="45">
        <f t="shared" ca="1" si="7"/>
        <v>-9.907120743033937E-2</v>
      </c>
      <c r="F52" s="45">
        <f t="shared" ca="1" si="8"/>
        <v>-9.8620743034054548E-2</v>
      </c>
      <c r="G52" s="45">
        <f t="shared" ca="1" si="9"/>
        <v>-9.9521671826624192E-2</v>
      </c>
      <c r="H52" s="45">
        <f t="shared" ca="1" si="27"/>
        <v>0.51444675649210503</v>
      </c>
      <c r="I52" s="45">
        <f t="shared" ca="1" si="28"/>
        <v>0.5144431448954333</v>
      </c>
      <c r="J52" s="45">
        <f t="shared" ca="1" si="29"/>
        <v>0.5144396320116299</v>
      </c>
      <c r="L52" s="58">
        <f ca="1">_xll.EURO(UnderlyingPrice,$D52,IntRate,Yield,$I52,$D$6,L$12,0)</f>
        <v>0.85195472257585037</v>
      </c>
      <c r="M52" s="58">
        <f ca="1">_xll.EURO(UnderlyingPrice,$D52,IntRate,Yield,$I52,$D$6,M$12,0)</f>
        <v>0.38020910114031303</v>
      </c>
      <c r="O52" s="58">
        <f ca="1">_xll.EURO(UnderlyingPrice,$D52*(1+$P$8),IntRate,Yield,$H52,Expiry-Today,O$12,0)</f>
        <v>0.85075338539280931</v>
      </c>
      <c r="P52" s="58">
        <f ca="1">_xll.EURO(UnderlyingPrice,$D52*(1+$P$8),IntRate,Yield,$H52,Expiry-Today,P$12,0)</f>
        <v>0.38115273232973745</v>
      </c>
      <c r="R52" s="58">
        <f ca="1">_xll.EURO(UnderlyingPrice,$D52*(1-$P$8),IntRate,Yield,$J52,Expiry-Today,R$12,0)</f>
        <v>0.85315746631561584</v>
      </c>
      <c r="S52" s="58">
        <f ca="1">_xll.EURO(UnderlyingPrice,$D52*(1-$P$8),IntRate,Yield,$J52,Expiry-Today,S$12,0)</f>
        <v>0.37926687650761481</v>
      </c>
      <c r="U52" s="59">
        <f t="shared" ca="1" si="31"/>
        <v>0.29529000458996468</v>
      </c>
      <c r="V52" s="59"/>
      <c r="W52" s="62">
        <f t="shared" ca="1" si="30"/>
        <v>0.3004568474252387</v>
      </c>
      <c r="Z52" s="59">
        <f t="shared" ca="1" si="11"/>
        <v>0.27868071601775035</v>
      </c>
      <c r="AA52" s="59">
        <f t="shared" ca="1" si="12"/>
        <v>-5.0550665038724719E-2</v>
      </c>
      <c r="AB52" s="59">
        <f t="shared" ca="1" si="4"/>
        <v>-2.5553697358573456E-3</v>
      </c>
      <c r="AC52" s="59">
        <f t="shared" ca="1" si="13"/>
        <v>-1.1879165998413443E-2</v>
      </c>
      <c r="AD52" s="60">
        <f t="shared" ca="1" si="5"/>
        <v>0.98819111273448701</v>
      </c>
      <c r="AE52" s="60">
        <f t="shared" ca="1" si="14"/>
        <v>0.27538980685922432</v>
      </c>
      <c r="AF52" s="60"/>
      <c r="AG52" s="97">
        <f t="shared" ca="1" si="15"/>
        <v>-0.15413738027106497</v>
      </c>
      <c r="AH52" s="97">
        <f t="shared" ca="1" si="16"/>
        <v>-0.15261317817948111</v>
      </c>
      <c r="AI52" s="97">
        <f t="shared" ca="1" si="17"/>
        <v>-0.15566234465429937</v>
      </c>
      <c r="AJ52" s="62"/>
      <c r="AK52" s="97">
        <f t="shared" ca="1" si="18"/>
        <v>0.43011562334894748</v>
      </c>
      <c r="AL52" s="97"/>
      <c r="AM52" s="95">
        <v>0.8</v>
      </c>
      <c r="AN52" s="96">
        <f t="shared" si="6"/>
        <v>0.28969155276148267</v>
      </c>
      <c r="AX52" s="107">
        <f t="shared" ca="1" si="19"/>
        <v>0.48951663931376649</v>
      </c>
      <c r="AY52" s="107">
        <f t="shared" ca="1" si="20"/>
        <v>0.48951826537378995</v>
      </c>
      <c r="AZ52" s="107">
        <f t="shared" ca="1" si="21"/>
        <v>0.4895150903391905</v>
      </c>
      <c r="BB52" s="39">
        <f ca="1">_xll.EURO(UnderlyingPrice,$D52,IntRate,Yield,AX52,$D$6,1,0)</f>
        <v>0.82527309296676377</v>
      </c>
      <c r="BC52" s="39">
        <f ca="1">_xll.EURO(UnderlyingPrice,$D52*(1+$P$8),IntRate,Yield,AY52,$D$6,1,0)</f>
        <v>0.82404924504711019</v>
      </c>
      <c r="BD52" s="39">
        <f ca="1">_xll.EURO(UnderlyingPrice,$D52*(1-$P$8),IntRate,Yield,AZ52,$D$6,1,0)</f>
        <v>0.82649838130952169</v>
      </c>
      <c r="BF52" s="59">
        <f t="shared" ca="1" si="22"/>
        <v>0.30239985185679585</v>
      </c>
      <c r="BG52" s="39">
        <f t="shared" ca="1" si="23"/>
        <v>0.30769109938860384</v>
      </c>
      <c r="BI52" s="58">
        <f t="shared" ca="1" si="24"/>
        <v>-2.6681629609086599E-2</v>
      </c>
      <c r="BJ52" s="46">
        <f t="shared" ca="1" si="25"/>
        <v>-3.2330667068241795E-2</v>
      </c>
    </row>
    <row r="53" spans="3:62" x14ac:dyDescent="0.2">
      <c r="C53" s="56">
        <v>40</v>
      </c>
      <c r="D53" s="63">
        <f t="shared" ca="1" si="26"/>
        <v>4.4000000000000057</v>
      </c>
      <c r="E53" s="45">
        <f t="shared" ca="1" si="7"/>
        <v>-9.1847265221877028E-2</v>
      </c>
      <c r="F53" s="45">
        <f t="shared" ca="1" si="8"/>
        <v>-9.1393188854487883E-2</v>
      </c>
      <c r="G53" s="45">
        <f t="shared" ca="1" si="9"/>
        <v>-9.2301341589266062E-2</v>
      </c>
      <c r="H53" s="45">
        <f t="shared" ca="1" si="27"/>
        <v>0.5145181251368478</v>
      </c>
      <c r="I53" s="45">
        <f t="shared" ca="1" si="28"/>
        <v>0.51451290120472393</v>
      </c>
      <c r="J53" s="45">
        <f t="shared" ca="1" si="29"/>
        <v>0.51450777606800091</v>
      </c>
      <c r="L53" s="58">
        <f ca="1">_xll.EURO(UnderlyingPrice,$D53,IntRate,Yield,$I53,$D$6,L$12,0)</f>
        <v>0.83285871431440572</v>
      </c>
      <c r="M53" s="58">
        <f ca="1">_xll.EURO(UnderlyingPrice,$D53,IntRate,Yield,$I53,$D$6,M$12,0)</f>
        <v>0.39551121110854437</v>
      </c>
      <c r="O53" s="58">
        <f ca="1">_xll.EURO(UnderlyingPrice,$D53*(1+$P$8),IntRate,Yield,$H53,Expiry-Today,O$12,0)</f>
        <v>0.83167045333053347</v>
      </c>
      <c r="P53" s="58">
        <f ca="1">_xll.EURO(UnderlyingPrice,$D53*(1+$P$8),IntRate,Yield,$H53,Expiry-Today,P$12,0)</f>
        <v>0.39648511755625249</v>
      </c>
      <c r="R53" s="58">
        <f ca="1">_xll.EURO(UnderlyingPrice,$D53*(1-$P$8),IntRate,Yield,$J53,Expiry-Today,R$12,0)</f>
        <v>0.83404840029006522</v>
      </c>
      <c r="S53" s="58">
        <f ca="1">_xll.EURO(UnderlyingPrice,$D53*(1-$P$8),IntRate,Yield,$J53,Expiry-Today,S$12,0)</f>
        <v>0.39453872965262438</v>
      </c>
      <c r="U53" s="59">
        <f t="shared" ca="1" si="31"/>
        <v>0.29441979075114411</v>
      </c>
      <c r="V53" s="59"/>
      <c r="W53" s="62">
        <f t="shared" ca="1" si="30"/>
        <v>0.29957140700215057</v>
      </c>
      <c r="Z53" s="59">
        <f t="shared" ca="1" si="11"/>
        <v>0.27646393759488186</v>
      </c>
      <c r="AA53" s="59">
        <f t="shared" ca="1" si="12"/>
        <v>-4.256431340607477E-2</v>
      </c>
      <c r="AB53" s="59">
        <f t="shared" ca="1" si="4"/>
        <v>-1.8117207757305564E-3</v>
      </c>
      <c r="AC53" s="59">
        <f t="shared" ca="1" si="13"/>
        <v>-8.4221596333717841E-3</v>
      </c>
      <c r="AD53" s="60">
        <f t="shared" ca="1" si="5"/>
        <v>0.99161320739450853</v>
      </c>
      <c r="AE53" s="60">
        <f t="shared" ca="1" si="14"/>
        <v>0.27414529188737607</v>
      </c>
      <c r="AF53" s="60"/>
      <c r="AG53" s="97">
        <f t="shared" ca="1" si="15"/>
        <v>-0.12978566664598817</v>
      </c>
      <c r="AH53" s="97">
        <f t="shared" ca="1" si="16"/>
        <v>-0.12826146455440399</v>
      </c>
      <c r="AI53" s="97">
        <f t="shared" ca="1" si="17"/>
        <v>-0.1313106310292225</v>
      </c>
      <c r="AJ53" s="62"/>
      <c r="AK53" s="97">
        <f t="shared" ca="1" si="18"/>
        <v>0.43228672546910374</v>
      </c>
      <c r="AL53" s="97"/>
      <c r="AM53" s="95">
        <v>0.9</v>
      </c>
      <c r="AN53" s="96">
        <f t="shared" si="6"/>
        <v>0.26608524989875482</v>
      </c>
      <c r="AX53" s="107">
        <f t="shared" ca="1" si="19"/>
        <v>0.48955197132766171</v>
      </c>
      <c r="AY53" s="107">
        <f t="shared" ca="1" si="20"/>
        <v>0.4895548490652189</v>
      </c>
      <c r="AZ53" s="107">
        <f t="shared" ca="1" si="21"/>
        <v>0.48954917099683332</v>
      </c>
      <c r="BB53" s="39">
        <f ca="1">_xll.EURO(UnderlyingPrice,$D53,IntRate,Yield,AX53,$D$6,1,0)</f>
        <v>0.80582021518737612</v>
      </c>
      <c r="BC53" s="39">
        <f ca="1">_xll.EURO(UnderlyingPrice,$D53*(1+$P$8),IntRate,Yield,AY53,$D$6,1,0)</f>
        <v>0.8046098194101643</v>
      </c>
      <c r="BD53" s="39">
        <f ca="1">_xll.EURO(UnderlyingPrice,$D53*(1-$P$8),IntRate,Yield,AZ53,$D$6,1,0)</f>
        <v>0.80703207140616939</v>
      </c>
      <c r="BF53" s="59">
        <f t="shared" ca="1" si="22"/>
        <v>0.30174412839808989</v>
      </c>
      <c r="BG53" s="39">
        <f t="shared" ca="1" si="23"/>
        <v>0.30702390239540001</v>
      </c>
      <c r="BI53" s="58">
        <f t="shared" ca="1" si="24"/>
        <v>-2.7038499127029603E-2</v>
      </c>
      <c r="BJ53" s="46">
        <f t="shared" ca="1" si="25"/>
        <v>-3.3554009464434174E-2</v>
      </c>
    </row>
    <row r="54" spans="3:62" x14ac:dyDescent="0.2">
      <c r="C54" s="56">
        <v>41</v>
      </c>
      <c r="D54" s="63">
        <f t="shared" ca="1" si="26"/>
        <v>4.4350000000000058</v>
      </c>
      <c r="E54" s="45">
        <f t="shared" ca="1" si="7"/>
        <v>-8.4623323013414686E-2</v>
      </c>
      <c r="F54" s="45">
        <f t="shared" ca="1" si="8"/>
        <v>-8.4165634674921441E-2</v>
      </c>
      <c r="G54" s="45">
        <f t="shared" ca="1" si="9"/>
        <v>-8.508101135190782E-2</v>
      </c>
      <c r="H54" s="45">
        <f t="shared" ca="1" si="27"/>
        <v>0.51461449983077168</v>
      </c>
      <c r="I54" s="45">
        <f t="shared" ca="1" si="28"/>
        <v>0.51460766254831547</v>
      </c>
      <c r="J54" s="45">
        <f t="shared" ca="1" si="29"/>
        <v>0.51460092410835057</v>
      </c>
      <c r="L54" s="58">
        <f ca="1">_xll.EURO(UnderlyingPrice,$D54,IntRate,Yield,$I54,$D$6,L$12,0)</f>
        <v>0.81412334663547625</v>
      </c>
      <c r="M54" s="58">
        <f ca="1">_xll.EURO(UnderlyingPrice,$D54,IntRate,Yield,$I54,$D$6,M$12,0)</f>
        <v>0.41117396165929021</v>
      </c>
      <c r="O54" s="58">
        <f ca="1">_xll.EURO(UnderlyingPrice,$D54*(1+$P$8),IntRate,Yield,$H54,Expiry-Today,O$12,0)</f>
        <v>0.81294844590875925</v>
      </c>
      <c r="P54" s="58">
        <f ca="1">_xll.EURO(UnderlyingPrice,$D54*(1+$P$8),IntRate,Yield,$H54,Expiry-Today,P$12,0)</f>
        <v>0.41217842742326694</v>
      </c>
      <c r="R54" s="58">
        <f ca="1">_xll.EURO(UnderlyingPrice,$D54*(1-$P$8),IntRate,Yield,$J54,Expiry-Today,R$12,0)</f>
        <v>0.81529968969123567</v>
      </c>
      <c r="S54" s="58">
        <f ca="1">_xll.EURO(UnderlyingPrice,$D54*(1-$P$8),IntRate,Yield,$J54,Expiry-Today,S$12,0)</f>
        <v>0.41017093822435591</v>
      </c>
      <c r="U54" s="59">
        <f t="shared" ca="1" si="31"/>
        <v>0.29331690342096989</v>
      </c>
      <c r="V54" s="59"/>
      <c r="W54" s="62">
        <f t="shared" ca="1" si="30"/>
        <v>0.29844922187858186</v>
      </c>
      <c r="Z54" s="59">
        <f t="shared" ca="1" si="11"/>
        <v>0.27428214778297183</v>
      </c>
      <c r="AA54" s="59">
        <f t="shared" ca="1" si="12"/>
        <v>-3.4641238568747436E-2</v>
      </c>
      <c r="AB54" s="59">
        <f t="shared" ca="1" si="4"/>
        <v>-1.2000154095768748E-3</v>
      </c>
      <c r="AC54" s="59">
        <f t="shared" ca="1" si="13"/>
        <v>-5.5785204195646755E-3</v>
      </c>
      <c r="AD54" s="60">
        <f t="shared" ca="1" si="5"/>
        <v>0.99443701063195433</v>
      </c>
      <c r="AE54" s="60">
        <f t="shared" ca="1" si="14"/>
        <v>0.27275631911101045</v>
      </c>
      <c r="AF54" s="60"/>
      <c r="AG54" s="97">
        <f t="shared" ca="1" si="15"/>
        <v>-0.10562689448776459</v>
      </c>
      <c r="AH54" s="97">
        <f t="shared" ca="1" si="16"/>
        <v>-0.10410269239618086</v>
      </c>
      <c r="AI54" s="97">
        <f t="shared" ca="1" si="17"/>
        <v>-0.10715185887099847</v>
      </c>
      <c r="AJ54" s="62"/>
      <c r="AK54" s="97">
        <f t="shared" ca="1" si="18"/>
        <v>0.43409315626516837</v>
      </c>
      <c r="AL54" s="97"/>
      <c r="AM54" s="95">
        <v>1</v>
      </c>
      <c r="AN54" s="96">
        <f t="shared" si="6"/>
        <v>0.24197072451914334</v>
      </c>
      <c r="AX54" s="107">
        <f t="shared" ca="1" si="19"/>
        <v>0.48960689492062015</v>
      </c>
      <c r="AY54" s="107">
        <f t="shared" ca="1" si="20"/>
        <v>0.48961102928329403</v>
      </c>
      <c r="AZ54" s="107">
        <f t="shared" ca="1" si="21"/>
        <v>0.48960283826648349</v>
      </c>
      <c r="BB54" s="39">
        <f ca="1">_xll.EURO(UnderlyingPrice,$D54,IntRate,Yield,AX54,$D$6,1,0)</f>
        <v>0.78673694918827763</v>
      </c>
      <c r="BC54" s="39">
        <f ca="1">_xll.EURO(UnderlyingPrice,$D54*(1+$P$8),IntRate,Yield,AY54,$D$6,1,0)</f>
        <v>0.78554031466784169</v>
      </c>
      <c r="BD54" s="39">
        <f ca="1">_xll.EURO(UnderlyingPrice,$D54*(1-$P$8),IntRate,Yield,AZ54,$D$6,1,0)</f>
        <v>0.78793506305452388</v>
      </c>
      <c r="BF54" s="59">
        <f t="shared" ca="1" si="22"/>
        <v>0.30084475830557356</v>
      </c>
      <c r="BG54" s="39">
        <f t="shared" ca="1" si="23"/>
        <v>0.30610879555647658</v>
      </c>
      <c r="BI54" s="58">
        <f t="shared" ca="1" si="24"/>
        <v>-2.7386397447198618E-2</v>
      </c>
      <c r="BJ54" s="46">
        <f t="shared" ca="1" si="25"/>
        <v>-3.4810107082748259E-2</v>
      </c>
    </row>
    <row r="55" spans="3:62" x14ac:dyDescent="0.2">
      <c r="C55" s="56">
        <v>42</v>
      </c>
      <c r="D55" s="63">
        <f t="shared" ca="1" si="26"/>
        <v>4.470000000000006</v>
      </c>
      <c r="E55" s="45">
        <f t="shared" ca="1" si="7"/>
        <v>-7.7399380804952234E-2</v>
      </c>
      <c r="F55" s="45">
        <f t="shared" ca="1" si="8"/>
        <v>-7.6938080495354777E-2</v>
      </c>
      <c r="G55" s="45">
        <f t="shared" ca="1" si="9"/>
        <v>-7.7860681114549801E-2</v>
      </c>
      <c r="H55" s="45">
        <f t="shared" ca="1" si="27"/>
        <v>0.51473549862200152</v>
      </c>
      <c r="I55" s="45">
        <f t="shared" ca="1" si="28"/>
        <v>0.51472704754668841</v>
      </c>
      <c r="J55" s="45">
        <f t="shared" ca="1" si="29"/>
        <v>0.51471869532494208</v>
      </c>
      <c r="L55" s="58">
        <f ca="1">_xll.EURO(UnderlyingPrice,$D55,IntRate,Yield,$I55,$D$6,L$12,0)</f>
        <v>0.79574726924717476</v>
      </c>
      <c r="M55" s="58">
        <f ca="1">_xll.EURO(UnderlyingPrice,$D55,IntRate,Yield,$I55,$D$6,M$12,0)</f>
        <v>0.42719600250066403</v>
      </c>
      <c r="O55" s="58">
        <f ca="1">_xll.EURO(UnderlyingPrice,$D55*(1+$P$8),IntRate,Yield,$H55,Expiry-Today,O$12,0)</f>
        <v>0.79458599309370204</v>
      </c>
      <c r="P55" s="58">
        <f ca="1">_xll.EURO(UnderlyingPrice,$D55*(1+$P$8),IntRate,Yield,$H55,Expiry-Today,P$12,0)</f>
        <v>0.42823129189700038</v>
      </c>
      <c r="R55" s="58">
        <f ca="1">_xll.EURO(UnderlyingPrice,$D55*(1-$P$8),IntRate,Yield,$J55,Expiry-Today,R$12,0)</f>
        <v>0.79691000394966416</v>
      </c>
      <c r="S55" s="58">
        <f ca="1">_xll.EURO(UnderlyingPrice,$D55*(1-$P$8),IntRate,Yield,$J55,Expiry-Today,S$12,0)</f>
        <v>0.42616217165334436</v>
      </c>
      <c r="U55" s="59">
        <f t="shared" ca="1" si="31"/>
        <v>0.29198865249817346</v>
      </c>
      <c r="V55" s="59"/>
      <c r="W55" s="62">
        <f t="shared" ca="1" si="30"/>
        <v>0.29709772985836519</v>
      </c>
      <c r="Z55" s="59">
        <f t="shared" ca="1" si="11"/>
        <v>0.27213452470189714</v>
      </c>
      <c r="AA55" s="59">
        <f t="shared" ca="1" si="12"/>
        <v>-2.6780445704812673E-2</v>
      </c>
      <c r="AB55" s="59">
        <f t="shared" ca="1" si="4"/>
        <v>-7.1719227214841954E-4</v>
      </c>
      <c r="AC55" s="59">
        <f t="shared" ca="1" si="13"/>
        <v>-3.3340169659526711E-3</v>
      </c>
      <c r="AD55" s="60">
        <f t="shared" ca="1" si="5"/>
        <v>0.99667153469711856</v>
      </c>
      <c r="AE55" s="60">
        <f t="shared" ca="1" si="14"/>
        <v>0.27122873437871076</v>
      </c>
      <c r="AF55" s="60"/>
      <c r="AG55" s="97">
        <f t="shared" ca="1" si="15"/>
        <v>-8.1658030418969477E-2</v>
      </c>
      <c r="AH55" s="97">
        <f t="shared" ca="1" si="16"/>
        <v>-8.0133828327385748E-2</v>
      </c>
      <c r="AI55" s="97">
        <f t="shared" ca="1" si="17"/>
        <v>-8.318299480220398E-2</v>
      </c>
      <c r="AJ55" s="62"/>
      <c r="AK55" s="97">
        <f t="shared" ca="1" si="18"/>
        <v>0.43553766691143386</v>
      </c>
      <c r="AL55" s="97"/>
      <c r="AM55" s="95">
        <v>1.1000000000000001</v>
      </c>
      <c r="AN55" s="96">
        <f t="shared" si="6"/>
        <v>0.2178521770325505</v>
      </c>
      <c r="AX55" s="107">
        <f t="shared" ca="1" si="19"/>
        <v>0.48968117727493232</v>
      </c>
      <c r="AY55" s="107">
        <f t="shared" ca="1" si="20"/>
        <v>0.48968657286090472</v>
      </c>
      <c r="AZ55" s="107">
        <f t="shared" ca="1" si="21"/>
        <v>0.48967585967948379</v>
      </c>
      <c r="BB55" s="39">
        <f ca="1">_xll.EURO(UnderlyingPrice,$D55,IntRate,Yield,AX55,$D$6,1,0)</f>
        <v>0.76802219397110827</v>
      </c>
      <c r="BC55" s="39">
        <f ca="1">_xll.EURO(UnderlyingPrice,$D55*(1+$P$8),IntRate,Yield,AY55,$D$6,1,0)</f>
        <v>0.76683960959762443</v>
      </c>
      <c r="BD55" s="39">
        <f ca="1">_xll.EURO(UnderlyingPrice,$D55*(1-$P$8),IntRate,Yield,AZ55,$D$6,1,0)</f>
        <v>0.76920627545795695</v>
      </c>
      <c r="BF55" s="59">
        <f t="shared" ca="1" si="22"/>
        <v>0.29970889496158554</v>
      </c>
      <c r="BG55" s="39">
        <f t="shared" ca="1" si="23"/>
        <v>0.30495305742062462</v>
      </c>
      <c r="BI55" s="58">
        <f t="shared" ca="1" si="24"/>
        <v>-2.7725075276066491E-2</v>
      </c>
      <c r="BJ55" s="46">
        <f t="shared" ca="1" si="25"/>
        <v>-3.6099315219931601E-2</v>
      </c>
    </row>
    <row r="56" spans="3:62" x14ac:dyDescent="0.2">
      <c r="C56" s="56">
        <v>43</v>
      </c>
      <c r="D56" s="63">
        <f t="shared" ca="1" si="26"/>
        <v>4.5050000000000061</v>
      </c>
      <c r="E56" s="45">
        <f t="shared" ca="1" si="7"/>
        <v>-7.0175438596489892E-2</v>
      </c>
      <c r="F56" s="45">
        <f t="shared" ca="1" si="8"/>
        <v>-6.9710526315788113E-2</v>
      </c>
      <c r="G56" s="45">
        <f t="shared" ca="1" si="9"/>
        <v>-7.0640350877191671E-2</v>
      </c>
      <c r="H56" s="45">
        <f t="shared" ca="1" si="27"/>
        <v>0.51488073955866231</v>
      </c>
      <c r="I56" s="45">
        <f t="shared" ca="1" si="28"/>
        <v>0.51487067482032256</v>
      </c>
      <c r="J56" s="45">
        <f t="shared" ca="1" si="29"/>
        <v>0.51486070891003921</v>
      </c>
      <c r="L56" s="58">
        <f ca="1">_xll.EURO(UnderlyingPrice,$D56,IntRate,Yield,$I56,$D$6,L$12,0)</f>
        <v>0.77772885583849583</v>
      </c>
      <c r="M56" s="58">
        <f ca="1">_xll.EURO(UnderlyingPrice,$D56,IntRate,Yield,$I56,$D$6,M$12,0)</f>
        <v>0.44357570732166018</v>
      </c>
      <c r="O56" s="58">
        <f ca="1">_xll.EURO(UnderlyingPrice,$D56*(1+$P$8),IntRate,Yield,$H56,Expiry-Today,O$12,0)</f>
        <v>0.77658144886943781</v>
      </c>
      <c r="P56" s="58">
        <f ca="1">_xll.EURO(UnderlyingPrice,$D56*(1+$P$8),IntRate,Yield,$H56,Expiry-Today,P$12,0)</f>
        <v>0.44464206496152547</v>
      </c>
      <c r="R56" s="58">
        <f ca="1">_xll.EURO(UnderlyingPrice,$D56*(1-$P$8),IntRate,Yield,$J56,Expiry-Today,R$12,0)</f>
        <v>0.77887773644376468</v>
      </c>
      <c r="S56" s="58">
        <f ca="1">_xll.EURO(UnderlyingPrice,$D56*(1-$P$8),IntRate,Yield,$J56,Expiry-Today,S$12,0)</f>
        <v>0.44251082331800462</v>
      </c>
      <c r="U56" s="59">
        <f t="shared" ca="1" si="31"/>
        <v>0.29044284711861057</v>
      </c>
      <c r="V56" s="59"/>
      <c r="W56" s="62">
        <f t="shared" ca="1" si="30"/>
        <v>0.29552487671786909</v>
      </c>
      <c r="Z56" s="59">
        <f t="shared" ca="1" si="11"/>
        <v>0.27002027201275919</v>
      </c>
      <c r="AA56" s="59">
        <f t="shared" ca="1" si="12"/>
        <v>-1.8980963269988903E-2</v>
      </c>
      <c r="AB56" s="59">
        <f t="shared" ca="1" si="4"/>
        <v>-3.6027696665666783E-4</v>
      </c>
      <c r="AC56" s="59">
        <f t="shared" ca="1" si="13"/>
        <v>-1.6748221724100214E-3</v>
      </c>
      <c r="AD56" s="60">
        <f t="shared" ca="1" si="5"/>
        <v>0.99832657955958481</v>
      </c>
      <c r="AE56" s="60">
        <f t="shared" ca="1" si="14"/>
        <v>0.26956841457024655</v>
      </c>
      <c r="AF56" s="60"/>
      <c r="AG56" s="97">
        <f t="shared" ca="1" si="15"/>
        <v>-5.7876112039597506E-2</v>
      </c>
      <c r="AH56" s="97">
        <f t="shared" ca="1" si="16"/>
        <v>-5.6351909948013486E-2</v>
      </c>
      <c r="AI56" s="97">
        <f t="shared" ca="1" si="17"/>
        <v>-5.9401076422831933E-2</v>
      </c>
      <c r="AJ56" s="62"/>
      <c r="AK56" s="97">
        <f t="shared" ca="1" si="18"/>
        <v>0.43662410058908718</v>
      </c>
      <c r="AL56" s="97"/>
      <c r="AM56" s="95">
        <v>1.2</v>
      </c>
      <c r="AN56" s="96">
        <f t="shared" si="6"/>
        <v>0.19418605498321292</v>
      </c>
      <c r="AX56" s="107">
        <f t="shared" ca="1" si="19"/>
        <v>0.48977458557288883</v>
      </c>
      <c r="AY56" s="107">
        <f t="shared" ca="1" si="20"/>
        <v>0.48978124663094053</v>
      </c>
      <c r="AZ56" s="107">
        <f t="shared" ca="1" si="21"/>
        <v>0.48976800276717664</v>
      </c>
      <c r="BB56" s="39">
        <f ca="1">_xll.EURO(UnderlyingPrice,$D56,IntRate,Yield,AX56,$D$6,1,0)</f>
        <v>0.74967455888468981</v>
      </c>
      <c r="BC56" s="39">
        <f ca="1">_xll.EURO(UnderlyingPrice,$D56*(1+$P$8),IntRate,Yield,AY56,$D$6,1,0)</f>
        <v>0.74850629332293517</v>
      </c>
      <c r="BD56" s="39">
        <f ca="1">_xll.EURO(UnderlyingPrice,$D56*(1-$P$8),IntRate,Yield,AZ56,$D$6,1,0)</f>
        <v>0.75084433817228158</v>
      </c>
      <c r="BF56" s="59">
        <f t="shared" ca="1" si="22"/>
        <v>0.29834421728894983</v>
      </c>
      <c r="BG56" s="39">
        <f t="shared" ca="1" si="23"/>
        <v>0.30356450127277568</v>
      </c>
      <c r="BI56" s="58">
        <f t="shared" ca="1" si="24"/>
        <v>-2.8054296953806013E-2</v>
      </c>
      <c r="BJ56" s="46">
        <f t="shared" ca="1" si="25"/>
        <v>-3.7421967467514326E-2</v>
      </c>
    </row>
    <row r="57" spans="3:62" x14ac:dyDescent="0.2">
      <c r="C57" s="56">
        <v>44</v>
      </c>
      <c r="D57" s="63">
        <f t="shared" ca="1" si="26"/>
        <v>4.5400000000000063</v>
      </c>
      <c r="E57" s="45">
        <f t="shared" ca="1" si="7"/>
        <v>-6.295149638802755E-2</v>
      </c>
      <c r="F57" s="45">
        <f t="shared" ca="1" si="8"/>
        <v>-6.2482972136221671E-2</v>
      </c>
      <c r="G57" s="45">
        <f t="shared" ca="1" si="9"/>
        <v>-6.342002063983343E-2</v>
      </c>
      <c r="H57" s="45">
        <f t="shared" ca="1" si="27"/>
        <v>0.5150498406888786</v>
      </c>
      <c r="I57" s="45">
        <f t="shared" ca="1" si="28"/>
        <v>0.51503816298969829</v>
      </c>
      <c r="J57" s="45">
        <f t="shared" ca="1" si="29"/>
        <v>0.51502658405590496</v>
      </c>
      <c r="L57" s="58">
        <f ca="1">_xll.EURO(UnderlyingPrice,$D57,IntRate,Yield,$I57,$D$6,L$12,0)</f>
        <v>0.76006621363736082</v>
      </c>
      <c r="M57" s="58">
        <f ca="1">_xll.EURO(UnderlyingPrice,$D57,IntRate,Yield,$I57,$D$6,M$12,0)</f>
        <v>0.46031118335019938</v>
      </c>
      <c r="O57" s="58">
        <f ca="1">_xll.EURO(UnderlyingPrice,$D57*(1+$P$8),IntRate,Yield,$H57,Expiry-Today,O$12,0)</f>
        <v>0.75893290085658371</v>
      </c>
      <c r="P57" s="58">
        <f ca="1">_xll.EURO(UnderlyingPrice,$D57*(1+$P$8),IntRate,Yield,$H57,Expiry-Today,P$12,0)</f>
        <v>0.46140883423746137</v>
      </c>
      <c r="R57" s="58">
        <f ca="1">_xll.EURO(UnderlyingPrice,$D57*(1-$P$8),IntRate,Yield,$J57,Expiry-Today,R$12,0)</f>
        <v>0.76120101399718454</v>
      </c>
      <c r="S57" s="58">
        <f ca="1">_xll.EURO(UnderlyingPrice,$D57*(1-$P$8),IntRate,Yield,$J57,Expiry-Today,S$12,0)</f>
        <v>0.45921502004198533</v>
      </c>
      <c r="U57" s="59">
        <f t="shared" ca="1" si="31"/>
        <v>0.28868773828536781</v>
      </c>
      <c r="V57" s="59"/>
      <c r="W57" s="62">
        <f t="shared" ca="1" si="30"/>
        <v>0.29373905783227372</v>
      </c>
      <c r="Z57" s="59">
        <f t="shared" ca="1" si="11"/>
        <v>0.26793861793336565</v>
      </c>
      <c r="AA57" s="59">
        <f t="shared" ca="1" si="12"/>
        <v>-1.1241842277033516E-2</v>
      </c>
      <c r="AB57" s="59">
        <f t="shared" ca="1" si="4"/>
        <v>-1.263790177816981E-4</v>
      </c>
      <c r="AC57" s="59">
        <f t="shared" ca="1" si="13"/>
        <v>-5.8749906515643473E-4</v>
      </c>
      <c r="AD57" s="60">
        <f t="shared" ca="1" si="5"/>
        <v>0.99941267347862794</v>
      </c>
      <c r="AE57" s="60">
        <f t="shared" ca="1" si="14"/>
        <v>0.26778125047695361</v>
      </c>
      <c r="AF57" s="60"/>
      <c r="AG57" s="97">
        <f t="shared" ca="1" si="15"/>
        <v>-3.4278245729804632E-2</v>
      </c>
      <c r="AH57" s="97">
        <f t="shared" ca="1" si="16"/>
        <v>-3.2754043638221084E-2</v>
      </c>
      <c r="AI57" s="97">
        <f t="shared" ca="1" si="17"/>
        <v>-3.5803210113038685E-2</v>
      </c>
      <c r="AJ57" s="62"/>
      <c r="AK57" s="97">
        <f t="shared" ca="1" si="18"/>
        <v>0.4373573347248278</v>
      </c>
      <c r="AL57" s="97"/>
      <c r="AM57" s="95">
        <v>1.3</v>
      </c>
      <c r="AN57" s="96">
        <f t="shared" si="6"/>
        <v>0.17136859204780733</v>
      </c>
      <c r="AX57" s="107">
        <f t="shared" ca="1" si="19"/>
        <v>0.48988688699678046</v>
      </c>
      <c r="AY57" s="107">
        <f t="shared" ca="1" si="20"/>
        <v>0.48989481742629065</v>
      </c>
      <c r="AZ57" s="107">
        <f t="shared" ca="1" si="21"/>
        <v>0.48987903506090463</v>
      </c>
      <c r="BB57" s="39">
        <f ca="1">_xll.EURO(UnderlyingPrice,$D57,IntRate,Yield,AX57,$D$6,1,0)</f>
        <v>0.73169237303037837</v>
      </c>
      <c r="BC57" s="39">
        <f ca="1">_xll.EURO(UnderlyingPrice,$D57*(1+$P$8),IntRate,Yield,AY57,$D$6,1,0)</f>
        <v>0.7305386747814393</v>
      </c>
      <c r="BD57" s="39">
        <f ca="1">_xll.EURO(UnderlyingPrice,$D57*(1-$P$8),IntRate,Yield,AZ57,$D$6,1,0)</f>
        <v>0.73284760044819608</v>
      </c>
      <c r="BF57" s="59">
        <f t="shared" ca="1" si="22"/>
        <v>0.29675888890399754</v>
      </c>
      <c r="BG57" s="39">
        <f t="shared" ca="1" si="23"/>
        <v>0.30195143357230297</v>
      </c>
      <c r="BI57" s="58">
        <f t="shared" ca="1" si="24"/>
        <v>-2.8373840606982448E-2</v>
      </c>
      <c r="BJ57" s="46">
        <f t="shared" ca="1" si="25"/>
        <v>-3.8778374153975802E-2</v>
      </c>
    </row>
    <row r="58" spans="3:62" x14ac:dyDescent="0.2">
      <c r="C58" s="56">
        <v>45</v>
      </c>
      <c r="D58" s="63">
        <f t="shared" ca="1" si="26"/>
        <v>4.5750000000000064</v>
      </c>
      <c r="E58" s="45">
        <f t="shared" ca="1" si="7"/>
        <v>-5.5727554179565209E-2</v>
      </c>
      <c r="F58" s="45">
        <f t="shared" ca="1" si="8"/>
        <v>-5.5255417956655117E-2</v>
      </c>
      <c r="G58" s="45">
        <f t="shared" ca="1" si="9"/>
        <v>-5.61996904024753E-2</v>
      </c>
      <c r="H58" s="45">
        <f t="shared" ca="1" si="27"/>
        <v>0.51524242006077514</v>
      </c>
      <c r="I58" s="45">
        <f t="shared" ca="1" si="28"/>
        <v>0.51522913067529552</v>
      </c>
      <c r="J58" s="45">
        <f t="shared" ca="1" si="29"/>
        <v>0.51521593995480319</v>
      </c>
      <c r="L58" s="58">
        <f ca="1">_xll.EURO(UnderlyingPrice,$D58,IntRate,Yield,$I58,$D$6,L$12,0)</f>
        <v>0.74275719351586345</v>
      </c>
      <c r="M58" s="58">
        <f ca="1">_xll.EURO(UnderlyingPrice,$D58,IntRate,Yield,$I58,$D$6,M$12,0)</f>
        <v>0.4774002814583771</v>
      </c>
      <c r="O58" s="58">
        <f ca="1">_xll.EURO(UnderlyingPrice,$D58*(1+$P$8),IntRate,Yield,$H58,Expiry-Today,O$12,0)</f>
        <v>0.74163818047587204</v>
      </c>
      <c r="P58" s="58">
        <f ca="1">_xll.EURO(UnderlyingPrice,$D58*(1+$P$8),IntRate,Yield,$H58,Expiry-Today,P$12,0)</f>
        <v>0.4785294311455397</v>
      </c>
      <c r="R58" s="58">
        <f ca="1">_xll.EURO(UnderlyingPrice,$D58*(1-$P$8),IntRate,Yield,$J58,Expiry-Today,R$12,0)</f>
        <v>0.74387770692571697</v>
      </c>
      <c r="S58" s="58">
        <f ca="1">_xll.EURO(UnderlyingPrice,$D58*(1-$P$8),IntRate,Yield,$J58,Expiry-Today,S$12,0)</f>
        <v>0.47627263214107773</v>
      </c>
      <c r="U58" s="59">
        <f t="shared" ca="1" si="31"/>
        <v>0.28673197520447341</v>
      </c>
      <c r="V58" s="59"/>
      <c r="W58" s="62">
        <f t="shared" ca="1" si="30"/>
        <v>0.29174907374726489</v>
      </c>
      <c r="Z58" s="59">
        <f t="shared" ca="1" si="11"/>
        <v>0.26588881429890276</v>
      </c>
      <c r="AA58" s="59">
        <f t="shared" ca="1" si="12"/>
        <v>-3.5621556028054974E-3</v>
      </c>
      <c r="AB58" s="59">
        <f t="shared" ca="1" si="4"/>
        <v>-1.2688952538598597E-5</v>
      </c>
      <c r="AC58" s="59">
        <f t="shared" ca="1" si="13"/>
        <v>-5.8987226559380831E-5</v>
      </c>
      <c r="AD58" s="60">
        <f t="shared" ca="1" si="5"/>
        <v>0.99994101451315287</v>
      </c>
      <c r="AE58" s="60">
        <f t="shared" ca="1" si="14"/>
        <v>0.26587313071774415</v>
      </c>
      <c r="AF58" s="60"/>
      <c r="AG58" s="97">
        <f t="shared" ca="1" si="15"/>
        <v>-1.0861604537026823E-2</v>
      </c>
      <c r="AH58" s="97">
        <f t="shared" ca="1" si="16"/>
        <v>-9.337402445443314E-3</v>
      </c>
      <c r="AI58" s="97">
        <f t="shared" ca="1" si="17"/>
        <v>-1.2386568920260809E-2</v>
      </c>
      <c r="AJ58" s="62"/>
      <c r="AK58" s="97">
        <f t="shared" ca="1" si="18"/>
        <v>0.43774324013372506</v>
      </c>
      <c r="AL58" s="97"/>
      <c r="AM58" s="95">
        <v>1.4</v>
      </c>
      <c r="AN58" s="96">
        <f t="shared" si="6"/>
        <v>0.14972746563574485</v>
      </c>
      <c r="AX58" s="107">
        <f t="shared" ca="1" si="19"/>
        <v>0.49001784872889759</v>
      </c>
      <c r="AY58" s="107">
        <f t="shared" ca="1" si="20"/>
        <v>0.49002705207984459</v>
      </c>
      <c r="AZ58" s="107">
        <f t="shared" ca="1" si="21"/>
        <v>0.49000872409201052</v>
      </c>
      <c r="BB58" s="39">
        <f ca="1">_xll.EURO(UnderlyingPrice,$D58,IntRate,Yield,AX58,$D$6,1,0)</f>
        <v>0.7140736952573401</v>
      </c>
      <c r="BC58" s="39">
        <f ca="1">_xll.EURO(UnderlyingPrice,$D58*(1+$P$8),IntRate,Yield,AY58,$D$6,1,0)</f>
        <v>0.71293479278116934</v>
      </c>
      <c r="BD58" s="39">
        <f ca="1">_xll.EURO(UnderlyingPrice,$D58*(1-$P$8),IntRate,Yield,AZ58,$D$6,1,0)</f>
        <v>0.71521414116569026</v>
      </c>
      <c r="BF58" s="59">
        <f t="shared" ca="1" si="22"/>
        <v>0.29496150820075678</v>
      </c>
      <c r="BG58" s="39">
        <f t="shared" ca="1" si="23"/>
        <v>0.30012260316380823</v>
      </c>
      <c r="BI58" s="58">
        <f t="shared" ca="1" si="24"/>
        <v>-2.8683498258523343E-2</v>
      </c>
      <c r="BJ58" s="46">
        <f t="shared" ca="1" si="25"/>
        <v>-4.0168820738014012E-2</v>
      </c>
    </row>
    <row r="59" spans="3:62" x14ac:dyDescent="0.2">
      <c r="C59" s="56">
        <v>46</v>
      </c>
      <c r="D59" s="63">
        <f t="shared" ca="1" si="26"/>
        <v>4.6100000000000065</v>
      </c>
      <c r="E59" s="45">
        <f t="shared" ca="1" si="7"/>
        <v>-4.8503611971102867E-2</v>
      </c>
      <c r="F59" s="45">
        <f t="shared" ca="1" si="8"/>
        <v>-4.8027863777088453E-2</v>
      </c>
      <c r="G59" s="45">
        <f t="shared" ca="1" si="9"/>
        <v>-4.8979360165117281E-2</v>
      </c>
      <c r="H59" s="45">
        <f t="shared" ca="1" si="27"/>
        <v>0.51545809572247692</v>
      </c>
      <c r="I59" s="45">
        <f t="shared" ca="1" si="28"/>
        <v>0.51544319649759462</v>
      </c>
      <c r="J59" s="45">
        <f t="shared" ca="1" si="29"/>
        <v>0.51542839579899702</v>
      </c>
      <c r="L59" s="58">
        <f ca="1">_xll.EURO(UnderlyingPrice,$D59,IntRate,Yield,$I59,$D$6,L$12,0)</f>
        <v>0.72579937081511492</v>
      </c>
      <c r="M59" s="58">
        <f ca="1">_xll.EURO(UnderlyingPrice,$D59,IntRate,Yield,$I59,$D$6,M$12,0)</f>
        <v>0.49484057698730433</v>
      </c>
      <c r="O59" s="58">
        <f ca="1">_xll.EURO(UnderlyingPrice,$D59*(1+$P$8),IntRate,Yield,$H59,Expiry-Today,O$12,0)</f>
        <v>0.72469483370922916</v>
      </c>
      <c r="P59" s="58">
        <f ca="1">_xll.EURO(UnderlyingPrice,$D59*(1+$P$8),IntRate,Yield,$H59,Expiry-Today,P$12,0)</f>
        <v>0.4960014016676868</v>
      </c>
      <c r="R59" s="58">
        <f ca="1">_xll.EURO(UnderlyingPrice,$D59*(1-$P$8),IntRate,Yield,$J59,Expiry-Today,R$12,0)</f>
        <v>0.72690541864458913</v>
      </c>
      <c r="S59" s="58">
        <f ca="1">_xll.EURO(UnderlyingPrice,$D59*(1-$P$8),IntRate,Yield,$J59,Expiry-Today,S$12,0)</f>
        <v>0.4936812630305103</v>
      </c>
      <c r="U59" s="59">
        <f t="shared" ca="1" si="31"/>
        <v>0.28434339918394447</v>
      </c>
      <c r="V59" s="59"/>
      <c r="W59" s="62">
        <f t="shared" ca="1" si="30"/>
        <v>0.28931870356944533</v>
      </c>
      <c r="Z59" s="59">
        <f t="shared" ca="1" si="11"/>
        <v>0.26387013566539697</v>
      </c>
      <c r="AA59" s="59">
        <f t="shared" ca="1" si="12"/>
        <v>4.0590026782670111E-3</v>
      </c>
      <c r="AB59" s="59">
        <f t="shared" ca="1" si="4"/>
        <v>-1.647550274217877E-5</v>
      </c>
      <c r="AC59" s="59">
        <f t="shared" ca="1" si="13"/>
        <v>-7.6589790211314984E-5</v>
      </c>
      <c r="AD59" s="60">
        <f t="shared" ca="1" si="5"/>
        <v>0.99992341314271183</v>
      </c>
      <c r="AE59" s="60">
        <f t="shared" ca="1" si="14"/>
        <v>0.26384992668097412</v>
      </c>
      <c r="AF59" s="60"/>
      <c r="AG59" s="97">
        <f t="shared" ca="1" si="15"/>
        <v>1.2376573856388124E-2</v>
      </c>
      <c r="AH59" s="97">
        <f t="shared" ca="1" si="16"/>
        <v>1.3900775947971929E-2</v>
      </c>
      <c r="AI59" s="97">
        <f t="shared" ca="1" si="17"/>
        <v>1.0851609473153861E-2</v>
      </c>
      <c r="AJ59" s="62"/>
      <c r="AK59" s="97">
        <f t="shared" ca="1" si="18"/>
        <v>0.43741764658314541</v>
      </c>
      <c r="AL59" s="97"/>
      <c r="AM59" s="95">
        <v>1.5</v>
      </c>
      <c r="AN59" s="96">
        <f t="shared" si="6"/>
        <v>0.12951759566589172</v>
      </c>
      <c r="AX59" s="107">
        <f t="shared" ca="1" si="19"/>
        <v>0.49016723795153094</v>
      </c>
      <c r="AY59" s="107">
        <f t="shared" ca="1" si="20"/>
        <v>0.49017771742449179</v>
      </c>
      <c r="AZ59" s="107">
        <f t="shared" ca="1" si="21"/>
        <v>0.49015683739183674</v>
      </c>
      <c r="BB59" s="39">
        <f ca="1">_xll.EURO(UnderlyingPrice,$D59,IntRate,Yield,AX59,$D$6,1,0)</f>
        <v>0.69681632468724919</v>
      </c>
      <c r="BC59" s="39">
        <f ca="1">_xll.EURO(UnderlyingPrice,$D59*(1+$P$8),IntRate,Yield,AY59,$D$6,1,0)</f>
        <v>0.69569242658372099</v>
      </c>
      <c r="BD59" s="39">
        <f ca="1">_xll.EURO(UnderlyingPrice,$D59*(1-$P$8),IntRate,Yield,AZ59,$D$6,1,0)</f>
        <v>0.69794177930015877</v>
      </c>
      <c r="BF59" s="59">
        <f t="shared" ca="1" si="22"/>
        <v>0.29296104975679021</v>
      </c>
      <c r="BG59" s="39">
        <f t="shared" ca="1" si="23"/>
        <v>0.29808714165770678</v>
      </c>
      <c r="BI59" s="58">
        <f t="shared" ca="1" si="24"/>
        <v>-2.898304612786573E-2</v>
      </c>
      <c r="BJ59" s="46">
        <f t="shared" ca="1" si="25"/>
        <v>-4.1593523430832564E-2</v>
      </c>
    </row>
    <row r="60" spans="3:62" x14ac:dyDescent="0.2">
      <c r="C60" s="56">
        <v>47</v>
      </c>
      <c r="D60" s="63">
        <f t="shared" ca="1" si="26"/>
        <v>4.6450000000000067</v>
      </c>
      <c r="E60" s="45">
        <f t="shared" ca="1" si="7"/>
        <v>-4.1279669762640525E-2</v>
      </c>
      <c r="F60" s="45">
        <f t="shared" ca="1" si="8"/>
        <v>-4.0800309597521789E-2</v>
      </c>
      <c r="G60" s="45">
        <f t="shared" ca="1" si="9"/>
        <v>-4.175902992775915E-2</v>
      </c>
      <c r="H60" s="45">
        <f t="shared" ca="1" si="27"/>
        <v>0.51569648572210847</v>
      </c>
      <c r="I60" s="45">
        <f t="shared" ca="1" si="28"/>
        <v>0.51567997907707552</v>
      </c>
      <c r="J60" s="45">
        <f t="shared" ca="1" si="29"/>
        <v>0.51566357078074987</v>
      </c>
      <c r="L60" s="58">
        <f ca="1">_xll.EURO(UnderlyingPrice,$D60,IntRate,Yield,$I60,$D$6,L$12,0)</f>
        <v>0.70918988193390176</v>
      </c>
      <c r="M60" s="58">
        <f ca="1">_xll.EURO(UnderlyingPrice,$D60,IntRate,Yield,$I60,$D$6,M$12,0)</f>
        <v>0.51262920633576625</v>
      </c>
      <c r="O60" s="58">
        <f ca="1">_xll.EURO(UnderlyingPrice,$D60*(1+$P$8),IntRate,Yield,$H60,Expiry-Today,O$12,0)</f>
        <v>0.70809997809086456</v>
      </c>
      <c r="P60" s="58">
        <f ca="1">_xll.EURO(UnderlyingPrice,$D60*(1+$P$8),IntRate,Yield,$H60,Expiry-Today,P$12,0)</f>
        <v>0.51382186333811286</v>
      </c>
      <c r="R60" s="58">
        <f ca="1">_xll.EURO(UnderlyingPrice,$D60*(1-$P$8),IntRate,Yield,$J60,Expiry-Today,R$12,0)</f>
        <v>0.71028130689457081</v>
      </c>
      <c r="S60" s="58">
        <f ca="1">_xll.EURO(UnderlyingPrice,$D60*(1-$P$8),IntRate,Yield,$J60,Expiry-Today,S$12,0)</f>
        <v>0.51143807045105194</v>
      </c>
      <c r="U60" s="59">
        <f t="shared" ca="1" si="31"/>
        <v>0.28200145890691658</v>
      </c>
      <c r="V60" s="59"/>
      <c r="W60" s="62">
        <f t="shared" ca="1" si="30"/>
        <v>0.28693578514499318</v>
      </c>
      <c r="Z60" s="59">
        <f t="shared" ca="1" si="11"/>
        <v>0.26188187845370936</v>
      </c>
      <c r="AA60" s="59">
        <f t="shared" ca="1" si="12"/>
        <v>1.1622517935511702E-2</v>
      </c>
      <c r="AB60" s="59">
        <f t="shared" ca="1" si="4"/>
        <v>-1.3508292316129119E-4</v>
      </c>
      <c r="AC60" s="59">
        <f t="shared" ca="1" si="13"/>
        <v>-6.2796097381404047E-4</v>
      </c>
      <c r="AD60" s="60">
        <f t="shared" ca="1" si="5"/>
        <v>0.99937223615241355</v>
      </c>
      <c r="AE60" s="60">
        <f t="shared" ca="1" si="14"/>
        <v>0.26171747847807808</v>
      </c>
      <c r="AF60" s="60"/>
      <c r="AG60" s="97">
        <f t="shared" ca="1" si="15"/>
        <v>3.5438989088687069E-2</v>
      </c>
      <c r="AH60" s="97">
        <f t="shared" ca="1" si="16"/>
        <v>3.6963191180271172E-2</v>
      </c>
      <c r="AI60" s="97">
        <f t="shared" ca="1" si="17"/>
        <v>3.3914024705452871E-2</v>
      </c>
      <c r="AJ60" s="62"/>
      <c r="AK60" s="97">
        <f t="shared" ca="1" si="18"/>
        <v>0.43710854523871717</v>
      </c>
      <c r="AL60" s="97"/>
      <c r="AM60" s="95">
        <v>1.6</v>
      </c>
      <c r="AN60" s="96">
        <f t="shared" si="6"/>
        <v>0.11092083467945553</v>
      </c>
      <c r="AX60" s="107">
        <f t="shared" ca="1" si="19"/>
        <v>0.49033482184697114</v>
      </c>
      <c r="AY60" s="107">
        <f t="shared" ca="1" si="20"/>
        <v>0.49034658029312156</v>
      </c>
      <c r="AZ60" s="107">
        <f t="shared" ca="1" si="21"/>
        <v>0.49032314249172587</v>
      </c>
      <c r="BB60" s="39">
        <f ca="1">_xll.EURO(UnderlyingPrice,$D60,IntRate,Yield,AX60,$D$6,1,0)</f>
        <v>0.67991770860873091</v>
      </c>
      <c r="BC60" s="39">
        <f ca="1">_xll.EURO(UnderlyingPrice,$D60*(1+$P$8),IntRate,Yield,AY60,$D$6,1,0)</f>
        <v>0.6788089855114916</v>
      </c>
      <c r="BD60" s="39">
        <f ca="1">_xll.EURO(UnderlyingPrice,$D60*(1-$P$8),IntRate,Yield,AZ60,$D$6,1,0)</f>
        <v>0.68102799866022279</v>
      </c>
      <c r="BF60" s="59">
        <f t="shared" ca="1" si="22"/>
        <v>0.29049915405163723</v>
      </c>
      <c r="BG60" s="39">
        <f t="shared" ca="1" si="23"/>
        <v>0.29558216888259664</v>
      </c>
      <c r="BI60" s="58">
        <f t="shared" ca="1" si="24"/>
        <v>-2.9272173325170847E-2</v>
      </c>
      <c r="BJ60" s="46">
        <f t="shared" ca="1" si="25"/>
        <v>-4.3052523790075264E-2</v>
      </c>
    </row>
    <row r="61" spans="3:62" x14ac:dyDescent="0.2">
      <c r="C61" s="56">
        <v>48</v>
      </c>
      <c r="D61" s="63">
        <f t="shared" ca="1" si="26"/>
        <v>4.6800000000000068</v>
      </c>
      <c r="E61" s="45">
        <f t="shared" ca="1" si="7"/>
        <v>-3.4055727554178072E-2</v>
      </c>
      <c r="F61" s="45">
        <f t="shared" ca="1" si="8"/>
        <v>-3.3572755417955347E-2</v>
      </c>
      <c r="G61" s="45">
        <f t="shared" ca="1" si="9"/>
        <v>-3.4538699690400909E-2</v>
      </c>
      <c r="H61" s="45">
        <f t="shared" ca="1" si="27"/>
        <v>0.51595720810779477</v>
      </c>
      <c r="I61" s="45">
        <f t="shared" ca="1" si="28"/>
        <v>0.51593909703421847</v>
      </c>
      <c r="J61" s="45">
        <f t="shared" ca="1" si="29"/>
        <v>0.5159210840923254</v>
      </c>
      <c r="L61" s="58">
        <f ca="1">_xll.EURO(UnderlyingPrice,$D61,IntRate,Yield,$I61,$D$6,L$12,0)</f>
        <v>0.69292582604806041</v>
      </c>
      <c r="M61" s="58">
        <f ca="1">_xll.EURO(UnderlyingPrice,$D61,IntRate,Yield,$I61,$D$6,M$12,0)</f>
        <v>0.5307632686796</v>
      </c>
      <c r="O61" s="58">
        <f ca="1">_xll.EURO(UnderlyingPrice,$D61*(1+$P$8),IntRate,Yield,$H61,Expiry-Today,O$12,0)</f>
        <v>0.69185070231894352</v>
      </c>
      <c r="P61" s="58">
        <f ca="1">_xll.EURO(UnderlyingPrice,$D61*(1+$P$8),IntRate,Yield,$H61,Expiry-Today,P$12,0)</f>
        <v>0.53198790485498004</v>
      </c>
      <c r="R61" s="58">
        <f ca="1">_xll.EURO(UnderlyingPrice,$D61*(1-$P$8),IntRate,Yield,$J61,Expiry-Today,R$12,0)</f>
        <v>0.69400248006841947</v>
      </c>
      <c r="S61" s="58">
        <f ca="1">_xll.EURO(UnderlyingPrice,$D61*(1-$P$8),IntRate,Yield,$J61,Expiry-Today,S$12,0)</f>
        <v>0.52954016279546123</v>
      </c>
      <c r="U61" s="59">
        <f t="shared" ca="1" si="31"/>
        <v>0.27947462235533144</v>
      </c>
      <c r="V61" s="59"/>
      <c r="W61" s="62">
        <f t="shared" ca="1" si="30"/>
        <v>0.28436473521967537</v>
      </c>
      <c r="Z61" s="59">
        <f t="shared" ca="1" si="11"/>
        <v>0.25992336013194017</v>
      </c>
      <c r="AA61" s="59">
        <f t="shared" ca="1" si="12"/>
        <v>1.9129255599265343E-2</v>
      </c>
      <c r="AB61" s="59">
        <f t="shared" ca="1" si="4"/>
        <v>-3.6592841978202447E-4</v>
      </c>
      <c r="AC61" s="59">
        <f t="shared" ca="1" si="13"/>
        <v>-1.7010941239269865E-3</v>
      </c>
      <c r="AD61" s="60">
        <f t="shared" ca="1" si="5"/>
        <v>0.9983003519166157</v>
      </c>
      <c r="AE61" s="60">
        <f t="shared" ca="1" si="14"/>
        <v>0.25948158189106513</v>
      </c>
      <c r="AF61" s="60"/>
      <c r="AG61" s="97">
        <f t="shared" ca="1" si="15"/>
        <v>5.8328280000819271E-2</v>
      </c>
      <c r="AH61" s="97">
        <f t="shared" ca="1" si="16"/>
        <v>5.9852482092402612E-2</v>
      </c>
      <c r="AI61" s="97">
        <f t="shared" ca="1" si="17"/>
        <v>5.6803315617585143E-2</v>
      </c>
      <c r="AJ61" s="62"/>
      <c r="AK61" s="97">
        <f t="shared" ca="1" si="18"/>
        <v>0.43645598619135723</v>
      </c>
      <c r="AL61" s="97"/>
      <c r="AM61" s="95">
        <v>1.7</v>
      </c>
      <c r="AN61" s="96">
        <f t="shared" si="6"/>
        <v>9.4049077376886933E-2</v>
      </c>
      <c r="AX61" s="107">
        <f t="shared" ca="1" si="19"/>
        <v>0.49052036759750889</v>
      </c>
      <c r="AY61" s="107">
        <f t="shared" ca="1" si="20"/>
        <v>0.49053340751862334</v>
      </c>
      <c r="AZ61" s="107">
        <f t="shared" ca="1" si="21"/>
        <v>0.49050740692302058</v>
      </c>
      <c r="BB61" s="39">
        <f ca="1">_xll.EURO(UnderlyingPrice,$D61,IntRate,Yield,AX61,$D$6,1,0)</f>
        <v>0.66337493356489707</v>
      </c>
      <c r="BC61" s="39">
        <f ca="1">_xll.EURO(UnderlyingPrice,$D61*(1+$P$8),IntRate,Yield,AY61,$D$6,1,0)</f>
        <v>0.66228155064575356</v>
      </c>
      <c r="BD61" s="39">
        <f ca="1">_xll.EURO(UnderlyingPrice,$D61*(1-$P$8),IntRate,Yield,AZ61,$D$6,1,0)</f>
        <v>0.66446989401179035</v>
      </c>
      <c r="BF61" s="59">
        <f t="shared" ca="1" si="22"/>
        <v>0.28810134958053157</v>
      </c>
      <c r="BG61" s="39">
        <f t="shared" ca="1" si="23"/>
        <v>0.29314240877919956</v>
      </c>
      <c r="BI61" s="58">
        <f t="shared" ca="1" si="24"/>
        <v>-2.9550892483163338E-2</v>
      </c>
      <c r="BJ61" s="46">
        <f t="shared" ca="1" si="25"/>
        <v>-4.4546290473112087E-2</v>
      </c>
    </row>
    <row r="62" spans="3:62" x14ac:dyDescent="0.2">
      <c r="C62" s="56">
        <v>49</v>
      </c>
      <c r="D62" s="63">
        <f t="shared" ca="1" si="26"/>
        <v>4.715000000000007</v>
      </c>
      <c r="E62" s="45">
        <f t="shared" ca="1" si="7"/>
        <v>-2.6831785345715731E-2</v>
      </c>
      <c r="F62" s="45">
        <f t="shared" ca="1" si="8"/>
        <v>-2.6345201238388682E-2</v>
      </c>
      <c r="G62" s="45">
        <f t="shared" ca="1" si="9"/>
        <v>-2.7318369453042779E-2</v>
      </c>
      <c r="H62" s="45">
        <f t="shared" ca="1" si="27"/>
        <v>0.51623988092766038</v>
      </c>
      <c r="I62" s="45">
        <f t="shared" ca="1" si="28"/>
        <v>0.51622016898950351</v>
      </c>
      <c r="J62" s="45">
        <f t="shared" ca="1" si="29"/>
        <v>0.51620055492598704</v>
      </c>
      <c r="L62" s="58">
        <f ca="1">_xll.EURO(UnderlyingPrice,$D62,IntRate,Yield,$I62,$D$6,L$12,0)</f>
        <v>0.67700410879621087</v>
      </c>
      <c r="M62" s="58">
        <f ca="1">_xll.EURO(UnderlyingPrice,$D62,IntRate,Yield,$I62,$D$6,M$12,0)</f>
        <v>0.54923966965742554</v>
      </c>
      <c r="O62" s="58">
        <f ca="1">_xll.EURO(UnderlyingPrice,$D62*(1+$P$8),IntRate,Yield,$H62,Expiry-Today,O$12,0)</f>
        <v>0.67594389271451094</v>
      </c>
      <c r="P62" s="58">
        <f ca="1">_xll.EURO(UnderlyingPrice,$D62*(1+$P$8),IntRate,Yield,$H62,Expiry-Today,P$12,0)</f>
        <v>0.55049641253933879</v>
      </c>
      <c r="R62" s="58">
        <f ca="1">_xll.EURO(UnderlyingPrice,$D62*(1-$P$8),IntRate,Yield,$J62,Expiry-Today,R$12,0)</f>
        <v>0.67806586312779471</v>
      </c>
      <c r="S62" s="58">
        <f ca="1">_xll.EURO(UnderlyingPrice,$D62*(1-$P$8),IntRate,Yield,$J62,Expiry-Today,S$12,0)</f>
        <v>0.54798446502539666</v>
      </c>
      <c r="U62" s="59">
        <f t="shared" ca="1" si="31"/>
        <v>0.27677285150314185</v>
      </c>
      <c r="V62" s="59"/>
      <c r="W62" s="62">
        <f t="shared" ca="1" si="30"/>
        <v>0.2816156900772856</v>
      </c>
      <c r="Z62" s="59">
        <f t="shared" ca="1" si="11"/>
        <v>0.25799391843424813</v>
      </c>
      <c r="AA62" s="59">
        <f t="shared" ca="1" si="12"/>
        <v>2.658006175513079E-2</v>
      </c>
      <c r="AB62" s="59">
        <f t="shared" ca="1" si="4"/>
        <v>-7.0649968290656645E-4</v>
      </c>
      <c r="AC62" s="59">
        <f t="shared" ca="1" si="13"/>
        <v>-3.2843102480658339E-3</v>
      </c>
      <c r="AD62" s="60">
        <f t="shared" ca="1" si="5"/>
        <v>0.996721077199207</v>
      </c>
      <c r="AE62" s="60">
        <f t="shared" ca="1" si="14"/>
        <v>0.25714797629262814</v>
      </c>
      <c r="AF62" s="60"/>
      <c r="AG62" s="97">
        <f t="shared" ca="1" si="15"/>
        <v>8.1047026448424805E-2</v>
      </c>
      <c r="AH62" s="97">
        <f t="shared" ca="1" si="16"/>
        <v>8.2571228540008423E-2</v>
      </c>
      <c r="AI62" s="97">
        <f t="shared" ca="1" si="17"/>
        <v>7.9522062065190718E-2</v>
      </c>
      <c r="AJ62" s="62"/>
      <c r="AK62" s="97">
        <f t="shared" ca="1" si="18"/>
        <v>0.43546916499329136</v>
      </c>
      <c r="AL62" s="97"/>
      <c r="AM62" s="95">
        <v>1.8</v>
      </c>
      <c r="AN62" s="96">
        <f t="shared" si="6"/>
        <v>7.8950158300894135E-2</v>
      </c>
      <c r="AX62" s="107">
        <f t="shared" ca="1" si="19"/>
        <v>0.49072364238543453</v>
      </c>
      <c r="AY62" s="107">
        <f t="shared" ca="1" si="20"/>
        <v>0.49073796593388658</v>
      </c>
      <c r="AZ62" s="107">
        <f t="shared" ca="1" si="21"/>
        <v>0.49070939821706339</v>
      </c>
      <c r="BB62" s="39">
        <f ca="1">_xll.EURO(UnderlyingPrice,$D62,IntRate,Yield,AX62,$D$6,1,0)</f>
        <v>0.64718506349446292</v>
      </c>
      <c r="BC62" s="39">
        <f ca="1">_xll.EURO(UnderlyingPrice,$D62*(1+$P$8),IntRate,Yield,AY62,$D$6,1,0)</f>
        <v>0.64610716882805042</v>
      </c>
      <c r="BD62" s="39">
        <f ca="1">_xll.EURO(UnderlyingPrice,$D62*(1-$P$8),IntRate,Yield,AZ62,$D$6,1,0)</f>
        <v>0.64826454499689756</v>
      </c>
      <c r="BF62" s="59">
        <f t="shared" ca="1" si="22"/>
        <v>0.28551481479554391</v>
      </c>
      <c r="BG62" s="39">
        <f t="shared" ca="1" si="23"/>
        <v>0.29051061604943129</v>
      </c>
      <c r="BI62" s="58">
        <f t="shared" ca="1" si="24"/>
        <v>-2.9819045301747948E-2</v>
      </c>
      <c r="BJ62" s="46">
        <f t="shared" ca="1" si="25"/>
        <v>-4.607498995842179E-2</v>
      </c>
    </row>
    <row r="63" spans="3:62" x14ac:dyDescent="0.2">
      <c r="C63" s="56">
        <v>50</v>
      </c>
      <c r="D63" s="63">
        <f t="shared" ca="1" si="26"/>
        <v>4.7500000000000071</v>
      </c>
      <c r="E63" s="45">
        <f t="shared" ca="1" si="7"/>
        <v>-1.9607843137253389E-2</v>
      </c>
      <c r="F63" s="45">
        <f t="shared" ca="1" si="8"/>
        <v>-1.9117647058822018E-2</v>
      </c>
      <c r="G63" s="45">
        <f t="shared" ca="1" si="9"/>
        <v>-2.009803921568476E-2</v>
      </c>
      <c r="H63" s="45">
        <f t="shared" ca="1" si="27"/>
        <v>0.51654412222983037</v>
      </c>
      <c r="I63" s="45">
        <f t="shared" ca="1" si="28"/>
        <v>0.5165228135634109</v>
      </c>
      <c r="J63" s="45">
        <f t="shared" ca="1" si="29"/>
        <v>0.51650160247399779</v>
      </c>
      <c r="L63" s="58">
        <f ca="1">_xll.EURO(UnderlyingPrice,$D63,IntRate,Yield,$I63,$D$6,L$12,0)</f>
        <v>0.66142142152615602</v>
      </c>
      <c r="M63" s="58">
        <f ca="1">_xll.EURO(UnderlyingPrice,$D63,IntRate,Yield,$I63,$D$6,M$12,0)</f>
        <v>0.56805510061704556</v>
      </c>
      <c r="O63" s="58">
        <f ca="1">_xll.EURO(UnderlyingPrice,$D63*(1+$P$8),IntRate,Yield,$H63,Expiry-Today,O$12,0)</f>
        <v>0.66037622169818411</v>
      </c>
      <c r="P63" s="58">
        <f ca="1">_xll.EURO(UnderlyingPrice,$D63*(1+$P$8),IntRate,Yield,$H63,Expiry-Today,P$12,0)</f>
        <v>0.56934405881180128</v>
      </c>
      <c r="R63" s="58">
        <f ca="1">_xll.EURO(UnderlyingPrice,$D63*(1-$P$8),IntRate,Yield,$J63,Expiry-Today,R$12,0)</f>
        <v>0.66246816635596417</v>
      </c>
      <c r="S63" s="58">
        <f ca="1">_xll.EURO(UnderlyingPrice,$D63*(1-$P$8),IntRate,Yield,$J63,Expiry-Today,S$12,0)</f>
        <v>0.56676768742412609</v>
      </c>
      <c r="U63" s="59">
        <f t="shared" ca="1" si="31"/>
        <v>0.27390614271380548</v>
      </c>
      <c r="V63" s="59"/>
      <c r="W63" s="62">
        <f t="shared" ca="1" si="30"/>
        <v>0.2786988209928537</v>
      </c>
      <c r="Z63" s="59">
        <f t="shared" ca="1" si="11"/>
        <v>0.2560929106142063</v>
      </c>
      <c r="AA63" s="59">
        <f t="shared" ca="1" si="12"/>
        <v>3.3975763716259814E-2</v>
      </c>
      <c r="AB63" s="59">
        <f t="shared" ca="1" si="4"/>
        <v>-1.154352520103117E-3</v>
      </c>
      <c r="AC63" s="59">
        <f t="shared" ca="1" si="13"/>
        <v>-5.3662470109794467E-3</v>
      </c>
      <c r="AD63" s="60">
        <f t="shared" ca="1" si="5"/>
        <v>0.99464812557207571</v>
      </c>
      <c r="AE63" s="60">
        <f t="shared" ca="1" si="14"/>
        <v>0.25472233351471746</v>
      </c>
      <c r="AF63" s="60"/>
      <c r="AG63" s="97">
        <f t="shared" ca="1" si="15"/>
        <v>0.10359775104681999</v>
      </c>
      <c r="AH63" s="97">
        <f t="shared" ca="1" si="16"/>
        <v>0.1051219531384039</v>
      </c>
      <c r="AI63" s="97">
        <f t="shared" ca="1" si="17"/>
        <v>0.10207278666358563</v>
      </c>
      <c r="AJ63" s="62"/>
      <c r="AK63" s="97">
        <f t="shared" ca="1" si="18"/>
        <v>0.43415779710583191</v>
      </c>
      <c r="AL63" s="97"/>
      <c r="AM63" s="95">
        <v>1.9</v>
      </c>
      <c r="AN63" s="96">
        <f t="shared" si="6"/>
        <v>6.5615814774676581E-2</v>
      </c>
      <c r="AX63" s="107">
        <f t="shared" ca="1" si="19"/>
        <v>0.4909444133930389</v>
      </c>
      <c r="AY63" s="107">
        <f t="shared" ca="1" si="20"/>
        <v>0.49096002237180064</v>
      </c>
      <c r="AZ63" s="107">
        <f t="shared" ca="1" si="21"/>
        <v>0.49092888390519696</v>
      </c>
      <c r="BB63" s="39">
        <f ca="1">_xll.EURO(UnderlyingPrice,$D63,IntRate,Yield,AX63,$D$6,1,0)</f>
        <v>0.63134493092905286</v>
      </c>
      <c r="BC63" s="39">
        <f ca="1">_xll.EURO(UnderlyingPrice,$D63*(1+$P$8),IntRate,Yield,AY63,$D$6,1,0)</f>
        <v>0.63028265274770634</v>
      </c>
      <c r="BD63" s="39">
        <f ca="1">_xll.EURO(UnderlyingPrice,$D63*(1-$P$8),IntRate,Yield,AZ63,$D$6,1,0)</f>
        <v>0.63240880399567789</v>
      </c>
      <c r="BF63" s="59">
        <f t="shared" ca="1" si="22"/>
        <v>0.28274974466673664</v>
      </c>
      <c r="BG63" s="39">
        <f t="shared" ca="1" si="23"/>
        <v>0.28769716405004936</v>
      </c>
      <c r="BI63" s="58">
        <f t="shared" ca="1" si="24"/>
        <v>-3.0076490597103156E-2</v>
      </c>
      <c r="BJ63" s="46">
        <f t="shared" ca="1" si="25"/>
        <v>-4.7638761513209948E-2</v>
      </c>
    </row>
    <row r="64" spans="3:62" x14ac:dyDescent="0.2">
      <c r="C64" s="56">
        <v>51</v>
      </c>
      <c r="D64" s="63">
        <f t="shared" ca="1" si="26"/>
        <v>4.7850000000000072</v>
      </c>
      <c r="E64" s="45">
        <f t="shared" ca="1" si="7"/>
        <v>-1.2383900928791047E-2</v>
      </c>
      <c r="F64" s="45">
        <f t="shared" ca="1" si="8"/>
        <v>-1.1890092879255465E-2</v>
      </c>
      <c r="G64" s="45">
        <f t="shared" ca="1" si="9"/>
        <v>-1.287770897832663E-2</v>
      </c>
      <c r="H64" s="45">
        <f t="shared" ca="1" si="27"/>
        <v>0.51686955006242907</v>
      </c>
      <c r="I64" s="45">
        <f t="shared" ca="1" si="28"/>
        <v>0.51684664937642044</v>
      </c>
      <c r="J64" s="45">
        <f t="shared" ca="1" si="29"/>
        <v>0.51682384592862152</v>
      </c>
      <c r="L64" s="58">
        <f ca="1">_xll.EURO(UnderlyingPrice,$D64,IntRate,Yield,$I64,$D$6,L$12,0)</f>
        <v>0.64617425353682645</v>
      </c>
      <c r="M64" s="58">
        <f ca="1">_xll.EURO(UnderlyingPrice,$D64,IntRate,Yield,$I64,$D$6,M$12,0)</f>
        <v>0.58720605085739086</v>
      </c>
      <c r="O64" s="58">
        <f ca="1">_xll.EURO(UnderlyingPrice,$D64*(1+$P$8),IntRate,Yield,$H64,Expiry-Today,O$12,0)</f>
        <v>0.64514416006399999</v>
      </c>
      <c r="P64" s="58">
        <f ca="1">_xll.EURO(UnderlyingPrice,$D64*(1+$P$8),IntRate,Yield,$H64,Expiry-Today,P$12,0)</f>
        <v>0.5885273144664076</v>
      </c>
      <c r="R64" s="58">
        <f ca="1">_xll.EURO(UnderlyingPrice,$D64*(1-$P$8),IntRate,Yield,$J64,Expiry-Today,R$12,0)</f>
        <v>0.64720589756772551</v>
      </c>
      <c r="S64" s="58">
        <f ca="1">_xll.EURO(UnderlyingPrice,$D64*(1-$P$8),IntRate,Yield,$J64,Expiry-Today,S$12,0)</f>
        <v>0.58588633780644805</v>
      </c>
      <c r="U64" s="59">
        <f t="shared" ca="1" si="31"/>
        <v>0.27088449254930935</v>
      </c>
      <c r="V64" s="59"/>
      <c r="W64" s="62">
        <f t="shared" ca="1" si="30"/>
        <v>0.27562429944341243</v>
      </c>
      <c r="Z64" s="59">
        <f t="shared" ca="1" si="11"/>
        <v>0.25421971273092575</v>
      </c>
      <c r="AA64" s="59">
        <f t="shared" ca="1" si="12"/>
        <v>4.1317170574627554E-2</v>
      </c>
      <c r="AB64" s="59">
        <f t="shared" ca="1" si="4"/>
        <v>-1.707108584292869E-3</v>
      </c>
      <c r="AC64" s="59">
        <f t="shared" ca="1" si="13"/>
        <v>-7.9358481731911859E-3</v>
      </c>
      <c r="AD64" s="60">
        <f t="shared" ca="1" si="5"/>
        <v>0.99209555753802603</v>
      </c>
      <c r="AE64" s="60">
        <f t="shared" ca="1" si="14"/>
        <v>0.25221024763894462</v>
      </c>
      <c r="AF64" s="60"/>
      <c r="AG64" s="97">
        <f t="shared" ca="1" si="15"/>
        <v>0.12598292085192489</v>
      </c>
      <c r="AH64" s="97">
        <f t="shared" ca="1" si="16"/>
        <v>0.12750712294350874</v>
      </c>
      <c r="AI64" s="97">
        <f t="shared" ca="1" si="17"/>
        <v>0.12445795646869059</v>
      </c>
      <c r="AJ64" s="62"/>
      <c r="AK64" s="97">
        <f t="shared" ca="1" si="18"/>
        <v>0.43253206531315636</v>
      </c>
      <c r="AL64" s="97"/>
      <c r="AM64" s="95">
        <v>2</v>
      </c>
      <c r="AN64" s="96">
        <f t="shared" si="6"/>
        <v>5.3990966513188049E-2</v>
      </c>
      <c r="AX64" s="107">
        <f t="shared" ca="1" si="19"/>
        <v>0.49118244780261255</v>
      </c>
      <c r="AY64" s="107">
        <f t="shared" ca="1" si="20"/>
        <v>0.49119934366525492</v>
      </c>
      <c r="AZ64" s="107">
        <f t="shared" ca="1" si="21"/>
        <v>0.49116563151876391</v>
      </c>
      <c r="BB64" s="39">
        <f ca="1">_xll.EURO(UnderlyingPrice,$D64,IntRate,Yield,AX64,$D$6,1,0)</f>
        <v>0.61585114969461685</v>
      </c>
      <c r="BC64" s="39">
        <f ca="1">_xll.EURO(UnderlyingPrice,$D64*(1+$P$8),IntRate,Yield,AY64,$D$6,1,0)</f>
        <v>0.61480459679345811</v>
      </c>
      <c r="BD64" s="39">
        <f ca="1">_xll.EURO(UnderlyingPrice,$D64*(1-$P$8),IntRate,Yield,AZ64,$D$6,1,0)</f>
        <v>0.61689930428017581</v>
      </c>
      <c r="BF64" s="59">
        <f t="shared" ca="1" si="22"/>
        <v>0.27981632783935328</v>
      </c>
      <c r="BG64" s="39">
        <f t="shared" ca="1" si="23"/>
        <v>0.2847124197023238</v>
      </c>
      <c r="BI64" s="58">
        <f t="shared" ca="1" si="24"/>
        <v>-3.0323103842209598E-2</v>
      </c>
      <c r="BJ64" s="46">
        <f t="shared" ca="1" si="25"/>
        <v>-4.9237715732520698E-2</v>
      </c>
    </row>
    <row r="65" spans="3:62" x14ac:dyDescent="0.2">
      <c r="C65" s="56">
        <v>52</v>
      </c>
      <c r="D65" s="63">
        <f t="shared" ca="1" si="26"/>
        <v>4.8200000000000074</v>
      </c>
      <c r="E65" s="45">
        <f t="shared" ca="1" si="7"/>
        <v>-5.1599587203287056E-3</v>
      </c>
      <c r="F65" s="45">
        <f t="shared" ca="1" si="8"/>
        <v>-4.6625386996889118E-3</v>
      </c>
      <c r="G65" s="45">
        <f t="shared" ca="1" si="9"/>
        <v>-5.6573787409683884E-3</v>
      </c>
      <c r="H65" s="45">
        <f t="shared" ca="1" si="27"/>
        <v>0.51721578247358169</v>
      </c>
      <c r="I65" s="45">
        <f t="shared" ca="1" si="28"/>
        <v>0.51719129504901273</v>
      </c>
      <c r="J65" s="45">
        <f t="shared" ca="1" si="29"/>
        <v>0.51716690448212144</v>
      </c>
      <c r="L65" s="58">
        <f ca="1">_xll.EURO(UnderlyingPrice,$D65,IntRate,Yield,$I65,$D$6,L$12,0)</f>
        <v>0.63125890432113652</v>
      </c>
      <c r="M65" s="58">
        <f ca="1">_xll.EURO(UnderlyingPrice,$D65,IntRate,Yield,$I65,$D$6,M$12,0)</f>
        <v>0.60668881987137668</v>
      </c>
      <c r="O65" s="58">
        <f ca="1">_xll.EURO(UnderlyingPrice,$D65*(1+$P$8),IntRate,Yield,$H65,Expiry-Today,O$12,0)</f>
        <v>0.63024398925157854</v>
      </c>
      <c r="P65" s="58">
        <f ca="1">_xll.EURO(UnderlyingPrice,$D65*(1+$P$8),IntRate,Yield,$H65,Expiry-Today,P$12,0)</f>
        <v>0.60804246094277525</v>
      </c>
      <c r="R65" s="58">
        <f ca="1">_xll.EURO(UnderlyingPrice,$D65*(1-$P$8),IntRate,Yield,$J65,Expiry-Today,R$12,0)</f>
        <v>0.63227537432284464</v>
      </c>
      <c r="S65" s="58">
        <f ca="1">_xll.EURO(UnderlyingPrice,$D65*(1-$P$8),IntRate,Yield,$J65,Expiry-Today,S$12,0)</f>
        <v>0.60533673373212737</v>
      </c>
      <c r="U65" s="59">
        <f t="shared" ca="1" si="31"/>
        <v>0.26771786817540394</v>
      </c>
      <c r="V65" s="59"/>
      <c r="W65" s="62">
        <f t="shared" ca="1" si="30"/>
        <v>0.27240226699539682</v>
      </c>
      <c r="Z65" s="59">
        <f t="shared" ca="1" si="11"/>
        <v>0.25237371896628213</v>
      </c>
      <c r="AA65" s="59">
        <f t="shared" ca="1" si="12"/>
        <v>4.8605073732218909E-2</v>
      </c>
      <c r="AB65" s="59">
        <f t="shared" ca="1" si="4"/>
        <v>-2.3624531925144367E-3</v>
      </c>
      <c r="AC65" s="59">
        <f t="shared" ca="1" si="13"/>
        <v>-1.0982353451073143E-2</v>
      </c>
      <c r="AD65" s="60">
        <f t="shared" ca="1" si="5"/>
        <v>0.98907773242996766</v>
      </c>
      <c r="AE65" s="60">
        <f t="shared" ca="1" si="14"/>
        <v>0.24961722568008826</v>
      </c>
      <c r="AF65" s="60"/>
      <c r="AG65" s="97">
        <f t="shared" ca="1" si="15"/>
        <v>0.14820494897993888</v>
      </c>
      <c r="AH65" s="97">
        <f t="shared" ca="1" si="16"/>
        <v>0.14972915107152265</v>
      </c>
      <c r="AI65" s="97">
        <f t="shared" ca="1" si="17"/>
        <v>0.14667998459670495</v>
      </c>
      <c r="AJ65" s="62"/>
      <c r="AK65" s="97">
        <f t="shared" ca="1" si="18"/>
        <v>0.43060257213286834</v>
      </c>
      <c r="AL65" s="97"/>
      <c r="AM65" s="95">
        <v>2.1</v>
      </c>
      <c r="AN65" s="96">
        <f t="shared" si="6"/>
        <v>4.3983595980427184E-2</v>
      </c>
      <c r="AX65" s="107">
        <f t="shared" ca="1" si="19"/>
        <v>0.49143751279644615</v>
      </c>
      <c r="AY65" s="107">
        <f t="shared" ca="1" si="20"/>
        <v>0.49145569664713884</v>
      </c>
      <c r="AZ65" s="107">
        <f t="shared" ca="1" si="21"/>
        <v>0.49141940858910677</v>
      </c>
      <c r="BB65" s="39">
        <f ca="1">_xll.EURO(UnderlyingPrice,$D65,IntRate,Yield,AX65,$D$6,1,0)</f>
        <v>0.60070012738867407</v>
      </c>
      <c r="BC65" s="39">
        <f ca="1">_xll.EURO(UnderlyingPrice,$D65*(1+$P$8),IntRate,Yield,AY65,$D$6,1,0)</f>
        <v>0.59966938955998739</v>
      </c>
      <c r="BD65" s="39">
        <f ca="1">_xll.EURO(UnderlyingPrice,$D65*(1-$P$8),IntRate,Yield,AZ65,$D$6,1,0)</f>
        <v>0.60173247246218908</v>
      </c>
      <c r="BF65" s="59">
        <f t="shared" ca="1" si="22"/>
        <v>0.27672471691927558</v>
      </c>
      <c r="BG65" s="39">
        <f t="shared" ca="1" si="23"/>
        <v>0.28156671325756338</v>
      </c>
      <c r="BI65" s="58">
        <f t="shared" ca="1" si="24"/>
        <v>-3.055877693246245E-2</v>
      </c>
      <c r="BJ65" s="46">
        <f t="shared" ca="1" si="25"/>
        <v>-5.0871933497510062E-2</v>
      </c>
    </row>
    <row r="66" spans="3:62" x14ac:dyDescent="0.2">
      <c r="C66" s="56">
        <v>53</v>
      </c>
      <c r="D66" s="63">
        <f t="shared" ca="1" si="26"/>
        <v>4.8550000000000075</v>
      </c>
      <c r="E66" s="45">
        <f t="shared" ca="1" si="7"/>
        <v>2.0639834881337471E-3</v>
      </c>
      <c r="F66" s="45">
        <f t="shared" ref="F66:F113" ca="1" si="32">+D66*(1+$P$8)/UnderlyingPrice-1</f>
        <v>2.5650154798777525E-3</v>
      </c>
      <c r="G66" s="45">
        <f t="shared" ref="G66:G113" ca="1" si="33">+D66*(1-$P$8)/UnderlyingPrice-1</f>
        <v>1.5629514963897417E-3</v>
      </c>
      <c r="H66" s="45">
        <f t="shared" ref="H66:H113" ca="1" si="34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0.51758243751141264</v>
      </c>
      <c r="I66" s="45">
        <f t="shared" ca="1" si="28"/>
        <v>0.51755636920166759</v>
      </c>
      <c r="J66" s="45">
        <f t="shared" ref="J66:J113" ca="1" si="35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0.51753039732676098</v>
      </c>
      <c r="L66" s="58">
        <f ca="1">_xll.EURO(UnderlyingPrice,$D66,IntRate,Yield,$I66,$D$6,L$12,0)</f>
        <v>0.61667149577124114</v>
      </c>
      <c r="M66" s="58">
        <f ca="1">_xll.EURO(UnderlyingPrice,$D66,IntRate,Yield,$I66,$D$6,M$12,0)</f>
        <v>0.62649952955115618</v>
      </c>
      <c r="O66" s="58">
        <f ca="1">_xll.EURO(UnderlyingPrice,$D66*(1+$P$8),IntRate,Yield,$H66,Expiry-Today,O$12,0)</f>
        <v>0.61567181357795286</v>
      </c>
      <c r="P66" s="58">
        <f ca="1">_xll.EURO(UnderlyingPrice,$D66*(1+$P$8),IntRate,Yield,$H66,Expiry-Today,P$12,0)</f>
        <v>0.62788560255793957</v>
      </c>
      <c r="R66" s="58">
        <f ca="1">_xll.EURO(UnderlyingPrice,$D66*(1-$P$8),IntRate,Yield,$J66,Expiry-Today,R$12,0)</f>
        <v>0.61767273610458817</v>
      </c>
      <c r="S66" s="58">
        <f ca="1">_xll.EURO(UnderlyingPrice,$D66*(1-$P$8),IntRate,Yield,$J66,Expiry-Today,S$12,0)</f>
        <v>0.62511501468443065</v>
      </c>
      <c r="U66" s="59">
        <f t="shared" ca="1" si="31"/>
        <v>0.26441617345957275</v>
      </c>
      <c r="V66" s="59"/>
      <c r="W66" s="62">
        <f t="shared" ref="W66:W112" ca="1" si="36">U66/$D$9</f>
        <v>0.26904280080941229</v>
      </c>
      <c r="Z66" s="59">
        <f t="shared" ca="1" si="11"/>
        <v>0.25055434097167451</v>
      </c>
      <c r="AA66" s="59">
        <f t="shared" ca="1" si="12"/>
        <v>5.5840247412998312E-2</v>
      </c>
      <c r="AB66" s="59">
        <f t="shared" ca="1" si="4"/>
        <v>-3.1181332311448645E-3</v>
      </c>
      <c r="AC66" s="59">
        <f t="shared" ca="1" si="13"/>
        <v>-1.4495288778831704E-2</v>
      </c>
      <c r="AD66" s="60">
        <f t="shared" ca="1" si="5"/>
        <v>0.98560926214466382</v>
      </c>
      <c r="AE66" s="60">
        <f t="shared" ca="1" si="14"/>
        <v>0.24694867913223462</v>
      </c>
      <c r="AF66" s="60"/>
      <c r="AG66" s="97">
        <f t="shared" ca="1" si="15"/>
        <v>0.17026619616842156</v>
      </c>
      <c r="AH66" s="97">
        <f t="shared" ca="1" si="16"/>
        <v>0.17179039826000528</v>
      </c>
      <c r="AI66" s="97">
        <f t="shared" ca="1" si="17"/>
        <v>0.16874123178518738</v>
      </c>
      <c r="AJ66" s="62"/>
      <c r="AK66" s="97">
        <f t="shared" ca="1" si="18"/>
        <v>0.42838028317483295</v>
      </c>
      <c r="AL66" s="97"/>
      <c r="AM66" s="95">
        <v>2.2000000000000002</v>
      </c>
      <c r="AN66" s="96">
        <f t="shared" si="6"/>
        <v>3.5474592846231418E-2</v>
      </c>
      <c r="AX66" s="107">
        <f t="shared" ca="1" si="19"/>
        <v>0.49170937555683014</v>
      </c>
      <c r="AY66" s="107">
        <f t="shared" ca="1" si="20"/>
        <v>0.49172884815034179</v>
      </c>
      <c r="AZ66" s="107">
        <f t="shared" ca="1" si="21"/>
        <v>0.49168998264756814</v>
      </c>
      <c r="BB66" s="39">
        <f ca="1">_xll.EURO(UnderlyingPrice,$D66,IntRate,Yield,AX66,$D$6,1,0)</f>
        <v>0.58588807781395147</v>
      </c>
      <c r="BC66" s="39">
        <f ca="1">_xll.EURO(UnderlyingPrice,$D66*(1+$P$8),IntRate,Yield,AY66,$D$6,1,0)</f>
        <v>0.58487322630849947</v>
      </c>
      <c r="BD66" s="39">
        <f ca="1">_xll.EURO(UnderlyingPrice,$D66*(1-$P$8),IntRate,Yield,AZ66,$D$6,1,0)</f>
        <v>0.586904540899853</v>
      </c>
      <c r="BF66" s="59">
        <f t="shared" ca="1" si="22"/>
        <v>0.2734850011035565</v>
      </c>
      <c r="BG66" s="39">
        <f t="shared" ca="1" si="23"/>
        <v>0.27827031044875078</v>
      </c>
      <c r="BI66" s="58">
        <f t="shared" ca="1" si="24"/>
        <v>-3.0783417957289672E-2</v>
      </c>
      <c r="BJ66" s="46">
        <f t="shared" ca="1" si="25"/>
        <v>-5.2541465039104167E-2</v>
      </c>
    </row>
    <row r="67" spans="3:62" x14ac:dyDescent="0.2">
      <c r="C67" s="56">
        <v>54</v>
      </c>
      <c r="D67" s="63">
        <f t="shared" ca="1" si="26"/>
        <v>4.8900000000000077</v>
      </c>
      <c r="E67" s="45">
        <f t="shared" ca="1" si="7"/>
        <v>9.2879256965960888E-3</v>
      </c>
      <c r="F67" s="45">
        <f t="shared" ca="1" si="32"/>
        <v>9.7925696594443057E-3</v>
      </c>
      <c r="G67" s="45">
        <f t="shared" ca="1" si="33"/>
        <v>8.7832817337478719E-3</v>
      </c>
      <c r="H67" s="45">
        <f t="shared" ca="1" si="34"/>
        <v>0.51796913322404703</v>
      </c>
      <c r="I67" s="45">
        <f t="shared" ca="1" si="28"/>
        <v>0.51794149045486526</v>
      </c>
      <c r="J67" s="45">
        <f t="shared" ca="1" si="35"/>
        <v>0.51791394365480359</v>
      </c>
      <c r="L67" s="58">
        <f ca="1">_xll.EURO(UnderlyingPrice,$D67,IntRate,Yield,$I67,$D$6,L$12,0)</f>
        <v>0.6024079843091501</v>
      </c>
      <c r="M67" s="58">
        <f ca="1">_xll.EURO(UnderlyingPrice,$D67,IntRate,Yield,$I67,$D$6,M$12,0)</f>
        <v>0.64663413631874045</v>
      </c>
      <c r="O67" s="58">
        <f ca="1">_xll.EURO(UnderlyingPrice,$D67*(1+$P$8),IntRate,Yield,$H67,Expiry-Today,O$12,0)</f>
        <v>0.60142357239210265</v>
      </c>
      <c r="P67" s="58">
        <f ca="1">_xll.EURO(UnderlyingPrice,$D67*(1+$P$8),IntRate,Yield,$H67,Expiry-Today,P$12,0)</f>
        <v>0.64805267866087934</v>
      </c>
      <c r="R67" s="58">
        <f ca="1">_xll.EURO(UnderlyingPrice,$D67*(1-$P$8),IntRate,Yield,$J67,Expiry-Today,R$12,0)</f>
        <v>0.60339395642630089</v>
      </c>
      <c r="S67" s="58">
        <f ca="1">_xll.EURO(UnderlyingPrice,$D67*(1-$P$8),IntRate,Yield,$J67,Expiry-Today,S$12,0)</f>
        <v>0.64521715417670356</v>
      </c>
      <c r="U67" s="59">
        <f t="shared" ca="1" si="31"/>
        <v>0.26098922358711241</v>
      </c>
      <c r="V67" s="59"/>
      <c r="W67" s="62">
        <f t="shared" ca="1" si="36"/>
        <v>0.26555588781215889</v>
      </c>
      <c r="Z67" s="59">
        <f t="shared" ca="1" si="11"/>
        <v>0.24876100724283842</v>
      </c>
      <c r="AA67" s="59">
        <f t="shared" ca="1" si="12"/>
        <v>6.3023449156490732E-2</v>
      </c>
      <c r="AB67" s="59">
        <f t="shared" ca="1" si="4"/>
        <v>-3.9719551435807724E-3</v>
      </c>
      <c r="AC67" s="59">
        <f t="shared" ca="1" si="13"/>
        <v>-1.8464456953826165E-2</v>
      </c>
      <c r="AD67" s="60">
        <f t="shared" ca="1" si="5"/>
        <v>0.98170496675666341</v>
      </c>
      <c r="AE67" s="60">
        <f t="shared" ca="1" si="14"/>
        <v>0.24420991634568479</v>
      </c>
      <c r="AF67" s="60"/>
      <c r="AG67" s="97">
        <f t="shared" ca="1" si="15"/>
        <v>0.19216897228130336</v>
      </c>
      <c r="AH67" s="97">
        <f t="shared" ca="1" si="16"/>
        <v>0.19369317437288702</v>
      </c>
      <c r="AI67" s="97">
        <f t="shared" ca="1" si="17"/>
        <v>0.19064400789806921</v>
      </c>
      <c r="AJ67" s="62"/>
      <c r="AK67" s="97">
        <f t="shared" ca="1" si="18"/>
        <v>0.4258764820241725</v>
      </c>
      <c r="AL67" s="97"/>
      <c r="AM67" s="95">
        <v>2.2999999999999998</v>
      </c>
      <c r="AN67" s="96">
        <f t="shared" si="6"/>
        <v>2.8327037741601183E-2</v>
      </c>
      <c r="AX67" s="107">
        <f t="shared" ca="1" si="19"/>
        <v>0.49199780326605524</v>
      </c>
      <c r="AY67" s="107">
        <f t="shared" ca="1" si="20"/>
        <v>0.49201856500775326</v>
      </c>
      <c r="AZ67" s="107">
        <f t="shared" ca="1" si="21"/>
        <v>0.49197712122549053</v>
      </c>
      <c r="BB67" s="39">
        <f ca="1">_xll.EURO(UnderlyingPrice,$D67,IntRate,Yield,AX67,$D$6,1,0)</f>
        <v>0.57141103333626653</v>
      </c>
      <c r="BC67" s="39">
        <f ca="1">_xll.EURO(UnderlyingPrice,$D67*(1+$P$8),IntRate,Yield,AY67,$D$6,1,0)</f>
        <v>0.57041212134917352</v>
      </c>
      <c r="BD67" s="39">
        <f ca="1">_xll.EURO(UnderlyingPrice,$D67*(1-$P$8),IntRate,Yield,AZ67,$D$6,1,0)</f>
        <v>0.57241156003085791</v>
      </c>
      <c r="BF67" s="59">
        <f t="shared" ca="1" si="22"/>
        <v>0.27010718395729827</v>
      </c>
      <c r="BG67" s="39">
        <f t="shared" ca="1" si="23"/>
        <v>0.27483338987857125</v>
      </c>
      <c r="BI67" s="58">
        <f t="shared" ca="1" si="24"/>
        <v>-3.0996950972883575E-2</v>
      </c>
      <c r="BJ67" s="46">
        <f t="shared" ca="1" si="25"/>
        <v>-5.4246329112518817E-2</v>
      </c>
    </row>
    <row r="68" spans="3:62" x14ac:dyDescent="0.2">
      <c r="C68" s="56">
        <v>55</v>
      </c>
      <c r="D68" s="63">
        <f t="shared" ca="1" si="26"/>
        <v>4.9250000000000078</v>
      </c>
      <c r="E68" s="45">
        <f t="shared" ca="1" si="7"/>
        <v>1.651186790505843E-2</v>
      </c>
      <c r="F68" s="45">
        <f t="shared" ca="1" si="32"/>
        <v>1.7020123839010859E-2</v>
      </c>
      <c r="G68" s="45">
        <f t="shared" ca="1" si="33"/>
        <v>1.600361197110578E-2</v>
      </c>
      <c r="H68" s="45">
        <f t="shared" ca="1" si="34"/>
        <v>0.51837548765960928</v>
      </c>
      <c r="I68" s="45">
        <f t="shared" ca="1" si="28"/>
        <v>0.5183462774290859</v>
      </c>
      <c r="J68" s="45">
        <f t="shared" ca="1" si="35"/>
        <v>0.51831716265851269</v>
      </c>
      <c r="L68" s="58">
        <f ca="1">_xll.EURO(UnderlyingPrice,$D68,IntRate,Yield,$I68,$D$6,L$12,0)</f>
        <v>0.58846417290739295</v>
      </c>
      <c r="M68" s="58">
        <f ca="1">_xll.EURO(UnderlyingPrice,$D68,IntRate,Yield,$I68,$D$6,M$12,0)</f>
        <v>0.66708844314665816</v>
      </c>
      <c r="O68" s="58">
        <f ca="1">_xll.EURO(UnderlyingPrice,$D68*(1+$P$8),IntRate,Yield,$H68,Expiry-Today,O$12,0)</f>
        <v>0.58749505211679764</v>
      </c>
      <c r="P68" s="58">
        <f ca="1">_xll.EURO(UnderlyingPrice,$D68*(1+$P$8),IntRate,Yield,$H68,Expiry-Today,P$12,0)</f>
        <v>0.66853947567436478</v>
      </c>
      <c r="R68" s="58">
        <f ca="1">_xll.EURO(UnderlyingPrice,$D68*(1-$P$8),IntRate,Yield,$J68,Expiry-Today,R$12,0)</f>
        <v>0.58943485483073665</v>
      </c>
      <c r="S68" s="58">
        <f ca="1">_xll.EURO(UnderlyingPrice,$D68*(1-$P$8),IntRate,Yield,$J68,Expiry-Today,S$12,0)</f>
        <v>0.6656389717516995</v>
      </c>
      <c r="U68" s="59">
        <f t="shared" ca="1" si="31"/>
        <v>0.25744671570518263</v>
      </c>
      <c r="V68" s="59"/>
      <c r="W68" s="62">
        <f t="shared" ca="1" si="36"/>
        <v>0.26195139482682522</v>
      </c>
      <c r="Z68" s="59">
        <f t="shared" ca="1" si="11"/>
        <v>0.24699316252131567</v>
      </c>
      <c r="AA68" s="59">
        <f t="shared" ca="1" si="12"/>
        <v>7.0155420293762275E-2</v>
      </c>
      <c r="AB68" s="59">
        <f t="shared" ca="1" si="4"/>
        <v>-4.9217829965944315E-3</v>
      </c>
      <c r="AC68" s="59">
        <f t="shared" ca="1" si="13"/>
        <v>-2.2879928647624056E-2</v>
      </c>
      <c r="AD68" s="60">
        <f t="shared" ca="1" si="5"/>
        <v>0.97737983204627199</v>
      </c>
      <c r="AE68" s="60">
        <f t="shared" ca="1" si="14"/>
        <v>0.24140613570166108</v>
      </c>
      <c r="AF68" s="60"/>
      <c r="AG68" s="97">
        <f t="shared" ca="1" si="15"/>
        <v>0.21391553776022937</v>
      </c>
      <c r="AH68" s="97">
        <f t="shared" ca="1" si="16"/>
        <v>0.215439739851813</v>
      </c>
      <c r="AI68" s="97">
        <f t="shared" ca="1" si="17"/>
        <v>0.21239057337699466</v>
      </c>
      <c r="AJ68" s="62"/>
      <c r="AK68" s="97">
        <f t="shared" ca="1" si="18"/>
        <v>0.42310271681672468</v>
      </c>
      <c r="AL68" s="97"/>
      <c r="AM68" s="95">
        <v>2.4000000000000101</v>
      </c>
      <c r="AN68" s="96">
        <f t="shared" si="6"/>
        <v>2.2394530294842351E-2</v>
      </c>
      <c r="AX68" s="107">
        <f t="shared" ca="1" si="19"/>
        <v>0.49230256310641207</v>
      </c>
      <c r="AY68" s="107">
        <f t="shared" ca="1" si="20"/>
        <v>0.49232461405226247</v>
      </c>
      <c r="AZ68" s="107">
        <f t="shared" ca="1" si="21"/>
        <v>0.49228059185421663</v>
      </c>
      <c r="BB68" s="39">
        <f ca="1">_xll.EURO(UnderlyingPrice,$D68,IntRate,Yield,AX68,$D$6,1,0)</f>
        <v>0.55726485713549589</v>
      </c>
      <c r="BC68" s="39">
        <f ca="1">_xll.EURO(UnderlyingPrice,$D68*(1+$P$8),IntRate,Yield,AY68,$D$6,1,0)</f>
        <v>0.55628192031424328</v>
      </c>
      <c r="BD68" s="39">
        <f ca="1">_xll.EURO(UnderlyingPrice,$D68*(1-$P$8),IntRate,Yield,AZ68,$D$6,1,0)</f>
        <v>0.55824941060116906</v>
      </c>
      <c r="BF68" s="59">
        <f t="shared" ca="1" si="22"/>
        <v>0.26660115673037177</v>
      </c>
      <c r="BG68" s="39">
        <f t="shared" ca="1" si="23"/>
        <v>0.27126601586924054</v>
      </c>
      <c r="BI68" s="58">
        <f t="shared" ca="1" si="24"/>
        <v>-3.1199315771897052E-2</v>
      </c>
      <c r="BJ68" s="46">
        <f t="shared" ca="1" si="25"/>
        <v>-5.5986512288376922E-2</v>
      </c>
    </row>
    <row r="69" spans="3:62" x14ac:dyDescent="0.2">
      <c r="C69" s="56">
        <v>56</v>
      </c>
      <c r="D69" s="63">
        <f t="shared" ca="1" si="26"/>
        <v>4.960000000000008</v>
      </c>
      <c r="E69" s="45">
        <f t="shared" ca="1" si="7"/>
        <v>2.3735810113520772E-2</v>
      </c>
      <c r="F69" s="45">
        <f t="shared" ca="1" si="32"/>
        <v>2.4247678018577412E-2</v>
      </c>
      <c r="G69" s="45">
        <f t="shared" ca="1" si="33"/>
        <v>2.3223942208464132E-2</v>
      </c>
      <c r="H69" s="45">
        <f t="shared" ca="1" si="34"/>
        <v>0.51880111886622426</v>
      </c>
      <c r="I69" s="45">
        <f t="shared" ca="1" si="28"/>
        <v>0.51877034874480954</v>
      </c>
      <c r="J69" s="45">
        <f t="shared" ca="1" si="35"/>
        <v>0.51873967353015171</v>
      </c>
      <c r="L69" s="58">
        <f ca="1">_xll.EURO(UnderlyingPrice,$D69,IntRate,Yield,$I69,$D$6,L$12,0)</f>
        <v>0.57483572296627439</v>
      </c>
      <c r="M69" s="58">
        <f ca="1">_xll.EURO(UnderlyingPrice,$D69,IntRate,Yield,$I69,$D$6,M$12,0)</f>
        <v>0.68785811143521469</v>
      </c>
      <c r="O69" s="58">
        <f ca="1">_xll.EURO(UnderlyingPrice,$D69*(1+$P$8),IntRate,Yield,$H69,Expiry-Today,O$12,0)</f>
        <v>0.57388189814439006</v>
      </c>
      <c r="P69" s="58">
        <f ca="1">_xll.EURO(UnderlyingPrice,$D69*(1+$P$8),IntRate,Yield,$H69,Expiry-Today,P$12,0)</f>
        <v>0.68934163899074674</v>
      </c>
      <c r="R69" s="58">
        <f ca="1">_xll.EURO(UnderlyingPrice,$D69*(1-$P$8),IntRate,Yield,$J69,Expiry-Today,R$12,0)</f>
        <v>0.57579110874864914</v>
      </c>
      <c r="S69" s="58">
        <f ca="1">_xll.EURO(UnderlyingPrice,$D69*(1-$P$8),IntRate,Yield,$J69,Expiry-Today,S$12,0)</f>
        <v>0.6863761448401724</v>
      </c>
      <c r="U69" s="59">
        <f t="shared" ca="1" si="31"/>
        <v>0.25379820668915465</v>
      </c>
      <c r="V69" s="59"/>
      <c r="W69" s="62">
        <f t="shared" ca="1" si="36"/>
        <v>0.25823904595040276</v>
      </c>
      <c r="Z69" s="59">
        <f t="shared" ca="1" si="11"/>
        <v>0.24525026722126611</v>
      </c>
      <c r="AA69" s="59">
        <f t="shared" ca="1" si="12"/>
        <v>7.723688640654619E-2</v>
      </c>
      <c r="AB69" s="59">
        <f t="shared" ca="1" si="4"/>
        <v>-5.96553662177772E-3</v>
      </c>
      <c r="AC69" s="59">
        <f t="shared" ca="1" si="13"/>
        <v>-2.7732033766118058E-2</v>
      </c>
      <c r="AD69" s="60">
        <f t="shared" ca="1" si="5"/>
        <v>0.97264896896449993</v>
      </c>
      <c r="AE69" s="60">
        <f t="shared" ca="1" si="14"/>
        <v>0.23854241955103259</v>
      </c>
      <c r="AF69" s="60"/>
      <c r="AG69" s="97">
        <f t="shared" ca="1" si="15"/>
        <v>0.23550810502451103</v>
      </c>
      <c r="AH69" s="97">
        <f t="shared" ca="1" si="16"/>
        <v>0.23703230711609458</v>
      </c>
      <c r="AI69" s="97">
        <f t="shared" ca="1" si="17"/>
        <v>0.23398314064127698</v>
      </c>
      <c r="AJ69" s="62"/>
      <c r="AK69" s="97">
        <f t="shared" ca="1" si="18"/>
        <v>0.4200707565468767</v>
      </c>
      <c r="AL69" s="97"/>
      <c r="AM69" s="95">
        <v>2.5</v>
      </c>
      <c r="AN69" s="96">
        <f t="shared" si="6"/>
        <v>1.7528300493568537E-2</v>
      </c>
      <c r="AX69" s="107">
        <f t="shared" ca="1" si="19"/>
        <v>0.49262342226019123</v>
      </c>
      <c r="AY69" s="107">
        <f t="shared" ca="1" si="20"/>
        <v>0.49264676211675901</v>
      </c>
      <c r="AZ69" s="107">
        <f t="shared" ca="1" si="21"/>
        <v>0.49260016206508905</v>
      </c>
      <c r="BB69" s="39">
        <f ca="1">_xll.EURO(UnderlyingPrice,$D69,IntRate,Yield,AX69,$D$6,1,0)</f>
        <v>0.54344525531973642</v>
      </c>
      <c r="BC69" s="39">
        <f ca="1">_xll.EURO(UnderlyingPrice,$D69*(1+$P$8),IntRate,Yield,AY69,$D$6,1,0)</f>
        <v>0.54247831229183041</v>
      </c>
      <c r="BD69" s="39">
        <f ca="1">_xll.EURO(UnderlyingPrice,$D69*(1-$P$8),IntRate,Yield,AZ69,$D$6,1,0)</f>
        <v>0.54441381575937453</v>
      </c>
      <c r="BF69" s="59">
        <f t="shared" ca="1" si="22"/>
        <v>0.26297667340370784</v>
      </c>
      <c r="BG69" s="39">
        <f t="shared" ca="1" si="23"/>
        <v>0.26757811307216833</v>
      </c>
      <c r="BI69" s="58">
        <f t="shared" ca="1" si="24"/>
        <v>-3.1390467646537967E-2</v>
      </c>
      <c r="BJ69" s="46">
        <f t="shared" ca="1" si="25"/>
        <v>-5.7761968366196077E-2</v>
      </c>
    </row>
    <row r="70" spans="3:62" x14ac:dyDescent="0.2">
      <c r="C70" s="56">
        <v>57</v>
      </c>
      <c r="D70" s="63">
        <f t="shared" ca="1" si="26"/>
        <v>4.9950000000000081</v>
      </c>
      <c r="E70" s="45">
        <f t="shared" ca="1" si="7"/>
        <v>3.0959752321983114E-2</v>
      </c>
      <c r="F70" s="45">
        <f t="shared" ca="1" si="32"/>
        <v>3.1475232198143965E-2</v>
      </c>
      <c r="G70" s="45">
        <f t="shared" ca="1" si="33"/>
        <v>3.0444272445822262E-2</v>
      </c>
      <c r="H70" s="45">
        <f t="shared" ca="1" si="34"/>
        <v>0.51924564489201697</v>
      </c>
      <c r="I70" s="45">
        <f t="shared" ca="1" si="28"/>
        <v>0.51921332302251644</v>
      </c>
      <c r="J70" s="45">
        <f t="shared" ca="1" si="35"/>
        <v>0.51918109546198421</v>
      </c>
      <c r="L70" s="58">
        <f ca="1">_xll.EURO(UnderlyingPrice,$D70,IntRate,Yield,$I70,$D$6,L$12,0)</f>
        <v>0.56151816601631621</v>
      </c>
      <c r="M70" s="58">
        <f ca="1">_xll.EURO(UnderlyingPrice,$D70,IntRate,Yield,$I70,$D$6,M$12,0)</f>
        <v>0.70893867271493161</v>
      </c>
      <c r="O70" s="58">
        <f ca="1">_xll.EURO(UnderlyingPrice,$D70*(1+$P$8),IntRate,Yield,$H70,Expiry-Today,O$12,0)</f>
        <v>0.56057962655509219</v>
      </c>
      <c r="P70" s="58">
        <f ca="1">_xll.EURO(UnderlyingPrice,$D70*(1+$P$8),IntRate,Yield,$H70,Expiry-Today,P$12,0)</f>
        <v>0.71045468469023776</v>
      </c>
      <c r="R70" s="58">
        <f ca="1">_xll.EURO(UnderlyingPrice,$D70*(1-$P$8),IntRate,Yield,$J70,Expiry-Today,R$12,0)</f>
        <v>0.56245826518521436</v>
      </c>
      <c r="S70" s="58">
        <f ca="1">_xll.EURO(UnderlyingPrice,$D70*(1-$P$8),IntRate,Yield,$J70,Expiry-Today,S$12,0)</f>
        <v>0.70742422044729825</v>
      </c>
      <c r="U70" s="59">
        <f t="shared" ca="1" si="31"/>
        <v>0.25005308397499837</v>
      </c>
      <c r="V70" s="59"/>
      <c r="W70" s="62">
        <f t="shared" ca="1" si="36"/>
        <v>0.25442839287571251</v>
      </c>
      <c r="Z70" s="59">
        <f t="shared" ca="1" si="11"/>
        <v>0.24353179688037632</v>
      </c>
      <c r="AA70" s="59">
        <f t="shared" ca="1" si="12"/>
        <v>8.4268557770226904E-2</v>
      </c>
      <c r="AB70" s="59">
        <f t="shared" ca="1" si="4"/>
        <v>-7.1011898286740694E-3</v>
      </c>
      <c r="AC70" s="59">
        <f t="shared" ca="1" si="13"/>
        <v>-3.3011353142899401E-2</v>
      </c>
      <c r="AD70" s="60">
        <f t="shared" ca="1" si="5"/>
        <v>0.96752757504785891</v>
      </c>
      <c r="AE70" s="60">
        <f t="shared" ca="1" si="14"/>
        <v>0.23562372888271824</v>
      </c>
      <c r="AF70" s="60"/>
      <c r="AG70" s="97">
        <f t="shared" ca="1" si="15"/>
        <v>0.2569488398218579</v>
      </c>
      <c r="AH70" s="97">
        <f t="shared" ca="1" si="16"/>
        <v>0.25847304191344145</v>
      </c>
      <c r="AI70" s="97">
        <f t="shared" ca="1" si="17"/>
        <v>0.25542387543862394</v>
      </c>
      <c r="AJ70" s="62"/>
      <c r="AK70" s="97">
        <f t="shared" ca="1" si="18"/>
        <v>0.41679253425815205</v>
      </c>
      <c r="AL70" s="97"/>
      <c r="AM70" s="95">
        <v>2.6</v>
      </c>
      <c r="AN70" s="96">
        <f t="shared" si="6"/>
        <v>1.3582969233685611E-2</v>
      </c>
      <c r="AX70" s="107">
        <f t="shared" ca="1" si="19"/>
        <v>0.4929601479096834</v>
      </c>
      <c r="AY70" s="107">
        <f t="shared" ca="1" si="20"/>
        <v>0.49298477603413221</v>
      </c>
      <c r="AZ70" s="107">
        <f t="shared" ca="1" si="21"/>
        <v>0.49293559938945031</v>
      </c>
      <c r="BB70" s="39">
        <f ca="1">_xll.EURO(UnderlyingPrice,$D70,IntRate,Yield,AX70,$D$6,1,0)</f>
        <v>0.52994778887413352</v>
      </c>
      <c r="BC70" s="39">
        <f ca="1">_xll.EURO(UnderlyingPrice,$D70*(1+$P$8),IntRate,Yield,AY70,$D$6,1,0)</f>
        <v>0.52899684179205164</v>
      </c>
      <c r="BD70" s="39">
        <f ca="1">_xll.EURO(UnderlyingPrice,$D70*(1-$P$8),IntRate,Yield,AZ70,$D$6,1,0)</f>
        <v>0.53090035298814597</v>
      </c>
      <c r="BF70" s="59">
        <f t="shared" ca="1" si="22"/>
        <v>0.25924333632188346</v>
      </c>
      <c r="BG70" s="39">
        <f t="shared" ca="1" si="23"/>
        <v>0.26377945184915036</v>
      </c>
      <c r="BI70" s="58">
        <f t="shared" ca="1" si="24"/>
        <v>-3.1570377142182693E-2</v>
      </c>
      <c r="BJ70" s="46">
        <f t="shared" ca="1" si="25"/>
        <v>-5.9572617916292293E-2</v>
      </c>
    </row>
    <row r="71" spans="3:62" x14ac:dyDescent="0.2">
      <c r="C71" s="56">
        <v>58</v>
      </c>
      <c r="D71" s="63">
        <f t="shared" ca="1" si="26"/>
        <v>5.0300000000000082</v>
      </c>
      <c r="E71" s="45">
        <f t="shared" ca="1" si="7"/>
        <v>3.8183694530445456E-2</v>
      </c>
      <c r="F71" s="45">
        <f t="shared" ca="1" si="32"/>
        <v>3.8702786377710741E-2</v>
      </c>
      <c r="G71" s="45">
        <f t="shared" ca="1" si="33"/>
        <v>3.7664602683180393E-2</v>
      </c>
      <c r="H71" s="45">
        <f t="shared" ca="1" si="34"/>
        <v>0.51970868378511192</v>
      </c>
      <c r="I71" s="45">
        <f t="shared" ca="1" si="28"/>
        <v>0.51967481888268652</v>
      </c>
      <c r="J71" s="45">
        <f t="shared" ca="1" si="35"/>
        <v>0.51964104764627339</v>
      </c>
      <c r="L71" s="58">
        <f ca="1">_xll.EURO(UnderlyingPrice,$D71,IntRate,Yield,$I71,$D$6,L$12,0)</f>
        <v>0.54850691521661421</v>
      </c>
      <c r="M71" s="58">
        <f ca="1">_xll.EURO(UnderlyingPrice,$D71,IntRate,Yield,$I71,$D$6,M$12,0)</f>
        <v>0.73032554014490492</v>
      </c>
      <c r="O71" s="58">
        <f ca="1">_xll.EURO(UnderlyingPrice,$D71*(1+$P$8),IntRate,Yield,$H71,Expiry-Today,O$12,0)</f>
        <v>0.54758363562862278</v>
      </c>
      <c r="P71" s="58">
        <f ca="1">_xll.EURO(UnderlyingPrice,$D71*(1+$P$8),IntRate,Yield,$H71,Expiry-Today,P$12,0)</f>
        <v>0.73187401105255967</v>
      </c>
      <c r="R71" s="58">
        <f ca="1">_xll.EURO(UnderlyingPrice,$D71*(1-$P$8),IntRate,Yield,$J71,Expiry-Today,R$12,0)</f>
        <v>0.54943175220495744</v>
      </c>
      <c r="S71" s="58">
        <f ca="1">_xll.EURO(UnderlyingPrice,$D71*(1-$P$8),IntRate,Yield,$J71,Expiry-Today,S$12,0)</f>
        <v>0.72877862663760151</v>
      </c>
      <c r="U71" s="59">
        <f t="shared" ca="1" si="31"/>
        <v>0.24622054579760116</v>
      </c>
      <c r="V71" s="59"/>
      <c r="W71" s="62">
        <f t="shared" ca="1" si="36"/>
        <v>0.25052879478394302</v>
      </c>
      <c r="Z71" s="59">
        <f t="shared" ca="1" si="11"/>
        <v>0.2418372416336938</v>
      </c>
      <c r="AA71" s="59">
        <f t="shared" ca="1" si="12"/>
        <v>9.1251129781357909E-2</v>
      </c>
      <c r="AB71" s="59">
        <f t="shared" ca="1" si="4"/>
        <v>-8.3267686863742248E-3</v>
      </c>
      <c r="AC71" s="59">
        <f t="shared" ca="1" si="13"/>
        <v>-3.8708710550899486E-2</v>
      </c>
      <c r="AD71" s="60">
        <f t="shared" ca="1" si="5"/>
        <v>0.96203089778662221</v>
      </c>
      <c r="AE71" s="60">
        <f t="shared" ca="1" si="14"/>
        <v>0.23265489868710273</v>
      </c>
      <c r="AF71" s="60"/>
      <c r="AG71" s="97">
        <f t="shared" ca="1" si="15"/>
        <v>0.27823986253195099</v>
      </c>
      <c r="AH71" s="97">
        <f t="shared" ca="1" si="16"/>
        <v>0.27976406462353509</v>
      </c>
      <c r="AI71" s="97">
        <f t="shared" ca="1" si="17"/>
        <v>0.27671489814871703</v>
      </c>
      <c r="AJ71" s="62"/>
      <c r="AK71" s="97">
        <f t="shared" ca="1" si="18"/>
        <v>0.41328010397937531</v>
      </c>
      <c r="AL71" s="97"/>
      <c r="AM71" s="95">
        <v>2.7000000000000099</v>
      </c>
      <c r="AN71" s="96">
        <f t="shared" si="6"/>
        <v>1.0420934814422318E-2</v>
      </c>
      <c r="AX71" s="107">
        <f t="shared" ca="1" si="19"/>
        <v>0.49331250723717907</v>
      </c>
      <c r="AY71" s="107">
        <f t="shared" ca="1" si="20"/>
        <v>0.49333842263727146</v>
      </c>
      <c r="AZ71" s="107">
        <f t="shared" ca="1" si="21"/>
        <v>0.49328667135864307</v>
      </c>
      <c r="BB71" s="39">
        <f ca="1">_xll.EURO(UnderlyingPrice,$D71,IntRate,Yield,AX71,$D$6,1,0)</f>
        <v>0.51676788541755392</v>
      </c>
      <c r="BC71" s="39">
        <f ca="1">_xll.EURO(UnderlyingPrice,$D71*(1+$P$8),IntRate,Yield,AY71,$D$6,1,0)</f>
        <v>0.51583292051848684</v>
      </c>
      <c r="BD71" s="39">
        <f ca="1">_xll.EURO(UnderlyingPrice,$D71*(1-$P$8),IntRate,Yield,AZ71,$D$6,1,0)</f>
        <v>0.51770446584590402</v>
      </c>
      <c r="BF71" s="59">
        <f t="shared" ca="1" si="22"/>
        <v>0.25541056373752152</v>
      </c>
      <c r="BG71" s="39">
        <f t="shared" ca="1" si="23"/>
        <v>0.25987961524887554</v>
      </c>
      <c r="BI71" s="58">
        <f t="shared" ca="1" si="24"/>
        <v>-3.1739029799060292E-2</v>
      </c>
      <c r="BJ71" s="46">
        <f t="shared" ca="1" si="25"/>
        <v>-6.1418347955997342E-2</v>
      </c>
    </row>
    <row r="72" spans="3:62" x14ac:dyDescent="0.2">
      <c r="C72" s="56">
        <v>59</v>
      </c>
      <c r="D72" s="63">
        <f t="shared" ca="1" si="26"/>
        <v>5.0650000000000084</v>
      </c>
      <c r="E72" s="45">
        <f t="shared" ca="1" si="7"/>
        <v>4.5407636738907797E-2</v>
      </c>
      <c r="F72" s="45">
        <f t="shared" ca="1" si="32"/>
        <v>4.5930340557277294E-2</v>
      </c>
      <c r="G72" s="45">
        <f t="shared" ca="1" si="33"/>
        <v>4.4884932920538301E-2</v>
      </c>
      <c r="H72" s="45">
        <f t="shared" ca="1" si="34"/>
        <v>0.52018985359363401</v>
      </c>
      <c r="I72" s="45">
        <f t="shared" ca="1" si="28"/>
        <v>0.52015445494580004</v>
      </c>
      <c r="J72" s="45">
        <f t="shared" ca="1" si="35"/>
        <v>0.5201191492752828</v>
      </c>
      <c r="L72" s="58">
        <f ca="1">_xll.EURO(UnderlyingPrice,$D72,IntRate,Yield,$I72,$D$6,L$12,0)</f>
        <v>0.53579727662204268</v>
      </c>
      <c r="M72" s="58">
        <f ca="1">_xll.EURO(UnderlyingPrice,$D72,IntRate,Yield,$I72,$D$6,M$12,0)</f>
        <v>0.75201401978000781</v>
      </c>
      <c r="O72" s="58">
        <f ca="1">_xll.EURO(UnderlyingPrice,$D72*(1+$P$8),IntRate,Yield,$H72,Expiry-Today,O$12,0)</f>
        <v>0.53488921712215776</v>
      </c>
      <c r="P72" s="58">
        <f ca="1">_xll.EURO(UnderlyingPrice,$D72*(1+$P$8),IntRate,Yield,$H72,Expiry-Today,P$12,0)</f>
        <v>0.75359490983488442</v>
      </c>
      <c r="R72" s="58">
        <f ca="1">_xll.EURO(UnderlyingPrice,$D72*(1-$P$8),IntRate,Yield,$J72,Expiry-Today,R$12,0)</f>
        <v>0.53670689018807383</v>
      </c>
      <c r="S72" s="58">
        <f ca="1">_xll.EURO(UnderlyingPrice,$D72*(1-$P$8),IntRate,Yield,$J72,Expiry-Today,S$12,0)</f>
        <v>0.75043468379127809</v>
      </c>
      <c r="U72" s="59">
        <f t="shared" ca="1" si="31"/>
        <v>0.24230958389338733</v>
      </c>
      <c r="V72" s="59"/>
      <c r="W72" s="62">
        <f t="shared" ca="1" si="36"/>
        <v>0.24654940074460874</v>
      </c>
      <c r="Z72" s="59">
        <f t="shared" ca="1" si="11"/>
        <v>0.24016610570927535</v>
      </c>
      <c r="AA72" s="59">
        <f t="shared" ca="1" si="12"/>
        <v>9.8185283370356757E-2</v>
      </c>
      <c r="AB72" s="59">
        <f t="shared" ca="1" si="4"/>
        <v>-9.6403498705172549E-3</v>
      </c>
      <c r="AC72" s="59">
        <f t="shared" ca="1" si="13"/>
        <v>-4.4815165018081395E-2</v>
      </c>
      <c r="AD72" s="60">
        <f t="shared" ca="1" si="5"/>
        <v>0.95617419994170982</v>
      </c>
      <c r="AE72" s="60">
        <f t="shared" ca="1" si="14"/>
        <v>0.22964063397968246</v>
      </c>
      <c r="AF72" s="60"/>
      <c r="AG72" s="97">
        <f t="shared" ca="1" si="15"/>
        <v>0.29938324942481803</v>
      </c>
      <c r="AH72" s="97">
        <f t="shared" ca="1" si="16"/>
        <v>0.30090745151640208</v>
      </c>
      <c r="AI72" s="97">
        <f t="shared" ca="1" si="17"/>
        <v>0.29785828504158357</v>
      </c>
      <c r="AJ72" s="62"/>
      <c r="AK72" s="97">
        <f t="shared" ca="1" si="18"/>
        <v>0.40954560044012484</v>
      </c>
      <c r="AL72" s="97"/>
      <c r="AM72" s="95">
        <v>2.80000000000001</v>
      </c>
      <c r="AN72" s="96">
        <f t="shared" si="6"/>
        <v>7.9154515829797413E-3</v>
      </c>
      <c r="AX72" s="107">
        <f t="shared" ca="1" si="19"/>
        <v>0.49368026742496884</v>
      </c>
      <c r="AY72" s="107">
        <f t="shared" ca="1" si="20"/>
        <v>0.49370746875906613</v>
      </c>
      <c r="AZ72" s="107">
        <f t="shared" ca="1" si="21"/>
        <v>0.49365314550400979</v>
      </c>
      <c r="BB72" s="39">
        <f ca="1">_xll.EURO(UnderlyingPrice,$D72,IntRate,Yield,AX72,$D$6,1,0)</f>
        <v>0.50390085074186164</v>
      </c>
      <c r="BC72" s="39">
        <f ca="1">_xll.EURO(UnderlyingPrice,$D72*(1+$P$8),IntRate,Yield,AY72,$D$6,1,0)</f>
        <v>0.50298183891995829</v>
      </c>
      <c r="BD72" s="39">
        <f ca="1">_xll.EURO(UnderlyingPrice,$D72*(1-$P$8),IntRate,Yield,AZ72,$D$6,1,0)</f>
        <v>0.50482147549352319</v>
      </c>
      <c r="BF72" s="59">
        <f t="shared" ca="1" si="22"/>
        <v>0.25148758275863548</v>
      </c>
      <c r="BG72" s="39">
        <f t="shared" ca="1" si="23"/>
        <v>0.25588799183086658</v>
      </c>
      <c r="BI72" s="58">
        <f t="shared" ca="1" si="24"/>
        <v>-3.1896425880181045E-2</v>
      </c>
      <c r="BJ72" s="46">
        <f t="shared" ca="1" si="25"/>
        <v>-6.3299011766346364E-2</v>
      </c>
    </row>
    <row r="73" spans="3:62" x14ac:dyDescent="0.2">
      <c r="C73" s="56">
        <v>60</v>
      </c>
      <c r="D73" s="63">
        <f t="shared" ca="1" si="26"/>
        <v>5.1000000000000085</v>
      </c>
      <c r="E73" s="45">
        <f t="shared" ca="1" si="7"/>
        <v>5.2631578947370139E-2</v>
      </c>
      <c r="F73" s="45">
        <f t="shared" ca="1" si="32"/>
        <v>5.3157894736843847E-2</v>
      </c>
      <c r="G73" s="45">
        <f t="shared" ca="1" si="33"/>
        <v>5.2105263157896653E-2</v>
      </c>
      <c r="H73" s="45">
        <f t="shared" ca="1" si="34"/>
        <v>0.52068877236570799</v>
      </c>
      <c r="I73" s="45">
        <f t="shared" ca="1" si="28"/>
        <v>0.52065184983233714</v>
      </c>
      <c r="J73" s="45">
        <f t="shared" ca="1" si="35"/>
        <v>0.52061501954127576</v>
      </c>
      <c r="L73" s="58">
        <f ca="1">_xll.EURO(UnderlyingPrice,$D73,IntRate,Yield,$I73,$D$6,L$12,0)</f>
        <v>0.52338446019459473</v>
      </c>
      <c r="M73" s="58">
        <f ca="1">_xll.EURO(UnderlyingPrice,$D73,IntRate,Yield,$I73,$D$6,M$12,0)</f>
        <v>0.77399932158223494</v>
      </c>
      <c r="O73" s="58">
        <f ca="1">_xll.EURO(UnderlyingPrice,$D73*(1+$P$8),IntRate,Yield,$H73,Expiry-Today,O$12,0)</f>
        <v>0.52249156728995105</v>
      </c>
      <c r="P73" s="58">
        <f ca="1">_xll.EURO(UnderlyingPrice,$D73*(1+$P$8),IntRate,Yield,$H73,Expiry-Today,P$12,0)</f>
        <v>0.77561257729146771</v>
      </c>
      <c r="R73" s="58">
        <f ca="1">_xll.EURO(UnderlyingPrice,$D73*(1-$P$8),IntRate,Yield,$J73,Expiry-Today,R$12,0)</f>
        <v>0.52427890283330458</v>
      </c>
      <c r="S73" s="58">
        <f ca="1">_xll.EURO(UnderlyingPrice,$D73*(1-$P$8),IntRate,Yield,$J73,Expiry-Today,S$12,0)</f>
        <v>0.77238761560706948</v>
      </c>
      <c r="U73" s="59">
        <f t="shared" ca="1" si="31"/>
        <v>0.23832896058228342</v>
      </c>
      <c r="V73" s="59"/>
      <c r="W73" s="62">
        <f t="shared" ca="1" si="36"/>
        <v>0.24249912639650661</v>
      </c>
      <c r="Z73" s="59">
        <f t="shared" ca="1" si="11"/>
        <v>0.23851790694460387</v>
      </c>
      <c r="AA73" s="59">
        <f t="shared" ca="1" si="12"/>
        <v>0.10507168539999015</v>
      </c>
      <c r="AB73" s="59">
        <f t="shared" ca="1" si="4"/>
        <v>-1.1040059072794503E-2</v>
      </c>
      <c r="AC73" s="59">
        <f t="shared" ca="1" si="13"/>
        <v>-5.1322003433689256E-2</v>
      </c>
      <c r="AD73" s="60">
        <f t="shared" ca="1" si="5"/>
        <v>0.94997272679766387</v>
      </c>
      <c r="AE73" s="60">
        <f t="shared" ca="1" si="14"/>
        <v>0.22658550645023678</v>
      </c>
      <c r="AF73" s="60"/>
      <c r="AG73" s="97">
        <f t="shared" ca="1" si="15"/>
        <v>0.32038103387588118</v>
      </c>
      <c r="AH73" s="97">
        <f t="shared" ca="1" si="16"/>
        <v>0.32190523596746518</v>
      </c>
      <c r="AI73" s="97">
        <f t="shared" ca="1" si="17"/>
        <v>0.31885606949264733</v>
      </c>
      <c r="AJ73" s="62"/>
      <c r="AK73" s="97">
        <f t="shared" ca="1" si="18"/>
        <v>0.4056011880086241</v>
      </c>
      <c r="AL73" s="97"/>
      <c r="AM73" s="95">
        <v>2.9000000000000101</v>
      </c>
      <c r="AN73" s="96">
        <f t="shared" si="6"/>
        <v>5.9525324197756786E-3</v>
      </c>
      <c r="AX73" s="107">
        <f t="shared" ca="1" si="19"/>
        <v>0.49406319565534346</v>
      </c>
      <c r="AY73" s="107">
        <f t="shared" ca="1" si="20"/>
        <v>0.49409168123240571</v>
      </c>
      <c r="AZ73" s="107">
        <f t="shared" ca="1" si="21"/>
        <v>0.49403478935689321</v>
      </c>
      <c r="BB73" s="39">
        <f ca="1">_xll.EURO(UnderlyingPrice,$D73,IntRate,Yield,AX73,$D$6,1,0)</f>
        <v>0.49134188795797584</v>
      </c>
      <c r="BC73" s="39">
        <f ca="1">_xll.EURO(UnderlyingPrice,$D73*(1+$P$8),IntRate,Yield,AY73,$D$6,1,0)</f>
        <v>0.49043879221127096</v>
      </c>
      <c r="BD73" s="39">
        <f ca="1">_xll.EURO(UnderlyingPrice,$D73*(1-$P$8),IntRate,Yield,AZ73,$D$6,1,0)</f>
        <v>0.49224659436581786</v>
      </c>
      <c r="BF73" s="59">
        <f t="shared" ca="1" si="22"/>
        <v>0.24769875234606062</v>
      </c>
      <c r="BG73" s="39">
        <f t="shared" ca="1" si="23"/>
        <v>0.25203286628141952</v>
      </c>
      <c r="BI73" s="58">
        <f t="shared" ca="1" si="24"/>
        <v>-3.2042572236618883E-2</v>
      </c>
      <c r="BJ73" s="46">
        <f t="shared" ca="1" si="25"/>
        <v>-6.5214411842206832E-2</v>
      </c>
    </row>
    <row r="74" spans="3:62" x14ac:dyDescent="0.2">
      <c r="C74" s="56">
        <v>61</v>
      </c>
      <c r="D74" s="63">
        <f t="shared" ca="1" si="26"/>
        <v>5.1350000000000087</v>
      </c>
      <c r="E74" s="45">
        <f t="shared" ca="1" si="7"/>
        <v>5.9855521155832703E-2</v>
      </c>
      <c r="F74" s="45">
        <f t="shared" ca="1" si="32"/>
        <v>6.03854489164104E-2</v>
      </c>
      <c r="G74" s="45">
        <f t="shared" ca="1" si="33"/>
        <v>5.9325593395254783E-2</v>
      </c>
      <c r="H74" s="45">
        <f t="shared" ca="1" si="34"/>
        <v>0.5212050581494585</v>
      </c>
      <c r="I74" s="45">
        <f t="shared" ca="1" si="28"/>
        <v>0.52116662216277798</v>
      </c>
      <c r="J74" s="45">
        <f t="shared" ca="1" si="35"/>
        <v>0.52112827763651581</v>
      </c>
      <c r="L74" s="58">
        <f ca="1">_xll.EURO(UnderlyingPrice,$D74,IntRate,Yield,$I74,$D$6,L$12,0)</f>
        <v>0.51126361599075287</v>
      </c>
      <c r="M74" s="58">
        <f ca="1">_xll.EURO(UnderlyingPrice,$D74,IntRate,Yield,$I74,$D$6,M$12,0)</f>
        <v>0.79627659560806885</v>
      </c>
      <c r="O74" s="58">
        <f ca="1">_xll.EURO(UnderlyingPrice,$D74*(1+$P$8),IntRate,Yield,$H74,Expiry-Today,O$12,0)</f>
        <v>0.51038583252371361</v>
      </c>
      <c r="P74" s="58">
        <f ca="1">_xll.EURO(UnderlyingPrice,$D74*(1+$P$8),IntRate,Yield,$H74,Expiry-Today,P$12,0)</f>
        <v>0.79792215981402048</v>
      </c>
      <c r="R74" s="58">
        <f ca="1">_xll.EURO(UnderlyingPrice,$D74*(1-$P$8),IntRate,Yield,$J74,Expiry-Today,R$12,0)</f>
        <v>0.51214294513898473</v>
      </c>
      <c r="S74" s="58">
        <f ca="1">_xll.EURO(UnderlyingPrice,$D74*(1-$P$8),IntRate,Yield,$J74,Expiry-Today,S$12,0)</f>
        <v>0.79463257708331003</v>
      </c>
      <c r="U74" s="59">
        <f t="shared" ca="1" si="31"/>
        <v>0.23447633545208479</v>
      </c>
      <c r="V74" s="59"/>
      <c r="W74" s="62">
        <f t="shared" ca="1" si="36"/>
        <v>0.23857908988007226</v>
      </c>
      <c r="Z74" s="59">
        <f t="shared" ca="1" si="11"/>
        <v>0.23689217632278084</v>
      </c>
      <c r="AA74" s="59">
        <f t="shared" ca="1" si="12"/>
        <v>0.11191098905023182</v>
      </c>
      <c r="AB74" s="59">
        <f t="shared" ca="1" si="4"/>
        <v>-1.2524069470201106E-2</v>
      </c>
      <c r="AC74" s="59">
        <f t="shared" ca="1" si="13"/>
        <v>-5.8220733432246569E-2</v>
      </c>
      <c r="AD74" s="60">
        <f t="shared" ca="1" si="5"/>
        <v>0.94344167533221535</v>
      </c>
      <c r="AE74" s="60">
        <f t="shared" ca="1" si="14"/>
        <v>0.22349395170305891</v>
      </c>
      <c r="AF74" s="60"/>
      <c r="AG74" s="97">
        <f t="shared" ca="1" si="15"/>
        <v>0.34123520753945241</v>
      </c>
      <c r="AH74" s="97">
        <f t="shared" ca="1" si="16"/>
        <v>0.34275940963103568</v>
      </c>
      <c r="AI74" s="97">
        <f t="shared" ca="1" si="17"/>
        <v>0.33971024315621801</v>
      </c>
      <c r="AJ74" s="62"/>
      <c r="AK74" s="97">
        <f t="shared" ca="1" si="18"/>
        <v>0.40178312225718249</v>
      </c>
      <c r="AL74" s="97"/>
      <c r="AM74" s="95">
        <v>3</v>
      </c>
      <c r="AN74" s="96">
        <f t="shared" si="6"/>
        <v>4.4318484119380067E-3</v>
      </c>
      <c r="AX74" s="107">
        <f t="shared" ca="1" si="19"/>
        <v>0.4944610591105934</v>
      </c>
      <c r="AY74" s="107">
        <f t="shared" ca="1" si="20"/>
        <v>0.49449082689017954</v>
      </c>
      <c r="AZ74" s="107">
        <f t="shared" ca="1" si="21"/>
        <v>0.49443137044863589</v>
      </c>
      <c r="BB74" s="39">
        <f ca="1">_xll.EURO(UnderlyingPrice,$D74,IntRate,Yield,AX74,$D$6,1,0)</f>
        <v>0.47908629359466159</v>
      </c>
      <c r="BC74" s="39">
        <f ca="1">_xll.EURO(UnderlyingPrice,$D74*(1+$P$8),IntRate,Yield,AY74,$D$6,1,0)</f>
        <v>0.47819906845458204</v>
      </c>
      <c r="BD74" s="39">
        <f ca="1">_xll.EURO(UnderlyingPrice,$D74*(1-$P$8),IntRate,Yield,AZ74,$D$6,1,0)</f>
        <v>0.47997512471914261</v>
      </c>
      <c r="BF74" s="59">
        <f t="shared" ca="1" si="22"/>
        <v>0.243624195631653</v>
      </c>
      <c r="BG74" s="39">
        <f t="shared" ca="1" si="23"/>
        <v>0.24788701492838711</v>
      </c>
      <c r="BI74" s="58">
        <f t="shared" ca="1" si="24"/>
        <v>-3.2177322396091279E-2</v>
      </c>
      <c r="BJ74" s="46">
        <f t="shared" ca="1" si="25"/>
        <v>-6.7163938577035148E-2</v>
      </c>
    </row>
    <row r="75" spans="3:62" x14ac:dyDescent="0.2">
      <c r="C75" s="56">
        <v>62</v>
      </c>
      <c r="D75" s="63">
        <f t="shared" ca="1" si="26"/>
        <v>5.1700000000000088</v>
      </c>
      <c r="E75" s="45">
        <f t="shared" ca="1" si="7"/>
        <v>6.7079463364295044E-2</v>
      </c>
      <c r="F75" s="45">
        <f t="shared" ca="1" si="32"/>
        <v>6.7613003095977176E-2</v>
      </c>
      <c r="G75" s="45">
        <f t="shared" ca="1" si="33"/>
        <v>6.6545923632612913E-2</v>
      </c>
      <c r="H75" s="45">
        <f t="shared" ca="1" si="34"/>
        <v>0.52173832899301054</v>
      </c>
      <c r="I75" s="45">
        <f t="shared" ca="1" si="28"/>
        <v>0.5216983905576027</v>
      </c>
      <c r="J75" s="45">
        <f t="shared" ca="1" si="35"/>
        <v>0.5216585427532664</v>
      </c>
      <c r="L75" s="58">
        <f ca="1">_xll.EURO(UnderlyingPrice,$D75,IntRate,Yield,$I75,$D$6,L$12,0)</f>
        <v>0.49942997897436703</v>
      </c>
      <c r="M75" s="58">
        <f ca="1">_xll.EURO(UnderlyingPrice,$D75,IntRate,Yield,$I75,$D$6,M$12,0)</f>
        <v>0.81884107682135765</v>
      </c>
      <c r="O75" s="58">
        <f ca="1">_xll.EURO(UnderlyingPrice,$D75*(1+$P$8),IntRate,Yield,$H75,Expiry-Today,O$12,0)</f>
        <v>0.49856723361035904</v>
      </c>
      <c r="P75" s="58">
        <f ca="1">_xll.EURO(UnderlyingPrice,$D75*(1+$P$8),IntRate,Yield,$H75,Expiry-Today,P$12,0)</f>
        <v>0.82051887818945568</v>
      </c>
      <c r="R75" s="58">
        <f ca="1">_xll.EURO(UnderlyingPrice,$D75*(1-$P$8),IntRate,Yield,$J75,Expiry-Today,R$12,0)</f>
        <v>0.50029426381461883</v>
      </c>
      <c r="S75" s="58">
        <f ca="1">_xll.EURO(UnderlyingPrice,$D75*(1-$P$8),IntRate,Yield,$J75,Expiry-Today,S$12,0)</f>
        <v>0.81716481492950388</v>
      </c>
      <c r="U75" s="59">
        <f t="shared" ca="1" si="31"/>
        <v>0.23038377842963997</v>
      </c>
      <c r="V75" s="59"/>
      <c r="W75" s="62">
        <f t="shared" ca="1" si="36"/>
        <v>0.23441492325824823</v>
      </c>
      <c r="Z75" s="59">
        <f t="shared" ca="1" si="11"/>
        <v>0.23528845752755895</v>
      </c>
      <c r="AA75" s="59">
        <f t="shared" ca="1" si="12"/>
        <v>0.11870383419004804</v>
      </c>
      <c r="AB75" s="59">
        <f t="shared" ca="1" si="4"/>
        <v>-1.4090600251418419E-2</v>
      </c>
      <c r="AC75" s="59">
        <f t="shared" ca="1" si="13"/>
        <v>-6.5503076543139388E-2</v>
      </c>
      <c r="AD75" s="60">
        <f t="shared" ca="1" si="5"/>
        <v>0.93659616527668865</v>
      </c>
      <c r="AE75" s="60">
        <f t="shared" ca="1" si="14"/>
        <v>0.22037026705417873</v>
      </c>
      <c r="AF75" s="60"/>
      <c r="AG75" s="97">
        <f t="shared" ca="1" si="15"/>
        <v>0.36194772148236931</v>
      </c>
      <c r="AH75" s="97">
        <f t="shared" ca="1" si="16"/>
        <v>0.36347192357395314</v>
      </c>
      <c r="AI75" s="97">
        <f t="shared" ca="1" si="17"/>
        <v>0.36042275709913496</v>
      </c>
      <c r="AJ75" s="62"/>
      <c r="AK75" s="97">
        <f t="shared" ca="1" si="18"/>
        <v>0.39746113019867602</v>
      </c>
      <c r="AL75" s="97"/>
      <c r="AM75" s="95">
        <v>3.1000000000000099</v>
      </c>
      <c r="AN75" s="96">
        <f t="shared" si="6"/>
        <v>3.2668190561998198E-3</v>
      </c>
      <c r="AX75" s="107">
        <f t="shared" ca="1" si="19"/>
        <v>0.49487362497300935</v>
      </c>
      <c r="AY75" s="107">
        <f t="shared" ca="1" si="20"/>
        <v>0.49490467256527709</v>
      </c>
      <c r="AZ75" s="107">
        <f t="shared" ca="1" si="21"/>
        <v>0.49484265631058039</v>
      </c>
      <c r="BB75" s="39">
        <f ca="1">_xll.EURO(UnderlyingPrice,$D75,IntRate,Yield,AX75,$D$6,1,0)</f>
        <v>0.46712913329369821</v>
      </c>
      <c r="BC75" s="39">
        <f ca="1">_xll.EURO(UnderlyingPrice,$D75*(1+$P$8),IntRate,Yield,AY75,$D$6,1,0)</f>
        <v>0.46625770803785782</v>
      </c>
      <c r="BD75" s="39">
        <f ca="1">_xll.EURO(UnderlyingPrice,$D75*(1-$P$8),IntRate,Yield,AZ75,$D$6,1,0)</f>
        <v>0.468002158907044</v>
      </c>
      <c r="BF75" s="59">
        <f t="shared" ca="1" si="22"/>
        <v>0.23949470504280443</v>
      </c>
      <c r="BG75" s="39">
        <f t="shared" ca="1" si="23"/>
        <v>0.24368526849433325</v>
      </c>
      <c r="BI75" s="58">
        <f t="shared" ca="1" si="24"/>
        <v>-3.2300845680668822E-2</v>
      </c>
      <c r="BJ75" s="46">
        <f t="shared" ca="1" si="25"/>
        <v>-6.9147572648525654E-2</v>
      </c>
    </row>
    <row r="76" spans="3:62" x14ac:dyDescent="0.2">
      <c r="C76" s="56">
        <v>63</v>
      </c>
      <c r="D76" s="63">
        <f t="shared" ca="1" si="26"/>
        <v>5.205000000000009</v>
      </c>
      <c r="E76" s="45">
        <f t="shared" ca="1" si="7"/>
        <v>7.4303405572757386E-2</v>
      </c>
      <c r="F76" s="45">
        <f t="shared" ca="1" si="32"/>
        <v>7.4840557275543729E-2</v>
      </c>
      <c r="G76" s="45">
        <f t="shared" ca="1" si="33"/>
        <v>7.3766253869970821E-2</v>
      </c>
      <c r="H76" s="45">
        <f t="shared" ca="1" si="34"/>
        <v>0.52228820294448852</v>
      </c>
      <c r="I76" s="45">
        <f t="shared" ca="1" si="28"/>
        <v>0.52224677363729133</v>
      </c>
      <c r="J76" s="45">
        <f t="shared" ca="1" si="35"/>
        <v>0.52220543408379072</v>
      </c>
      <c r="L76" s="58">
        <f ca="1">_xll.EURO(UnderlyingPrice,$D76,IntRate,Yield,$I76,$D$6,L$12,0)</f>
        <v>0.48787855821877013</v>
      </c>
      <c r="M76" s="58">
        <f ca="1">_xll.EURO(UnderlyingPrice,$D76,IntRate,Yield,$I76,$D$6,M$12,0)</f>
        <v>0.84168777429543518</v>
      </c>
      <c r="O76" s="58">
        <f ca="1">_xll.EURO(UnderlyingPrice,$D76*(1+$P$8),IntRate,Yield,$H76,Expiry-Today,O$12,0)</f>
        <v>0.4870307606889579</v>
      </c>
      <c r="P76" s="58">
        <f ca="1">_xll.EURO(UnderlyingPrice,$D76*(1+$P$8),IntRate,Yield,$H76,Expiry-Today,P$12,0)</f>
        <v>0.84339772255684453</v>
      </c>
      <c r="R76" s="58">
        <f ca="1">_xll.EURO(UnderlyingPrice,$D76*(1-$P$8),IntRate,Yield,$J76,Expiry-Today,R$12,0)</f>
        <v>0.48872788816238266</v>
      </c>
      <c r="S76" s="58">
        <f ca="1">_xll.EURO(UnderlyingPrice,$D76*(1-$P$8),IntRate,Yield,$J76,Expiry-Today,S$12,0)</f>
        <v>0.83997935844782745</v>
      </c>
      <c r="U76" s="59">
        <f t="shared" ca="1" si="31"/>
        <v>0.22625312065792211</v>
      </c>
      <c r="V76" s="59"/>
      <c r="W76" s="62">
        <f t="shared" ca="1" si="36"/>
        <v>0.23021198921851918</v>
      </c>
      <c r="Z76" s="59">
        <f t="shared" ca="1" si="11"/>
        <v>0.23370630651632654</v>
      </c>
      <c r="AA76" s="59">
        <f t="shared" ca="1" si="12"/>
        <v>0.12545084773664247</v>
      </c>
      <c r="AB76" s="59">
        <f t="shared" ca="1" si="4"/>
        <v>-1.5737915197842255E-2</v>
      </c>
      <c r="AC76" s="59">
        <f t="shared" ca="1" si="13"/>
        <v>-7.3160961594231938E-2</v>
      </c>
      <c r="AD76" s="60">
        <f t="shared" ca="1" si="5"/>
        <v>0.92945121203589054</v>
      </c>
      <c r="AE76" s="60">
        <f t="shared" ca="1" si="14"/>
        <v>0.21721860985203104</v>
      </c>
      <c r="AF76" s="60"/>
      <c r="AG76" s="97">
        <f t="shared" ca="1" si="15"/>
        <v>0.38252048727939253</v>
      </c>
      <c r="AH76" s="97">
        <f t="shared" ca="1" si="16"/>
        <v>0.3840446893709763</v>
      </c>
      <c r="AI76" s="97">
        <f t="shared" ca="1" si="17"/>
        <v>0.38099552289615757</v>
      </c>
      <c r="AJ76" s="62"/>
      <c r="AK76" s="97">
        <f t="shared" ca="1" si="18"/>
        <v>0.3929773640691851</v>
      </c>
      <c r="AL76" s="97"/>
      <c r="AM76" s="95"/>
      <c r="AN76" s="96"/>
      <c r="AX76" s="107">
        <f t="shared" ca="1" si="19"/>
        <v>0.49530066042488186</v>
      </c>
      <c r="AY76" s="107">
        <f t="shared" ca="1" si="20"/>
        <v>0.49533298509058771</v>
      </c>
      <c r="AZ76" s="107">
        <f t="shared" ca="1" si="21"/>
        <v>0.49526841447406922</v>
      </c>
      <c r="BB76" s="39">
        <f ca="1">_xll.EURO(UnderlyingPrice,$D76,IntRate,Yield,AX76,$D$6,1,0)</f>
        <v>0.45546534920503179</v>
      </c>
      <c r="BC76" s="39">
        <f ca="1">_xll.EURO(UnderlyingPrice,$D76*(1+$P$8),IntRate,Yield,AY76,$D$6,1,0)</f>
        <v>0.4546096409321545</v>
      </c>
      <c r="BD76" s="39">
        <f ca="1">_xll.EURO(UnderlyingPrice,$D76*(1-$P$8),IntRate,Yield,AZ76,$D$6,1,0)</f>
        <v>0.45632265128762484</v>
      </c>
      <c r="BF76" s="59">
        <f t="shared" ca="1" si="22"/>
        <v>0.23531791599348303</v>
      </c>
      <c r="BG76" s="39">
        <f t="shared" ca="1" si="23"/>
        <v>0.23943539599403657</v>
      </c>
      <c r="BI76" s="58">
        <f t="shared" ca="1" si="24"/>
        <v>-3.2413209013738342E-2</v>
      </c>
      <c r="BJ76" s="46">
        <f t="shared" ca="1" si="25"/>
        <v>-7.1165038285156676E-2</v>
      </c>
    </row>
    <row r="77" spans="3:62" x14ac:dyDescent="0.2">
      <c r="C77" s="56">
        <v>64</v>
      </c>
      <c r="D77" s="63">
        <f t="shared" ca="1" si="26"/>
        <v>5.2400000000000091</v>
      </c>
      <c r="E77" s="45">
        <f t="shared" ca="1" si="7"/>
        <v>8.1527347781219728E-2</v>
      </c>
      <c r="F77" s="45">
        <f t="shared" ca="1" si="32"/>
        <v>8.206811145511006E-2</v>
      </c>
      <c r="G77" s="45">
        <f t="shared" ca="1" si="33"/>
        <v>8.0986584107329174E-2</v>
      </c>
      <c r="H77" s="45">
        <f t="shared" ca="1" si="34"/>
        <v>0.52285429805201766</v>
      </c>
      <c r="I77" s="45">
        <f t="shared" ref="I77:I113" ca="1" si="37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0.52281139002232402</v>
      </c>
      <c r="J77" s="45">
        <f t="shared" ca="1" si="35"/>
        <v>0.52276857082035244</v>
      </c>
      <c r="L77" s="58">
        <f ca="1">_xll.EURO(UnderlyingPrice,$D77,IntRate,Yield,$I77,$D$6,L$12,0)</f>
        <v>0.47660429439759633</v>
      </c>
      <c r="M77" s="58">
        <f ca="1">_xll.EURO(UnderlyingPrice,$D77,IntRate,Yield,$I77,$D$6,M$12,0)</f>
        <v>0.86481162870393691</v>
      </c>
      <c r="O77" s="58">
        <f ca="1">_xll.EURO(UnderlyingPrice,$D77*(1+$P$8),IntRate,Yield,$H77,Expiry-Today,O$12,0)</f>
        <v>0.47577134372947971</v>
      </c>
      <c r="P77" s="58">
        <f ca="1">_xll.EURO(UnderlyingPrice,$D77*(1+$P$8),IntRate,Yield,$H77,Expiry-Today,P$12,0)</f>
        <v>0.86655362288615612</v>
      </c>
      <c r="R77" s="58">
        <f ca="1">_xll.EURO(UnderlyingPrice,$D77*(1-$P$8),IntRate,Yield,$J77,Expiry-Today,R$12,0)</f>
        <v>0.4774387695908795</v>
      </c>
      <c r="S77" s="58">
        <f ca="1">_xll.EURO(UnderlyingPrice,$D77*(1-$P$8),IntRate,Yield,$J77,Expiry-Today,S$12,0)</f>
        <v>0.86307115904688558</v>
      </c>
      <c r="U77" s="59">
        <f t="shared" ca="1" si="31"/>
        <v>0.22209153990907826</v>
      </c>
      <c r="V77" s="59"/>
      <c r="W77" s="62">
        <f t="shared" ca="1" si="36"/>
        <v>0.22597759112624566</v>
      </c>
      <c r="Z77" s="59">
        <f t="shared" ca="1" si="11"/>
        <v>0.23214529111020604</v>
      </c>
      <c r="AA77" s="59">
        <f t="shared" ca="1" si="12"/>
        <v>0.13215264400266105</v>
      </c>
      <c r="AB77" s="59">
        <f t="shared" ref="AB77:AB143" ca="1" si="38">-(AA77^2)</f>
        <v>-1.7464321316894064E-2</v>
      </c>
      <c r="AC77" s="59">
        <f t="shared" ca="1" si="13"/>
        <v>-8.1186518358530274E-2</v>
      </c>
      <c r="AD77" s="60">
        <f t="shared" ref="AD77:AD143" ca="1" si="39">EXP(AC77)</f>
        <v>0.92202170143117901</v>
      </c>
      <c r="AE77" s="60">
        <f t="shared" ca="1" si="14"/>
        <v>0.21404299628866852</v>
      </c>
      <c r="AF77" s="60"/>
      <c r="AG77" s="97">
        <f t="shared" ca="1" si="15"/>
        <v>0.40295537807189097</v>
      </c>
      <c r="AH77" s="97">
        <f t="shared" ca="1" si="16"/>
        <v>0.40447958016347413</v>
      </c>
      <c r="AI77" s="97">
        <f t="shared" ca="1" si="17"/>
        <v>0.40143041368865673</v>
      </c>
      <c r="AJ77" s="62"/>
      <c r="AK77" s="97">
        <f t="shared" ca="1" si="18"/>
        <v>0.38834303973922613</v>
      </c>
      <c r="AL77" s="97"/>
      <c r="AM77" s="95"/>
      <c r="AN77" s="96"/>
      <c r="AX77" s="107">
        <f t="shared" ca="1" si="19"/>
        <v>0.49574193264850169</v>
      </c>
      <c r="AY77" s="107">
        <f t="shared" ca="1" si="20"/>
        <v>0.4957755312990007</v>
      </c>
      <c r="AZ77" s="107">
        <f t="shared" ca="1" si="21"/>
        <v>0.49570841247044511</v>
      </c>
      <c r="BB77" s="39">
        <f ca="1">_xll.EURO(UnderlyingPrice,$D77,IntRate,Yield,AX77,$D$6,1,0)</f>
        <v>0.44408982552174048</v>
      </c>
      <c r="BC77" s="39">
        <f ca="1">_xll.EURO(UnderlyingPrice,$D77*(1+$P$8),IntRate,Yield,AY77,$D$6,1,0)</f>
        <v>0.44324973972017467</v>
      </c>
      <c r="BD77" s="39">
        <f ca="1">_xll.EURO(UnderlyingPrice,$D77*(1-$P$8),IntRate,Yield,AZ77,$D$6,1,0)</f>
        <v>0.44493149769509843</v>
      </c>
      <c r="BF77" s="59">
        <f t="shared" ca="1" si="22"/>
        <v>0.23110130414172855</v>
      </c>
      <c r="BG77" s="39">
        <f t="shared" ca="1" si="23"/>
        <v>0.23514500389101481</v>
      </c>
      <c r="BI77" s="58">
        <f t="shared" ca="1" si="24"/>
        <v>-3.2514468875855851E-2</v>
      </c>
      <c r="BJ77" s="46">
        <f t="shared" ca="1" si="25"/>
        <v>-7.3215973452344041E-2</v>
      </c>
    </row>
    <row r="78" spans="3:62" x14ac:dyDescent="0.2">
      <c r="C78" s="56">
        <v>65</v>
      </c>
      <c r="D78" s="63">
        <f t="shared" ca="1" si="26"/>
        <v>5.2750000000000092</v>
      </c>
      <c r="E78" s="45">
        <f t="shared" ref="E78:E146" ca="1" si="40">+D78/UnderlyingPrice-1</f>
        <v>8.875128998968207E-2</v>
      </c>
      <c r="F78" s="45">
        <f t="shared" ca="1" si="32"/>
        <v>8.9295665634676835E-2</v>
      </c>
      <c r="G78" s="45">
        <f t="shared" ca="1" si="33"/>
        <v>8.8206914344687304E-2</v>
      </c>
      <c r="H78" s="45">
        <f t="shared" ca="1" si="34"/>
        <v>0.5234362323637225</v>
      </c>
      <c r="I78" s="45">
        <f t="shared" ca="1" si="37"/>
        <v>0.52339185833318103</v>
      </c>
      <c r="J78" s="45">
        <f t="shared" ca="1" si="35"/>
        <v>0.52334757215521488</v>
      </c>
      <c r="L78" s="58">
        <f ca="1">_xll.EURO(UnderlyingPrice,$D78,IntRate,Yield,$I78,$D$6,L$12,0)</f>
        <v>0.465602090282218</v>
      </c>
      <c r="M78" s="58">
        <f ca="1">_xll.EURO(UnderlyingPrice,$D78,IntRate,Yield,$I78,$D$6,M$12,0)</f>
        <v>0.88820754281823344</v>
      </c>
      <c r="O78" s="58">
        <f ca="1">_xll.EURO(UnderlyingPrice,$D78*(1+$P$8),IntRate,Yield,$H78,Expiry-Today,O$12,0)</f>
        <v>0.46478387536846877</v>
      </c>
      <c r="P78" s="58">
        <f ca="1">_xll.EURO(UnderlyingPrice,$D78*(1+$P$8),IntRate,Yield,$H78,Expiry-Today,P$12,0)</f>
        <v>0.88998147181393428</v>
      </c>
      <c r="R78" s="58">
        <f ca="1">_xll.EURO(UnderlyingPrice,$D78*(1-$P$8),IntRate,Yield,$J78,Expiry-Today,R$12,0)</f>
        <v>0.46642182103863372</v>
      </c>
      <c r="S78" s="58">
        <f ca="1">_xll.EURO(UnderlyingPrice,$D78*(1-$P$8),IntRate,Yield,$J78,Expiry-Today,S$12,0)</f>
        <v>0.88643512966519911</v>
      </c>
      <c r="U78" s="59">
        <f t="shared" ref="U78:U113" ca="1" si="41">(O78+R78-2*L78)/($P$8*D78)^2</f>
        <v>0.21790600088941284</v>
      </c>
      <c r="V78" s="59"/>
      <c r="W78" s="62">
        <f t="shared" ca="1" si="36"/>
        <v>0.22171881555282166</v>
      </c>
      <c r="Z78" s="59">
        <f t="shared" ref="Z78:Z113" ca="1" si="42">(1/(D78*SQRT(2*PI()*T/365.25*ATMImpVol^2)))</f>
        <v>0.23060499060047007</v>
      </c>
      <c r="AA78" s="59">
        <f t="shared" ref="AA78:AA113" ca="1" si="43">LN(D78/UnderlyingPrice)+0.5*T/365.25*ATMImpVol^2</f>
        <v>0.13880982503184044</v>
      </c>
      <c r="AB78" s="59">
        <f t="shared" ca="1" si="38"/>
        <v>-1.926816752537016E-2</v>
      </c>
      <c r="AC78" s="59">
        <f t="shared" ref="AC78:AC141" ca="1" si="44">AB78/(2*T/365.25*ATMImpVol^2)</f>
        <v>-8.9572071433458175E-2</v>
      </c>
      <c r="AD78" s="60">
        <f t="shared" ca="1" si="39"/>
        <v>0.91432236622604224</v>
      </c>
      <c r="AE78" s="60">
        <f t="shared" ref="AE78:AE141" ca="1" si="45">AD78*Z78</f>
        <v>0.21084730066935603</v>
      </c>
      <c r="AF78" s="60"/>
      <c r="AG78" s="97">
        <f t="shared" ref="AG78:AG113" ca="1" si="46">(LN($D78/UnderlyingPrice)+0.5*ATMImpVol^2*(T/365.25))/(ATMImpVol*SQRT(T/365.25))</f>
        <v>0.42325422959128989</v>
      </c>
      <c r="AH78" s="97">
        <f t="shared" ref="AH78:AH141" ca="1" si="47">(LN(($D78*(1+$P$8))/UnderlyingPrice)+0.5*ATMImpVol^2*(T/365.25))/(ATMImpVol*SQRT(T/365.25))</f>
        <v>0.4247784316828736</v>
      </c>
      <c r="AI78" s="97">
        <f t="shared" ref="AI78:AI141" ca="1" si="48">(LN($D78*(1-$P$8)/UnderlyingPrice)+0.5*ATMImpVol^2*(T/365.25))/(ATMImpVol*SQRT(T/365.25))</f>
        <v>0.4217292652080557</v>
      </c>
      <c r="AJ78" s="62"/>
      <c r="AK78" s="97">
        <f t="shared" ref="AK78:AK141" ca="1" si="49">W78/(AH78-AI78)*(D78*2*$P$8)</f>
        <v>0.38356933335723647</v>
      </c>
      <c r="AL78" s="97"/>
      <c r="AM78" s="95"/>
      <c r="AN78" s="96"/>
      <c r="AX78" s="107">
        <f t="shared" ref="AX78:AX141" ca="1" si="50">OFFSET(ENAVolCoef,0,impvol_order-2)+OFFSET(ENAVolCoef,1,impvol_order-2)*E78+OFFSET(ENAVolCoef,2,impvol_order-2)*E78^2+IF(impvol_order&gt;2,OFFSET(ENAVolCoef,3,impvol_order-2)*E78^3,0)+IF(impvol_order&gt;3,OFFSET(ENAVolCoef,4,impvol_order-2)*E78^4,0)+IF(impvol_order&gt;4,OFFSET(ENAVolCoef,5,impvol_order-2)*E78^5,0)</f>
        <v>0.49619720882615925</v>
      </c>
      <c r="AY78" s="107">
        <f t="shared" ref="AY78:AY141" ca="1" si="51">OFFSET(ENAVolCoef,0,impvol_order-2)+OFFSET(ENAVolCoef,1,impvol_order-2)*F78+OFFSET(ENAVolCoef,2,impvol_order-2)*F78^2+IF(impvol_order&gt;2,OFFSET(ENAVolCoef,3,impvol_order-2)*F78^3,0)+IF(impvol_order&gt;3,OFFSET(ENAVolCoef,4,impvol_order-2)*F78^4,0)+IF(impvol_order&gt;4,OFFSET(ENAVolCoef,5,impvol_order-2)*F78^5,0)</f>
        <v>0.4962320780234058</v>
      </c>
      <c r="AZ78" s="107">
        <f t="shared" ref="AZ78:AZ141" ca="1" si="52">OFFSET(ENAVolCoef,0,impvol_order-2)+OFFSET(ENAVolCoef,1,impvol_order-2)*G78+OFFSET(ENAVolCoef,2,impvol_order-2)*G78^2+IF(impvol_order&gt;2,OFFSET(ENAVolCoef,3,impvol_order-2)*G78^3,0)+IF(impvol_order&gt;3,OFFSET(ENAVolCoef,4,impvol_order-2)*G78^4,0)+IF(impvol_order&gt;4,OFFSET(ENAVolCoef,5,impvol_order-2)*G78^5,0)</f>
        <v>0.49616241783105058</v>
      </c>
      <c r="BB78" s="39">
        <f ca="1">_xll.EURO(UnderlyingPrice,$D78,IntRate,Yield,AX78,$D$6,1,0)</f>
        <v>0.43299739763432998</v>
      </c>
      <c r="BC78" s="39">
        <f ca="1">_xll.EURO(UnderlyingPrice,$D78*(1+$P$8),IntRate,Yield,AY78,$D$6,1,0)</f>
        <v>0.43217282875768159</v>
      </c>
      <c r="BD78" s="39">
        <f ca="1">_xll.EURO(UnderlyingPrice,$D78*(1-$P$8),IntRate,Yield,AZ78,$D$6,1,0)</f>
        <v>0.43382354458675132</v>
      </c>
      <c r="BF78" s="59">
        <f t="shared" ref="BF78:BF141" ca="1" si="53">(BC78+BD78-2*BB78)/($P$8*$D78)^2</f>
        <v>0.22685215846120935</v>
      </c>
      <c r="BG78" s="39">
        <f t="shared" ref="BG78:BG141" ca="1" si="54">+BF78/$D$9</f>
        <v>0.23082150869790063</v>
      </c>
      <c r="BI78" s="58">
        <f t="shared" ref="BI78:BI113" ca="1" si="55">+BB78-L78</f>
        <v>-3.2604692647888012E-2</v>
      </c>
      <c r="BJ78" s="46">
        <f t="shared" ref="BJ78:BJ113" ca="1" si="56">+BI78/BB78</f>
        <v>-7.5299973685807126E-2</v>
      </c>
    </row>
    <row r="79" spans="3:62" x14ac:dyDescent="0.2">
      <c r="C79" s="56">
        <v>66</v>
      </c>
      <c r="D79" s="63">
        <f t="shared" ref="D79:D113" ca="1" si="57">D78+(ROUNDUP(MAX(StrikeRange),1)-ROUNDDOWN(MIN(StrikeRange),1))/100</f>
        <v>5.3100000000000094</v>
      </c>
      <c r="E79" s="45">
        <f t="shared" ca="1" si="40"/>
        <v>9.5975232198144411E-2</v>
      </c>
      <c r="F79" s="45">
        <f t="shared" ca="1" si="32"/>
        <v>9.6523219814243388E-2</v>
      </c>
      <c r="G79" s="45">
        <f t="shared" ca="1" si="33"/>
        <v>9.5427244582045434E-2</v>
      </c>
      <c r="H79" s="45">
        <f t="shared" ca="1" si="34"/>
        <v>0.52403362392772779</v>
      </c>
      <c r="I79" s="45">
        <f t="shared" ca="1" si="37"/>
        <v>0.52398779719034239</v>
      </c>
      <c r="J79" s="45">
        <f t="shared" ca="1" si="35"/>
        <v>0.52394205728064169</v>
      </c>
      <c r="L79" s="58">
        <f ca="1">_xll.EURO(UnderlyingPrice,$D79,IntRate,Yield,$I79,$D$6,L$12,0)</f>
        <v>0.45486681927090178</v>
      </c>
      <c r="M79" s="58">
        <f ca="1">_xll.EURO(UnderlyingPrice,$D79,IntRate,Yield,$I79,$D$6,M$12,0)</f>
        <v>0.91187039003659276</v>
      </c>
      <c r="O79" s="58">
        <f ca="1">_xll.EURO(UnderlyingPrice,$D79*(1+$P$8),IntRate,Yield,$H79,Expiry-Today,O$12,0)</f>
        <v>0.45406321943912831</v>
      </c>
      <c r="P79" s="58">
        <f ca="1">_xll.EURO(UnderlyingPrice,$D79*(1+$P$8),IntRate,Yield,$H79,Expiry-Today,P$12,0)</f>
        <v>0.91367613317338447</v>
      </c>
      <c r="R79" s="58">
        <f ca="1">_xll.EURO(UnderlyingPrice,$D79*(1-$P$8),IntRate,Yield,$J79,Expiry-Today,R$12,0)</f>
        <v>0.45567192550212798</v>
      </c>
      <c r="S79" s="58">
        <f ca="1">_xll.EURO(UnderlyingPrice,$D79*(1-$P$8),IntRate,Yield,$J79,Expiry-Today,S$12,0)</f>
        <v>0.91006615329925333</v>
      </c>
      <c r="U79" s="59">
        <f t="shared" ca="1" si="41"/>
        <v>0.21370323594158272</v>
      </c>
      <c r="V79" s="59"/>
      <c r="W79" s="62">
        <f t="shared" ca="1" si="36"/>
        <v>0.21744251264020609</v>
      </c>
      <c r="Z79" s="59">
        <f t="shared" ca="1" si="42"/>
        <v>0.22908499537052349</v>
      </c>
      <c r="AA79" s="59">
        <f t="shared" ca="1" si="43"/>
        <v>0.14542298092355771</v>
      </c>
      <c r="AB79" s="59">
        <f t="shared" ca="1" si="38"/>
        <v>-2.1147843380693431E-2</v>
      </c>
      <c r="AC79" s="59">
        <f t="shared" ca="1" si="44"/>
        <v>-9.8310134342817698E-2</v>
      </c>
      <c r="AD79" s="60">
        <f t="shared" ca="1" si="39"/>
        <v>0.90636776438972821</v>
      </c>
      <c r="AE79" s="60">
        <f t="shared" ca="1" si="45"/>
        <v>0.2076352551092126</v>
      </c>
      <c r="AF79" s="60"/>
      <c r="AG79" s="97">
        <f t="shared" ca="1" si="46"/>
        <v>0.44341884114867669</v>
      </c>
      <c r="AH79" s="97">
        <f t="shared" ca="1" si="47"/>
        <v>0.44494304324026041</v>
      </c>
      <c r="AI79" s="97">
        <f t="shared" ca="1" si="48"/>
        <v>0.44189387676544262</v>
      </c>
      <c r="AJ79" s="62"/>
      <c r="AK79" s="97">
        <f t="shared" ca="1" si="49"/>
        <v>0.3786673347143153</v>
      </c>
      <c r="AL79" s="97"/>
      <c r="AM79" s="95"/>
      <c r="AN79" s="96"/>
      <c r="AX79" s="107">
        <f t="shared" ca="1" si="50"/>
        <v>0.49666625614014526</v>
      </c>
      <c r="AY79" s="107">
        <f t="shared" ca="1" si="51"/>
        <v>0.49670239209669204</v>
      </c>
      <c r="AZ79" s="107">
        <f t="shared" ca="1" si="52"/>
        <v>0.49663019808722819</v>
      </c>
      <c r="BB79" s="39">
        <f ca="1">_xll.EURO(UnderlyingPrice,$D79,IntRate,Yield,AX79,$D$6,1,0)</f>
        <v>0.42218286105883451</v>
      </c>
      <c r="BC79" s="39">
        <f ca="1">_xll.EURO(UnderlyingPrice,$D79*(1+$P$8),IntRate,Yield,AY79,$D$6,1,0)</f>
        <v>0.42137369310589823</v>
      </c>
      <c r="BD79" s="39">
        <f ca="1">_xll.EURO(UnderlyingPrice,$D79*(1-$P$8),IntRate,Yield,AZ79,$D$6,1,0)</f>
        <v>0.42299359796657532</v>
      </c>
      <c r="BF79" s="59">
        <f t="shared" ca="1" si="53"/>
        <v>0.22257756278642324</v>
      </c>
      <c r="BG79" s="39">
        <f t="shared" ca="1" si="54"/>
        <v>0.22647211819872951</v>
      </c>
      <c r="BI79" s="58">
        <f t="shared" ca="1" si="55"/>
        <v>-3.2683958212067266E-2</v>
      </c>
      <c r="BJ79" s="46">
        <f t="shared" ca="1" si="56"/>
        <v>-7.7416591782281038E-2</v>
      </c>
    </row>
    <row r="80" spans="3:62" x14ac:dyDescent="0.2">
      <c r="C80" s="56">
        <v>67</v>
      </c>
      <c r="D80" s="63">
        <f t="shared" ca="1" si="57"/>
        <v>5.3450000000000095</v>
      </c>
      <c r="E80" s="45">
        <f t="shared" ca="1" si="40"/>
        <v>0.10319917440660675</v>
      </c>
      <c r="F80" s="45">
        <f t="shared" ca="1" si="32"/>
        <v>0.10375077399381016</v>
      </c>
      <c r="G80" s="45">
        <f t="shared" ca="1" si="33"/>
        <v>0.10264757481940334</v>
      </c>
      <c r="H80" s="45">
        <f t="shared" ca="1" si="34"/>
        <v>0.52464609079215829</v>
      </c>
      <c r="I80" s="45">
        <f t="shared" ca="1" si="37"/>
        <v>0.52459882521428802</v>
      </c>
      <c r="J80" s="45">
        <f t="shared" ca="1" si="35"/>
        <v>0.52455164538889576</v>
      </c>
      <c r="L80" s="58">
        <f ca="1">_xll.EURO(UnderlyingPrice,$D80,IntRate,Yield,$I80,$D$6,L$12,0)</f>
        <v>0.44439333363515732</v>
      </c>
      <c r="M80" s="58">
        <f ca="1">_xll.EURO(UnderlyingPrice,$D80,IntRate,Yield,$I80,$D$6,M$12,0)</f>
        <v>0.93579502263052383</v>
      </c>
      <c r="O80" s="58">
        <f ca="1">_xll.EURO(UnderlyingPrice,$D80*(1+$P$8),IntRate,Yield,$H80,Expiry-Today,O$12,0)</f>
        <v>0.4436042192161922</v>
      </c>
      <c r="P80" s="58">
        <f ca="1">_xll.EURO(UnderlyingPrice,$D80*(1+$P$8),IntRate,Yield,$H80,Expiry-Today,P$12,0)</f>
        <v>0.93763245023923814</v>
      </c>
      <c r="R80" s="58">
        <f ca="1">_xll.EURO(UnderlyingPrice,$D80*(1-$P$8),IntRate,Yield,$J80,Expiry-Today,R$12,0)</f>
        <v>0.44518394428346908</v>
      </c>
      <c r="S80" s="58">
        <f ca="1">_xll.EURO(UnderlyingPrice,$D80*(1-$P$8),IntRate,Yield,$J80,Expiry-Today,S$12,0)</f>
        <v>0.93395909125115617</v>
      </c>
      <c r="U80" s="59">
        <f t="shared" ca="1" si="41"/>
        <v>0.20948973185364259</v>
      </c>
      <c r="V80" s="59"/>
      <c r="W80" s="62">
        <f t="shared" ca="1" si="36"/>
        <v>0.21315528267915893</v>
      </c>
      <c r="Z80" s="59">
        <f t="shared" ca="1" si="42"/>
        <v>0.22758490653273705</v>
      </c>
      <c r="AA80" s="59">
        <f t="shared" ca="1" si="43"/>
        <v>0.15199269014671879</v>
      </c>
      <c r="AB80" s="59">
        <f t="shared" ca="1" si="38"/>
        <v>-2.3101777858036469E-2</v>
      </c>
      <c r="AC80" s="59">
        <f t="shared" ca="1" si="44"/>
        <v>-0.10739340385199252</v>
      </c>
      <c r="AD80" s="60">
        <f t="shared" ca="1" si="39"/>
        <v>0.89817225905119757</v>
      </c>
      <c r="AE80" s="60">
        <f t="shared" ca="1" si="45"/>
        <v>0.2044104496264641</v>
      </c>
      <c r="AF80" s="60"/>
      <c r="AG80" s="97">
        <f t="shared" ca="1" si="46"/>
        <v>0.46345097659189916</v>
      </c>
      <c r="AH80" s="97">
        <f t="shared" ca="1" si="47"/>
        <v>0.46497517868348331</v>
      </c>
      <c r="AI80" s="97">
        <f t="shared" ca="1" si="48"/>
        <v>0.46192601220866447</v>
      </c>
      <c r="AJ80" s="62"/>
      <c r="AK80" s="97">
        <f t="shared" ca="1" si="49"/>
        <v>0.37364801014604998</v>
      </c>
      <c r="AL80" s="97"/>
      <c r="AM80" s="95"/>
      <c r="AN80" s="96"/>
      <c r="AX80" s="107">
        <f t="shared" ca="1" si="50"/>
        <v>0.49714884177275032</v>
      </c>
      <c r="AY80" s="107">
        <f t="shared" ca="1" si="51"/>
        <v>0.49718624035174902</v>
      </c>
      <c r="AZ80" s="107">
        <f t="shared" ca="1" si="52"/>
        <v>0.49711152077032067</v>
      </c>
      <c r="BB80" s="39">
        <f ca="1">_xll.EURO(UnderlyingPrice,$D80,IntRate,Yield,AX80,$D$6,1,0)</f>
        <v>0.41164098011164252</v>
      </c>
      <c r="BC80" s="39">
        <f ca="1">_xll.EURO(UnderlyingPrice,$D80*(1+$P$8),IntRate,Yield,AY80,$D$6,1,0)</f>
        <v>0.41084708720795393</v>
      </c>
      <c r="BD80" s="39">
        <f ca="1">_xll.EURO(UnderlyingPrice,$D80*(1-$P$8),IntRate,Yield,AZ80,$D$6,1,0)</f>
        <v>0.41243643205826142</v>
      </c>
      <c r="BF80" s="59">
        <f t="shared" ca="1" si="53"/>
        <v>0.2182843734163526</v>
      </c>
      <c r="BG80" s="39">
        <f t="shared" ca="1" si="54"/>
        <v>0.22210380866071402</v>
      </c>
      <c r="BI80" s="58">
        <f t="shared" ca="1" si="55"/>
        <v>-3.2752353523514799E-2</v>
      </c>
      <c r="BJ80" s="46">
        <f t="shared" ca="1" si="56"/>
        <v>-7.9565337529397401E-2</v>
      </c>
    </row>
    <row r="81" spans="3:62" x14ac:dyDescent="0.2">
      <c r="C81" s="56">
        <v>68</v>
      </c>
      <c r="D81" s="63">
        <f t="shared" ca="1" si="57"/>
        <v>5.3800000000000097</v>
      </c>
      <c r="E81" s="45">
        <f t="shared" ca="1" si="40"/>
        <v>0.11042311661506909</v>
      </c>
      <c r="F81" s="45">
        <f t="shared" ca="1" si="32"/>
        <v>0.11097832817337649</v>
      </c>
      <c r="G81" s="45">
        <f t="shared" ca="1" si="33"/>
        <v>0.10986790505676169</v>
      </c>
      <c r="H81" s="45">
        <f t="shared" ca="1" si="34"/>
        <v>0.52527325100513877</v>
      </c>
      <c r="I81" s="45">
        <f t="shared" ca="1" si="37"/>
        <v>0.52522456102549842</v>
      </c>
      <c r="J81" s="45">
        <f t="shared" ca="1" si="35"/>
        <v>0.52517595567224107</v>
      </c>
      <c r="L81" s="58">
        <f ca="1">_xll.EURO(UnderlyingPrice,$D81,IntRate,Yield,$I81,$D$6,L$12,0)</f>
        <v>0.43417647246428293</v>
      </c>
      <c r="M81" s="58">
        <f ca="1">_xll.EURO(UnderlyingPrice,$D81,IntRate,Yield,$I81,$D$6,M$12,0)</f>
        <v>0.95997627968932431</v>
      </c>
      <c r="O81" s="58">
        <f ca="1">_xll.EURO(UnderlyingPrice,$D81*(1+$P$8),IntRate,Yield,$H81,Expiry-Today,O$12,0)</f>
        <v>0.433401705356804</v>
      </c>
      <c r="P81" s="58">
        <f ca="1">_xll.EURO(UnderlyingPrice,$D81*(1+$P$8),IntRate,Yield,$H81,Expiry-Today,P$12,0)</f>
        <v>0.96184525366864015</v>
      </c>
      <c r="R81" s="58">
        <f ca="1">_xll.EURO(UnderlyingPrice,$D81*(1-$P$8),IntRate,Yield,$J81,Expiry-Today,R$12,0)</f>
        <v>0.43495272493841797</v>
      </c>
      <c r="S81" s="58">
        <f ca="1">_xll.EURO(UnderlyingPrice,$D81*(1-$P$8),IntRate,Yield,$J81,Expiry-Today,S$12,0)</f>
        <v>0.95810879107666524</v>
      </c>
      <c r="U81" s="59">
        <f t="shared" ca="1" si="41"/>
        <v>0.20527171489029211</v>
      </c>
      <c r="V81" s="59"/>
      <c r="W81" s="62">
        <f t="shared" ca="1" si="36"/>
        <v>0.20886346087857255</v>
      </c>
      <c r="Z81" s="59">
        <f t="shared" ca="1" si="42"/>
        <v>0.22610433557945719</v>
      </c>
      <c r="AA81" s="59">
        <f t="shared" ca="1" si="43"/>
        <v>0.15851951984340329</v>
      </c>
      <c r="AB81" s="59">
        <f t="shared" ca="1" si="38"/>
        <v>-2.5128438171383129E-2</v>
      </c>
      <c r="AC81" s="59">
        <f t="shared" ca="1" si="44"/>
        <v>-0.11681475448740819</v>
      </c>
      <c r="AD81" s="60">
        <f t="shared" ca="1" si="39"/>
        <v>0.88975000009291372</v>
      </c>
      <c r="AE81" s="60">
        <f t="shared" ca="1" si="45"/>
        <v>0.20117633260283024</v>
      </c>
      <c r="AF81" s="60"/>
      <c r="AG81" s="97">
        <f t="shared" ca="1" si="46"/>
        <v>0.48335236523142866</v>
      </c>
      <c r="AH81" s="97">
        <f t="shared" ca="1" si="47"/>
        <v>0.48487656732301215</v>
      </c>
      <c r="AI81" s="97">
        <f t="shared" ca="1" si="48"/>
        <v>0.48182740084819464</v>
      </c>
      <c r="AJ81" s="62"/>
      <c r="AK81" s="97">
        <f t="shared" ca="1" si="49"/>
        <v>0.36852216132081594</v>
      </c>
      <c r="AL81" s="97"/>
      <c r="AM81" s="95"/>
      <c r="AN81" s="96"/>
      <c r="AX81" s="107">
        <f t="shared" ca="1" si="50"/>
        <v>0.49764473290626504</v>
      </c>
      <c r="AY81" s="107">
        <f t="shared" ca="1" si="51"/>
        <v>0.49768338962146608</v>
      </c>
      <c r="AZ81" s="107">
        <f t="shared" ca="1" si="52"/>
        <v>0.49760615341167047</v>
      </c>
      <c r="BB81" s="39">
        <f ca="1">_xll.EURO(UnderlyingPrice,$D81,IntRate,Yield,AX81,$D$6,1,0)</f>
        <v>0.40136649630762822</v>
      </c>
      <c r="BC81" s="39">
        <f ca="1">_xll.EURO(UnderlyingPrice,$D81*(1+$P$8),IntRate,Yield,AY81,$D$6,1,0)</f>
        <v>0.40058774328622659</v>
      </c>
      <c r="BD81" s="39">
        <f ca="1">_xll.EURO(UnderlyingPrice,$D81*(1-$P$8),IntRate,Yield,AZ81,$D$6,1,0)</f>
        <v>0.40214679770396233</v>
      </c>
      <c r="BF81" s="59">
        <f t="shared" ca="1" si="53"/>
        <v>0.21397920599381151</v>
      </c>
      <c r="BG81" s="39">
        <f t="shared" ca="1" si="54"/>
        <v>0.21772331148401247</v>
      </c>
      <c r="BI81" s="58">
        <f t="shared" ca="1" si="55"/>
        <v>-3.2809976156654708E-2</v>
      </c>
      <c r="BJ81" s="46">
        <f t="shared" ca="1" si="56"/>
        <v>-8.1745677475549505E-2</v>
      </c>
    </row>
    <row r="82" spans="3:62" x14ac:dyDescent="0.2">
      <c r="C82" s="56">
        <v>69</v>
      </c>
      <c r="D82" s="63">
        <f t="shared" ca="1" si="57"/>
        <v>5.4150000000000098</v>
      </c>
      <c r="E82" s="45">
        <f t="shared" ca="1" si="40"/>
        <v>0.11764705882353144</v>
      </c>
      <c r="F82" s="45">
        <f t="shared" ca="1" si="32"/>
        <v>0.11820588235294327</v>
      </c>
      <c r="G82" s="45">
        <f t="shared" ca="1" si="33"/>
        <v>0.11708823529411982</v>
      </c>
      <c r="H82" s="45">
        <f t="shared" ca="1" si="34"/>
        <v>0.52591472261479422</v>
      </c>
      <c r="I82" s="45">
        <f t="shared" ca="1" si="37"/>
        <v>0.5258646232444536</v>
      </c>
      <c r="J82" s="45">
        <f t="shared" ca="1" si="35"/>
        <v>0.52581460732294072</v>
      </c>
      <c r="L82" s="58">
        <f ca="1">_xll.EURO(UnderlyingPrice,$D82,IntRate,Yield,$I82,$D$6,L$12,0)</f>
        <v>0.42421106929239616</v>
      </c>
      <c r="M82" s="58">
        <f ca="1">_xll.EURO(UnderlyingPrice,$D82,IntRate,Yield,$I82,$D$6,M$12,0)</f>
        <v>0.98440899474711241</v>
      </c>
      <c r="O82" s="58">
        <f ca="1">_xll.EURO(UnderlyingPrice,$D82*(1+$P$8),IntRate,Yield,$H82,Expiry-Today,O$12,0)</f>
        <v>0.42345050352184677</v>
      </c>
      <c r="P82" s="58">
        <f ca="1">_xll.EURO(UnderlyingPrice,$D82*(1+$P$8),IntRate,Yield,$H82,Expiry-Today,P$12,0)</f>
        <v>0.98630936912247291</v>
      </c>
      <c r="R82" s="58">
        <f ca="1">_xll.EURO(UnderlyingPrice,$D82*(1-$P$8),IntRate,Yield,$J82,Expiry-Today,R$12,0)</f>
        <v>0.42497310890898254</v>
      </c>
      <c r="S82" s="58">
        <f ca="1">_xll.EURO(UnderlyingPrice,$D82*(1-$P$8),IntRate,Yield,$J82,Expiry-Today,S$12,0)</f>
        <v>0.98251009421778912</v>
      </c>
      <c r="U82" s="59">
        <f t="shared" ca="1" si="41"/>
        <v>0.20105514325632431</v>
      </c>
      <c r="V82" s="59"/>
      <c r="W82" s="62">
        <f t="shared" ca="1" si="36"/>
        <v>0.204573109697049</v>
      </c>
      <c r="Z82" s="59">
        <f t="shared" ca="1" si="42"/>
        <v>0.2246429040475493</v>
      </c>
      <c r="AA82" s="59">
        <f t="shared" ca="1" si="43"/>
        <v>0.16500402612266418</v>
      </c>
      <c r="AB82" s="59">
        <f t="shared" ca="1" si="38"/>
        <v>-2.7226328636688845E-2</v>
      </c>
      <c r="AC82" s="59">
        <f t="shared" ca="1" si="44"/>
        <v>-0.12656723325169714</v>
      </c>
      <c r="AD82" s="60">
        <f t="shared" ca="1" si="39"/>
        <v>0.88111490733167586</v>
      </c>
      <c r="AE82" s="60">
        <f t="shared" ca="1" si="45"/>
        <v>0.19793621158257496</v>
      </c>
      <c r="AF82" s="60"/>
      <c r="AG82" s="97">
        <f t="shared" ca="1" si="46"/>
        <v>0.50312470273620469</v>
      </c>
      <c r="AH82" s="97">
        <f t="shared" ca="1" si="47"/>
        <v>0.50464890482778879</v>
      </c>
      <c r="AI82" s="97">
        <f t="shared" ca="1" si="48"/>
        <v>0.50159973835297067</v>
      </c>
      <c r="AJ82" s="62"/>
      <c r="AK82" s="97">
        <f t="shared" ca="1" si="49"/>
        <v>0.36330039640606993</v>
      </c>
      <c r="AL82" s="97"/>
      <c r="AM82" s="95"/>
      <c r="AN82" s="96"/>
      <c r="AX82" s="107">
        <f t="shared" ca="1" si="50"/>
        <v>0.49815369672297999</v>
      </c>
      <c r="AY82" s="107">
        <f t="shared" ca="1" si="51"/>
        <v>0.49819360673873264</v>
      </c>
      <c r="AZ82" s="107">
        <f t="shared" ca="1" si="52"/>
        <v>0.49811386354262022</v>
      </c>
      <c r="BB82" s="39">
        <f ca="1">_xll.EURO(UnderlyingPrice,$D82,IntRate,Yield,AX82,$D$6,1,0)</f>
        <v>0.39135413646187578</v>
      </c>
      <c r="BC82" s="39">
        <f ca="1">_xll.EURO(UnderlyingPrice,$D82*(1+$P$8),IntRate,Yield,AY82,$D$6,1,0)</f>
        <v>0.39059037944098174</v>
      </c>
      <c r="BD82" s="39">
        <f ca="1">_xll.EURO(UnderlyingPrice,$D82*(1-$P$8),IntRate,Yield,AZ82,$D$6,1,0)</f>
        <v>0.39211943046890418</v>
      </c>
      <c r="BF82" s="59">
        <f t="shared" ca="1" si="53"/>
        <v>0.20966841832296579</v>
      </c>
      <c r="BG82" s="39">
        <f t="shared" ca="1" si="54"/>
        <v>0.21333709571859771</v>
      </c>
      <c r="BI82" s="58">
        <f t="shared" ca="1" si="55"/>
        <v>-3.285693283052038E-2</v>
      </c>
      <c r="BJ82" s="46">
        <f t="shared" ca="1" si="56"/>
        <v>-8.3957034739867056E-2</v>
      </c>
    </row>
    <row r="83" spans="3:62" x14ac:dyDescent="0.2">
      <c r="C83" s="56">
        <v>70</v>
      </c>
      <c r="D83" s="63">
        <f t="shared" ca="1" si="57"/>
        <v>5.4500000000000099</v>
      </c>
      <c r="E83" s="45">
        <f t="shared" ca="1" si="40"/>
        <v>0.12487100103199378</v>
      </c>
      <c r="F83" s="45">
        <f t="shared" ca="1" si="32"/>
        <v>0.12543343653250982</v>
      </c>
      <c r="G83" s="45">
        <f t="shared" ca="1" si="33"/>
        <v>0.12430856553147795</v>
      </c>
      <c r="H83" s="45">
        <f t="shared" ca="1" si="34"/>
        <v>0.52657012366924905</v>
      </c>
      <c r="I83" s="45">
        <f t="shared" ca="1" si="37"/>
        <v>0.52651863049163372</v>
      </c>
      <c r="J83" s="45">
        <f t="shared" ca="1" si="35"/>
        <v>0.52646721953325826</v>
      </c>
      <c r="L83" s="58">
        <f ca="1">_xll.EURO(UnderlyingPrice,$D83,IntRate,Yield,$I83,$D$6,L$12,0)</f>
        <v>0.41449195939540107</v>
      </c>
      <c r="M83" s="58">
        <f ca="1">_xll.EURO(UnderlyingPrice,$D83,IntRate,Yield,$I83,$D$6,M$12,0)</f>
        <v>1.0090880030797917</v>
      </c>
      <c r="O83" s="58">
        <f ca="1">_xll.EURO(UnderlyingPrice,$D83*(1+$P$8),IntRate,Yield,$H83,Expiry-Today,O$12,0)</f>
        <v>0.41374544166536786</v>
      </c>
      <c r="P83" s="58">
        <f ca="1">_xll.EURO(UnderlyingPrice,$D83*(1+$P$8),IntRate,Yield,$H83,Expiry-Today,P$12,0)</f>
        <v>1.011019624554784</v>
      </c>
      <c r="R83" s="58">
        <f ca="1">_xll.EURO(UnderlyingPrice,$D83*(1-$P$8),IntRate,Yield,$J83,Expiry-Today,R$12,0)</f>
        <v>0.41523993882775634</v>
      </c>
      <c r="S83" s="58">
        <f ca="1">_xll.EURO(UnderlyingPrice,$D83*(1-$P$8),IntRate,Yield,$J83,Expiry-Today,S$12,0)</f>
        <v>1.0071578433071222</v>
      </c>
      <c r="U83" s="59">
        <f t="shared" ca="1" si="41"/>
        <v>0.19684569609558297</v>
      </c>
      <c r="V83" s="59"/>
      <c r="W83" s="62">
        <f t="shared" ca="1" si="36"/>
        <v>0.20029000764936644</v>
      </c>
      <c r="Z83" s="59">
        <f t="shared" ca="1" si="42"/>
        <v>0.22320024319586781</v>
      </c>
      <c r="AA83" s="59">
        <f t="shared" ca="1" si="43"/>
        <v>0.17144675434486295</v>
      </c>
      <c r="AB83" s="59">
        <f t="shared" ca="1" si="38"/>
        <v>-2.9393989575387781E-2</v>
      </c>
      <c r="AC83" s="59">
        <f t="shared" ca="1" si="44"/>
        <v>-0.13664405452642436</v>
      </c>
      <c r="AD83" s="60">
        <f t="shared" ca="1" si="39"/>
        <v>0.87228065523183285</v>
      </c>
      <c r="AE83" s="60">
        <f t="shared" ca="1" si="45"/>
        <v>0.19469325438279603</v>
      </c>
      <c r="AF83" s="60"/>
      <c r="AG83" s="97">
        <f t="shared" ca="1" si="46"/>
        <v>0.52276965200061942</v>
      </c>
      <c r="AH83" s="97">
        <f t="shared" ca="1" si="47"/>
        <v>0.52429385409220342</v>
      </c>
      <c r="AI83" s="97">
        <f t="shared" ca="1" si="48"/>
        <v>0.52124468761738552</v>
      </c>
      <c r="AJ83" s="62"/>
      <c r="AK83" s="97">
        <f t="shared" ca="1" si="49"/>
        <v>0.35799309440926474</v>
      </c>
      <c r="AL83" s="97"/>
      <c r="AM83" s="95"/>
      <c r="AN83" s="96"/>
      <c r="AX83" s="107">
        <f t="shared" ca="1" si="50"/>
        <v>0.49867550040518582</v>
      </c>
      <c r="AY83" s="107">
        <f t="shared" ca="1" si="51"/>
        <v>0.49871665853643815</v>
      </c>
      <c r="AZ83" s="107">
        <f t="shared" ca="1" si="52"/>
        <v>0.49863441869451247</v>
      </c>
      <c r="BB83" s="39">
        <f ca="1">_xll.EURO(UnderlyingPrice,$D83,IntRate,Yield,AX83,$D$6,1,0)</f>
        <v>0.38159862047847426</v>
      </c>
      <c r="BC83" s="39">
        <f ca="1">_xll.EURO(UnderlyingPrice,$D83*(1+$P$8),IntRate,Yield,AY83,$D$6,1,0)</f>
        <v>0.38084970743406843</v>
      </c>
      <c r="BD83" s="39">
        <f ca="1">_xll.EURO(UnderlyingPrice,$D83*(1-$P$8),IntRate,Yield,AZ83,$D$6,1,0)</f>
        <v>0.38234905843515654</v>
      </c>
      <c r="BF83" s="59">
        <f t="shared" ca="1" si="53"/>
        <v>0.205358104732136</v>
      </c>
      <c r="BG83" s="39">
        <f t="shared" ca="1" si="54"/>
        <v>0.2089513623284236</v>
      </c>
      <c r="BI83" s="58">
        <f t="shared" ca="1" si="55"/>
        <v>-3.2893338916926806E-2</v>
      </c>
      <c r="BJ83" s="46">
        <f t="shared" ca="1" si="56"/>
        <v>-8.6198788862713663E-2</v>
      </c>
    </row>
    <row r="84" spans="3:62" x14ac:dyDescent="0.2">
      <c r="C84" s="56">
        <v>71</v>
      </c>
      <c r="D84" s="63">
        <f t="shared" ca="1" si="57"/>
        <v>5.4850000000000101</v>
      </c>
      <c r="E84" s="45">
        <f t="shared" ca="1" si="40"/>
        <v>0.13209494324045612</v>
      </c>
      <c r="F84" s="45">
        <f t="shared" ca="1" si="32"/>
        <v>0.13266099071207638</v>
      </c>
      <c r="G84" s="45">
        <f t="shared" ca="1" si="33"/>
        <v>0.13152889576883586</v>
      </c>
      <c r="H84" s="45">
        <f t="shared" ca="1" si="34"/>
        <v>0.52723907221662825</v>
      </c>
      <c r="I84" s="45">
        <f t="shared" ca="1" si="37"/>
        <v>0.52718620138751882</v>
      </c>
      <c r="J84" s="45">
        <f t="shared" ca="1" si="35"/>
        <v>0.527133411495457</v>
      </c>
      <c r="L84" s="58">
        <f ca="1">_xll.EURO(UnderlyingPrice,$D84,IntRate,Yield,$I84,$D$6,L$12,0)</f>
        <v>0.40501398674819278</v>
      </c>
      <c r="M84" s="58">
        <f ca="1">_xll.EURO(UnderlyingPrice,$D84,IntRate,Yield,$I84,$D$6,M$12,0)</f>
        <v>1.034008148662259</v>
      </c>
      <c r="O84" s="58">
        <f ca="1">_xll.EURO(UnderlyingPrice,$D84*(1+$P$8),IntRate,Yield,$H84,Expiry-Today,O$12,0)</f>
        <v>0.40428135698264134</v>
      </c>
      <c r="P84" s="58">
        <f ca="1">_xll.EURO(UnderlyingPrice,$D84*(1+$P$8),IntRate,Yield,$H84,Expiry-Today,P$12,0)</f>
        <v>1.0359708571608479</v>
      </c>
      <c r="R84" s="58">
        <f ca="1">_xll.EURO(UnderlyingPrice,$D84*(1-$P$8),IntRate,Yield,$J84,Expiry-Today,R$12,0)</f>
        <v>0.40574806548414744</v>
      </c>
      <c r="S84" s="58">
        <f ca="1">_xll.EURO(UnderlyingPrice,$D84*(1-$P$8),IntRate,Yield,$J84,Expiry-Today,S$12,0)</f>
        <v>1.0320468891340746</v>
      </c>
      <c r="U84" s="59">
        <f t="shared" ca="1" si="41"/>
        <v>0.1926487707128301</v>
      </c>
      <c r="V84" s="59"/>
      <c r="W84" s="62">
        <f t="shared" ca="1" si="36"/>
        <v>0.1960196464797363</v>
      </c>
      <c r="Z84" s="59">
        <f t="shared" ca="1" si="42"/>
        <v>0.22177599369507375</v>
      </c>
      <c r="AA84" s="59">
        <f t="shared" ca="1" si="43"/>
        <v>0.17784823939690381</v>
      </c>
      <c r="AB84" s="59">
        <f t="shared" ca="1" si="38"/>
        <v>-3.1629996256578405E-2</v>
      </c>
      <c r="AC84" s="59">
        <f t="shared" ca="1" si="44"/>
        <v>-0.14703859515461773</v>
      </c>
      <c r="AD84" s="60">
        <f t="shared" ca="1" si="39"/>
        <v>0.86326065909474747</v>
      </c>
      <c r="AE84" s="60">
        <f t="shared" ca="1" si="45"/>
        <v>0.19145049048860194</v>
      </c>
      <c r="AF84" s="60"/>
      <c r="AG84" s="97">
        <f t="shared" ca="1" si="46"/>
        <v>0.54228884398375332</v>
      </c>
      <c r="AH84" s="97">
        <f t="shared" ca="1" si="47"/>
        <v>0.54381304607533731</v>
      </c>
      <c r="AI84" s="97">
        <f t="shared" ca="1" si="48"/>
        <v>0.54076387960051886</v>
      </c>
      <c r="AJ84" s="62"/>
      <c r="AK84" s="97">
        <f t="shared" ca="1" si="49"/>
        <v>0.35261038379525356</v>
      </c>
      <c r="AL84" s="97"/>
      <c r="AM84" s="95"/>
      <c r="AN84" s="96"/>
      <c r="AX84" s="107">
        <f t="shared" ca="1" si="50"/>
        <v>0.49920991113517316</v>
      </c>
      <c r="AY84" s="107">
        <f t="shared" ca="1" si="51"/>
        <v>0.49925231184747193</v>
      </c>
      <c r="AZ84" s="107">
        <f t="shared" ca="1" si="52"/>
        <v>0.4991675863986898</v>
      </c>
      <c r="BB84" s="39">
        <f ca="1">_xll.EURO(UnderlyingPrice,$D84,IntRate,Yield,AX84,$D$6,1,0)</f>
        <v>0.37209466881311859</v>
      </c>
      <c r="BC84" s="39">
        <f ca="1">_xll.EURO(UnderlyingPrice,$D84*(1+$P$8),IntRate,Yield,AY84,$D$6,1,0)</f>
        <v>0.37136044014446723</v>
      </c>
      <c r="BD84" s="39">
        <f ca="1">_xll.EURO(UnderlyingPrice,$D84*(1-$P$8),IntRate,Yield,AZ84,$D$6,1,0)</f>
        <v>0.37283040967108927</v>
      </c>
      <c r="BF84" s="59">
        <f t="shared" ca="1" si="53"/>
        <v>0.20105408143954848</v>
      </c>
      <c r="BG84" s="39">
        <f t="shared" ca="1" si="54"/>
        <v>0.20457202930111262</v>
      </c>
      <c r="BI84" s="58">
        <f t="shared" ca="1" si="55"/>
        <v>-3.2919317935074188E-2</v>
      </c>
      <c r="BJ84" s="46">
        <f t="shared" ca="1" si="56"/>
        <v>-8.8470275696445513E-2</v>
      </c>
    </row>
    <row r="85" spans="3:62" x14ac:dyDescent="0.2">
      <c r="C85" s="56">
        <v>72</v>
      </c>
      <c r="D85" s="63">
        <f t="shared" ca="1" si="57"/>
        <v>5.5200000000000102</v>
      </c>
      <c r="E85" s="45">
        <f t="shared" ca="1" si="40"/>
        <v>0.13931888544891868</v>
      </c>
      <c r="F85" s="45">
        <f t="shared" ca="1" si="32"/>
        <v>0.13988854489164293</v>
      </c>
      <c r="G85" s="45">
        <f t="shared" ca="1" si="33"/>
        <v>0.13874922600619422</v>
      </c>
      <c r="H85" s="45">
        <f t="shared" ca="1" si="34"/>
        <v>0.52792118630505658</v>
      </c>
      <c r="I85" s="45">
        <f t="shared" ca="1" si="37"/>
        <v>0.52786695455258892</v>
      </c>
      <c r="J85" s="45">
        <f t="shared" ca="1" si="35"/>
        <v>0.52781280240180051</v>
      </c>
      <c r="L85" s="58">
        <f ca="1">_xll.EURO(UnderlyingPrice,$D85,IntRate,Yield,$I85,$D$6,L$12,0)</f>
        <v>0.39577201063511436</v>
      </c>
      <c r="M85" s="58">
        <f ca="1">_xll.EURO(UnderlyingPrice,$D85,IntRate,Yield,$I85,$D$6,M$12,0)</f>
        <v>1.0591642907788561</v>
      </c>
      <c r="O85" s="58">
        <f ca="1">_xll.EURO(UnderlyingPrice,$D85*(1+$P$8),IntRate,Yield,$H85,Expiry-Today,O$12,0)</f>
        <v>0.39505310250993042</v>
      </c>
      <c r="P85" s="58">
        <f ca="1">_xll.EURO(UnderlyingPrice,$D85*(1+$P$8),IntRate,Yield,$H85,Expiry-Today,P$12,0)</f>
        <v>1.0611579199769259</v>
      </c>
      <c r="R85" s="58">
        <f ca="1">_xll.EURO(UnderlyingPrice,$D85*(1-$P$8),IntRate,Yield,$J85,Expiry-Today,R$12,0)</f>
        <v>0.39649235444537845</v>
      </c>
      <c r="S85" s="58">
        <f ca="1">_xll.EURO(UnderlyingPrice,$D85*(1-$P$8),IntRate,Yield,$J85,Expiry-Today,S$12,0)</f>
        <v>1.057172097265866</v>
      </c>
      <c r="U85" s="59">
        <f t="shared" ca="1" si="41"/>
        <v>0.18846947597056068</v>
      </c>
      <c r="V85" s="59"/>
      <c r="W85" s="62">
        <f t="shared" ca="1" si="36"/>
        <v>0.19176722444307853</v>
      </c>
      <c r="Z85" s="59">
        <f t="shared" ca="1" si="42"/>
        <v>0.22036980532925354</v>
      </c>
      <c r="AA85" s="59">
        <f t="shared" ca="1" si="43"/>
        <v>0.18420900595871437</v>
      </c>
      <c r="AB85" s="59">
        <f t="shared" ca="1" si="38"/>
        <v>-3.3932957876297666E-2</v>
      </c>
      <c r="AC85" s="59">
        <f t="shared" ca="1" si="44"/>
        <v>-0.15774438969571244</v>
      </c>
      <c r="AD85" s="60">
        <f t="shared" ca="1" si="39"/>
        <v>0.85406806266727597</v>
      </c>
      <c r="AE85" s="60">
        <f t="shared" ca="1" si="45"/>
        <v>0.18821081270792031</v>
      </c>
      <c r="AF85" s="60"/>
      <c r="AG85" s="97">
        <f t="shared" ca="1" si="46"/>
        <v>0.56168387852191815</v>
      </c>
      <c r="AH85" s="97">
        <f t="shared" ca="1" si="47"/>
        <v>0.56320808061350147</v>
      </c>
      <c r="AI85" s="97">
        <f t="shared" ca="1" si="48"/>
        <v>0.56015891413868368</v>
      </c>
      <c r="AJ85" s="62"/>
      <c r="AK85" s="97">
        <f t="shared" ca="1" si="49"/>
        <v>0.34716211386557777</v>
      </c>
      <c r="AL85" s="97"/>
      <c r="AM85" s="95"/>
      <c r="AN85" s="96"/>
      <c r="AX85" s="107">
        <f t="shared" ca="1" si="50"/>
        <v>0.49975669609523266</v>
      </c>
      <c r="AY85" s="107">
        <f t="shared" ca="1" si="51"/>
        <v>0.49980033350472353</v>
      </c>
      <c r="AZ85" s="107">
        <f t="shared" ca="1" si="52"/>
        <v>0.49971313418649504</v>
      </c>
      <c r="BB85" s="39">
        <f ca="1">_xll.EURO(UnderlyingPrice,$D85,IntRate,Yield,AX85,$D$6,1,0)</f>
        <v>0.36283700959901388</v>
      </c>
      <c r="BC85" s="39">
        <f ca="1">_xll.EURO(UnderlyingPrice,$D85*(1+$P$8),IntRate,Yield,AY85,$D$6,1,0)</f>
        <v>0.36211729868550901</v>
      </c>
      <c r="BD85" s="39">
        <f ca="1">_xll.EURO(UnderlyingPrice,$D85*(1-$P$8),IntRate,Yield,AZ85,$D$6,1,0)</f>
        <v>0.36355821936585375</v>
      </c>
      <c r="BF85" s="59">
        <f t="shared" ca="1" si="53"/>
        <v>0.19676188497721481</v>
      </c>
      <c r="BG85" s="39">
        <f t="shared" ca="1" si="54"/>
        <v>0.20020473004425737</v>
      </c>
      <c r="BI85" s="58">
        <f t="shared" ca="1" si="55"/>
        <v>-3.2935001036100475E-2</v>
      </c>
      <c r="BJ85" s="46">
        <f t="shared" ca="1" si="56"/>
        <v>-9.0770787336435996E-2</v>
      </c>
    </row>
    <row r="86" spans="3:62" x14ac:dyDescent="0.2">
      <c r="C86" s="56">
        <v>73</v>
      </c>
      <c r="D86" s="63">
        <f t="shared" ca="1" si="57"/>
        <v>5.5550000000000104</v>
      </c>
      <c r="E86" s="45">
        <f t="shared" ca="1" si="40"/>
        <v>0.14654282765738103</v>
      </c>
      <c r="F86" s="45">
        <f t="shared" ca="1" si="32"/>
        <v>0.14711609907120948</v>
      </c>
      <c r="G86" s="45">
        <f t="shared" ca="1" si="33"/>
        <v>0.14596955624355235</v>
      </c>
      <c r="H86" s="45">
        <f t="shared" ca="1" si="34"/>
        <v>0.52861608398265869</v>
      </c>
      <c r="I86" s="45">
        <f t="shared" ca="1" si="37"/>
        <v>0.52856050860732429</v>
      </c>
      <c r="J86" s="45">
        <f t="shared" ca="1" si="35"/>
        <v>0.52850501144455209</v>
      </c>
      <c r="L86" s="58">
        <f ca="1">_xll.EURO(UnderlyingPrice,$D86,IntRate,Yield,$I86,$D$6,L$12,0)</f>
        <v>0.38676091190914597</v>
      </c>
      <c r="M86" s="58">
        <f ca="1">_xll.EURO(UnderlyingPrice,$D86,IntRate,Yield,$I86,$D$6,M$12,0)</f>
        <v>1.0845513102825617</v>
      </c>
      <c r="O86" s="58">
        <f ca="1">_xll.EURO(UnderlyingPrice,$D86*(1+$P$8),IntRate,Yield,$H86,Expiry-Today,O$12,0)</f>
        <v>0.38605555337173492</v>
      </c>
      <c r="P86" s="58">
        <f ca="1">_xll.EURO(UnderlyingPrice,$D86*(1+$P$8),IntRate,Yield,$H86,Expiry-Today,P$12,0)</f>
        <v>1.0865756881275197</v>
      </c>
      <c r="R86" s="58">
        <f ca="1">_xll.EURO(UnderlyingPrice,$D86*(1-$P$8),IntRate,Yield,$J86,Expiry-Today,R$12,0)</f>
        <v>0.38746769232751332</v>
      </c>
      <c r="S86" s="58">
        <f ca="1">_xll.EURO(UnderlyingPrice,$D86*(1-$P$8),IntRate,Yield,$J86,Expiry-Today,S$12,0)</f>
        <v>1.0825283543185611</v>
      </c>
      <c r="U86" s="59">
        <f t="shared" ca="1" si="41"/>
        <v>0.18431263262108913</v>
      </c>
      <c r="V86" s="59"/>
      <c r="W86" s="62">
        <f t="shared" ca="1" si="36"/>
        <v>0.18753764664291875</v>
      </c>
      <c r="Z86" s="59">
        <f t="shared" ca="1" si="42"/>
        <v>0.2189813367088172</v>
      </c>
      <c r="AA86" s="59">
        <f t="shared" ca="1" si="43"/>
        <v>0.19052956876130372</v>
      </c>
      <c r="AB86" s="59">
        <f t="shared" ca="1" si="38"/>
        <v>-3.6301516572368367E-2</v>
      </c>
      <c r="AC86" s="59">
        <f t="shared" ca="1" si="44"/>
        <v>-0.16875512584586472</v>
      </c>
      <c r="AD86" s="60">
        <f t="shared" ca="1" si="39"/>
        <v>0.84471572711126963</v>
      </c>
      <c r="AE86" s="60">
        <f t="shared" ca="1" si="45"/>
        <v>0.18497697906178628</v>
      </c>
      <c r="AF86" s="60"/>
      <c r="AG86" s="97">
        <f t="shared" ca="1" si="46"/>
        <v>0.58095632511551976</v>
      </c>
      <c r="AH86" s="97">
        <f t="shared" ca="1" si="47"/>
        <v>0.58248052720710308</v>
      </c>
      <c r="AI86" s="97">
        <f t="shared" ca="1" si="48"/>
        <v>0.57943136073228541</v>
      </c>
      <c r="AJ86" s="62"/>
      <c r="AK86" s="97">
        <f t="shared" ca="1" si="49"/>
        <v>0.34165783852903853</v>
      </c>
      <c r="AL86" s="97"/>
      <c r="AM86" s="95"/>
      <c r="AN86" s="96"/>
      <c r="AX86" s="107">
        <f t="shared" ca="1" si="50"/>
        <v>0.50031562246765482</v>
      </c>
      <c r="AY86" s="107">
        <f t="shared" ca="1" si="51"/>
        <v>0.50036049034108221</v>
      </c>
      <c r="AZ86" s="107">
        <f t="shared" ca="1" si="52"/>
        <v>0.50027082958927038</v>
      </c>
      <c r="BB86" s="39">
        <f ca="1">_xll.EURO(UnderlyingPrice,$D86,IntRate,Yield,AX86,$D$6,1,0)</f>
        <v>0.35382038542836991</v>
      </c>
      <c r="BC86" s="39">
        <f ca="1">_xll.EURO(UnderlyingPrice,$D86*(1+$P$8),IntRate,Yield,AY86,$D$6,1,0)</f>
        <v>0.35311501917609567</v>
      </c>
      <c r="BD86" s="39">
        <f ca="1">_xll.EURO(UnderlyingPrice,$D86*(1-$P$8),IntRate,Yield,AZ86,$D$6,1,0)</f>
        <v>0.3545272366210086</v>
      </c>
      <c r="BF86" s="59">
        <f t="shared" ca="1" si="53"/>
        <v>0.19248676666105635</v>
      </c>
      <c r="BG86" s="39">
        <f t="shared" ca="1" si="54"/>
        <v>0.19585480775878589</v>
      </c>
      <c r="BI86" s="58">
        <f t="shared" ca="1" si="55"/>
        <v>-3.2940526480776056E-2</v>
      </c>
      <c r="BJ86" s="46">
        <f t="shared" ca="1" si="56"/>
        <v>-9.3099572091910415E-2</v>
      </c>
    </row>
    <row r="87" spans="3:62" x14ac:dyDescent="0.2">
      <c r="C87" s="56">
        <v>74</v>
      </c>
      <c r="D87" s="63">
        <f t="shared" ca="1" si="57"/>
        <v>5.5900000000000105</v>
      </c>
      <c r="E87" s="45">
        <f t="shared" ca="1" si="40"/>
        <v>0.15376676986584337</v>
      </c>
      <c r="F87" s="45">
        <f t="shared" ca="1" si="32"/>
        <v>0.15434365325077626</v>
      </c>
      <c r="G87" s="45">
        <f t="shared" ca="1" si="33"/>
        <v>0.15318988648091048</v>
      </c>
      <c r="H87" s="45">
        <f t="shared" ca="1" si="34"/>
        <v>0.52932338329755946</v>
      </c>
      <c r="I87" s="45">
        <f t="shared" ca="1" si="37"/>
        <v>0.52926648217220518</v>
      </c>
      <c r="J87" s="45">
        <f t="shared" ca="1" si="35"/>
        <v>0.5292096578159754</v>
      </c>
      <c r="L87" s="58">
        <f ca="1">_xll.EURO(UnderlyingPrice,$D87,IntRate,Yield,$I87,$D$6,L$12,0)</f>
        <v>0.37797559889754395</v>
      </c>
      <c r="M87" s="58">
        <f ca="1">_xll.EURO(UnderlyingPrice,$D87,IntRate,Yield,$I87,$D$6,M$12,0)</f>
        <v>1.1101641155006354</v>
      </c>
      <c r="O87" s="58">
        <f ca="1">_xll.EURO(UnderlyingPrice,$D87*(1+$P$8),IntRate,Yield,$H87,Expiry-Today,O$12,0)</f>
        <v>0.37728361267331501</v>
      </c>
      <c r="P87" s="58">
        <f ca="1">_xll.EURO(UnderlyingPrice,$D87*(1+$P$8),IntRate,Yield,$H87,Expiry-Today,P$12,0)</f>
        <v>1.1122190647178907</v>
      </c>
      <c r="R87" s="58">
        <f ca="1">_xll.EURO(UnderlyingPrice,$D87*(1-$P$8),IntRate,Yield,$J87,Expiry-Today,R$12,0)</f>
        <v>0.37866899271411336</v>
      </c>
      <c r="S87" s="58">
        <f ca="1">_xll.EURO(UnderlyingPrice,$D87*(1-$P$8),IntRate,Yield,$J87,Expiry-Today,S$12,0)</f>
        <v>1.108110573875722</v>
      </c>
      <c r="U87" s="59">
        <f t="shared" ca="1" si="41"/>
        <v>0.18018277469200064</v>
      </c>
      <c r="V87" s="59"/>
      <c r="W87" s="62">
        <f t="shared" ca="1" si="36"/>
        <v>0.18333552644108167</v>
      </c>
      <c r="Z87" s="59">
        <f t="shared" ca="1" si="42"/>
        <v>0.21761025499418235</v>
      </c>
      <c r="AA87" s="59">
        <f t="shared" ca="1" si="43"/>
        <v>0.1968104328367182</v>
      </c>
      <c r="AB87" s="59">
        <f t="shared" ca="1" si="38"/>
        <v>-3.8734346473376369E-2</v>
      </c>
      <c r="AC87" s="59">
        <f t="shared" ca="1" si="44"/>
        <v>-0.18006464001692521</v>
      </c>
      <c r="AD87" s="60">
        <f t="shared" ca="1" si="39"/>
        <v>0.83521622127564976</v>
      </c>
      <c r="AE87" s="60">
        <f t="shared" ca="1" si="45"/>
        <v>0.18175161488707156</v>
      </c>
      <c r="AF87" s="60"/>
      <c r="AG87" s="97">
        <f t="shared" ca="1" si="46"/>
        <v>0.60010772369121401</v>
      </c>
      <c r="AH87" s="97">
        <f t="shared" ca="1" si="47"/>
        <v>0.60163192578279789</v>
      </c>
      <c r="AI87" s="97">
        <f t="shared" ca="1" si="48"/>
        <v>0.59858275930797977</v>
      </c>
      <c r="AJ87" s="62"/>
      <c r="AK87" s="97">
        <f t="shared" ca="1" si="49"/>
        <v>0.33610680206195664</v>
      </c>
      <c r="AL87" s="97"/>
      <c r="AM87" s="95"/>
      <c r="AN87" s="96"/>
      <c r="AX87" s="107">
        <f t="shared" ca="1" si="50"/>
        <v>0.50088645743473026</v>
      </c>
      <c r="AY87" s="107">
        <f t="shared" ca="1" si="51"/>
        <v>0.50093254918943741</v>
      </c>
      <c r="AZ87" s="107">
        <f t="shared" ca="1" si="52"/>
        <v>0.50084044013835882</v>
      </c>
      <c r="BB87" s="39">
        <f ca="1">_xll.EURO(UnderlyingPrice,$D87,IntRate,Yield,AX87,$D$6,1,0)</f>
        <v>0.34503955978418221</v>
      </c>
      <c r="BC87" s="39">
        <f ca="1">_xll.EURO(UnderlyingPrice,$D87*(1+$P$8),IntRate,Yield,AY87,$D$6,1,0)</f>
        <v>0.34434835916086159</v>
      </c>
      <c r="BD87" s="39">
        <f ca="1">_xll.EURO(UnderlyingPrice,$D87*(1-$P$8),IntRate,Yield,AZ87,$D$6,1,0)</f>
        <v>0.3457322308937798</v>
      </c>
      <c r="BF87" s="59">
        <f t="shared" ca="1" si="53"/>
        <v>0.18823368805995222</v>
      </c>
      <c r="BG87" s="39">
        <f t="shared" ca="1" si="54"/>
        <v>0.1915273108287292</v>
      </c>
      <c r="BI87" s="58">
        <f t="shared" ca="1" si="55"/>
        <v>-3.2936039113361737E-2</v>
      </c>
      <c r="BJ87" s="46">
        <f t="shared" ca="1" si="56"/>
        <v>-9.5455834496087355E-2</v>
      </c>
    </row>
    <row r="88" spans="3:62" x14ac:dyDescent="0.2">
      <c r="C88" s="56">
        <v>75</v>
      </c>
      <c r="D88" s="63">
        <f t="shared" ca="1" si="57"/>
        <v>5.6250000000000107</v>
      </c>
      <c r="E88" s="45">
        <f t="shared" ca="1" si="40"/>
        <v>0.16099071207430571</v>
      </c>
      <c r="F88" s="45">
        <f t="shared" ca="1" si="32"/>
        <v>0.16157120743034281</v>
      </c>
      <c r="G88" s="45">
        <f t="shared" ca="1" si="33"/>
        <v>0.16041021671826838</v>
      </c>
      <c r="H88" s="45">
        <f t="shared" ca="1" si="34"/>
        <v>0.53004270229788353</v>
      </c>
      <c r="I88" s="45">
        <f t="shared" ca="1" si="37"/>
        <v>0.52998449386771163</v>
      </c>
      <c r="J88" s="45">
        <f t="shared" ca="1" si="35"/>
        <v>0.52992636070833343</v>
      </c>
      <c r="L88" s="58">
        <f ca="1">_xll.EURO(UnderlyingPrice,$D88,IntRate,Yield,$I88,$D$6,L$12,0)</f>
        <v>0.3694110129537802</v>
      </c>
      <c r="M88" s="58">
        <f ca="1">_xll.EURO(UnderlyingPrice,$D88,IntRate,Yield,$I88,$D$6,M$12,0)</f>
        <v>1.1359976477865463</v>
      </c>
      <c r="O88" s="58">
        <f ca="1">_xll.EURO(UnderlyingPrice,$D88*(1+$P$8),IntRate,Yield,$H88,Expiry-Today,O$12,0)</f>
        <v>0.36873221703850101</v>
      </c>
      <c r="P88" s="58">
        <f ca="1">_xll.EURO(UnderlyingPrice,$D88*(1+$P$8),IntRate,Yield,$H88,Expiry-Today,P$12,0)</f>
        <v>1.1380829863718676</v>
      </c>
      <c r="R88" s="58">
        <f ca="1">_xll.EURO(UnderlyingPrice,$D88*(1-$P$8),IntRate,Yield,$J88,Expiry-Today,R$12,0)</f>
        <v>0.37009120172215404</v>
      </c>
      <c r="S88" s="58">
        <f ca="1">_xll.EURO(UnderlyingPrice,$D88*(1-$P$8),IntRate,Yield,$J88,Expiry-Today,S$12,0)</f>
        <v>1.1339137020543215</v>
      </c>
      <c r="U88" s="59">
        <f t="shared" ca="1" si="41"/>
        <v>0.17608414430997227</v>
      </c>
      <c r="V88" s="59"/>
      <c r="W88" s="62">
        <f t="shared" ca="1" si="36"/>
        <v>0.1791651801909418</v>
      </c>
      <c r="Z88" s="59">
        <f t="shared" ca="1" si="42"/>
        <v>0.21625623562977411</v>
      </c>
      <c r="AA88" s="59">
        <f t="shared" ca="1" si="43"/>
        <v>0.20305209376019423</v>
      </c>
      <c r="AB88" s="59">
        <f t="shared" ca="1" si="38"/>
        <v>-4.123015278039871E-2</v>
      </c>
      <c r="AC88" s="59">
        <f t="shared" ca="1" si="44"/>
        <v>-0.19166691306766184</v>
      </c>
      <c r="AD88" s="60">
        <f t="shared" ca="1" si="39"/>
        <v>0.82558181321245072</v>
      </c>
      <c r="AE88" s="60">
        <f t="shared" ca="1" si="45"/>
        <v>0.17853721512972789</v>
      </c>
      <c r="AF88" s="60"/>
      <c r="AG88" s="97">
        <f t="shared" ca="1" si="46"/>
        <v>0.6191395853402718</v>
      </c>
      <c r="AH88" s="97">
        <f t="shared" ca="1" si="47"/>
        <v>0.62066378743185557</v>
      </c>
      <c r="AI88" s="97">
        <f t="shared" ca="1" si="48"/>
        <v>0.6176146209570369</v>
      </c>
      <c r="AJ88" s="62"/>
      <c r="AK88" s="97">
        <f t="shared" ca="1" si="49"/>
        <v>0.33051791264823621</v>
      </c>
      <c r="AL88" s="97"/>
      <c r="AM88" s="95"/>
      <c r="AN88" s="96"/>
      <c r="AX88" s="107">
        <f t="shared" ca="1" si="50"/>
        <v>0.50146896817874964</v>
      </c>
      <c r="AY88" s="107">
        <f t="shared" ca="1" si="51"/>
        <v>0.50151627688267852</v>
      </c>
      <c r="AZ88" s="107">
        <f t="shared" ca="1" si="52"/>
        <v>0.50142173336510276</v>
      </c>
      <c r="BB88" s="39">
        <f ca="1">_xll.EURO(UnderlyingPrice,$D88,IntRate,Yield,AX88,$D$6,1,0)</f>
        <v>0.33648932311925872</v>
      </c>
      <c r="BC88" s="39">
        <f ca="1">_xll.EURO(UnderlyingPrice,$D88*(1+$P$8),IntRate,Yield,AY88,$D$6,1,0)</f>
        <v>0.33581210367638503</v>
      </c>
      <c r="BD88" s="39">
        <f ca="1">_xll.EURO(UnderlyingPrice,$D88*(1-$P$8),IntRate,Yield,AZ88,$D$6,1,0)</f>
        <v>0.33716799808881515</v>
      </c>
      <c r="BF88" s="59">
        <f t="shared" ca="1" si="53"/>
        <v>0.18400732384224558</v>
      </c>
      <c r="BG88" s="39">
        <f t="shared" ca="1" si="54"/>
        <v>0.18722699571753454</v>
      </c>
      <c r="BI88" s="58">
        <f t="shared" ca="1" si="55"/>
        <v>-3.2921689834521484E-2</v>
      </c>
      <c r="BJ88" s="46">
        <f t="shared" ca="1" si="56"/>
        <v>-9.7838735355217685E-2</v>
      </c>
    </row>
    <row r="89" spans="3:62" x14ac:dyDescent="0.2">
      <c r="C89" s="56">
        <v>76</v>
      </c>
      <c r="D89" s="63">
        <f t="shared" ca="1" si="57"/>
        <v>5.6600000000000108</v>
      </c>
      <c r="E89" s="45">
        <f t="shared" ca="1" si="40"/>
        <v>0.16821465428276805</v>
      </c>
      <c r="F89" s="45">
        <f t="shared" ca="1" si="32"/>
        <v>0.16879876160990936</v>
      </c>
      <c r="G89" s="45">
        <f t="shared" ca="1" si="33"/>
        <v>0.16763054695562674</v>
      </c>
      <c r="H89" s="45">
        <f t="shared" ca="1" si="34"/>
        <v>0.53077365903175588</v>
      </c>
      <c r="I89" s="45">
        <f t="shared" ca="1" si="37"/>
        <v>0.53071416231432367</v>
      </c>
      <c r="J89" s="45">
        <f t="shared" ca="1" si="35"/>
        <v>0.53065473931388996</v>
      </c>
      <c r="L89" s="58">
        <f ca="1">_xll.EURO(UnderlyingPrice,$D89,IntRate,Yield,$I89,$D$6,L$12,0)</f>
        <v>0.36106213365738316</v>
      </c>
      <c r="M89" s="58">
        <f ca="1">_xll.EURO(UnderlyingPrice,$D89,IntRate,Yield,$I89,$D$6,M$12,0)</f>
        <v>1.1620468867198253</v>
      </c>
      <c r="O89" s="58">
        <f ca="1">_xll.EURO(UnderlyingPrice,$D89*(1+$P$8),IntRate,Yield,$H89,Expiry-Today,O$12,0)</f>
        <v>0.3603963417945979</v>
      </c>
      <c r="P89" s="58">
        <f ca="1">_xll.EURO(UnderlyingPrice,$D89*(1+$P$8),IntRate,Yield,$H89,Expiry-Today,P$12,0)</f>
        <v>1.1641624284167524</v>
      </c>
      <c r="R89" s="58">
        <f ca="1">_xll.EURO(UnderlyingPrice,$D89*(1-$P$8),IntRate,Yield,$J89,Expiry-Today,R$12,0)</f>
        <v>0.36172930321677432</v>
      </c>
      <c r="S89" s="58">
        <f ca="1">_xll.EURO(UnderlyingPrice,$D89*(1-$P$8),IntRate,Yield,$J89,Expiry-Today,S$12,0)</f>
        <v>1.1599327227195024</v>
      </c>
      <c r="U89" s="59">
        <f t="shared" ca="1" si="41"/>
        <v>0.17202070270682501</v>
      </c>
      <c r="V89" s="59"/>
      <c r="W89" s="62">
        <f t="shared" ca="1" si="36"/>
        <v>0.17503063843605413</v>
      </c>
      <c r="Z89" s="59">
        <f t="shared" ca="1" si="42"/>
        <v>0.21491896208789388</v>
      </c>
      <c r="AA89" s="59">
        <f t="shared" ca="1" si="43"/>
        <v>0.20925503788480196</v>
      </c>
      <c r="AB89" s="59">
        <f t="shared" ca="1" si="38"/>
        <v>-4.3787670880169903E-2</v>
      </c>
      <c r="AC89" s="59">
        <f t="shared" ca="1" si="44"/>
        <v>-0.20355606618112931</v>
      </c>
      <c r="AD89" s="60">
        <f t="shared" ca="1" si="39"/>
        <v>0.81582446287830612</v>
      </c>
      <c r="AE89" s="60">
        <f t="shared" ca="1" si="45"/>
        <v>0.17533614680771906</v>
      </c>
      <c r="AF89" s="60"/>
      <c r="AG89" s="97">
        <f t="shared" ca="1" si="46"/>
        <v>0.63805339303404596</v>
      </c>
      <c r="AH89" s="97">
        <f t="shared" ca="1" si="47"/>
        <v>0.63957759512562962</v>
      </c>
      <c r="AI89" s="97">
        <f t="shared" ca="1" si="48"/>
        <v>0.63652842865081172</v>
      </c>
      <c r="AJ89" s="62"/>
      <c r="AK89" s="97">
        <f t="shared" ca="1" si="49"/>
        <v>0.32489974612069439</v>
      </c>
      <c r="AL89" s="97"/>
      <c r="AM89" s="95"/>
      <c r="AN89" s="96"/>
      <c r="AX89" s="107">
        <f t="shared" ca="1" si="50"/>
        <v>0.50206292188200352</v>
      </c>
      <c r="AY89" s="107">
        <f t="shared" ca="1" si="51"/>
        <v>0.50211144025369492</v>
      </c>
      <c r="AZ89" s="107">
        <f t="shared" ca="1" si="52"/>
        <v>0.50201447680084466</v>
      </c>
      <c r="BB89" s="39">
        <f ca="1">_xll.EURO(UnderlyingPrice,$D89,IntRate,Yield,AX89,$D$6,1,0)</f>
        <v>0.32816449858159547</v>
      </c>
      <c r="BC89" s="39">
        <f ca="1">_xll.EURO(UnderlyingPrice,$D89*(1+$P$8),IntRate,Yield,AY89,$D$6,1,0)</f>
        <v>0.32750107096266667</v>
      </c>
      <c r="BD89" s="39">
        <f ca="1">_xll.EURO(UnderlyingPrice,$D89*(1-$P$8),IntRate,Yield,AZ89,$D$6,1,0)</f>
        <v>0.32882936629732251</v>
      </c>
      <c r="BF89" s="59">
        <f t="shared" ca="1" si="53"/>
        <v>0.17981205886642257</v>
      </c>
      <c r="BG89" s="39">
        <f t="shared" ca="1" si="54"/>
        <v>0.18295832400783812</v>
      </c>
      <c r="BI89" s="58">
        <f t="shared" ca="1" si="55"/>
        <v>-3.289763507578769E-2</v>
      </c>
      <c r="BJ89" s="46">
        <f t="shared" ca="1" si="56"/>
        <v>-0.10024739183543328</v>
      </c>
    </row>
    <row r="90" spans="3:62" x14ac:dyDescent="0.2">
      <c r="C90" s="56">
        <v>77</v>
      </c>
      <c r="D90" s="63">
        <f t="shared" ca="1" si="57"/>
        <v>5.6950000000000109</v>
      </c>
      <c r="E90" s="45">
        <f t="shared" ca="1" si="40"/>
        <v>0.17543859649123039</v>
      </c>
      <c r="F90" s="45">
        <f t="shared" ca="1" si="32"/>
        <v>0.17602631578947592</v>
      </c>
      <c r="G90" s="45">
        <f t="shared" ca="1" si="33"/>
        <v>0.17485087719298487</v>
      </c>
      <c r="H90" s="45">
        <f t="shared" ca="1" si="34"/>
        <v>0.53151587154730118</v>
      </c>
      <c r="I90" s="45">
        <f t="shared" ca="1" si="37"/>
        <v>0.53145510613252145</v>
      </c>
      <c r="J90" s="45">
        <f t="shared" ca="1" si="35"/>
        <v>0.5313944128249084</v>
      </c>
      <c r="L90" s="58">
        <f ca="1">_xll.EURO(UnderlyingPrice,$D90,IntRate,Yield,$I90,$D$6,L$12,0)</f>
        <v>0.35292398366510036</v>
      </c>
      <c r="M90" s="58">
        <f ca="1">_xll.EURO(UnderlyingPrice,$D90,IntRate,Yield,$I90,$D$6,M$12,0)</f>
        <v>1.1883068549572164</v>
      </c>
      <c r="O90" s="58">
        <f ca="1">_xll.EURO(UnderlyingPrice,$D90*(1+$P$8),IntRate,Yield,$H90,Expiry-Today,O$12,0)</f>
        <v>0.35227100580786197</v>
      </c>
      <c r="P90" s="58">
        <f ca="1">_xll.EURO(UnderlyingPrice,$D90*(1+$P$8),IntRate,Yield,$H90,Expiry-Today,P$12,0)</f>
        <v>1.1904524097188074</v>
      </c>
      <c r="R90" s="58">
        <f ca="1">_xll.EURO(UnderlyingPrice,$D90*(1-$P$8),IntRate,Yield,$J90,Expiry-Today,R$12,0)</f>
        <v>0.35357832367799658</v>
      </c>
      <c r="S90" s="58">
        <f ca="1">_xll.EURO(UnderlyingPrice,$D90*(1-$P$8),IntRate,Yield,$J90,Expiry-Today,S$12,0)</f>
        <v>1.1861626623512862</v>
      </c>
      <c r="U90" s="59">
        <f t="shared" ca="1" si="41"/>
        <v>0.16799612836911881</v>
      </c>
      <c r="V90" s="59"/>
      <c r="W90" s="62">
        <f t="shared" ca="1" si="36"/>
        <v>0.17093564402737166</v>
      </c>
      <c r="Z90" s="59">
        <f t="shared" ca="1" si="42"/>
        <v>0.21359812562203326</v>
      </c>
      <c r="AA90" s="59">
        <f t="shared" ca="1" si="43"/>
        <v>0.21541974256885585</v>
      </c>
      <c r="AB90" s="59">
        <f t="shared" ca="1" si="38"/>
        <v>-4.6405665488432127E-2</v>
      </c>
      <c r="AC90" s="59">
        <f t="shared" ca="1" si="44"/>
        <v>-0.21572635688235506</v>
      </c>
      <c r="AD90" s="60">
        <f t="shared" ca="1" si="39"/>
        <v>0.80595581596318644</v>
      </c>
      <c r="AE90" s="60">
        <f t="shared" ca="1" si="45"/>
        <v>0.17215065162391302</v>
      </c>
      <c r="AF90" s="60"/>
      <c r="AG90" s="97">
        <f t="shared" ca="1" si="46"/>
        <v>0.65685060231738401</v>
      </c>
      <c r="AH90" s="97">
        <f t="shared" ca="1" si="47"/>
        <v>0.65837480440896767</v>
      </c>
      <c r="AI90" s="97">
        <f t="shared" ca="1" si="48"/>
        <v>0.65532563793414988</v>
      </c>
      <c r="AJ90" s="62"/>
      <c r="AK90" s="97">
        <f t="shared" ca="1" si="49"/>
        <v>0.31926052604066379</v>
      </c>
      <c r="AL90" s="97"/>
      <c r="AM90" s="95"/>
      <c r="AN90" s="96"/>
      <c r="AX90" s="107">
        <f t="shared" ca="1" si="50"/>
        <v>0.50266808572678257</v>
      </c>
      <c r="AY90" s="107">
        <f t="shared" ca="1" si="51"/>
        <v>0.50271780613537609</v>
      </c>
      <c r="AZ90" s="107">
        <f t="shared" ca="1" si="52"/>
        <v>0.50261843797692729</v>
      </c>
      <c r="BB90" s="39">
        <f ca="1">_xll.EURO(UnderlyingPrice,$D90,IntRate,Yield,AX90,$D$6,1,0)</f>
        <v>0.32005994738695587</v>
      </c>
      <c r="BC90" s="39">
        <f ca="1">_xll.EURO(UnderlyingPrice,$D90*(1+$P$8),IntRate,Yield,AY90,$D$6,1,0)</f>
        <v>0.31941011782092721</v>
      </c>
      <c r="BD90" s="39">
        <f ca="1">_xll.EURO(UnderlyingPrice,$D90*(1-$P$8),IntRate,Yield,AZ90,$D$6,1,0)</f>
        <v>0.32071120118435226</v>
      </c>
      <c r="BF90" s="59">
        <f t="shared" ca="1" si="53"/>
        <v>0.17565199271179846</v>
      </c>
      <c r="BG90" s="39">
        <f t="shared" ca="1" si="54"/>
        <v>0.17872546701142739</v>
      </c>
      <c r="BI90" s="58">
        <f t="shared" ca="1" si="55"/>
        <v>-3.2864036278144493E-2</v>
      </c>
      <c r="BJ90" s="46">
        <f t="shared" ca="1" si="56"/>
        <v>-0.10268087758700881</v>
      </c>
    </row>
    <row r="91" spans="3:62" x14ac:dyDescent="0.2">
      <c r="C91" s="56">
        <v>78</v>
      </c>
      <c r="D91" s="63">
        <f t="shared" ca="1" si="57"/>
        <v>5.7300000000000111</v>
      </c>
      <c r="E91" s="45">
        <f t="shared" ca="1" si="40"/>
        <v>0.18266253869969273</v>
      </c>
      <c r="F91" s="45">
        <f t="shared" ca="1" si="32"/>
        <v>0.18325386996904247</v>
      </c>
      <c r="G91" s="45">
        <f t="shared" ca="1" si="33"/>
        <v>0.182071207430343</v>
      </c>
      <c r="H91" s="45">
        <f t="shared" ca="1" si="34"/>
        <v>0.53226895789264417</v>
      </c>
      <c r="I91" s="45">
        <f t="shared" ca="1" si="37"/>
        <v>0.53220694394278512</v>
      </c>
      <c r="J91" s="45">
        <f t="shared" ca="1" si="35"/>
        <v>0.53214500043365198</v>
      </c>
      <c r="L91" s="58">
        <f ca="1">_xll.EURO(UnderlyingPrice,$D91,IntRate,Yield,$I91,$D$6,L$12,0)</f>
        <v>0.34499163321819504</v>
      </c>
      <c r="M91" s="58">
        <f ca="1">_xll.EURO(UnderlyingPrice,$D91,IntRate,Yield,$I91,$D$6,M$12,0)</f>
        <v>1.2147726227399862</v>
      </c>
      <c r="O91" s="58">
        <f ca="1">_xll.EURO(UnderlyingPrice,$D91*(1+$P$8),IntRate,Yield,$H91,Expiry-Today,O$12,0)</f>
        <v>0.34435127597454929</v>
      </c>
      <c r="P91" s="58">
        <f ca="1">_xll.EURO(UnderlyingPrice,$D91*(1+$P$8),IntRate,Yield,$H91,Expiry-Today,P$12,0)</f>
        <v>1.2169479971742851</v>
      </c>
      <c r="R91" s="58">
        <f ca="1">_xll.EURO(UnderlyingPrice,$D91*(1-$P$8),IntRate,Yield,$J91,Expiry-Today,R$12,0)</f>
        <v>0.34563333672421725</v>
      </c>
      <c r="S91" s="58">
        <f ca="1">_xll.EURO(UnderlyingPrice,$D91*(1-$P$8),IntRate,Yield,$J91,Expiry-Today,S$12,0)</f>
        <v>1.2125985945680653</v>
      </c>
      <c r="U91" s="59">
        <f t="shared" ca="1" si="41"/>
        <v>0.16401382472666884</v>
      </c>
      <c r="V91" s="59"/>
      <c r="W91" s="62">
        <f t="shared" ca="1" si="36"/>
        <v>0.1668836599462917</v>
      </c>
      <c r="Z91" s="59">
        <f t="shared" ca="1" si="42"/>
        <v>0.21229342502922849</v>
      </c>
      <c r="AA91" s="59">
        <f t="shared" ca="1" si="43"/>
        <v>0.22154667639635858</v>
      </c>
      <c r="AB91" s="59">
        <f t="shared" ca="1" si="38"/>
        <v>-4.9082929822272831E-2</v>
      </c>
      <c r="AC91" s="59">
        <f t="shared" ca="1" si="44"/>
        <v>-0.22817217519077887</v>
      </c>
      <c r="AD91" s="60">
        <f t="shared" ca="1" si="39"/>
        <v>0.79598719878872737</v>
      </c>
      <c r="AE91" s="60">
        <f t="shared" ca="1" si="45"/>
        <v>0.1689828487102803</v>
      </c>
      <c r="AF91" s="60"/>
      <c r="AG91" s="97">
        <f t="shared" ca="1" si="46"/>
        <v>0.67553264198079854</v>
      </c>
      <c r="AH91" s="97">
        <f t="shared" ca="1" si="47"/>
        <v>0.6770568440723822</v>
      </c>
      <c r="AI91" s="97">
        <f t="shared" ca="1" si="48"/>
        <v>0.67400767759756453</v>
      </c>
      <c r="AJ91" s="62"/>
      <c r="AK91" s="97">
        <f t="shared" ca="1" si="49"/>
        <v>0.31360812188827153</v>
      </c>
      <c r="AL91" s="97"/>
      <c r="AM91" s="95"/>
      <c r="AN91" s="96"/>
      <c r="AX91" s="107">
        <f t="shared" ca="1" si="50"/>
        <v>0.50328422689537744</v>
      </c>
      <c r="AY91" s="107">
        <f t="shared" ca="1" si="51"/>
        <v>0.50333514136061142</v>
      </c>
      <c r="AZ91" s="107">
        <f t="shared" ca="1" si="52"/>
        <v>0.50323338442469323</v>
      </c>
      <c r="BB91" s="39">
        <f ca="1">_xll.EURO(UnderlyingPrice,$D91,IntRate,Yield,AX91,$D$6,1,0)</f>
        <v>0.31217057384134139</v>
      </c>
      <c r="BC91" s="39">
        <f ca="1">_xll.EURO(UnderlyingPrice,$D91*(1+$P$8),IntRate,Yield,AY91,$D$6,1,0)</f>
        <v>0.31153414462051487</v>
      </c>
      <c r="BD91" s="39">
        <f ca="1">_xll.EURO(UnderlyingPrice,$D91*(1-$P$8),IntRate,Yield,AZ91,$D$6,1,0)</f>
        <v>0.31280841102674328</v>
      </c>
      <c r="BF91" s="59">
        <f t="shared" ca="1" si="53"/>
        <v>0.17153094309340189</v>
      </c>
      <c r="BG91" s="39">
        <f t="shared" ca="1" si="54"/>
        <v>0.17453230924387694</v>
      </c>
      <c r="BI91" s="58">
        <f t="shared" ca="1" si="55"/>
        <v>-3.2821059376853645E-2</v>
      </c>
      <c r="BJ91" s="46">
        <f t="shared" ca="1" si="56"/>
        <v>-0.10513822290481079</v>
      </c>
    </row>
    <row r="92" spans="3:62" x14ac:dyDescent="0.2">
      <c r="C92" s="56">
        <v>79</v>
      </c>
      <c r="D92" s="63">
        <f t="shared" ca="1" si="57"/>
        <v>5.7650000000000112</v>
      </c>
      <c r="E92" s="45">
        <f t="shared" ca="1" si="40"/>
        <v>0.18988648090815508</v>
      </c>
      <c r="F92" s="45">
        <f t="shared" ca="1" si="32"/>
        <v>0.19048142414860925</v>
      </c>
      <c r="G92" s="45">
        <f t="shared" ca="1" si="33"/>
        <v>0.1892915376677009</v>
      </c>
      <c r="H92" s="45">
        <f t="shared" ca="1" si="34"/>
        <v>0.53303253611590962</v>
      </c>
      <c r="I92" s="45">
        <f t="shared" ca="1" si="37"/>
        <v>0.53296929436559493</v>
      </c>
      <c r="J92" s="45">
        <f t="shared" ca="1" si="35"/>
        <v>0.53290612133238424</v>
      </c>
      <c r="L92" s="58">
        <f ca="1">_xll.EURO(UnderlyingPrice,$D92,IntRate,Yield,$I92,$D$6,L$12,0)</f>
        <v>0.33726020431206161</v>
      </c>
      <c r="M92" s="58">
        <f ca="1">_xll.EURO(UnderlyingPrice,$D92,IntRate,Yield,$I92,$D$6,M$12,0)</f>
        <v>1.241439312063529</v>
      </c>
      <c r="O92" s="58">
        <f ca="1">_xll.EURO(UnderlyingPrice,$D92*(1+$P$8),IntRate,Yield,$H92,Expiry-Today,O$12,0)</f>
        <v>0.3366322713738179</v>
      </c>
      <c r="P92" s="58">
        <f ca="1">_xll.EURO(UnderlyingPrice,$D92*(1+$P$8),IntRate,Yield,$H92,Expiry-Today,P$12,0)</f>
        <v>1.2436443098623431</v>
      </c>
      <c r="R92" s="58">
        <f ca="1">_xll.EURO(UnderlyingPrice,$D92*(1-$P$8),IntRate,Yield,$J92,Expiry-Today,R$12,0)</f>
        <v>0.33788946729846092</v>
      </c>
      <c r="S92" s="58">
        <f ca="1">_xll.EURO(UnderlyingPrice,$D92*(1-$P$8),IntRate,Yield,$J92,Expiry-Today,S$12,0)</f>
        <v>1.2392356443128696</v>
      </c>
      <c r="U92" s="59">
        <f t="shared" ca="1" si="41"/>
        <v>0.16007692508321669</v>
      </c>
      <c r="V92" s="59"/>
      <c r="W92" s="62">
        <f t="shared" ca="1" si="36"/>
        <v>0.16287787432160153</v>
      </c>
      <c r="Z92" s="59">
        <f t="shared" ca="1" si="42"/>
        <v>0.21100456642107188</v>
      </c>
      <c r="AA92" s="59">
        <f t="shared" ca="1" si="43"/>
        <v>0.22763629939073274</v>
      </c>
      <c r="AB92" s="59">
        <f t="shared" ca="1" si="38"/>
        <v>-5.1818284800307313E-2</v>
      </c>
      <c r="AC92" s="59">
        <f t="shared" ca="1" si="44"/>
        <v>-0.24088803990213592</v>
      </c>
      <c r="AD92" s="60">
        <f t="shared" ca="1" si="39"/>
        <v>0.78592961421921281</v>
      </c>
      <c r="AE92" s="60">
        <f t="shared" ca="1" si="45"/>
        <v>0.16583473748580529</v>
      </c>
      <c r="AF92" s="60"/>
      <c r="AG92" s="97">
        <f t="shared" ca="1" si="46"/>
        <v>0.6941009147121705</v>
      </c>
      <c r="AH92" s="97">
        <f t="shared" ca="1" si="47"/>
        <v>0.69562511680375472</v>
      </c>
      <c r="AI92" s="97">
        <f t="shared" ca="1" si="48"/>
        <v>0.69257595032893593</v>
      </c>
      <c r="AJ92" s="62"/>
      <c r="AK92" s="97">
        <f t="shared" ca="1" si="49"/>
        <v>0.30795004248491847</v>
      </c>
      <c r="AL92" s="97"/>
      <c r="AM92" s="95"/>
      <c r="AN92" s="96"/>
      <c r="AX92" s="107">
        <f t="shared" ca="1" si="50"/>
        <v>0.50391111257007859</v>
      </c>
      <c r="AY92" s="107">
        <f t="shared" ca="1" si="51"/>
        <v>0.50396321276229028</v>
      </c>
      <c r="AZ92" s="107">
        <f t="shared" ca="1" si="52"/>
        <v>0.50385908367548493</v>
      </c>
      <c r="BB92" s="39">
        <f ca="1">_xll.EURO(UnderlyingPrice,$D92,IntRate,Yield,AX92,$D$6,1,0)</f>
        <v>0.30449133001746276</v>
      </c>
      <c r="BC92" s="39">
        <f ca="1">_xll.EURO(UnderlyingPrice,$D92*(1+$P$8),IntRate,Yield,AY92,$D$6,1,0)</f>
        <v>0.30386809995916386</v>
      </c>
      <c r="BD92" s="39">
        <f ca="1">_xll.EURO(UnderlyingPrice,$D92*(1-$P$8),IntRate,Yield,AZ92,$D$6,1,0)</f>
        <v>0.30511595140571024</v>
      </c>
      <c r="BF92" s="59">
        <f t="shared" ca="1" si="53"/>
        <v>0.16745244824859179</v>
      </c>
      <c r="BG92" s="39">
        <f t="shared" ca="1" si="54"/>
        <v>0.17038245085292558</v>
      </c>
      <c r="BI92" s="58">
        <f t="shared" ca="1" si="55"/>
        <v>-3.2768874294598849E-2</v>
      </c>
      <c r="BJ92" s="46">
        <f t="shared" ca="1" si="56"/>
        <v>-0.10761841492406216</v>
      </c>
    </row>
    <row r="93" spans="3:62" x14ac:dyDescent="0.2">
      <c r="C93" s="56">
        <v>80</v>
      </c>
      <c r="D93" s="63">
        <f t="shared" ca="1" si="57"/>
        <v>5.8000000000000114</v>
      </c>
      <c r="E93" s="45">
        <f t="shared" ca="1" si="40"/>
        <v>0.19711042311661742</v>
      </c>
      <c r="F93" s="45">
        <f t="shared" ca="1" si="32"/>
        <v>0.19770897832817558</v>
      </c>
      <c r="G93" s="45">
        <f t="shared" ca="1" si="33"/>
        <v>0.19651186790505926</v>
      </c>
      <c r="H93" s="45">
        <f t="shared" ca="1" si="34"/>
        <v>0.53380622426522217</v>
      </c>
      <c r="I93" s="45">
        <f t="shared" ca="1" si="37"/>
        <v>0.53374177602143102</v>
      </c>
      <c r="J93" s="45">
        <f t="shared" ca="1" si="35"/>
        <v>0.53367739471336861</v>
      </c>
      <c r="L93" s="58">
        <f ca="1">_xll.EURO(UnderlyingPrice,$D93,IntRate,Yield,$I93,$D$6,L$12,0)</f>
        <v>0.3297248745355148</v>
      </c>
      <c r="M93" s="58">
        <f ca="1">_xll.EURO(UnderlyingPrice,$D93,IntRate,Yield,$I93,$D$6,M$12,0)</f>
        <v>1.268302100516657</v>
      </c>
      <c r="O93" s="58">
        <f ca="1">_xll.EURO(UnderlyingPrice,$D93*(1+$P$8),IntRate,Yield,$H93,Expiry-Today,O$12,0)</f>
        <v>0.3291091670899684</v>
      </c>
      <c r="P93" s="58">
        <f ca="1">_xll.EURO(UnderlyingPrice,$D93*(1+$P$8),IntRate,Yield,$H93,Expiry-Today,P$12,0)</f>
        <v>1.2705365228672831</v>
      </c>
      <c r="R93" s="58">
        <f ca="1">_xll.EURO(UnderlyingPrice,$D93*(1-$P$8),IntRate,Yield,$J93,Expiry-Today,R$12,0)</f>
        <v>0.33034189552467108</v>
      </c>
      <c r="S93" s="58">
        <f ca="1">_xll.EURO(UnderlyingPrice,$D93*(1-$P$8),IntRate,Yield,$J93,Expiry-Today,S$12,0)</f>
        <v>1.2660689917096399</v>
      </c>
      <c r="U93" s="59">
        <f t="shared" ca="1" si="41"/>
        <v>0.15618830081832485</v>
      </c>
      <c r="V93" s="59"/>
      <c r="W93" s="62">
        <f t="shared" ca="1" si="36"/>
        <v>0.15892120877488564</v>
      </c>
      <c r="Z93" s="59">
        <f t="shared" ca="1" si="42"/>
        <v>0.20973126300301367</v>
      </c>
      <c r="AA93" s="59">
        <f t="shared" ca="1" si="43"/>
        <v>0.23368906322208405</v>
      </c>
      <c r="AB93" s="59">
        <f t="shared" ca="1" si="38"/>
        <v>-5.4610578269615198E-2</v>
      </c>
      <c r="AC93" s="59">
        <f t="shared" ca="1" si="44"/>
        <v>-0.25386859499471054</v>
      </c>
      <c r="AD93" s="60">
        <f t="shared" ca="1" si="39"/>
        <v>0.77579373852916234</v>
      </c>
      <c r="AE93" s="60">
        <f t="shared" ca="1" si="45"/>
        <v>0.16270820061155097</v>
      </c>
      <c r="AF93" s="60"/>
      <c r="AG93" s="97">
        <f t="shared" ca="1" si="46"/>
        <v>0.71255679772872915</v>
      </c>
      <c r="AH93" s="97">
        <f t="shared" ca="1" si="47"/>
        <v>0.7140809998203127</v>
      </c>
      <c r="AI93" s="97">
        <f t="shared" ca="1" si="48"/>
        <v>0.71103183334549525</v>
      </c>
      <c r="AJ93" s="62"/>
      <c r="AK93" s="97">
        <f t="shared" ca="1" si="49"/>
        <v>0.30229343609371823</v>
      </c>
      <c r="AL93" s="97"/>
      <c r="AM93" s="95"/>
      <c r="AN93" s="96"/>
      <c r="AX93" s="107">
        <f t="shared" ca="1" si="50"/>
        <v>0.50454850993317679</v>
      </c>
      <c r="AY93" s="107">
        <f t="shared" ca="1" si="51"/>
        <v>0.50460178717330206</v>
      </c>
      <c r="AZ93" s="107">
        <f t="shared" ca="1" si="52"/>
        <v>0.50449530326064507</v>
      </c>
      <c r="BB93" s="39">
        <f ca="1">_xll.EURO(UnderlyingPrice,$D93,IntRate,Yield,AX93,$D$6,1,0)</f>
        <v>0.29701722009069731</v>
      </c>
      <c r="BC93" s="39">
        <f ca="1">_xll.EURO(UnderlyingPrice,$D93*(1+$P$8),IntRate,Yield,AY93,$D$6,1,0)</f>
        <v>0.2964069849822466</v>
      </c>
      <c r="BD93" s="39">
        <f ca="1">_xll.EURO(UnderlyingPrice,$D93*(1-$P$8),IntRate,Yield,AZ93,$D$6,1,0)</f>
        <v>0.29762882955946646</v>
      </c>
      <c r="BF93" s="59">
        <f t="shared" ca="1" si="53"/>
        <v>0.1634197762711268</v>
      </c>
      <c r="BG93" s="39">
        <f t="shared" ca="1" si="54"/>
        <v>0.16627921711586865</v>
      </c>
      <c r="BI93" s="58">
        <f t="shared" ca="1" si="55"/>
        <v>-3.2707654444817491E-2</v>
      </c>
      <c r="BJ93" s="46">
        <f t="shared" ca="1" si="56"/>
        <v>-0.11012039785043395</v>
      </c>
    </row>
    <row r="94" spans="3:62" x14ac:dyDescent="0.2">
      <c r="C94" s="56">
        <v>81</v>
      </c>
      <c r="D94" s="63">
        <f t="shared" ca="1" si="57"/>
        <v>5.8350000000000115</v>
      </c>
      <c r="E94" s="45">
        <f t="shared" ca="1" si="40"/>
        <v>0.20433436532507976</v>
      </c>
      <c r="F94" s="45">
        <f t="shared" ca="1" si="32"/>
        <v>0.20493653250774235</v>
      </c>
      <c r="G94" s="45">
        <f t="shared" ca="1" si="33"/>
        <v>0.20373219814241739</v>
      </c>
      <c r="H94" s="45">
        <f t="shared" ca="1" si="34"/>
        <v>0.53458964038870682</v>
      </c>
      <c r="I94" s="45">
        <f t="shared" ca="1" si="37"/>
        <v>0.53452400753077334</v>
      </c>
      <c r="J94" s="45">
        <f t="shared" ca="1" si="35"/>
        <v>0.53445843976886853</v>
      </c>
      <c r="L94" s="58">
        <f ca="1">_xll.EURO(UnderlyingPrice,$D94,IntRate,Yield,$I94,$D$6,L$12,0)</f>
        <v>0.32238088058810965</v>
      </c>
      <c r="M94" s="58">
        <f ca="1">_xll.EURO(UnderlyingPrice,$D94,IntRate,Yield,$I94,$D$6,M$12,0)</f>
        <v>1.2953562247989261</v>
      </c>
      <c r="O94" s="58">
        <f ca="1">_xll.EURO(UnderlyingPrice,$D94*(1+$P$8),IntRate,Yield,$H94,Expiry-Today,O$12,0)</f>
        <v>0.32177719771244173</v>
      </c>
      <c r="P94" s="58">
        <f ca="1">_xll.EURO(UnderlyingPrice,$D94*(1+$P$8),IntRate,Yield,$H94,Expiry-Today,P$12,0)</f>
        <v>1.2976198707785458</v>
      </c>
      <c r="R94" s="58">
        <f ca="1">_xll.EURO(UnderlyingPrice,$D94*(1-$P$8),IntRate,Yield,$J94,Expiry-Today,R$12,0)</f>
        <v>0.32298586024228038</v>
      </c>
      <c r="S94" s="58">
        <f ca="1">_xll.EURO(UnderlyingPrice,$D94*(1-$P$8),IntRate,Yield,$J94,Expiry-Today,S$12,0)</f>
        <v>1.2930938755978101</v>
      </c>
      <c r="U94" s="59">
        <f t="shared" ca="1" si="41"/>
        <v>0.15235056634445102</v>
      </c>
      <c r="V94" s="59"/>
      <c r="W94" s="62">
        <f t="shared" ca="1" si="36"/>
        <v>0.15501632346433666</v>
      </c>
      <c r="Z94" s="59">
        <f t="shared" ca="1" si="42"/>
        <v>0.20847323486160743</v>
      </c>
      <c r="AA94" s="59">
        <f t="shared" ca="1" si="43"/>
        <v>0.23970541140822968</v>
      </c>
      <c r="AB94" s="59">
        <f t="shared" ca="1" si="38"/>
        <v>-5.7458684258388647E-2</v>
      </c>
      <c r="AC94" s="59">
        <f t="shared" ca="1" si="44"/>
        <v>-0.26710860615511667</v>
      </c>
      <c r="AD94" s="60">
        <f t="shared" ca="1" si="39"/>
        <v>0.76558991917251284</v>
      </c>
      <c r="AE94" s="60">
        <f t="shared" ca="1" si="45"/>
        <v>0.15960500702733033</v>
      </c>
      <c r="AF94" s="60"/>
      <c r="AG94" s="97">
        <f t="shared" ca="1" si="46"/>
        <v>0.73090164339002095</v>
      </c>
      <c r="AH94" s="97">
        <f t="shared" ca="1" si="47"/>
        <v>0.73242584548160505</v>
      </c>
      <c r="AI94" s="97">
        <f t="shared" ca="1" si="48"/>
        <v>0.72937667900678704</v>
      </c>
      <c r="AJ94" s="62"/>
      <c r="AK94" s="97">
        <f t="shared" ca="1" si="49"/>
        <v>0.29664508477464901</v>
      </c>
      <c r="AL94" s="97"/>
      <c r="AM94" s="95"/>
      <c r="AN94" s="96"/>
      <c r="AX94" s="107">
        <f t="shared" ca="1" si="50"/>
        <v>0.50519618616696249</v>
      </c>
      <c r="AY94" s="107">
        <f t="shared" ca="1" si="51"/>
        <v>0.50525063142653637</v>
      </c>
      <c r="AZ94" s="107">
        <f t="shared" ca="1" si="52"/>
        <v>0.50514181071151643</v>
      </c>
      <c r="BB94" s="39">
        <f ca="1">_xll.EURO(UnderlyingPrice,$D94,IntRate,Yield,AX94,$D$6,1,0)</f>
        <v>0.28974330434126938</v>
      </c>
      <c r="BC94" s="39">
        <f ca="1">_xll.EURO(UnderlyingPrice,$D94*(1+$P$8),IntRate,Yield,AY94,$D$6,1,0)</f>
        <v>0.28914585736780141</v>
      </c>
      <c r="BD94" s="39">
        <f ca="1">_xll.EURO(UnderlyingPrice,$D94*(1-$P$8),IntRate,Yield,AZ94,$D$6,1,0)</f>
        <v>0.29034210840245223</v>
      </c>
      <c r="BF94" s="59">
        <f t="shared" ca="1" si="53"/>
        <v>0.15943592640757362</v>
      </c>
      <c r="BG94" s="39">
        <f t="shared" ca="1" si="54"/>
        <v>0.16222565975865044</v>
      </c>
      <c r="BI94" s="58">
        <f t="shared" ca="1" si="55"/>
        <v>-3.2637576246840272E-2</v>
      </c>
      <c r="BJ94" s="46">
        <f t="shared" ca="1" si="56"/>
        <v>-0.11264307322318186</v>
      </c>
    </row>
    <row r="95" spans="3:62" x14ac:dyDescent="0.2">
      <c r="C95" s="56">
        <v>82</v>
      </c>
      <c r="D95" s="63">
        <f t="shared" ca="1" si="57"/>
        <v>5.8700000000000117</v>
      </c>
      <c r="E95" s="45">
        <f t="shared" ca="1" si="40"/>
        <v>0.2115583075335421</v>
      </c>
      <c r="F95" s="45">
        <f t="shared" ca="1" si="32"/>
        <v>0.21216408668730891</v>
      </c>
      <c r="G95" s="45">
        <f t="shared" ca="1" si="33"/>
        <v>0.21095252837977552</v>
      </c>
      <c r="H95" s="45">
        <f t="shared" ca="1" si="34"/>
        <v>0.53538240253448832</v>
      </c>
      <c r="I95" s="45">
        <f t="shared" ca="1" si="37"/>
        <v>0.53531560751410201</v>
      </c>
      <c r="J95" s="45">
        <f t="shared" ca="1" si="35"/>
        <v>0.53524887569114732</v>
      </c>
      <c r="L95" s="58">
        <f ca="1">_xll.EURO(UnderlyingPrice,$D95,IntRate,Yield,$I95,$D$6,L$12,0)</f>
        <v>0.31522352148469346</v>
      </c>
      <c r="M95" s="58">
        <f ca="1">_xll.EURO(UnderlyingPrice,$D95,IntRate,Yield,$I95,$D$6,M$12,0)</f>
        <v>1.3225969839251857</v>
      </c>
      <c r="O95" s="58">
        <f ca="1">_xll.EURO(UnderlyingPrice,$D95*(1+$P$8),IntRate,Yield,$H95,Expiry-Today,O$12,0)</f>
        <v>0.31463166052295333</v>
      </c>
      <c r="P95" s="58">
        <f ca="1">_xll.EURO(UnderlyingPrice,$D95*(1+$P$8),IntRate,Yield,$H95,Expiry-Today,P$12,0)</f>
        <v>1.3248896508778478</v>
      </c>
      <c r="R95" s="58">
        <f ca="1">_xll.EURO(UnderlyingPrice,$D95*(1-$P$8),IntRate,Yield,$J95,Expiry-Today,R$12,0)</f>
        <v>0.31581666222815885</v>
      </c>
      <c r="S95" s="58">
        <f ca="1">_xll.EURO(UnderlyingPrice,$D95*(1-$P$8),IntRate,Yield,$J95,Expiry-Today,S$12,0)</f>
        <v>1.3203055967542485</v>
      </c>
      <c r="U95" s="59">
        <f t="shared" ca="1" si="41"/>
        <v>0.14856608984102118</v>
      </c>
      <c r="V95" s="59"/>
      <c r="W95" s="62">
        <f t="shared" ca="1" si="36"/>
        <v>0.1511656280066481</v>
      </c>
      <c r="Z95" s="59">
        <f t="shared" ca="1" si="42"/>
        <v>0.20723020875936612</v>
      </c>
      <c r="AA95" s="59">
        <f t="shared" ca="1" si="43"/>
        <v>0.24568577950971546</v>
      </c>
      <c r="AB95" s="59">
        <f t="shared" ca="1" si="38"/>
        <v>-6.036150225329652E-2</v>
      </c>
      <c r="AC95" s="59">
        <f t="shared" ca="1" si="44"/>
        <v>-0.28060295741897512</v>
      </c>
      <c r="AD95" s="60">
        <f t="shared" ca="1" si="39"/>
        <v>0.75532817339954572</v>
      </c>
      <c r="AE95" s="60">
        <f t="shared" ca="1" si="45"/>
        <v>0.15652681505541854</v>
      </c>
      <c r="AF95" s="60"/>
      <c r="AG95" s="97">
        <f t="shared" ca="1" si="46"/>
        <v>0.74913677979254922</v>
      </c>
      <c r="AH95" s="97">
        <f t="shared" ca="1" si="47"/>
        <v>0.75066098188413322</v>
      </c>
      <c r="AI95" s="97">
        <f t="shared" ca="1" si="48"/>
        <v>0.74761181540931521</v>
      </c>
      <c r="AJ95" s="62"/>
      <c r="AK95" s="97">
        <f t="shared" ca="1" si="49"/>
        <v>0.29101141040585105</v>
      </c>
      <c r="AL95" s="97"/>
      <c r="AM95" s="95"/>
      <c r="AN95" s="96"/>
      <c r="AX95" s="107">
        <f t="shared" ca="1" si="50"/>
        <v>0.50585390845372646</v>
      </c>
      <c r="AY95" s="107">
        <f t="shared" ca="1" si="51"/>
        <v>0.50590951235488224</v>
      </c>
      <c r="AZ95" s="107">
        <f t="shared" ca="1" si="52"/>
        <v>0.50579837355944113</v>
      </c>
      <c r="BB95" s="39">
        <f ca="1">_xll.EURO(UnderlyingPrice,$D95,IntRate,Yield,AX95,$D$6,1,0)</f>
        <v>0.28266470283031708</v>
      </c>
      <c r="BC95" s="39">
        <f ca="1">_xll.EURO(UnderlyingPrice,$D95*(1+$P$8),IntRate,Yield,AY95,$D$6,1,0)</f>
        <v>0.2820798349851894</v>
      </c>
      <c r="BD95" s="39">
        <f ca="1">_xll.EURO(UnderlyingPrice,$D95*(1-$P$8),IntRate,Yield,AZ95,$D$6,1,0)</f>
        <v>0.28325091021878723</v>
      </c>
      <c r="BF95" s="59">
        <f t="shared" ca="1" si="53"/>
        <v>0.1555036399062262</v>
      </c>
      <c r="BG95" s="39">
        <f t="shared" ca="1" si="54"/>
        <v>0.15822456799461238</v>
      </c>
      <c r="BI95" s="58">
        <f t="shared" ca="1" si="55"/>
        <v>-3.2558818654376376E-2</v>
      </c>
      <c r="BJ95" s="46">
        <f t="shared" ca="1" si="56"/>
        <v>-0.11518530021033915</v>
      </c>
    </row>
    <row r="96" spans="3:62" x14ac:dyDescent="0.2">
      <c r="C96" s="56">
        <v>83</v>
      </c>
      <c r="D96" s="63">
        <f t="shared" ca="1" si="57"/>
        <v>5.9050000000000118</v>
      </c>
      <c r="E96" s="45">
        <f t="shared" ca="1" si="40"/>
        <v>0.21878224974200466</v>
      </c>
      <c r="F96" s="45">
        <f t="shared" ca="1" si="32"/>
        <v>0.21939164086687546</v>
      </c>
      <c r="G96" s="45">
        <f t="shared" ca="1" si="33"/>
        <v>0.21817285861713365</v>
      </c>
      <c r="H96" s="45">
        <f t="shared" ca="1" si="34"/>
        <v>0.53618412875069121</v>
      </c>
      <c r="I96" s="45">
        <f t="shared" ca="1" si="37"/>
        <v>0.53611619459189741</v>
      </c>
      <c r="J96" s="45">
        <f t="shared" ca="1" si="35"/>
        <v>0.53604832167246863</v>
      </c>
      <c r="L96" s="58">
        <f ca="1">_xll.EURO(UnderlyingPrice,$D96,IntRate,Yield,$I96,$D$6,L$12,0)</f>
        <v>0.30824816145716505</v>
      </c>
      <c r="M96" s="58">
        <f ca="1">_xll.EURO(UnderlyingPrice,$D96,IntRate,Yield,$I96,$D$6,M$12,0)</f>
        <v>1.3500197421273317</v>
      </c>
      <c r="O96" s="58">
        <f ca="1">_xll.EURO(UnderlyingPrice,$D96*(1+$P$8),IntRate,Yield,$H96,Expiry-Today,O$12,0)</f>
        <v>0.30766791837975105</v>
      </c>
      <c r="P96" s="58">
        <f ca="1">_xll.EURO(UnderlyingPrice,$D96*(1+$P$8),IntRate,Yield,$H96,Expiry-Today,P$12,0)</f>
        <v>1.352341226023436</v>
      </c>
      <c r="R96" s="58">
        <f ca="1">_xll.EURO(UnderlyingPrice,$D96*(1-$P$8),IntRate,Yield,$J96,Expiry-Today,R$12,0)</f>
        <v>0.30882966711583437</v>
      </c>
      <c r="S96" s="58">
        <f ca="1">_xll.EURO(UnderlyingPrice,$D96*(1-$P$8),IntRate,Yield,$J96,Expiry-Today,S$12,0)</f>
        <v>1.3476995208124851</v>
      </c>
      <c r="U96" s="59">
        <f t="shared" ca="1" si="41"/>
        <v>0.14483700135848593</v>
      </c>
      <c r="V96" s="59"/>
      <c r="W96" s="62">
        <f t="shared" ca="1" si="36"/>
        <v>0.14737128972287136</v>
      </c>
      <c r="Z96" s="59">
        <f t="shared" ca="1" si="42"/>
        <v>0.20600191793691436</v>
      </c>
      <c r="AA96" s="59">
        <f t="shared" ca="1" si="43"/>
        <v>0.2516305953190362</v>
      </c>
      <c r="AB96" s="59">
        <f t="shared" ca="1" si="38"/>
        <v>-6.331795650061256E-2</v>
      </c>
      <c r="AC96" s="59">
        <f t="shared" ca="1" si="44"/>
        <v>-0.29434664792206339</v>
      </c>
      <c r="AD96" s="60">
        <f t="shared" ca="1" si="39"/>
        <v>0.74501818766898698</v>
      </c>
      <c r="AE96" s="60">
        <f t="shared" ca="1" si="45"/>
        <v>0.15347517555769533</v>
      </c>
      <c r="AF96" s="60"/>
      <c r="AG96" s="97">
        <f t="shared" ca="1" si="46"/>
        <v>0.76726351134673854</v>
      </c>
      <c r="AH96" s="97">
        <f t="shared" ca="1" si="47"/>
        <v>0.76878771343832197</v>
      </c>
      <c r="AI96" s="97">
        <f t="shared" ca="1" si="48"/>
        <v>0.76573854696350419</v>
      </c>
      <c r="AJ96" s="62"/>
      <c r="AK96" s="97">
        <f t="shared" ca="1" si="49"/>
        <v>0.28539847627229342</v>
      </c>
      <c r="AL96" s="97"/>
      <c r="AM96" s="95"/>
      <c r="AN96" s="96"/>
      <c r="AX96" s="107">
        <f t="shared" ca="1" si="50"/>
        <v>0.50652144397575927</v>
      </c>
      <c r="AY96" s="107">
        <f t="shared" ca="1" si="51"/>
        <v>0.5065781967912294</v>
      </c>
      <c r="AZ96" s="107">
        <f t="shared" ca="1" si="52"/>
        <v>0.50646475933576229</v>
      </c>
      <c r="BB96" s="39">
        <f ca="1">_xll.EURO(UnderlyingPrice,$D96,IntRate,Yield,AX96,$D$6,1,0)</f>
        <v>0.27577659875854232</v>
      </c>
      <c r="BC96" s="39">
        <f ca="1">_xll.EURO(UnderlyingPrice,$D96*(1+$P$8),IntRate,Yield,AY96,$D$6,1,0)</f>
        <v>0.27520409923611111</v>
      </c>
      <c r="BD96" s="39">
        <f ca="1">_xll.EURO(UnderlyingPrice,$D96*(1-$P$8),IntRate,Yield,AZ96,$D$6,1,0)</f>
        <v>0.27635042003849208</v>
      </c>
      <c r="BF96" s="59">
        <f t="shared" ca="1" si="53"/>
        <v>0.15162540604980579</v>
      </c>
      <c r="BG96" s="39">
        <f t="shared" ca="1" si="54"/>
        <v>0.15427847466275058</v>
      </c>
      <c r="BI96" s="58">
        <f t="shared" ca="1" si="55"/>
        <v>-3.2471562698622725E-2</v>
      </c>
      <c r="BJ96" s="46">
        <f t="shared" ca="1" si="56"/>
        <v>-0.1177458959346053</v>
      </c>
    </row>
    <row r="97" spans="3:62" x14ac:dyDescent="0.2">
      <c r="C97" s="56">
        <v>84</v>
      </c>
      <c r="D97" s="63">
        <f t="shared" ca="1" si="57"/>
        <v>5.9400000000000119</v>
      </c>
      <c r="E97" s="45">
        <f t="shared" ca="1" si="40"/>
        <v>0.22600619195046701</v>
      </c>
      <c r="F97" s="45">
        <f t="shared" ca="1" si="32"/>
        <v>0.22661919504644201</v>
      </c>
      <c r="G97" s="45">
        <f t="shared" ca="1" si="33"/>
        <v>0.22539318885449178</v>
      </c>
      <c r="H97" s="45">
        <f t="shared" ca="1" si="34"/>
        <v>0.53699443708544059</v>
      </c>
      <c r="I97" s="45">
        <f t="shared" ca="1" si="37"/>
        <v>0.53692538738463946</v>
      </c>
      <c r="J97" s="45">
        <f t="shared" ca="1" si="35"/>
        <v>0.53685639690509557</v>
      </c>
      <c r="L97" s="58">
        <f ca="1">_xll.EURO(UnderlyingPrice,$D97,IntRate,Yield,$I97,$D$6,L$12,0)</f>
        <v>0.30145023256399273</v>
      </c>
      <c r="M97" s="58">
        <f ca="1">_xll.EURO(UnderlyingPrice,$D97,IntRate,Yield,$I97,$D$6,M$12,0)</f>
        <v>1.3776199314638342</v>
      </c>
      <c r="O97" s="58">
        <f ca="1">_xll.EURO(UnderlyingPrice,$D97*(1+$P$8),IntRate,Yield,$H97,Expiry-Today,O$12,0)</f>
        <v>0.30088140230965532</v>
      </c>
      <c r="P97" s="58">
        <f ca="1">_xll.EURO(UnderlyingPrice,$D97*(1+$P$8),IntRate,Yield,$H97,Expiry-Today,P$12,0)</f>
        <v>1.37997002724213</v>
      </c>
      <c r="R97" s="58">
        <f ca="1">_xll.EURO(UnderlyingPrice,$D97*(1-$P$8),IntRate,Yield,$J97,Expiry-Today,R$12,0)</f>
        <v>0.30202030802244506</v>
      </c>
      <c r="S97" s="58">
        <f ca="1">_xll.EURO(UnderlyingPrice,$D97*(1-$P$8),IntRate,Yield,$J97,Expiry-Today,S$12,0)</f>
        <v>1.3752710808896551</v>
      </c>
      <c r="U97" s="59">
        <f t="shared" ca="1" si="41"/>
        <v>0.14116520025510171</v>
      </c>
      <c r="V97" s="59"/>
      <c r="W97" s="62">
        <f t="shared" ca="1" si="36"/>
        <v>0.14363524120532251</v>
      </c>
      <c r="Z97" s="59">
        <f t="shared" ca="1" si="42"/>
        <v>0.20478810192213454</v>
      </c>
      <c r="AA97" s="59">
        <f t="shared" ca="1" si="43"/>
        <v>0.25754027904426413</v>
      </c>
      <c r="AB97" s="59">
        <f t="shared" ca="1" si="38"/>
        <v>-6.6326995330197439E-2</v>
      </c>
      <c r="AC97" s="59">
        <f t="shared" ca="1" si="44"/>
        <v>-0.30833478875770559</v>
      </c>
      <c r="AD97" s="60">
        <f t="shared" ca="1" si="39"/>
        <v>0.73466931780408284</v>
      </c>
      <c r="AE97" s="60">
        <f t="shared" ca="1" si="45"/>
        <v>0.15045153513352758</v>
      </c>
      <c r="AF97" s="60"/>
      <c r="AG97" s="97">
        <f t="shared" ca="1" si="46"/>
        <v>0.78528311933684858</v>
      </c>
      <c r="AH97" s="97">
        <f t="shared" ca="1" si="47"/>
        <v>0.78680732142843191</v>
      </c>
      <c r="AI97" s="97">
        <f t="shared" ca="1" si="48"/>
        <v>0.78375815495361434</v>
      </c>
      <c r="AJ97" s="62"/>
      <c r="AK97" s="97">
        <f t="shared" ca="1" si="49"/>
        <v>0.27981198790094419</v>
      </c>
      <c r="AL97" s="97"/>
      <c r="AM97" s="95"/>
      <c r="AN97" s="96"/>
      <c r="AX97" s="107">
        <f t="shared" ca="1" si="50"/>
        <v>0.50719855991535134</v>
      </c>
      <c r="AY97" s="107">
        <f t="shared" ca="1" si="51"/>
        <v>0.5072564515684671</v>
      </c>
      <c r="AZ97" s="107">
        <f t="shared" ca="1" si="52"/>
        <v>0.50714073557182227</v>
      </c>
      <c r="BB97" s="39">
        <f ca="1">_xll.EURO(UnderlyingPrice,$D97,IntRate,Yield,AX97,$D$6,1,0)</f>
        <v>0.26907424151679971</v>
      </c>
      <c r="BC97" s="39">
        <f ca="1">_xll.EURO(UnderlyingPrice,$D97*(1+$P$8),IntRate,Yield,AY97,$D$6,1,0)</f>
        <v>0.26851389808746839</v>
      </c>
      <c r="BD97" s="39">
        <f ca="1">_xll.EURO(UnderlyingPrice,$D97*(1-$P$8),IntRate,Yield,AZ97,$D$6,1,0)</f>
        <v>0.26963588870577571</v>
      </c>
      <c r="BF97" s="59">
        <f t="shared" ca="1" si="53"/>
        <v>0.14780347183264009</v>
      </c>
      <c r="BG97" s="39">
        <f t="shared" ca="1" si="54"/>
        <v>0.15038966607422147</v>
      </c>
      <c r="BI97" s="58">
        <f t="shared" ca="1" si="55"/>
        <v>-3.237599104719302E-2</v>
      </c>
      <c r="BJ97" s="46">
        <f t="shared" ca="1" si="56"/>
        <v>-0.12032363582885587</v>
      </c>
    </row>
    <row r="98" spans="3:62" x14ac:dyDescent="0.2">
      <c r="C98" s="56">
        <v>85</v>
      </c>
      <c r="D98" s="63">
        <f t="shared" ca="1" si="57"/>
        <v>5.9750000000000121</v>
      </c>
      <c r="E98" s="45">
        <f t="shared" ca="1" si="40"/>
        <v>0.23323013415892935</v>
      </c>
      <c r="F98" s="45">
        <f t="shared" ca="1" si="32"/>
        <v>0.23384674922600879</v>
      </c>
      <c r="G98" s="45">
        <f t="shared" ca="1" si="33"/>
        <v>0.23261351909184991</v>
      </c>
      <c r="H98" s="45">
        <f t="shared" ca="1" si="34"/>
        <v>0.53781294558686099</v>
      </c>
      <c r="I98" s="45">
        <f t="shared" ca="1" si="37"/>
        <v>0.5377428045128082</v>
      </c>
      <c r="J98" s="45">
        <f t="shared" ca="1" si="35"/>
        <v>0.53767272058129179</v>
      </c>
      <c r="L98" s="58">
        <f ca="1">_xll.EURO(UnderlyingPrice,$D98,IntRate,Yield,$I98,$D$6,L$12,0)</f>
        <v>0.29482523701850605</v>
      </c>
      <c r="M98" s="58">
        <f ca="1">_xll.EURO(UnderlyingPrice,$D98,IntRate,Yield,$I98,$D$6,M$12,0)</f>
        <v>1.405393054148024</v>
      </c>
      <c r="O98" s="58">
        <f ca="1">_xll.EURO(UnderlyingPrice,$D98*(1+$P$8),IntRate,Yield,$H98,Expiry-Today,O$12,0)</f>
        <v>0.29426761381899835</v>
      </c>
      <c r="P98" s="58">
        <f ca="1">_xll.EURO(UnderlyingPrice,$D98*(1+$P$8),IntRate,Yield,$H98,Expiry-Today,P$12,0)</f>
        <v>1.4077715560402631</v>
      </c>
      <c r="R98" s="58">
        <f ca="1">_xll.EURO(UnderlyingPrice,$D98*(1-$P$8),IntRate,Yield,$J98,Expiry-Today,R$12,0)</f>
        <v>0.29538408789437587</v>
      </c>
      <c r="S98" s="58">
        <f ca="1">_xll.EURO(UnderlyingPrice,$D98*(1-$P$8),IntRate,Yield,$J98,Expiry-Today,S$12,0)</f>
        <v>1.4030157799321463</v>
      </c>
      <c r="U98" s="59">
        <f t="shared" ca="1" si="41"/>
        <v>0.1375523663381806</v>
      </c>
      <c r="V98" s="59"/>
      <c r="W98" s="62">
        <f t="shared" ca="1" si="36"/>
        <v>0.13995919165377604</v>
      </c>
      <c r="Z98" s="59">
        <f t="shared" ca="1" si="42"/>
        <v>0.20358850634602163</v>
      </c>
      <c r="AA98" s="59">
        <f t="shared" ca="1" si="43"/>
        <v>0.2634152434872849</v>
      </c>
      <c r="AB98" s="59">
        <f t="shared" ca="1" si="38"/>
        <v>-6.938759050146559E-2</v>
      </c>
      <c r="AC98" s="59">
        <f t="shared" ca="1" si="44"/>
        <v>-0.32256259993636421</v>
      </c>
      <c r="AD98" s="60">
        <f t="shared" ca="1" si="39"/>
        <v>0.72429058984289518</v>
      </c>
      <c r="AE98" s="60">
        <f t="shared" ca="1" si="45"/>
        <v>0.14745723934659402</v>
      </c>
      <c r="AF98" s="60"/>
      <c r="AG98" s="97">
        <f t="shared" ca="1" si="46"/>
        <v>0.80319686246444488</v>
      </c>
      <c r="AH98" s="97">
        <f t="shared" ca="1" si="47"/>
        <v>0.80472106455602888</v>
      </c>
      <c r="AI98" s="97">
        <f t="shared" ca="1" si="48"/>
        <v>0.80167189808121075</v>
      </c>
      <c r="AJ98" s="62"/>
      <c r="AK98" s="97">
        <f t="shared" ca="1" si="49"/>
        <v>0.27425730180284602</v>
      </c>
      <c r="AL98" s="97"/>
      <c r="AM98" s="95"/>
      <c r="AN98" s="96"/>
      <c r="AX98" s="107">
        <f t="shared" ca="1" si="50"/>
        <v>0.50788502345479369</v>
      </c>
      <c r="AY98" s="107">
        <f t="shared" ca="1" si="51"/>
        <v>0.50794404351948474</v>
      </c>
      <c r="AZ98" s="107">
        <f t="shared" ca="1" si="52"/>
        <v>0.5078260697989635</v>
      </c>
      <c r="BB98" s="39">
        <f ca="1">_xll.EURO(UnderlyingPrice,$D98,IntRate,Yield,AX98,$D$6,1,0)</f>
        <v>0.26255294943871466</v>
      </c>
      <c r="BC98" s="39">
        <f ca="1">_xll.EURO(UnderlyingPrice,$D98*(1+$P$8),IntRate,Yield,AY98,$D$6,1,0)</f>
        <v>0.26200454880620949</v>
      </c>
      <c r="BD98" s="39">
        <f ca="1">_xll.EURO(UnderlyingPrice,$D98*(1-$P$8),IntRate,Yield,AZ98,$D$6,1,0)</f>
        <v>0.26310263564936798</v>
      </c>
      <c r="BF98" s="59">
        <f t="shared" ca="1" si="53"/>
        <v>0.14403984783549195</v>
      </c>
      <c r="BG98" s="39">
        <f t="shared" ca="1" si="54"/>
        <v>0.14656018798996553</v>
      </c>
      <c r="BI98" s="58">
        <f t="shared" ca="1" si="55"/>
        <v>-3.2272287579791392E-2</v>
      </c>
      <c r="BJ98" s="46">
        <f t="shared" ca="1" si="56"/>
        <v>-0.12291725401974361</v>
      </c>
    </row>
    <row r="99" spans="3:62" x14ac:dyDescent="0.2">
      <c r="C99" s="56">
        <v>86</v>
      </c>
      <c r="D99" s="63">
        <f t="shared" ca="1" si="57"/>
        <v>6.0100000000000122</v>
      </c>
      <c r="E99" s="45">
        <f t="shared" ca="1" si="40"/>
        <v>0.24045407636739169</v>
      </c>
      <c r="F99" s="45">
        <f t="shared" ca="1" si="32"/>
        <v>0.24107430340557534</v>
      </c>
      <c r="G99" s="45">
        <f t="shared" ca="1" si="33"/>
        <v>0.23983384932920804</v>
      </c>
      <c r="H99" s="45">
        <f t="shared" ca="1" si="34"/>
        <v>0.53863927230307729</v>
      </c>
      <c r="I99" s="45">
        <f t="shared" ca="1" si="37"/>
        <v>0.53856806459688411</v>
      </c>
      <c r="J99" s="45">
        <f t="shared" ca="1" si="35"/>
        <v>0.53849691189332061</v>
      </c>
      <c r="L99" s="58">
        <f ca="1">_xll.EURO(UnderlyingPrice,$D99,IntRate,Yield,$I99,$D$6,L$12,0)</f>
        <v>0.28836874924741696</v>
      </c>
      <c r="M99" s="58">
        <f ca="1">_xll.EURO(UnderlyingPrice,$D99,IntRate,Yield,$I99,$D$6,M$12,0)</f>
        <v>1.4333346846066091</v>
      </c>
      <c r="O99" s="58">
        <f ca="1">_xll.EURO(UnderlyingPrice,$D99*(1+$P$8),IntRate,Yield,$H99,Expiry-Today,O$12,0)</f>
        <v>0.28782212693494347</v>
      </c>
      <c r="P99" s="58">
        <f ca="1">_xll.EURO(UnderlyingPrice,$D99*(1+$P$8),IntRate,Yield,$H99,Expiry-Today,P$12,0)</f>
        <v>1.4357413864449975</v>
      </c>
      <c r="R99" s="58">
        <f ca="1">_xll.EURO(UnderlyingPrice,$D99*(1-$P$8),IntRate,Yield,$J99,Expiry-Today,R$12,0)</f>
        <v>0.28891658158295552</v>
      </c>
      <c r="S99" s="58">
        <f ca="1">_xll.EURO(UnderlyingPrice,$D99*(1-$P$8),IntRate,Yield,$J99,Expiry-Today,S$12,0)</f>
        <v>1.4309291927912855</v>
      </c>
      <c r="U99" s="59">
        <f t="shared" ca="1" si="41"/>
        <v>0.13399996844738615</v>
      </c>
      <c r="V99" s="59"/>
      <c r="W99" s="62">
        <f t="shared" ca="1" si="36"/>
        <v>0.13634463560894727</v>
      </c>
      <c r="Z99" s="59">
        <f t="shared" ca="1" si="42"/>
        <v>0.20240288276497156</v>
      </c>
      <c r="AA99" s="59">
        <f t="shared" ca="1" si="43"/>
        <v>0.26925589421682677</v>
      </c>
      <c r="AB99" s="59">
        <f t="shared" ca="1" si="38"/>
        <v>-7.2498736570503014E-2</v>
      </c>
      <c r="AC99" s="59">
        <f t="shared" ca="1" si="44"/>
        <v>-0.33702540744355547</v>
      </c>
      <c r="AD99" s="60">
        <f t="shared" ca="1" si="39"/>
        <v>0.71389070153459222</v>
      </c>
      <c r="AE99" s="60">
        <f t="shared" ca="1" si="45"/>
        <v>0.14449353596970937</v>
      </c>
      <c r="AF99" s="60"/>
      <c r="AG99" s="97">
        <f t="shared" ca="1" si="46"/>
        <v>0.8210059773759939</v>
      </c>
      <c r="AH99" s="97">
        <f t="shared" ca="1" si="47"/>
        <v>0.82253017946757767</v>
      </c>
      <c r="AI99" s="97">
        <f t="shared" ca="1" si="48"/>
        <v>0.81948101299275955</v>
      </c>
      <c r="AJ99" s="62"/>
      <c r="AK99" s="97">
        <f t="shared" ca="1" si="49"/>
        <v>0.26873942986620725</v>
      </c>
      <c r="AL99" s="97"/>
      <c r="AM99" s="95"/>
      <c r="AN99" s="96"/>
      <c r="AX99" s="107">
        <f t="shared" ca="1" si="50"/>
        <v>0.50858060177637643</v>
      </c>
      <c r="AY99" s="107">
        <f t="shared" ca="1" si="51"/>
        <v>0.50864073947717181</v>
      </c>
      <c r="AZ99" s="107">
        <f t="shared" ca="1" si="52"/>
        <v>0.50852052954852878</v>
      </c>
      <c r="BB99" s="39">
        <f ca="1">_xll.EURO(UnderlyingPrice,$D99,IntRate,Yield,AX99,$D$6,1,0)</f>
        <v>0.25620811226585904</v>
      </c>
      <c r="BC99" s="39">
        <f ca="1">_xll.EURO(UnderlyingPrice,$D99*(1+$P$8),IntRate,Yield,AY99,$D$6,1,0)</f>
        <v>0.25567144040682122</v>
      </c>
      <c r="BD99" s="39">
        <f ca="1">_xll.EURO(UnderlyingPrice,$D99*(1-$P$8),IntRate,Yield,AZ99,$D$6,1,0)</f>
        <v>0.25674605136538875</v>
      </c>
      <c r="BF99" s="59">
        <f t="shared" ca="1" si="53"/>
        <v>0.1403363215357265</v>
      </c>
      <c r="BG99" s="39">
        <f t="shared" ca="1" si="54"/>
        <v>0.14279185916376927</v>
      </c>
      <c r="BI99" s="58">
        <f t="shared" ca="1" si="55"/>
        <v>-3.2160636981557911E-2</v>
      </c>
      <c r="BJ99" s="46">
        <f t="shared" ca="1" si="56"/>
        <v>-0.1255254437384318</v>
      </c>
    </row>
    <row r="100" spans="3:62" x14ac:dyDescent="0.2">
      <c r="C100" s="56">
        <v>87</v>
      </c>
      <c r="D100" s="63">
        <f t="shared" ca="1" si="57"/>
        <v>6.0450000000000124</v>
      </c>
      <c r="E100" s="45">
        <f t="shared" ca="1" si="40"/>
        <v>0.24767801857585403</v>
      </c>
      <c r="F100" s="45">
        <f t="shared" ca="1" si="32"/>
        <v>0.24830185758514167</v>
      </c>
      <c r="G100" s="45">
        <f t="shared" ca="1" si="33"/>
        <v>0.24705417956656617</v>
      </c>
      <c r="H100" s="45">
        <f t="shared" ca="1" si="34"/>
        <v>0.53947303528221402</v>
      </c>
      <c r="I100" s="45">
        <f t="shared" ca="1" si="37"/>
        <v>0.539400786257347</v>
      </c>
      <c r="J100" s="45">
        <f t="shared" ca="1" si="35"/>
        <v>0.53932859003344547</v>
      </c>
      <c r="L100" s="58">
        <f ca="1">_xll.EURO(UnderlyingPrice,$D100,IntRate,Yield,$I100,$D$6,L$12,0)</f>
        <v>0.28207641769121961</v>
      </c>
      <c r="M100" s="58">
        <f ca="1">_xll.EURO(UnderlyingPrice,$D100,IntRate,Yield,$I100,$D$6,M$12,0)</f>
        <v>1.461440471280087</v>
      </c>
      <c r="O100" s="58">
        <f ca="1">_xll.EURO(UnderlyingPrice,$D100*(1+$P$8),IntRate,Yield,$H100,Expiry-Today,O$12,0)</f>
        <v>0.2815405899889265</v>
      </c>
      <c r="P100" s="58">
        <f ca="1">_xll.EURO(UnderlyingPrice,$D100*(1+$P$8),IntRate,Yield,$H100,Expiry-Today,P$12,0)</f>
        <v>1.4638751667877705</v>
      </c>
      <c r="R100" s="58">
        <f ca="1">_xll.EURO(UnderlyingPrice,$D100*(1-$P$8),IntRate,Yield,$J100,Expiry-Today,R$12,0)</f>
        <v>0.28261343766180747</v>
      </c>
      <c r="S100" s="58">
        <f ca="1">_xll.EURO(UnderlyingPrice,$D100*(1-$P$8),IntRate,Yield,$J100,Expiry-Today,S$12,0)</f>
        <v>1.4590069680406992</v>
      </c>
      <c r="U100" s="59">
        <f t="shared" ca="1" si="41"/>
        <v>0.13050927470587489</v>
      </c>
      <c r="V100" s="59"/>
      <c r="W100" s="62">
        <f t="shared" ca="1" si="36"/>
        <v>0.13279286338300336</v>
      </c>
      <c r="Z100" s="59">
        <f t="shared" ca="1" si="42"/>
        <v>0.20123098848924389</v>
      </c>
      <c r="AA100" s="59">
        <f t="shared" ca="1" si="43"/>
        <v>0.27506262973646656</v>
      </c>
      <c r="AB100" s="59">
        <f t="shared" ca="1" si="38"/>
        <v>-7.5659450277540494E-2</v>
      </c>
      <c r="AC100" s="59">
        <f t="shared" ca="1" si="44"/>
        <v>-0.35171864039239203</v>
      </c>
      <c r="AD100" s="60">
        <f t="shared" ca="1" si="39"/>
        <v>0.70347802443507224</v>
      </c>
      <c r="AE100" s="60">
        <f t="shared" ca="1" si="45"/>
        <v>0.14156157823753004</v>
      </c>
      <c r="AF100" s="60"/>
      <c r="AG100" s="97">
        <f t="shared" ca="1" si="46"/>
        <v>0.83871167917514078</v>
      </c>
      <c r="AH100" s="97">
        <f t="shared" ca="1" si="47"/>
        <v>0.84023588126672399</v>
      </c>
      <c r="AI100" s="97">
        <f t="shared" ca="1" si="48"/>
        <v>0.83718671479190654</v>
      </c>
      <c r="AJ100" s="62"/>
      <c r="AK100" s="97">
        <f t="shared" ca="1" si="49"/>
        <v>0.2632630477148068</v>
      </c>
      <c r="AL100" s="97"/>
      <c r="AM100" s="95"/>
      <c r="AN100" s="96"/>
      <c r="AX100" s="107">
        <f t="shared" ca="1" si="50"/>
        <v>0.50928506206239066</v>
      </c>
      <c r="AY100" s="107">
        <f t="shared" ca="1" si="51"/>
        <v>0.50934630627441757</v>
      </c>
      <c r="AZ100" s="107">
        <f t="shared" ca="1" si="52"/>
        <v>0.50922388235186078</v>
      </c>
      <c r="BB100" s="39">
        <f ca="1">_xll.EURO(UnderlyingPrice,$D100,IntRate,Yield,AX100,$D$6,1,0)</f>
        <v>0.25003519333654589</v>
      </c>
      <c r="BC100" s="39">
        <f ca="1">_xll.EURO(UnderlyingPrice,$D100*(1+$P$8),IntRate,Yield,AY100,$D$6,1,0)</f>
        <v>0.24951003582251374</v>
      </c>
      <c r="BD100" s="39">
        <f ca="1">_xll.EURO(UnderlyingPrice,$D100*(1-$P$8),IntRate,Yield,AZ100,$D$6,1,0)</f>
        <v>0.25056159962368496</v>
      </c>
      <c r="BF100" s="59">
        <f t="shared" ca="1" si="53"/>
        <v>0.13669446145045971</v>
      </c>
      <c r="BG100" s="39">
        <f t="shared" ca="1" si="54"/>
        <v>0.1390862755579087</v>
      </c>
      <c r="BI100" s="58">
        <f t="shared" ca="1" si="55"/>
        <v>-3.2041224354673714E-2</v>
      </c>
      <c r="BJ100" s="46">
        <f t="shared" ca="1" si="56"/>
        <v>-0.12814685775672555</v>
      </c>
    </row>
    <row r="101" spans="3:62" x14ac:dyDescent="0.2">
      <c r="C101" s="56">
        <v>88</v>
      </c>
      <c r="D101" s="63">
        <f t="shared" ca="1" si="57"/>
        <v>6.0800000000000125</v>
      </c>
      <c r="E101" s="45">
        <f t="shared" ca="1" si="40"/>
        <v>0.25490196078431637</v>
      </c>
      <c r="F101" s="45">
        <f t="shared" ca="1" si="32"/>
        <v>0.25552941176470845</v>
      </c>
      <c r="G101" s="45">
        <f t="shared" ca="1" si="33"/>
        <v>0.2542745098039243</v>
      </c>
      <c r="H101" s="45">
        <f t="shared" ca="1" si="34"/>
        <v>0.54031385257239628</v>
      </c>
      <c r="I101" s="45">
        <f t="shared" ca="1" si="37"/>
        <v>0.54024058811467712</v>
      </c>
      <c r="J101" s="45">
        <f t="shared" ca="1" si="35"/>
        <v>0.54016737419392968</v>
      </c>
      <c r="L101" s="58">
        <f ca="1">_xll.EURO(UnderlyingPrice,$D101,IntRate,Yield,$I101,$D$6,L$12,0)</f>
        <v>0.2759439663583898</v>
      </c>
      <c r="M101" s="58">
        <f ca="1">_xll.EURO(UnderlyingPrice,$D101,IntRate,Yield,$I101,$D$6,M$12,0)</f>
        <v>1.4897061381769321</v>
      </c>
      <c r="O101" s="58">
        <f ca="1">_xll.EURO(UnderlyingPrice,$D101*(1+$P$8),IntRate,Yield,$H101,Expiry-Today,O$12,0)</f>
        <v>0.27541872715416083</v>
      </c>
      <c r="P101" s="58">
        <f ca="1">_xll.EURO(UnderlyingPrice,$D101*(1+$P$8),IntRate,Yield,$H101,Expiry-Today,P$12,0)</f>
        <v>1.4921686212417944</v>
      </c>
      <c r="R101" s="58">
        <f ca="1">_xll.EURO(UnderlyingPrice,$D101*(1-$P$8),IntRate,Yield,$J101,Expiry-Today,R$12,0)</f>
        <v>0.27647037999772772</v>
      </c>
      <c r="S101" s="58">
        <f ca="1">_xll.EURO(UnderlyingPrice,$D101*(1-$P$8),IntRate,Yield,$J101,Expiry-Today,S$12,0)</f>
        <v>1.4872448295471794</v>
      </c>
      <c r="U101" s="59">
        <f t="shared" ca="1" si="41"/>
        <v>0.12708136133803094</v>
      </c>
      <c r="V101" s="59"/>
      <c r="W101" s="62">
        <f t="shared" ca="1" si="36"/>
        <v>0.12930497003158639</v>
      </c>
      <c r="Z101" s="59">
        <f t="shared" ca="1" si="42"/>
        <v>0.20007258641734854</v>
      </c>
      <c r="AA101" s="59">
        <f t="shared" ca="1" si="43"/>
        <v>0.28083584164778619</v>
      </c>
      <c r="AB101" s="59">
        <f t="shared" ca="1" si="38"/>
        <v>-7.8868769954020437E-2</v>
      </c>
      <c r="AC101" s="59">
        <f t="shared" ca="1" si="44"/>
        <v>-0.36663782826721003</v>
      </c>
      <c r="AD101" s="60">
        <f t="shared" ca="1" si="39"/>
        <v>0.69306060655687074</v>
      </c>
      <c r="AE101" s="60">
        <f t="shared" ca="1" si="45"/>
        <v>0.13866242809780951</v>
      </c>
      <c r="AF101" s="60"/>
      <c r="AG101" s="97">
        <f t="shared" ca="1" si="46"/>
        <v>0.85631516192020107</v>
      </c>
      <c r="AH101" s="97">
        <f t="shared" ca="1" si="47"/>
        <v>0.85783936401178484</v>
      </c>
      <c r="AI101" s="97">
        <f t="shared" ca="1" si="48"/>
        <v>0.85479019753696694</v>
      </c>
      <c r="AJ101" s="62"/>
      <c r="AK101" s="97">
        <f t="shared" ca="1" si="49"/>
        <v>0.25783250087681692</v>
      </c>
      <c r="AL101" s="97"/>
      <c r="AM101" s="95"/>
      <c r="AN101" s="96"/>
      <c r="AX101" s="107">
        <f t="shared" ca="1" si="50"/>
        <v>0.5099981714951265</v>
      </c>
      <c r="AY101" s="107">
        <f t="shared" ca="1" si="51"/>
        <v>0.51006051074411163</v>
      </c>
      <c r="AZ101" s="107">
        <f t="shared" ca="1" si="52"/>
        <v>0.50993589574030174</v>
      </c>
      <c r="BB101" s="39">
        <f ca="1">_xll.EURO(UnderlyingPrice,$D101,IntRate,Yield,AX101,$D$6,1,0)</f>
        <v>0.24402973150949658</v>
      </c>
      <c r="BC101" s="39">
        <f ca="1">_xll.EURO(UnderlyingPrice,$D101*(1+$P$8),IntRate,Yield,AY101,$D$6,1,0)</f>
        <v>0.24351587381150774</v>
      </c>
      <c r="BD101" s="39">
        <f ca="1">_xll.EURO(UnderlyingPrice,$D101*(1-$P$8),IntRate,Yield,AZ101,$D$6,1,0)</f>
        <v>0.24454481940889305</v>
      </c>
      <c r="BF101" s="59">
        <f t="shared" ca="1" si="53"/>
        <v>0.13311563015403402</v>
      </c>
      <c r="BG101" s="39">
        <f t="shared" ca="1" si="54"/>
        <v>0.13544482358839835</v>
      </c>
      <c r="BI101" s="58">
        <f t="shared" ca="1" si="55"/>
        <v>-3.1914234848893219E-2</v>
      </c>
      <c r="BJ101" s="46">
        <f t="shared" ca="1" si="56"/>
        <v>-0.13078010884772562</v>
      </c>
    </row>
    <row r="102" spans="3:62" x14ac:dyDescent="0.2">
      <c r="C102" s="56">
        <v>89</v>
      </c>
      <c r="D102" s="63">
        <f t="shared" ca="1" si="57"/>
        <v>6.1150000000000126</v>
      </c>
      <c r="E102" s="45">
        <f t="shared" ca="1" si="40"/>
        <v>0.26212590299277871</v>
      </c>
      <c r="F102" s="45">
        <f t="shared" ca="1" si="32"/>
        <v>0.262756965944275</v>
      </c>
      <c r="G102" s="45">
        <f t="shared" ca="1" si="33"/>
        <v>0.26149484004128243</v>
      </c>
      <c r="H102" s="45">
        <f t="shared" ca="1" si="34"/>
        <v>0.54116134222174872</v>
      </c>
      <c r="I102" s="45">
        <f t="shared" ca="1" si="37"/>
        <v>0.54108708878935474</v>
      </c>
      <c r="J102" s="45">
        <f t="shared" ca="1" si="35"/>
        <v>0.54101288356703692</v>
      </c>
      <c r="L102" s="58">
        <f ca="1">_xll.EURO(UnderlyingPrice,$D102,IntRate,Yield,$I102,$D$6,L$12,0)</f>
        <v>0.26996719614532938</v>
      </c>
      <c r="M102" s="58">
        <f ca="1">_xll.EURO(UnderlyingPrice,$D102,IntRate,Yield,$I102,$D$6,M$12,0)</f>
        <v>1.5181274861935465</v>
      </c>
      <c r="O102" s="58">
        <f ca="1">_xll.EURO(UnderlyingPrice,$D102*(1+$P$8),IntRate,Yield,$H102,Expiry-Today,O$12,0)</f>
        <v>0.2694523397492492</v>
      </c>
      <c r="P102" s="58">
        <f ca="1">_xll.EURO(UnderlyingPrice,$D102*(1+$P$8),IntRate,Yield,$H102,Expiry-Today,P$12,0)</f>
        <v>1.5206175511256723</v>
      </c>
      <c r="R102" s="58">
        <f ca="1">_xll.EURO(UnderlyingPrice,$D102*(1-$P$8),IntRate,Yield,$J102,Expiry-Today,R$12,0)</f>
        <v>0.27048320908697554</v>
      </c>
      <c r="S102" s="58">
        <f ca="1">_xll.EURO(UnderlyingPrice,$D102*(1-$P$8),IntRate,Yield,$J102,Expiry-Today,S$12,0)</f>
        <v>1.5156385778069867</v>
      </c>
      <c r="U102" s="59">
        <f t="shared" ca="1" si="41"/>
        <v>0.12371712426338523</v>
      </c>
      <c r="V102" s="59"/>
      <c r="W102" s="62">
        <f t="shared" ca="1" si="36"/>
        <v>0.1258818671505974</v>
      </c>
      <c r="Z102" s="59">
        <f t="shared" ca="1" si="42"/>
        <v>0.19892744487612088</v>
      </c>
      <c r="AA102" s="59">
        <f t="shared" ca="1" si="43"/>
        <v>0.2865759148088462</v>
      </c>
      <c r="AB102" s="59">
        <f t="shared" ca="1" si="38"/>
        <v>-8.2125754948527072E-2</v>
      </c>
      <c r="AC102" s="59">
        <f t="shared" ca="1" si="44"/>
        <v>-0.38177859825488664</v>
      </c>
      <c r="AD102" s="60">
        <f t="shared" ca="1" si="39"/>
        <v>0.68264617552995688</v>
      </c>
      <c r="AE102" s="60">
        <f t="shared" ca="1" si="45"/>
        <v>0.13579705945263024</v>
      </c>
      <c r="AF102" s="60"/>
      <c r="AG102" s="97">
        <f t="shared" ca="1" si="46"/>
        <v>0.87381759910737289</v>
      </c>
      <c r="AH102" s="97">
        <f t="shared" ca="1" si="47"/>
        <v>0.87534180119895666</v>
      </c>
      <c r="AI102" s="97">
        <f t="shared" ca="1" si="48"/>
        <v>0.87229263472413887</v>
      </c>
      <c r="AJ102" s="62"/>
      <c r="AK102" s="97">
        <f t="shared" ca="1" si="49"/>
        <v>0.25245181723700555</v>
      </c>
      <c r="AL102" s="97"/>
      <c r="AM102" s="95"/>
      <c r="AN102" s="96"/>
      <c r="AX102" s="107">
        <f t="shared" ca="1" si="50"/>
        <v>0.51071969725687505</v>
      </c>
      <c r="AY102" s="107">
        <f t="shared" ca="1" si="51"/>
        <v>0.51078311971914314</v>
      </c>
      <c r="AZ102" s="107">
        <f t="shared" ca="1" si="52"/>
        <v>0.51065633724519466</v>
      </c>
      <c r="BB102" s="39">
        <f ca="1">_xll.EURO(UnderlyingPrice,$D102,IntRate,Yield,AX102,$D$6,1,0)</f>
        <v>0.23818734283399778</v>
      </c>
      <c r="BC102" s="39">
        <f ca="1">_xll.EURO(UnderlyingPrice,$D102*(1+$P$8),IntRate,Yield,AY102,$D$6,1,0)</f>
        <v>0.23768457061003057</v>
      </c>
      <c r="BD102" s="39">
        <f ca="1">_xll.EURO(UnderlyingPrice,$D102*(1-$P$8),IntRate,Yield,AZ102,$D$6,1,0)</f>
        <v>0.2386913266077384</v>
      </c>
      <c r="BF102" s="59">
        <f t="shared" ca="1" si="53"/>
        <v>0.12960099305630182</v>
      </c>
      <c r="BG102" s="39">
        <f t="shared" ca="1" si="54"/>
        <v>0.13186868905687316</v>
      </c>
      <c r="BI102" s="58">
        <f t="shared" ca="1" si="55"/>
        <v>-3.1779853311331596E-2</v>
      </c>
      <c r="BJ102" s="46">
        <f t="shared" ca="1" si="56"/>
        <v>-0.13342377026927177</v>
      </c>
    </row>
    <row r="103" spans="3:62" x14ac:dyDescent="0.2">
      <c r="C103" s="56">
        <v>90</v>
      </c>
      <c r="D103" s="63">
        <f t="shared" ca="1" si="57"/>
        <v>6.1500000000000128</v>
      </c>
      <c r="E103" s="45">
        <f t="shared" ca="1" si="40"/>
        <v>0.26934984520124106</v>
      </c>
      <c r="F103" s="45">
        <f t="shared" ca="1" si="32"/>
        <v>0.26998452012384178</v>
      </c>
      <c r="G103" s="45">
        <f t="shared" ca="1" si="33"/>
        <v>0.26871517027864056</v>
      </c>
      <c r="H103" s="45">
        <f t="shared" ca="1" si="34"/>
        <v>0.5420151222783961</v>
      </c>
      <c r="I103" s="45">
        <f t="shared" ca="1" si="37"/>
        <v>0.54193990690185967</v>
      </c>
      <c r="J103" s="45">
        <f t="shared" ca="1" si="35"/>
        <v>0.54186473734503049</v>
      </c>
      <c r="L103" s="58">
        <f ca="1">_xll.EURO(UnderlyingPrice,$D103,IntRate,Yield,$I103,$D$6,L$12,0)</f>
        <v>0.26414198593409011</v>
      </c>
      <c r="M103" s="58">
        <f ca="1">_xll.EURO(UnderlyingPrice,$D103,IntRate,Yield,$I103,$D$6,M$12,0)</f>
        <v>1.5467003942119826</v>
      </c>
      <c r="O103" s="58">
        <f ca="1">_xll.EURO(UnderlyingPrice,$D103*(1+$P$8),IntRate,Yield,$H103,Expiry-Today,O$12,0)</f>
        <v>0.26363730731990542</v>
      </c>
      <c r="P103" s="58">
        <f ca="1">_xll.EURO(UnderlyingPrice,$D103*(1+$P$8),IntRate,Yield,$H103,Expiry-Today,P$12,0)</f>
        <v>1.549217835985119</v>
      </c>
      <c r="R103" s="58">
        <f ca="1">_xll.EURO(UnderlyingPrice,$D103*(1-$P$8),IntRate,Yield,$J103,Expiry-Today,R$12,0)</f>
        <v>0.2646478031689774</v>
      </c>
      <c r="S103" s="58">
        <f ca="1">_xll.EURO(UnderlyingPrice,$D103*(1-$P$8),IntRate,Yield,$J103,Expiry-Today,S$12,0)</f>
        <v>1.5441840910595483</v>
      </c>
      <c r="U103" s="59">
        <f t="shared" ca="1" si="41"/>
        <v>0.1204172862832498</v>
      </c>
      <c r="V103" s="59"/>
      <c r="W103" s="62">
        <f t="shared" ca="1" si="36"/>
        <v>0.12252429018857906</v>
      </c>
      <c r="Z103" s="59">
        <f t="shared" ca="1" si="42"/>
        <v>0.19779533746625677</v>
      </c>
      <c r="AA103" s="59">
        <f t="shared" ca="1" si="43"/>
        <v>0.29228322748813707</v>
      </c>
      <c r="AB103" s="59">
        <f t="shared" ca="1" si="38"/>
        <v>-8.5429485070882077E-2</v>
      </c>
      <c r="AC103" s="59">
        <f t="shared" ca="1" si="44"/>
        <v>-0.39713667266060343</v>
      </c>
      <c r="AD103" s="60">
        <f t="shared" ca="1" si="39"/>
        <v>0.67224214223167733</v>
      </c>
      <c r="AE103" s="60">
        <f t="shared" ca="1" si="45"/>
        <v>0.13296636138175399</v>
      </c>
      <c r="AF103" s="60"/>
      <c r="AG103" s="97">
        <f t="shared" ca="1" si="46"/>
        <v>0.8912201441401596</v>
      </c>
      <c r="AH103" s="97">
        <f t="shared" ca="1" si="47"/>
        <v>0.8927443462317437</v>
      </c>
      <c r="AI103" s="97">
        <f t="shared" ca="1" si="48"/>
        <v>0.88969517975692547</v>
      </c>
      <c r="AJ103" s="62"/>
      <c r="AK103" s="97">
        <f t="shared" ca="1" si="49"/>
        <v>0.24712471125561686</v>
      </c>
      <c r="AL103" s="97"/>
      <c r="AM103" s="95"/>
      <c r="AN103" s="96"/>
      <c r="AX103" s="107">
        <f t="shared" ca="1" si="50"/>
        <v>0.51144940652992654</v>
      </c>
      <c r="AY103" s="107">
        <f t="shared" ca="1" si="51"/>
        <v>0.51151390003240182</v>
      </c>
      <c r="AZ103" s="107">
        <f t="shared" ca="1" si="52"/>
        <v>0.51138497439788166</v>
      </c>
      <c r="BB103" s="39">
        <f ca="1">_xll.EURO(UnderlyingPrice,$D103,IntRate,Yield,AX103,$D$6,1,0)</f>
        <v>0.23250372197822244</v>
      </c>
      <c r="BC103" s="39">
        <f ca="1">_xll.EURO(UnderlyingPrice,$D103*(1+$P$8),IntRate,Yield,AY103,$D$6,1,0)</f>
        <v>0.23201182134377163</v>
      </c>
      <c r="BD103" s="39">
        <f ca="1">_xll.EURO(UnderlyingPrice,$D103*(1-$P$8),IntRate,Yield,AZ103,$D$6,1,0)</f>
        <v>0.23299681545421502</v>
      </c>
      <c r="BF103" s="59">
        <f t="shared" ca="1" si="53"/>
        <v>0.12615152798084805</v>
      </c>
      <c r="BG103" s="39">
        <f t="shared" ca="1" si="54"/>
        <v>0.12835886689640602</v>
      </c>
      <c r="BI103" s="58">
        <f t="shared" ca="1" si="55"/>
        <v>-3.1638263955867663E-2</v>
      </c>
      <c r="BJ103" s="46">
        <f t="shared" ca="1" si="56"/>
        <v>-0.13607637626906924</v>
      </c>
    </row>
    <row r="104" spans="3:62" x14ac:dyDescent="0.2">
      <c r="C104" s="56">
        <v>91</v>
      </c>
      <c r="D104" s="63">
        <f t="shared" ca="1" si="57"/>
        <v>6.1850000000000129</v>
      </c>
      <c r="E104" s="45">
        <f t="shared" ca="1" si="40"/>
        <v>0.2765737874097034</v>
      </c>
      <c r="F104" s="45">
        <f t="shared" ca="1" si="32"/>
        <v>0.27721207430340811</v>
      </c>
      <c r="G104" s="45">
        <f t="shared" ca="1" si="33"/>
        <v>0.27593550051599869</v>
      </c>
      <c r="H104" s="45">
        <f t="shared" ca="1" si="34"/>
        <v>0.54287481079046307</v>
      </c>
      <c r="I104" s="45">
        <f t="shared" ca="1" si="37"/>
        <v>0.54279866107267227</v>
      </c>
      <c r="J104" s="45">
        <f t="shared" ca="1" si="35"/>
        <v>0.54272255472017394</v>
      </c>
      <c r="L104" s="58">
        <f ca="1">_xll.EURO(UnderlyingPrice,$D104,IntRate,Yield,$I104,$D$6,L$12,0)</f>
        <v>0.2584642934798238</v>
      </c>
      <c r="M104" s="58">
        <f ca="1">_xll.EURO(UnderlyingPrice,$D104,IntRate,Yield,$I104,$D$6,M$12,0)</f>
        <v>1.575420819987392</v>
      </c>
      <c r="O104" s="58">
        <f ca="1">_xll.EURO(UnderlyingPrice,$D104*(1+$P$8),IntRate,Yield,$H104,Expiry-Today,O$12,0)</f>
        <v>0.25796958851085705</v>
      </c>
      <c r="P104" s="58">
        <f ca="1">_xll.EURO(UnderlyingPrice,$D104*(1+$P$8),IntRate,Yield,$H104,Expiry-Today,P$12,0)</f>
        <v>1.5779654344648599</v>
      </c>
      <c r="R104" s="58">
        <f ca="1">_xll.EURO(UnderlyingPrice,$D104*(1-$P$8),IntRate,Yield,$J104,Expiry-Today,R$12,0)</f>
        <v>0.2589601191293629</v>
      </c>
      <c r="S104" s="58">
        <f ca="1">_xll.EURO(UnderlyingPrice,$D104*(1-$P$8),IntRate,Yield,$J104,Expiry-Today,S$12,0)</f>
        <v>1.5728773261904947</v>
      </c>
      <c r="U104" s="59">
        <f t="shared" ca="1" si="41"/>
        <v>0.11718241029238687</v>
      </c>
      <c r="V104" s="59"/>
      <c r="W104" s="62">
        <f t="shared" ca="1" si="36"/>
        <v>0.11923281188955606</v>
      </c>
      <c r="Z104" s="59">
        <f t="shared" ca="1" si="42"/>
        <v>0.19667604291309285</v>
      </c>
      <c r="AA104" s="59">
        <f t="shared" ca="1" si="43"/>
        <v>0.29795815151416177</v>
      </c>
      <c r="AB104" s="59">
        <f t="shared" ca="1" si="38"/>
        <v>-8.8779060053736189E-2</v>
      </c>
      <c r="AC104" s="59">
        <f t="shared" ca="1" si="44"/>
        <v>-0.41270786640494311</v>
      </c>
      <c r="AD104" s="60">
        <f t="shared" ca="1" si="39"/>
        <v>0.66185560484579764</v>
      </c>
      <c r="AE104" s="60">
        <f t="shared" ca="1" si="45"/>
        <v>0.13017114134092311</v>
      </c>
      <c r="AF104" s="60"/>
      <c r="AG104" s="97">
        <f t="shared" ca="1" si="46"/>
        <v>0.90852393078547256</v>
      </c>
      <c r="AH104" s="97">
        <f t="shared" ca="1" si="47"/>
        <v>0.91004813287705622</v>
      </c>
      <c r="AI104" s="97">
        <f t="shared" ca="1" si="48"/>
        <v>0.90699896640223843</v>
      </c>
      <c r="AJ104" s="62"/>
      <c r="AK104" s="97">
        <f t="shared" ca="1" si="49"/>
        <v>0.24185460112700949</v>
      </c>
      <c r="AL104" s="97"/>
      <c r="AM104" s="95"/>
      <c r="AN104" s="96"/>
      <c r="AX104" s="107">
        <f t="shared" ca="1" si="50"/>
        <v>0.51218706649657186</v>
      </c>
      <c r="AY104" s="107">
        <f t="shared" ca="1" si="51"/>
        <v>0.51225261851677673</v>
      </c>
      <c r="AZ104" s="107">
        <f t="shared" ca="1" si="52"/>
        <v>0.51212157472970588</v>
      </c>
      <c r="BB104" s="39">
        <f ca="1">_xll.EURO(UnderlyingPrice,$D104,IntRate,Yield,AX104,$D$6,1,0)</f>
        <v>0.22697464342751039</v>
      </c>
      <c r="BC104" s="39">
        <f ca="1">_xll.EURO(UnderlyingPrice,$D104*(1+$P$8),IntRate,Yield,AY104,$D$6,1,0)</f>
        <v>0.22649340120963291</v>
      </c>
      <c r="BD104" s="39">
        <f ca="1">_xll.EURO(UnderlyingPrice,$D104*(1-$P$8),IntRate,Yield,AZ104,$D$6,1,0)</f>
        <v>0.22745705974438146</v>
      </c>
      <c r="BF104" s="59">
        <f t="shared" ca="1" si="53"/>
        <v>0.12276803344820374</v>
      </c>
      <c r="BG104" s="39">
        <f t="shared" ca="1" si="54"/>
        <v>0.12491616959965711</v>
      </c>
      <c r="BI104" s="58">
        <f t="shared" ca="1" si="55"/>
        <v>-3.1489650052313412E-2</v>
      </c>
      <c r="BJ104" s="46">
        <f t="shared" ca="1" si="56"/>
        <v>-0.13873642261000119</v>
      </c>
    </row>
    <row r="105" spans="3:62" x14ac:dyDescent="0.2">
      <c r="C105" s="56">
        <v>92</v>
      </c>
      <c r="D105" s="63">
        <f t="shared" ca="1" si="57"/>
        <v>6.2200000000000131</v>
      </c>
      <c r="E105" s="45">
        <f t="shared" ca="1" si="40"/>
        <v>0.28379772961816574</v>
      </c>
      <c r="F105" s="45">
        <f t="shared" ca="1" si="32"/>
        <v>0.28443962848297488</v>
      </c>
      <c r="G105" s="45">
        <f t="shared" ca="1" si="33"/>
        <v>0.28315583075335682</v>
      </c>
      <c r="H105" s="45">
        <f t="shared" ca="1" si="34"/>
        <v>0.5437400258060745</v>
      </c>
      <c r="I105" s="45">
        <f t="shared" ca="1" si="37"/>
        <v>0.5436629699222727</v>
      </c>
      <c r="J105" s="45">
        <f t="shared" ca="1" si="35"/>
        <v>0.54358595488473027</v>
      </c>
      <c r="L105" s="58">
        <f ca="1">_xll.EURO(UnderlyingPrice,$D105,IntRate,Yield,$I105,$D$6,L$12,0)</f>
        <v>0.25293015609985936</v>
      </c>
      <c r="M105" s="58">
        <f ca="1">_xll.EURO(UnderlyingPrice,$D105,IntRate,Yield,$I105,$D$6,M$12,0)</f>
        <v>1.6042848008371022</v>
      </c>
      <c r="O105" s="58">
        <f ca="1">_xll.EURO(UnderlyingPrice,$D105*(1+$P$8),IntRate,Yield,$H105,Expiry-Today,O$12,0)</f>
        <v>0.25244522173976103</v>
      </c>
      <c r="P105" s="58">
        <f ca="1">_xll.EURO(UnderlyingPrice,$D105*(1+$P$8),IntRate,Yield,$H105,Expiry-Today,P$12,0)</f>
        <v>1.6068563849825548</v>
      </c>
      <c r="R105" s="58">
        <f ca="1">_xll.EURO(UnderlyingPrice,$D105*(1-$P$8),IntRate,Yield,$J105,Expiry-Today,R$12,0)</f>
        <v>0.2534161932041703</v>
      </c>
      <c r="S105" s="58">
        <f ca="1">_xll.EURO(UnderlyingPrice,$D105*(1-$P$8),IntRate,Yield,$J105,Expiry-Today,S$12,0)</f>
        <v>1.6017143194358616</v>
      </c>
      <c r="U105" s="59">
        <f t="shared" ca="1" si="41"/>
        <v>0.11401290439625562</v>
      </c>
      <c r="V105" s="59"/>
      <c r="W105" s="62">
        <f t="shared" ca="1" si="36"/>
        <v>0.11600784749982113</v>
      </c>
      <c r="Z105" s="59">
        <f t="shared" ca="1" si="42"/>
        <v>0.19556934492242428</v>
      </c>
      <c r="AA105" s="59">
        <f t="shared" ca="1" si="43"/>
        <v>0.3036010524207986</v>
      </c>
      <c r="AB105" s="59">
        <f t="shared" ca="1" si="38"/>
        <v>-9.2173599031016504E-2</v>
      </c>
      <c r="AC105" s="59">
        <f t="shared" ca="1" si="44"/>
        <v>-0.42848808459934395</v>
      </c>
      <c r="AD105" s="60">
        <f t="shared" ca="1" si="39"/>
        <v>0.65149335331226288</v>
      </c>
      <c r="AE105" s="60">
        <f t="shared" ca="1" si="45"/>
        <v>0.12741212832859278</v>
      </c>
      <c r="AF105" s="60"/>
      <c r="AG105" s="97">
        <f t="shared" ca="1" si="46"/>
        <v>0.92573007361686588</v>
      </c>
      <c r="AH105" s="97">
        <f t="shared" ca="1" si="47"/>
        <v>0.92725427570844998</v>
      </c>
      <c r="AI105" s="97">
        <f t="shared" ca="1" si="48"/>
        <v>0.92420510923363186</v>
      </c>
      <c r="AJ105" s="62"/>
      <c r="AK105" s="97">
        <f t="shared" ca="1" si="49"/>
        <v>0.23664461006246945</v>
      </c>
      <c r="AL105" s="97"/>
      <c r="AM105" s="95"/>
      <c r="AN105" s="96"/>
      <c r="AX105" s="107">
        <f t="shared" ca="1" si="50"/>
        <v>0.51293244433910135</v>
      </c>
      <c r="AY105" s="107">
        <f t="shared" ca="1" si="51"/>
        <v>0.51299904200515756</v>
      </c>
      <c r="AZ105" s="107">
        <f t="shared" ca="1" si="52"/>
        <v>0.51286590577200952</v>
      </c>
      <c r="BB105" s="39">
        <f ca="1">_xll.EURO(UnderlyingPrice,$D105,IntRate,Yield,AX105,$D$6,1,0)</f>
        <v>0.22159596246438351</v>
      </c>
      <c r="BC105" s="39">
        <f ca="1">_xll.EURO(UnderlyingPrice,$D105*(1+$P$8),IntRate,Yield,AY105,$D$6,1,0)</f>
        <v>0.22112516643959523</v>
      </c>
      <c r="BD105" s="39">
        <f ca="1">_xll.EURO(UnderlyingPrice,$D105*(1-$P$8),IntRate,Yield,AZ105,$D$6,1,0)</f>
        <v>0.22206791383254632</v>
      </c>
      <c r="BF105" s="59">
        <f t="shared" ca="1" si="53"/>
        <v>0.11945114034448943</v>
      </c>
      <c r="BG105" s="39">
        <f t="shared" ca="1" si="54"/>
        <v>0.12154123909168968</v>
      </c>
      <c r="BI105" s="58">
        <f t="shared" ca="1" si="55"/>
        <v>-3.1334193635475849E-2</v>
      </c>
      <c r="BJ105" s="46">
        <f t="shared" ca="1" si="56"/>
        <v>-0.14140236711448254</v>
      </c>
    </row>
    <row r="106" spans="3:62" x14ac:dyDescent="0.2">
      <c r="C106" s="56">
        <v>93</v>
      </c>
      <c r="D106" s="63">
        <f t="shared" ca="1" si="57"/>
        <v>6.2550000000000132</v>
      </c>
      <c r="E106" s="45">
        <f t="shared" ca="1" si="40"/>
        <v>0.29102167182662808</v>
      </c>
      <c r="F106" s="45">
        <f t="shared" ca="1" si="32"/>
        <v>0.29166718266254144</v>
      </c>
      <c r="G106" s="45">
        <f t="shared" ca="1" si="33"/>
        <v>0.29037616099071495</v>
      </c>
      <c r="H106" s="45">
        <f t="shared" ca="1" si="34"/>
        <v>0.54461038537335515</v>
      </c>
      <c r="I106" s="45">
        <f t="shared" ca="1" si="37"/>
        <v>0.54453245207114098</v>
      </c>
      <c r="J106" s="45">
        <f t="shared" ca="1" si="35"/>
        <v>0.54445455703096335</v>
      </c>
      <c r="L106" s="58">
        <f ca="1">_xll.EURO(UnderlyingPrice,$D106,IntRate,Yield,$I106,$D$6,L$12,0)</f>
        <v>0.24753569117607843</v>
      </c>
      <c r="M106" s="58">
        <f ca="1">_xll.EURO(UnderlyingPrice,$D106,IntRate,Yield,$I106,$D$6,M$12,0)</f>
        <v>1.6332884541429968</v>
      </c>
      <c r="O106" s="58">
        <f ca="1">_xll.EURO(UnderlyingPrice,$D106*(1+$P$8),IntRate,Yield,$H106,Expiry-Today,O$12,0)</f>
        <v>0.24706032568492997</v>
      </c>
      <c r="P106" s="58">
        <f ca="1">_xll.EURO(UnderlyingPrice,$D106*(1+$P$8),IntRate,Yield,$H106,Expiry-Today,P$12,0)</f>
        <v>1.6358868062165137</v>
      </c>
      <c r="R106" s="58">
        <f ca="1">_xll.EURO(UnderlyingPrice,$D106*(1-$P$8),IntRate,Yield,$J106,Expiry-Today,R$12,0)</f>
        <v>0.24801214149692852</v>
      </c>
      <c r="S106" s="58">
        <f ca="1">_xll.EURO(UnderlyingPrice,$D106*(1-$P$8),IntRate,Yield,$J106,Expiry-Today,S$12,0)</f>
        <v>1.6306911868991811</v>
      </c>
      <c r="U106" s="59">
        <f t="shared" ca="1" si="41"/>
        <v>0.1109090360070326</v>
      </c>
      <c r="V106" s="59"/>
      <c r="W106" s="62">
        <f t="shared" ca="1" si="36"/>
        <v>0.11284966911060078</v>
      </c>
      <c r="Z106" s="59">
        <f t="shared" ca="1" si="42"/>
        <v>0.19447503204116373</v>
      </c>
      <c r="AA106" s="59">
        <f t="shared" ca="1" si="43"/>
        <v>0.30921228958858499</v>
      </c>
      <c r="AB106" s="59">
        <f t="shared" ca="1" si="38"/>
        <v>-9.561224003261494E-2</v>
      </c>
      <c r="AC106" s="59">
        <f t="shared" ca="1" si="44"/>
        <v>-0.44447332019705432</v>
      </c>
      <c r="AD106" s="60">
        <f t="shared" ca="1" si="39"/>
        <v>0.64116187413098846</v>
      </c>
      <c r="AE106" s="60">
        <f t="shared" ca="1" si="45"/>
        <v>0.12468997601519657</v>
      </c>
      <c r="AF106" s="60"/>
      <c r="AG106" s="97">
        <f t="shared" ca="1" si="46"/>
        <v>0.94283966844533473</v>
      </c>
      <c r="AH106" s="97">
        <f t="shared" ca="1" si="47"/>
        <v>0.94436387053691861</v>
      </c>
      <c r="AI106" s="97">
        <f t="shared" ca="1" si="48"/>
        <v>0.94131470406210072</v>
      </c>
      <c r="AJ106" s="62"/>
      <c r="AK106" s="97">
        <f t="shared" ca="1" si="49"/>
        <v>0.23149758667373688</v>
      </c>
      <c r="AL106" s="97"/>
      <c r="AM106" s="95"/>
      <c r="AN106" s="96"/>
      <c r="AX106" s="107">
        <f t="shared" ca="1" si="50"/>
        <v>0.51368530723980588</v>
      </c>
      <c r="AY106" s="107">
        <f t="shared" ca="1" si="51"/>
        <v>0.51375293733043348</v>
      </c>
      <c r="AZ106" s="107">
        <f t="shared" ca="1" si="52"/>
        <v>0.51361773505613528</v>
      </c>
      <c r="BB106" s="39">
        <f ca="1">_xll.EURO(UnderlyingPrice,$D106,IntRate,Yield,AX106,$D$6,1,0)</f>
        <v>0.2163636159420439</v>
      </c>
      <c r="BC106" s="39">
        <f ca="1">_xll.EURO(UnderlyingPrice,$D106*(1+$P$8),IntRate,Yield,AY106,$D$6,1,0)</f>
        <v>0.21590305505847773</v>
      </c>
      <c r="BD106" s="39">
        <f ca="1">_xll.EURO(UnderlyingPrice,$D106*(1-$P$8),IntRate,Yield,AZ106,$D$6,1,0)</f>
        <v>0.21682531342050337</v>
      </c>
      <c r="BF106" s="59">
        <f t="shared" ca="1" si="53"/>
        <v>0.11620132059355508</v>
      </c>
      <c r="BG106" s="39">
        <f t="shared" ca="1" si="54"/>
        <v>0.11823455555385076</v>
      </c>
      <c r="BI106" s="58">
        <f t="shared" ca="1" si="55"/>
        <v>-3.1172075234034535E-2</v>
      </c>
      <c r="BJ106" s="46">
        <f t="shared" ca="1" si="56"/>
        <v>-0.1440726302262596</v>
      </c>
    </row>
    <row r="107" spans="3:62" x14ac:dyDescent="0.2">
      <c r="C107" s="56">
        <v>94</v>
      </c>
      <c r="D107" s="63">
        <f t="shared" ca="1" si="57"/>
        <v>6.2900000000000134</v>
      </c>
      <c r="E107" s="45">
        <f t="shared" ca="1" si="40"/>
        <v>0.29824561403509064</v>
      </c>
      <c r="F107" s="45">
        <f t="shared" ca="1" si="32"/>
        <v>0.29889473684210799</v>
      </c>
      <c r="G107" s="45">
        <f t="shared" ca="1" si="33"/>
        <v>0.29759649122807308</v>
      </c>
      <c r="H107" s="45">
        <f t="shared" ca="1" si="34"/>
        <v>0.5454855075404299</v>
      </c>
      <c r="I107" s="45">
        <f t="shared" ca="1" si="37"/>
        <v>0.54540672613975716</v>
      </c>
      <c r="J107" s="45">
        <f t="shared" ca="1" si="35"/>
        <v>0.54532798035113661</v>
      </c>
      <c r="L107" s="58">
        <f ca="1">_xll.EURO(UnderlyingPrice,$D107,IntRate,Yield,$I107,$D$6,L$12,0)</f>
        <v>0.242277096482163</v>
      </c>
      <c r="M107" s="58">
        <f ca="1">_xll.EURO(UnderlyingPrice,$D107,IntRate,Yield,$I107,$D$6,M$12,0)</f>
        <v>1.6624279776787563</v>
      </c>
      <c r="O107" s="58">
        <f ca="1">_xll.EURO(UnderlyingPrice,$D107*(1+$P$8),IntRate,Yield,$H107,Expiry-Today,O$12,0)</f>
        <v>0.24181109959837332</v>
      </c>
      <c r="P107" s="58">
        <f ca="1">_xll.EURO(UnderlyingPrice,$D107*(1+$P$8),IntRate,Yield,$H107,Expiry-Today,P$12,0)</f>
        <v>1.665052897418748</v>
      </c>
      <c r="R107" s="58">
        <f ca="1">_xll.EURO(UnderlyingPrice,$D107*(1-$P$8),IntRate,Yield,$J107,Expiry-Today,R$12,0)</f>
        <v>0.2427441603200855</v>
      </c>
      <c r="S107" s="58">
        <f ca="1">_xll.EURO(UnderlyingPrice,$D107*(1-$P$8),IntRate,Yield,$J107,Expiry-Today,S$12,0)</f>
        <v>1.6598041248928976</v>
      </c>
      <c r="U107" s="59">
        <f t="shared" ca="1" si="41"/>
        <v>0.10787093681618568</v>
      </c>
      <c r="V107" s="59"/>
      <c r="W107" s="62">
        <f t="shared" ca="1" si="36"/>
        <v>0.10975841071763702</v>
      </c>
      <c r="Z107" s="59">
        <f t="shared" ca="1" si="42"/>
        <v>0.19339289752265168</v>
      </c>
      <c r="AA107" s="59">
        <f t="shared" ca="1" si="43"/>
        <v>0.31479221638205984</v>
      </c>
      <c r="AB107" s="59">
        <f t="shared" ca="1" si="38"/>
        <v>-9.9094139494729588E-2</v>
      </c>
      <c r="AC107" s="59">
        <f t="shared" ca="1" si="44"/>
        <v>-0.46065965171685258</v>
      </c>
      <c r="AD107" s="60">
        <f t="shared" ca="1" si="39"/>
        <v>0.63086735548465567</v>
      </c>
      <c r="AE107" s="60">
        <f t="shared" ca="1" si="45"/>
        <v>0.12200526582963028</v>
      </c>
      <c r="AF107" s="60"/>
      <c r="AG107" s="97">
        <f t="shared" ca="1" si="46"/>
        <v>0.95985379273809468</v>
      </c>
      <c r="AH107" s="97">
        <f t="shared" ca="1" si="47"/>
        <v>0.96137799482967812</v>
      </c>
      <c r="AI107" s="97">
        <f t="shared" ca="1" si="48"/>
        <v>0.95832882835486022</v>
      </c>
      <c r="AJ107" s="62"/>
      <c r="AK107" s="97">
        <f t="shared" ca="1" si="49"/>
        <v>0.22641610719374347</v>
      </c>
      <c r="AL107" s="97"/>
      <c r="AM107" s="95"/>
      <c r="AN107" s="96"/>
      <c r="AX107" s="107">
        <f t="shared" ca="1" si="50"/>
        <v>0.51444542238097579</v>
      </c>
      <c r="AY107" s="107">
        <f t="shared" ca="1" si="51"/>
        <v>0.51451407132549398</v>
      </c>
      <c r="AZ107" s="107">
        <f t="shared" ca="1" si="52"/>
        <v>0.51437683011342572</v>
      </c>
      <c r="BB107" s="39">
        <f ca="1">_xll.EURO(UnderlyingPrice,$D107,IntRate,Yield,AX107,$D$6,1,0)</f>
        <v>0.21127362286298523</v>
      </c>
      <c r="BC107" s="39">
        <f ca="1">_xll.EURO(UnderlyingPrice,$D107*(1+$P$8),IntRate,Yield,AY107,$D$6,1,0)</f>
        <v>0.21082308744723099</v>
      </c>
      <c r="BD107" s="39">
        <f ca="1">_xll.EURO(UnderlyingPrice,$D107*(1-$P$8),IntRate,Yield,AZ107,$D$6,1,0)</f>
        <v>0.21172527615146008</v>
      </c>
      <c r="BF107" s="59">
        <f t="shared" ca="1" si="53"/>
        <v>0.1130188954747276</v>
      </c>
      <c r="BG107" s="39">
        <f t="shared" ca="1" si="54"/>
        <v>0.11499644588705885</v>
      </c>
      <c r="BI107" s="58">
        <f t="shared" ca="1" si="55"/>
        <v>-3.1003473619177768E-2</v>
      </c>
      <c r="BJ107" s="46">
        <f t="shared" ca="1" si="56"/>
        <v>-0.14674559558854197</v>
      </c>
    </row>
    <row r="108" spans="3:62" x14ac:dyDescent="0.2">
      <c r="C108" s="56">
        <v>95</v>
      </c>
      <c r="D108" s="63">
        <f t="shared" ca="1" si="57"/>
        <v>6.3250000000000135</v>
      </c>
      <c r="E108" s="45">
        <f t="shared" ca="1" si="40"/>
        <v>0.30546955624355299</v>
      </c>
      <c r="F108" s="45">
        <f t="shared" ca="1" si="32"/>
        <v>0.30612229102167454</v>
      </c>
      <c r="G108" s="45">
        <f t="shared" ca="1" si="33"/>
        <v>0.30481682146543121</v>
      </c>
      <c r="H108" s="45">
        <f t="shared" ca="1" si="34"/>
        <v>0.54636501035542329</v>
      </c>
      <c r="I108" s="45">
        <f t="shared" ca="1" si="37"/>
        <v>0.54628541074860171</v>
      </c>
      <c r="J108" s="45">
        <f t="shared" ca="1" si="35"/>
        <v>0.54620584403751304</v>
      </c>
      <c r="L108" s="58">
        <f ca="1">_xll.EURO(UnderlyingPrice,$D108,IntRate,Yield,$I108,$D$6,L$12,0)</f>
        <v>0.23715065034693117</v>
      </c>
      <c r="M108" s="58">
        <f ca="1">_xll.EURO(UnderlyingPrice,$D108,IntRate,Yield,$I108,$D$6,M$12,0)</f>
        <v>1.6916996497731991</v>
      </c>
      <c r="O108" s="58">
        <f ca="1">_xll.EURO(UnderlyingPrice,$D108*(1+$P$8),IntRate,Yield,$H108,Expiry-Today,O$12,0)</f>
        <v>0.23669382345545964</v>
      </c>
      <c r="P108" s="58">
        <f ca="1">_xll.EURO(UnderlyingPrice,$D108*(1+$P$8),IntRate,Yield,$H108,Expiry-Today,P$12,0)</f>
        <v>1.6943509385646229</v>
      </c>
      <c r="R108" s="58">
        <f ca="1">_xll.EURO(UnderlyingPrice,$D108*(1-$P$8),IntRate,Yield,$J108,Expiry-Today,R$12,0)</f>
        <v>0.23760852637206931</v>
      </c>
      <c r="S108" s="58">
        <f ca="1">_xll.EURO(UnderlyingPrice,$D108*(1-$P$8),IntRate,Yield,$J108,Expiry-Today,S$12,0)</f>
        <v>1.6890494101154423</v>
      </c>
      <c r="U108" s="59">
        <f t="shared" ca="1" si="41"/>
        <v>0.10489861529307656</v>
      </c>
      <c r="V108" s="59"/>
      <c r="W108" s="62">
        <f t="shared" ca="1" si="36"/>
        <v>0.1067340809384844</v>
      </c>
      <c r="Z108" s="59">
        <f t="shared" ca="1" si="42"/>
        <v>0.19232273919643939</v>
      </c>
      <c r="AA108" s="59">
        <f t="shared" ca="1" si="43"/>
        <v>0.32034118028329461</v>
      </c>
      <c r="AB108" s="59">
        <f t="shared" ca="1" si="38"/>
        <v>-0.10261847178529426</v>
      </c>
      <c r="AC108" s="59">
        <f t="shared" ca="1" si="44"/>
        <v>-0.47704324103690848</v>
      </c>
      <c r="AD108" s="60">
        <f t="shared" ca="1" si="39"/>
        <v>0.62061569264714755</v>
      </c>
      <c r="AE108" s="60">
        <f t="shared" ca="1" si="45"/>
        <v>0.11935850999819494</v>
      </c>
      <c r="AF108" s="60"/>
      <c r="AG108" s="97">
        <f t="shared" ca="1" si="46"/>
        <v>0.97677350602574031</v>
      </c>
      <c r="AH108" s="97">
        <f t="shared" ca="1" si="47"/>
        <v>0.97829770811732375</v>
      </c>
      <c r="AI108" s="97">
        <f t="shared" ca="1" si="48"/>
        <v>0.97524854164250607</v>
      </c>
      <c r="AJ108" s="62"/>
      <c r="AK108" s="97">
        <f t="shared" ca="1" si="49"/>
        <v>0.22140249393115935</v>
      </c>
      <c r="AL108" s="97"/>
      <c r="AM108" s="95"/>
      <c r="AN108" s="96"/>
      <c r="AX108" s="107">
        <f t="shared" ca="1" si="50"/>
        <v>0.51521255694490198</v>
      </c>
      <c r="AY108" s="107">
        <f t="shared" ca="1" si="51"/>
        <v>0.51528221082322867</v>
      </c>
      <c r="AZ108" s="107">
        <f t="shared" ca="1" si="52"/>
        <v>0.51514295847522362</v>
      </c>
      <c r="BB108" s="39">
        <f ca="1">_xll.EURO(UnderlyingPrice,$D108,IntRate,Yield,AX108,$D$6,1,0)</f>
        <v>0.20632208477416114</v>
      </c>
      <c r="BC108" s="39">
        <f ca="1">_xll.EURO(UnderlyingPrice,$D108*(1+$P$8),IntRate,Yield,AY108,$D$6,1,0)</f>
        <v>0.20588136672327839</v>
      </c>
      <c r="BD108" s="39">
        <f ca="1">_xll.EURO(UnderlyingPrice,$D108*(1-$P$8),IntRate,Yield,AZ108,$D$6,1,0)</f>
        <v>0.20676390202006001</v>
      </c>
      <c r="BF108" s="59">
        <f t="shared" ca="1" si="53"/>
        <v>0.10990404635535783</v>
      </c>
      <c r="BG108" s="39">
        <f t="shared" ca="1" si="54"/>
        <v>0.11182709463214364</v>
      </c>
      <c r="BI108" s="58">
        <f t="shared" ca="1" si="55"/>
        <v>-3.0828565572770028E-2</v>
      </c>
      <c r="BJ108" s="46">
        <f t="shared" ca="1" si="56"/>
        <v>-0.14941961063700371</v>
      </c>
    </row>
    <row r="109" spans="3:62" x14ac:dyDescent="0.2">
      <c r="C109" s="56">
        <v>96</v>
      </c>
      <c r="D109" s="63">
        <f t="shared" ca="1" si="57"/>
        <v>6.3600000000000136</v>
      </c>
      <c r="E109" s="45">
        <f t="shared" ca="1" si="40"/>
        <v>0.31269349845201533</v>
      </c>
      <c r="F109" s="45">
        <f t="shared" ca="1" si="32"/>
        <v>0.3133498452012411</v>
      </c>
      <c r="G109" s="45">
        <f t="shared" ca="1" si="33"/>
        <v>0.31203715170278934</v>
      </c>
      <c r="H109" s="45">
        <f t="shared" ca="1" si="34"/>
        <v>0.54724851186646017</v>
      </c>
      <c r="I109" s="45">
        <f t="shared" ca="1" si="37"/>
        <v>0.54716812451815433</v>
      </c>
      <c r="J109" s="45">
        <f t="shared" ca="1" si="35"/>
        <v>0.54708776728235653</v>
      </c>
      <c r="L109" s="58">
        <f ca="1">_xll.EURO(UnderlyingPrice,$D109,IntRate,Yield,$I109,$D$6,L$12,0)</f>
        <v>0.2321527116648272</v>
      </c>
      <c r="M109" s="58">
        <f ca="1">_xll.EURO(UnderlyingPrice,$D109,IntRate,Yield,$I109,$D$6,M$12,0)</f>
        <v>1.72109982932077</v>
      </c>
      <c r="O109" s="58">
        <f ca="1">_xll.EURO(UnderlyingPrice,$D109*(1+$P$8),IntRate,Yield,$H109,Expiry-Today,O$12,0)</f>
        <v>0.23170485795221563</v>
      </c>
      <c r="P109" s="58">
        <f ca="1">_xll.EURO(UnderlyingPrice,$D109*(1+$P$8),IntRate,Yield,$H109,Expiry-Today,P$12,0)</f>
        <v>1.7237772903501694</v>
      </c>
      <c r="R109" s="58">
        <f ca="1">_xll.EURO(UnderlyingPrice,$D109*(1-$P$8),IntRate,Yield,$J109,Expiry-Today,R$12,0)</f>
        <v>0.23260159676096337</v>
      </c>
      <c r="S109" s="58">
        <f ca="1">_xll.EURO(UnderlyingPrice,$D109*(1-$P$8),IntRate,Yield,$J109,Expiry-Today,S$12,0)</f>
        <v>1.7184233996748963</v>
      </c>
      <c r="U109" s="59">
        <f t="shared" ca="1" si="41"/>
        <v>0.10199196279672927</v>
      </c>
      <c r="V109" s="59"/>
      <c r="W109" s="62">
        <f t="shared" ca="1" si="36"/>
        <v>0.10377656923121921</v>
      </c>
      <c r="Z109" s="59">
        <f t="shared" ca="1" si="42"/>
        <v>0.19126435934237093</v>
      </c>
      <c r="AA109" s="59">
        <f t="shared" ca="1" si="43"/>
        <v>0.32585952302174143</v>
      </c>
      <c r="AB109" s="59">
        <f t="shared" ca="1" si="38"/>
        <v>-0.10618442874395682</v>
      </c>
      <c r="AC109" s="59">
        <f t="shared" ca="1" si="44"/>
        <v>-0.49362033125627663</v>
      </c>
      <c r="AD109" s="60">
        <f t="shared" ca="1" si="39"/>
        <v>0.61041249364588424</v>
      </c>
      <c r="AE109" s="60">
        <f t="shared" ca="1" si="45"/>
        <v>0.11675015453175912</v>
      </c>
      <c r="AF109" s="60"/>
      <c r="AG109" s="97">
        <f t="shared" ca="1" si="46"/>
        <v>0.99359985029817377</v>
      </c>
      <c r="AH109" s="97">
        <f t="shared" ca="1" si="47"/>
        <v>0.99512405238975721</v>
      </c>
      <c r="AI109" s="97">
        <f t="shared" ca="1" si="48"/>
        <v>0.99207488591493942</v>
      </c>
      <c r="AJ109" s="62"/>
      <c r="AK109" s="97">
        <f t="shared" ca="1" si="49"/>
        <v>0.21645882104551115</v>
      </c>
      <c r="AL109" s="97"/>
      <c r="AM109" s="95"/>
      <c r="AN109" s="96"/>
      <c r="AX109" s="107">
        <f t="shared" ca="1" si="50"/>
        <v>0.51598647811387477</v>
      </c>
      <c r="AY109" s="107">
        <f t="shared" ca="1" si="51"/>
        <v>0.51605712265652659</v>
      </c>
      <c r="AZ109" s="107">
        <f t="shared" ca="1" si="52"/>
        <v>0.51591588767287133</v>
      </c>
      <c r="BB109" s="39">
        <f ca="1">_xll.EURO(UnderlyingPrice,$D109,IntRate,Yield,AX109,$D$6,1,0)</f>
        <v>0.20150518599000422</v>
      </c>
      <c r="BC109" s="39">
        <f ca="1">_xll.EURO(UnderlyingPrice,$D109*(1+$P$8),IntRate,Yield,AY109,$D$6,1,0)</f>
        <v>0.20107407894916507</v>
      </c>
      <c r="BD109" s="39">
        <f ca="1">_xll.EURO(UnderlyingPrice,$D109*(1-$P$8),IntRate,Yield,AZ109,$D$6,1,0)</f>
        <v>0.20193737360978248</v>
      </c>
      <c r="BF109" s="59">
        <f t="shared" ca="1" si="53"/>
        <v>0.1068568232175853</v>
      </c>
      <c r="BG109" s="39">
        <f t="shared" ca="1" si="54"/>
        <v>0.10872655264580817</v>
      </c>
      <c r="BI109" s="58">
        <f t="shared" ca="1" si="55"/>
        <v>-3.0647525674822984E-2</v>
      </c>
      <c r="BJ109" s="46">
        <f t="shared" ca="1" si="56"/>
        <v>-0.15209298720650927</v>
      </c>
    </row>
    <row r="110" spans="3:62" x14ac:dyDescent="0.2">
      <c r="C110" s="56">
        <v>97</v>
      </c>
      <c r="D110" s="63">
        <f t="shared" ca="1" si="57"/>
        <v>6.3950000000000138</v>
      </c>
      <c r="E110" s="45">
        <f t="shared" ca="1" si="40"/>
        <v>0.31991744066047767</v>
      </c>
      <c r="F110" s="45">
        <f t="shared" ca="1" si="32"/>
        <v>0.32057739938080787</v>
      </c>
      <c r="G110" s="45">
        <f t="shared" ca="1" si="33"/>
        <v>0.31925748194014747</v>
      </c>
      <c r="H110" s="45">
        <f t="shared" ca="1" si="34"/>
        <v>0.54813563012166566</v>
      </c>
      <c r="I110" s="45">
        <f t="shared" ca="1" si="37"/>
        <v>0.5480544860688954</v>
      </c>
      <c r="J110" s="45">
        <f t="shared" ca="1" si="35"/>
        <v>0.54797336927793017</v>
      </c>
      <c r="L110" s="58">
        <f ca="1">_xll.EURO(UnderlyingPrice,$D110,IntRate,Yield,$I110,$D$6,L$12,0)</f>
        <v>0.22727971976421046</v>
      </c>
      <c r="M110" s="58">
        <f ca="1">_xll.EURO(UnderlyingPrice,$D110,IntRate,Yield,$I110,$D$6,M$12,0)</f>
        <v>1.7506249556498288</v>
      </c>
      <c r="O110" s="58">
        <f ca="1">_xll.EURO(UnderlyingPrice,$D110*(1+$P$8),IntRate,Yield,$H110,Expiry-Today,O$12,0)</f>
        <v>0.22684064436097229</v>
      </c>
      <c r="P110" s="58">
        <f ca="1">_xll.EURO(UnderlyingPrice,$D110*(1+$P$8),IntRate,Yield,$H110,Expiry-Today,P$12,0)</f>
        <v>1.7533283940477156</v>
      </c>
      <c r="R110" s="58">
        <f ca="1">_xll.EURO(UnderlyingPrice,$D110*(1-$P$8),IntRate,Yield,$J110,Expiry-Today,R$12,0)</f>
        <v>0.22771980888547727</v>
      </c>
      <c r="S110" s="58">
        <f ca="1">_xll.EURO(UnderlyingPrice,$D110*(1-$P$8),IntRate,Yield,$J110,Expiry-Today,S$12,0)</f>
        <v>1.7479225309699711</v>
      </c>
      <c r="U110" s="59">
        <f t="shared" ca="1" si="41"/>
        <v>9.915076378505748E-2</v>
      </c>
      <c r="V110" s="59"/>
      <c r="W110" s="62">
        <f t="shared" ca="1" si="36"/>
        <v>0.10088565628230316</v>
      </c>
      <c r="Z110" s="59">
        <f t="shared" ca="1" si="42"/>
        <v>0.19021756456880048</v>
      </c>
      <c r="AA110" s="59">
        <f t="shared" ca="1" si="43"/>
        <v>0.33134758070051668</v>
      </c>
      <c r="AB110" s="59">
        <f t="shared" ca="1" si="38"/>
        <v>-0.10979121923608541</v>
      </c>
      <c r="AC110" s="59">
        <f t="shared" ca="1" si="44"/>
        <v>-0.51038724462160212</v>
      </c>
      <c r="AD110" s="60">
        <f t="shared" ca="1" si="39"/>
        <v>0.60026308514794091</v>
      </c>
      <c r="AE110" s="60">
        <f t="shared" ca="1" si="45"/>
        <v>0.11418058215739584</v>
      </c>
      <c r="AF110" s="60"/>
      <c r="AG110" s="97">
        <f t="shared" ca="1" si="46"/>
        <v>1.0103338503896642</v>
      </c>
      <c r="AH110" s="97">
        <f t="shared" ca="1" si="47"/>
        <v>1.0118580524812479</v>
      </c>
      <c r="AI110" s="97">
        <f t="shared" ca="1" si="48"/>
        <v>1.0088088860064299</v>
      </c>
      <c r="AJ110" s="62"/>
      <c r="AK110" s="97">
        <f t="shared" ca="1" si="49"/>
        <v>0.21158692949483407</v>
      </c>
      <c r="AL110" s="97"/>
      <c r="AM110" s="95"/>
      <c r="AN110" s="96"/>
      <c r="AX110" s="107">
        <f t="shared" ca="1" si="50"/>
        <v>0.51676695307018516</v>
      </c>
      <c r="AY110" s="107">
        <f t="shared" ca="1" si="51"/>
        <v>0.51683857365827746</v>
      </c>
      <c r="AZ110" s="107">
        <f t="shared" ca="1" si="52"/>
        <v>0.51669538523771152</v>
      </c>
      <c r="BB110" s="39">
        <f ca="1">_xll.EURO(UnderlyingPrice,$D110,IntRate,Yield,AX110,$D$6,1,0)</f>
        <v>0.19681919365431522</v>
      </c>
      <c r="BC110" s="39">
        <f ca="1">_xll.EURO(UnderlyingPrice,$D110*(1+$P$8),IntRate,Yield,AY110,$D$6,1,0)</f>
        <v>0.1963974931805863</v>
      </c>
      <c r="BD110" s="39">
        <f ca="1">_xll.EURO(UnderlyingPrice,$D110*(1-$P$8),IntRate,Yield,AZ110,$D$6,1,0)</f>
        <v>0.19724195616871043</v>
      </c>
      <c r="BF110" s="59">
        <f t="shared" ca="1" si="53"/>
        <v>0.10387715346904985</v>
      </c>
      <c r="BG110" s="39">
        <f t="shared" ca="1" si="54"/>
        <v>0.105694746065506</v>
      </c>
      <c r="BI110" s="58">
        <f t="shared" ca="1" si="55"/>
        <v>-3.0460526109895247E-2</v>
      </c>
      <c r="BJ110" s="46">
        <f t="shared" ca="1" si="56"/>
        <v>-0.15476400215008912</v>
      </c>
    </row>
    <row r="111" spans="3:62" x14ac:dyDescent="0.2">
      <c r="C111" s="56">
        <v>98</v>
      </c>
      <c r="D111" s="63">
        <f t="shared" ca="1" si="57"/>
        <v>6.4300000000000139</v>
      </c>
      <c r="E111" s="45">
        <f t="shared" ca="1" si="40"/>
        <v>0.32714138286894001</v>
      </c>
      <c r="F111" s="45">
        <f t="shared" ca="1" si="32"/>
        <v>0.32780495356037442</v>
      </c>
      <c r="G111" s="45">
        <f t="shared" ca="1" si="33"/>
        <v>0.3264778121775056</v>
      </c>
      <c r="H111" s="45">
        <f t="shared" ca="1" si="34"/>
        <v>0.54902598316916384</v>
      </c>
      <c r="I111" s="45">
        <f t="shared" ca="1" si="37"/>
        <v>0.54894411402130516</v>
      </c>
      <c r="J111" s="45">
        <f t="shared" ca="1" si="35"/>
        <v>0.54886226921649761</v>
      </c>
      <c r="L111" s="58">
        <f ca="1">_xll.EURO(UnderlyingPrice,$D111,IntRate,Yield,$I111,$D$6,L$12,0)</f>
        <v>0.22252819414384639</v>
      </c>
      <c r="M111" s="58">
        <f ca="1">_xll.EURO(UnderlyingPrice,$D111,IntRate,Yield,$I111,$D$6,M$12,0)</f>
        <v>1.7802715482591407</v>
      </c>
      <c r="O111" s="58">
        <f ca="1">_xll.EURO(UnderlyingPrice,$D111*(1+$P$8),IntRate,Yield,$H111,Expiry-Today,O$12,0)</f>
        <v>0.22209770425472275</v>
      </c>
      <c r="P111" s="58">
        <f ca="1">_xll.EURO(UnderlyingPrice,$D111*(1+$P$8),IntRate,Yield,$H111,Expiry-Today,P$12,0)</f>
        <v>1.7830007712302565</v>
      </c>
      <c r="R111" s="58">
        <f ca="1">_xll.EURO(UnderlyingPrice,$D111*(1-$P$8),IntRate,Yield,$J111,Expiry-Today,R$12,0)</f>
        <v>0.22295968018358647</v>
      </c>
      <c r="S111" s="58">
        <f ca="1">_xll.EURO(UnderlyingPrice,$D111*(1-$P$8),IntRate,Yield,$J111,Expiry-Today,S$12,0)</f>
        <v>1.7775433214386398</v>
      </c>
      <c r="U111" s="59">
        <f t="shared" ca="1" si="41"/>
        <v>9.6374703186036595E-2</v>
      </c>
      <c r="V111" s="59"/>
      <c r="W111" s="62">
        <f t="shared" ca="1" si="36"/>
        <v>9.8061021506732501E-2</v>
      </c>
      <c r="Z111" s="59">
        <f t="shared" ca="1" si="42"/>
        <v>0.1891821656947868</v>
      </c>
      <c r="AA111" s="59">
        <f t="shared" ca="1" si="43"/>
        <v>0.33680568391923865</v>
      </c>
      <c r="AB111" s="59">
        <f t="shared" ca="1" si="38"/>
        <v>-0.1134380687203061</v>
      </c>
      <c r="AC111" s="59">
        <f t="shared" ca="1" si="44"/>
        <v>-0.52734038051672971</v>
      </c>
      <c r="AD111" s="60">
        <f t="shared" ca="1" si="39"/>
        <v>0.59017251854139552</v>
      </c>
      <c r="AE111" s="60">
        <f t="shared" ca="1" si="45"/>
        <v>0.11165011519120792</v>
      </c>
      <c r="AF111" s="60"/>
      <c r="AG111" s="97">
        <f t="shared" ca="1" si="46"/>
        <v>1.0269765143534002</v>
      </c>
      <c r="AH111" s="97">
        <f t="shared" ca="1" si="47"/>
        <v>1.028500716444984</v>
      </c>
      <c r="AI111" s="97">
        <f t="shared" ca="1" si="48"/>
        <v>1.025451549970166</v>
      </c>
      <c r="AJ111" s="62"/>
      <c r="AK111" s="97">
        <f t="shared" ca="1" si="49"/>
        <v>0.20678843660903254</v>
      </c>
      <c r="AL111" s="97"/>
      <c r="AM111" s="95"/>
      <c r="AN111" s="96"/>
      <c r="AX111" s="107">
        <f t="shared" ca="1" si="50"/>
        <v>0.51755374899612328</v>
      </c>
      <c r="AY111" s="107">
        <f t="shared" ca="1" si="51"/>
        <v>0.51762633066137054</v>
      </c>
      <c r="AZ111" s="107">
        <f t="shared" ca="1" si="52"/>
        <v>0.51748121870108665</v>
      </c>
      <c r="BB111" s="39">
        <f ca="1">_xll.EURO(UnderlyingPrice,$D111,IntRate,Yield,AX111,$D$6,1,0)</f>
        <v>0.192260457651796</v>
      </c>
      <c r="BC111" s="39">
        <f ca="1">_xll.EURO(UnderlyingPrice,$D111*(1+$P$8),IntRate,Yield,AY111,$D$6,1,0)</f>
        <v>0.19184796136456006</v>
      </c>
      <c r="BD111" s="39">
        <f ca="1">_xll.EURO(UnderlyingPrice,$D111*(1-$P$8),IntRate,Yield,AZ111,$D$6,1,0)</f>
        <v>0.19267399753443393</v>
      </c>
      <c r="BF111" s="59">
        <f t="shared" ca="1" si="53"/>
        <v>0.10096484954457152</v>
      </c>
      <c r="BG111" s="39">
        <f t="shared" ca="1" si="54"/>
        <v>0.10273148404413161</v>
      </c>
      <c r="BI111" s="58">
        <f t="shared" ca="1" si="55"/>
        <v>-3.026773649205039E-2</v>
      </c>
      <c r="BJ111" s="46">
        <f t="shared" ca="1" si="56"/>
        <v>-0.15743089796898568</v>
      </c>
    </row>
    <row r="112" spans="3:62" x14ac:dyDescent="0.2">
      <c r="C112" s="56">
        <v>99</v>
      </c>
      <c r="D112" s="63">
        <f t="shared" ca="1" si="57"/>
        <v>6.4650000000000141</v>
      </c>
      <c r="E112" s="45">
        <f t="shared" ca="1" si="40"/>
        <v>0.33436532507740235</v>
      </c>
      <c r="F112" s="45">
        <f t="shared" ca="1" si="32"/>
        <v>0.33503250773994098</v>
      </c>
      <c r="G112" s="45">
        <f t="shared" ca="1" si="33"/>
        <v>0.33369814241486373</v>
      </c>
      <c r="H112" s="45">
        <f t="shared" ca="1" si="34"/>
        <v>0.54991918905708015</v>
      </c>
      <c r="I112" s="45">
        <f t="shared" ca="1" si="37"/>
        <v>0.54983662699586344</v>
      </c>
      <c r="J112" s="45">
        <f t="shared" ca="1" si="35"/>
        <v>0.54975408629032219</v>
      </c>
      <c r="L112" s="58">
        <f ca="1">_xll.EURO(UnderlyingPrice,$D112,IntRate,Yield,$I112,$D$6,L$12,0)</f>
        <v>0.21789473408761983</v>
      </c>
      <c r="M112" s="58">
        <f ca="1">_xll.EURO(UnderlyingPrice,$D112,IntRate,Yield,$I112,$D$6,M$12,0)</f>
        <v>1.8100362064325877</v>
      </c>
      <c r="O112" s="58">
        <f ca="1">_xll.EURO(UnderlyingPrice,$D112*(1+$P$8),IntRate,Yield,$H112,Expiry-Today,O$12,0)</f>
        <v>0.2174726391102344</v>
      </c>
      <c r="P112" s="58">
        <f ca="1">_xll.EURO(UnderlyingPrice,$D112*(1+$P$8),IntRate,Yield,$H112,Expiry-Today,P$12,0)</f>
        <v>1.8127910233745572</v>
      </c>
      <c r="R112" s="58">
        <f ca="1">_xll.EURO(UnderlyingPrice,$D112*(1-$P$8),IntRate,Yield,$J112,Expiry-Today,R$12,0)</f>
        <v>0.21831780775887011</v>
      </c>
      <c r="S112" s="58">
        <f ca="1">_xll.EURO(UnderlyingPrice,$D112*(1-$P$8),IntRate,Yield,$J112,Expiry-Today,S$12,0)</f>
        <v>1.8072823681844845</v>
      </c>
      <c r="U112" s="59">
        <f t="shared" ca="1" si="41"/>
        <v>9.3663374129054192E-2</v>
      </c>
      <c r="V112" s="59"/>
      <c r="W112" s="62">
        <f t="shared" ca="1" si="36"/>
        <v>9.5302250914668027E-2</v>
      </c>
      <c r="Z112" s="59">
        <f t="shared" ca="1" si="42"/>
        <v>0.18815797763611433</v>
      </c>
      <c r="AA112" s="59">
        <f t="shared" ca="1" si="43"/>
        <v>0.34223415789353145</v>
      </c>
      <c r="AB112" s="59">
        <f t="shared" ca="1" si="38"/>
        <v>-0.11712421882909461</v>
      </c>
      <c r="AC112" s="59">
        <f t="shared" ca="1" si="44"/>
        <v>-0.54447621351299758</v>
      </c>
      <c r="AD112" s="60">
        <f t="shared" ca="1" si="39"/>
        <v>0.58014557618490714</v>
      </c>
      <c r="AE112" s="60">
        <f t="shared" ca="1" si="45"/>
        <v>0.10915901834949042</v>
      </c>
      <c r="AF112" s="60"/>
      <c r="AG112" s="97">
        <f t="shared" ca="1" si="46"/>
        <v>1.0435288338258772</v>
      </c>
      <c r="AH112" s="97">
        <f t="shared" ca="1" si="47"/>
        <v>1.045053035917461</v>
      </c>
      <c r="AI112" s="97">
        <f t="shared" ca="1" si="48"/>
        <v>1.042003869442643</v>
      </c>
      <c r="AJ112" s="62"/>
      <c r="AK112" s="97">
        <f t="shared" ca="1" si="49"/>
        <v>0.2020647469568233</v>
      </c>
      <c r="AL112" s="97"/>
      <c r="AM112" s="95"/>
      <c r="AN112" s="96"/>
      <c r="AX112" s="107">
        <f t="shared" ca="1" si="50"/>
        <v>0.51834663307397999</v>
      </c>
      <c r="AY112" s="107">
        <f t="shared" ca="1" si="51"/>
        <v>0.51842016049869521</v>
      </c>
      <c r="AZ112" s="107">
        <f t="shared" ca="1" si="52"/>
        <v>0.51827315559433951</v>
      </c>
      <c r="BB112" s="39">
        <f ca="1">_xll.EURO(UnderlyingPrice,$D112,IntRate,Yield,AX112,$D$6,1,0)</f>
        <v>0.18782541037967049</v>
      </c>
      <c r="BC112" s="39">
        <f ca="1">_xll.EURO(UnderlyingPrice,$D112*(1+$P$8),IntRate,Yield,AY112,$D$6,1,0)</f>
        <v>0.18742191809822051</v>
      </c>
      <c r="BD112" s="39">
        <f ca="1">_xll.EURO(UnderlyingPrice,$D112*(1-$P$8),IntRate,Yield,AZ112,$D$6,1,0)</f>
        <v>0.18822992791853088</v>
      </c>
      <c r="BF112" s="59">
        <f t="shared" ca="1" si="53"/>
        <v>9.8119618258744115E-2</v>
      </c>
      <c r="BG112" s="39">
        <f t="shared" ca="1" si="54"/>
        <v>9.9836468266261247E-2</v>
      </c>
      <c r="BI112" s="58">
        <f t="shared" ca="1" si="55"/>
        <v>-3.0069323707949347E-2</v>
      </c>
      <c r="BJ112" s="46">
        <f t="shared" ca="1" si="56"/>
        <v>-0.16009188345265524</v>
      </c>
    </row>
    <row r="113" spans="3:62" x14ac:dyDescent="0.2">
      <c r="C113" s="56">
        <v>100</v>
      </c>
      <c r="D113" s="63">
        <f t="shared" ca="1" si="57"/>
        <v>6.5000000000000142</v>
      </c>
      <c r="E113" s="45">
        <f t="shared" ca="1" si="40"/>
        <v>0.3415892672858647</v>
      </c>
      <c r="F113" s="45">
        <f t="shared" ca="1" si="32"/>
        <v>0.34226006191950753</v>
      </c>
      <c r="G113" s="45">
        <f t="shared" ca="1" si="33"/>
        <v>0.34091847265222186</v>
      </c>
      <c r="H113" s="45">
        <f t="shared" ca="1" si="34"/>
        <v>0.55081486583353889</v>
      </c>
      <c r="I113" s="45">
        <f t="shared" ca="1" si="37"/>
        <v>0.55073164361305049</v>
      </c>
      <c r="J113" s="45">
        <f t="shared" ca="1" si="35"/>
        <v>0.55064843969166744</v>
      </c>
      <c r="L113" s="58">
        <f ca="1">_xll.EURO(UnderlyingPrice,$D113,IntRate,Yield,$I113,$D$6,L$12,0)</f>
        <v>0.21337601816710516</v>
      </c>
      <c r="M113" s="58">
        <f ca="1">_xll.EURO(UnderlyingPrice,$D113,IntRate,Yield,$I113,$D$6,M$12,0)</f>
        <v>1.8399156087417485</v>
      </c>
      <c r="O113" s="58">
        <f ca="1">_xll.EURO(UnderlyingPrice,$D113*(1+$P$8),IntRate,Yield,$H113,Expiry-Today,O$12,0)</f>
        <v>0.21296212979955431</v>
      </c>
      <c r="P113" s="58">
        <f ca="1">_xll.EURO(UnderlyingPrice,$D113*(1+$P$8),IntRate,Yield,$H113,Expiry-Today,P$12,0)</f>
        <v>1.8426958313526667</v>
      </c>
      <c r="R113" s="58">
        <f ca="1">_xll.EURO(UnderlyingPrice,$D113*(1-$P$8),IntRate,Yield,$J113,Expiry-Today,R$12,0)</f>
        <v>0.21379086789417912</v>
      </c>
      <c r="S113" s="58">
        <f ca="1">_xll.EURO(UnderlyingPrice,$D113*(1-$P$8),IntRate,Yield,$J113,Expiry-Today,S$12,0)</f>
        <v>1.8371363474903526</v>
      </c>
      <c r="U113" s="59">
        <f t="shared" ca="1" si="41"/>
        <v>9.1016286210603439E-2</v>
      </c>
      <c r="V113" s="59"/>
      <c r="W113" s="62">
        <f ca="1">U113/$D$9</f>
        <v>9.2608845521757618E-2</v>
      </c>
      <c r="Z113" s="59">
        <f t="shared" ca="1" si="42"/>
        <v>0.18714481929499677</v>
      </c>
      <c r="AA113" s="59">
        <f t="shared" ca="1" si="43"/>
        <v>0.34763332257130208</v>
      </c>
      <c r="AB113" s="59">
        <f t="shared" ca="1" si="38"/>
        <v>-0.12084892696196296</v>
      </c>
      <c r="AC113" s="59">
        <f t="shared" ca="1" si="44"/>
        <v>-0.56179129147808071</v>
      </c>
      <c r="AD113" s="60">
        <f t="shared" ca="1" si="39"/>
        <v>0.57018677780003657</v>
      </c>
      <c r="AE113" s="60">
        <f t="shared" ca="1" si="45"/>
        <v>0.10670750149578431</v>
      </c>
      <c r="AF113" s="60"/>
      <c r="AG113" s="97">
        <f t="shared" ca="1" si="46"/>
        <v>1.0599917843814457</v>
      </c>
      <c r="AH113" s="97">
        <f t="shared" ca="1" si="47"/>
        <v>1.0615159864730295</v>
      </c>
      <c r="AI113" s="97">
        <f t="shared" ca="1" si="48"/>
        <v>1.0584668199982117</v>
      </c>
      <c r="AJ113" s="62"/>
      <c r="AK113" s="97">
        <f t="shared" ca="1" si="49"/>
        <v>0.19741706491358352</v>
      </c>
      <c r="AL113" s="97"/>
      <c r="AM113" s="95"/>
      <c r="AN113" s="96"/>
      <c r="AX113" s="107">
        <f t="shared" ca="1" si="50"/>
        <v>0.51914537248604609</v>
      </c>
      <c r="AY113" s="107">
        <f t="shared" ca="1" si="51"/>
        <v>0.51921983000314109</v>
      </c>
      <c r="AZ113" s="107">
        <f t="shared" ca="1" si="52"/>
        <v>0.51907096344881276</v>
      </c>
      <c r="BB113" s="39">
        <f ca="1">_xll.EURO(UnderlyingPrice,$D113,IntRate,Yield,AX113,$D$6,1,0)</f>
        <v>0.18351056638956675</v>
      </c>
      <c r="BC113" s="39">
        <f ca="1">_xll.EURO(UnderlyingPrice,$D113*(1+$P$8),IntRate,Yield,AY113,$D$6,1,0)</f>
        <v>0.18311588025838466</v>
      </c>
      <c r="BD113" s="39">
        <f ca="1">_xll.EURO(UnderlyingPrice,$D113*(1-$P$8),IntRate,Yield,AZ113,$D$6,1,0)</f>
        <v>0.18390625956079421</v>
      </c>
      <c r="BF113" s="59">
        <f t="shared" ca="1" si="53"/>
        <v>9.5341069382554447E-2</v>
      </c>
      <c r="BG113" s="39">
        <f t="shared" ca="1" si="54"/>
        <v>9.7009301674841647E-2</v>
      </c>
      <c r="BI113" s="58">
        <f t="shared" ca="1" si="55"/>
        <v>-2.986545177753841E-2</v>
      </c>
      <c r="BJ113" s="46">
        <f t="shared" ca="1" si="56"/>
        <v>-0.16274513432724258</v>
      </c>
    </row>
    <row r="114" spans="3:62" x14ac:dyDescent="0.2">
      <c r="C114" s="98" t="s">
        <v>95</v>
      </c>
      <c r="D114" s="63">
        <f ca="1">MinStrike</f>
        <v>3</v>
      </c>
      <c r="E114" s="45">
        <f t="shared" ca="1" si="40"/>
        <v>-0.38080495356037147</v>
      </c>
      <c r="F114" s="45">
        <f t="shared" ref="F114:F164" ca="1" si="58">+D114*(1+$P$8)/UnderlyingPrice-1</f>
        <v>-0.38049535603715168</v>
      </c>
      <c r="G114" s="45">
        <f t="shared" ref="G114:G164" ca="1" si="59">+D114*(1-$P$8)/UnderlyingPrice-1</f>
        <v>-0.38111455108359127</v>
      </c>
      <c r="H114" s="45">
        <f t="shared" ref="H114:H164" ca="1" si="60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0.53523970469849647</v>
      </c>
      <c r="I114" s="45">
        <f t="shared" ref="I114:I164" ca="1" si="61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0.5352920812697578</v>
      </c>
      <c r="J114" s="45">
        <f t="shared" ref="J114:J164" ca="1" si="62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0.53534453178835306</v>
      </c>
      <c r="L114" s="58"/>
      <c r="M114" s="58"/>
      <c r="O114" s="58"/>
      <c r="P114" s="58"/>
      <c r="R114" s="59">
        <f ca="1">(1/($D114*SQRT(2*PI()*T/365.25*$I$114^2)))</f>
        <v>0.39159256481660704</v>
      </c>
      <c r="S114" s="59">
        <f ca="1">LN($D114/UnderlyingPrice)+0.5*T/365.25*$I$114^2</f>
        <v>-0.4216744104683145</v>
      </c>
      <c r="T114" s="59">
        <f t="shared" ref="T114:T164" ca="1" si="63">-(S114^2)</f>
        <v>-0.17780930844380058</v>
      </c>
      <c r="U114" s="59">
        <f ca="1">T114/(2*T/365.25*$I$114^2)</f>
        <v>-0.77093142600319642</v>
      </c>
      <c r="V114" s="59"/>
      <c r="W114" s="105">
        <f ca="1">(Alpha1*R114)*EXP(Gamma2^2*U114)</f>
        <v>0.1561574360081889</v>
      </c>
      <c r="Z114" s="59">
        <f ca="1">(1/($D114*SQRT(2*PI()*T/365.25*ATMImpVol^2)))</f>
        <v>0.40548044180582721</v>
      </c>
      <c r="AA114" s="59">
        <f ca="1">LN($D114/UnderlyingPrice)+0.5*T/365.25*ATMImpVol^2</f>
        <v>-0.42555656566218181</v>
      </c>
      <c r="AB114" s="59">
        <f t="shared" ca="1" si="38"/>
        <v>-0.18109839057819085</v>
      </c>
      <c r="AC114" s="59">
        <f t="shared" ca="1" si="44"/>
        <v>-0.84187341406470317</v>
      </c>
      <c r="AD114" s="60">
        <f t="shared" ca="1" si="39"/>
        <v>0.43090250797269053</v>
      </c>
      <c r="AE114" s="60">
        <f t="shared" ca="1" si="45"/>
        <v>0.17472253930800555</v>
      </c>
      <c r="AF114" s="60"/>
      <c r="AG114" s="97">
        <f ca="1">MinStandard</f>
        <v>-1.2975927050231928</v>
      </c>
      <c r="AH114" s="97">
        <f t="shared" ca="1" si="47"/>
        <v>-1.296068502931609</v>
      </c>
      <c r="AI114" s="97">
        <f t="shared" ca="1" si="48"/>
        <v>-1.299117669406427</v>
      </c>
      <c r="AJ114" s="62"/>
      <c r="AK114" s="97">
        <f t="shared" ca="1" si="49"/>
        <v>0.15363946570104131</v>
      </c>
      <c r="AL114" s="62"/>
      <c r="AM114" s="95"/>
      <c r="AN114" s="96"/>
      <c r="AX114" s="107">
        <f t="shared" ca="1" si="50"/>
        <v>0.50590195922321457</v>
      </c>
      <c r="AY114" s="107">
        <f t="shared" ca="1" si="51"/>
        <v>0.50586235359104281</v>
      </c>
      <c r="AZ114" s="107">
        <f t="shared" ca="1" si="52"/>
        <v>0.50594161794489412</v>
      </c>
      <c r="BB114" s="39">
        <f ca="1">_xll.EURO(UnderlyingPrice,$D114,IntRate,Yield,AX114,$D$6,1,0)</f>
        <v>1.8487089328507897</v>
      </c>
      <c r="BC114" s="39">
        <f ca="1">_xll.EURO(UnderlyingPrice,$D114*(1+$P$8),IntRate,Yield,AY114,$D$6,1,0)</f>
        <v>1.8473572643879415</v>
      </c>
      <c r="BD114" s="39">
        <f ca="1">_xll.EURO(UnderlyingPrice,$D114*(1-$P$8),IntRate,Yield,AZ114,$D$6,1,0)</f>
        <v>1.8500609338364318</v>
      </c>
      <c r="BF114" s="59">
        <f t="shared" ca="1" si="53"/>
        <v>0.14778790833089614</v>
      </c>
      <c r="BG114" s="39">
        <f t="shared" ca="1" si="54"/>
        <v>0.15037383024979056</v>
      </c>
      <c r="BI114" s="58"/>
    </row>
    <row r="115" spans="3:62" x14ac:dyDescent="0.2">
      <c r="C115" s="98">
        <v>3</v>
      </c>
      <c r="D115" s="63">
        <f ca="1">+D114-LTFactor*(ROUNDUP(MAX(StrikeRange),1)-ROUNDDOWN(MIN(StrikeRange),1))/100</f>
        <v>2.895</v>
      </c>
      <c r="E115" s="45">
        <f t="shared" ca="1" si="40"/>
        <v>-0.4024767801857585</v>
      </c>
      <c r="F115" s="45">
        <f t="shared" ca="1" si="58"/>
        <v>-0.40217801857585145</v>
      </c>
      <c r="G115" s="45">
        <f t="shared" ca="1" si="59"/>
        <v>-0.40277554179566555</v>
      </c>
      <c r="H115" s="45">
        <f t="shared" ca="1" si="60"/>
        <v>0.53908830645916228</v>
      </c>
      <c r="I115" s="45">
        <f t="shared" ca="1" si="61"/>
        <v>0.53914391624026248</v>
      </c>
      <c r="J115" s="45">
        <f t="shared" ca="1" si="62"/>
        <v>0.53919959683991825</v>
      </c>
      <c r="L115" s="58"/>
      <c r="M115" s="58"/>
      <c r="O115" s="58"/>
      <c r="P115" s="58"/>
      <c r="R115" s="59">
        <f t="shared" ref="R115:R139" ca="1" si="64">(1/($D115*SQRT(2*PI()*T/365.25*$I$114^2)))</f>
        <v>0.40579540395503322</v>
      </c>
      <c r="S115" s="59">
        <f t="shared" ref="S115:S139" ca="1" si="65">LN($D115/UnderlyingPrice)+0.5*T/365.25*$I$114^2</f>
        <v>-0.45730158811146565</v>
      </c>
      <c r="T115" s="59">
        <f t="shared" ca="1" si="63"/>
        <v>-0.20912474248926857</v>
      </c>
      <c r="U115" s="59">
        <f t="shared" ref="U115:U139" ca="1" si="66">T115/(2*T/365.25*$I$114^2)</f>
        <v>-0.90670638871957276</v>
      </c>
      <c r="V115" s="59"/>
      <c r="W115" s="105">
        <f t="shared" ref="W115:W139" ca="1" si="67">(Alpha1*R115)*EXP(Gamma2^2*U115)</f>
        <v>0.14078245980812717</v>
      </c>
      <c r="Z115" s="59">
        <f t="shared" ref="Z115:Z164" ca="1" si="68">(1/(D115*SQRT(2*PI()*T/365.25*ATMImpVol^2)))</f>
        <v>0.42018698632728213</v>
      </c>
      <c r="AA115" s="59">
        <f t="shared" ref="AA115:AA164" ca="1" si="69">LN(D115/UnderlyingPrice)+0.5*T/365.25*ATMImpVol^2</f>
        <v>-0.46118374330533296</v>
      </c>
      <c r="AB115" s="59">
        <f t="shared" ca="1" si="38"/>
        <v>-0.21269044508911925</v>
      </c>
      <c r="AC115" s="59">
        <f t="shared" ca="1" si="44"/>
        <v>-0.98873562914855395</v>
      </c>
      <c r="AD115" s="60">
        <f t="shared" ca="1" si="39"/>
        <v>0.37204679889196712</v>
      </c>
      <c r="AE115" s="60">
        <f t="shared" ca="1" si="45"/>
        <v>0.15632922319912806</v>
      </c>
      <c r="AF115" s="60"/>
      <c r="AG115" s="93">
        <f ca="1">AG114-LTFactor*(MaxStandard-MinStandard)/100</f>
        <v>-1.368320239705332</v>
      </c>
      <c r="AH115" s="97">
        <f t="shared" ca="1" si="47"/>
        <v>-1.4047016895407345</v>
      </c>
      <c r="AI115" s="97">
        <f t="shared" ca="1" si="48"/>
        <v>-1.4077508560155521</v>
      </c>
      <c r="AJ115" s="62"/>
      <c r="AK115" s="97">
        <f t="shared" ca="1" si="49"/>
        <v>0.13366447011356211</v>
      </c>
      <c r="AL115" s="62"/>
      <c r="AM115" s="95"/>
      <c r="AN115" s="96"/>
      <c r="AX115" s="107">
        <f t="shared" ca="1" si="50"/>
        <v>0.50880732836736087</v>
      </c>
      <c r="AY115" s="107">
        <f t="shared" ca="1" si="51"/>
        <v>0.50876547910801739</v>
      </c>
      <c r="AZ115" s="107">
        <f t="shared" ca="1" si="52"/>
        <v>0.50884922825962442</v>
      </c>
      <c r="BB115" s="39">
        <f ca="1">_xll.EURO(UnderlyingPrice,$D115,IntRate,Yield,AX115,$D$6,1,0)</f>
        <v>1.9441178647652655</v>
      </c>
      <c r="BC115" s="39">
        <f ca="1">_xll.EURO(UnderlyingPrice,$D115*(1+$P$8),IntRate,Yield,AY115,$D$6,1,0)</f>
        <v>1.9427924277793189</v>
      </c>
      <c r="BD115" s="39">
        <f ca="1">_xll.EURO(UnderlyingPrice,$D115*(1-$P$8),IntRate,Yield,AZ115,$D$6,1,0)</f>
        <v>1.9454435727581831</v>
      </c>
      <c r="BF115" s="59">
        <f t="shared" ca="1" si="53"/>
        <v>0.12934311547167898</v>
      </c>
      <c r="BG115" s="39">
        <f t="shared" ca="1" si="54"/>
        <v>0.13160629925399106</v>
      </c>
      <c r="BI115" s="58"/>
    </row>
    <row r="116" spans="3:62" x14ac:dyDescent="0.2">
      <c r="C116" s="98"/>
      <c r="D116" s="63">
        <f t="shared" ref="D116:D139" ca="1" si="70">+D115-LTFactor*(ROUNDUP(MAX(StrikeRange),1)-ROUNDDOWN(MIN(StrikeRange),1))/100</f>
        <v>2.79</v>
      </c>
      <c r="E116" s="45">
        <f t="shared" ca="1" si="40"/>
        <v>-0.42414860681114552</v>
      </c>
      <c r="F116" s="45">
        <f t="shared" ca="1" si="58"/>
        <v>-0.423860681114551</v>
      </c>
      <c r="G116" s="45">
        <f t="shared" ca="1" si="59"/>
        <v>-0.42443653250773994</v>
      </c>
      <c r="H116" s="45">
        <f t="shared" ca="1" si="60"/>
        <v>0.54330977803817393</v>
      </c>
      <c r="I116" s="45">
        <f t="shared" ca="1" si="61"/>
        <v>0.54336839039366625</v>
      </c>
      <c r="J116" s="45">
        <f t="shared" ca="1" si="62"/>
        <v>0.54342707034134585</v>
      </c>
      <c r="L116" s="58"/>
      <c r="M116" s="58"/>
      <c r="O116" s="58"/>
      <c r="P116" s="58"/>
      <c r="R116" s="59">
        <f t="shared" ca="1" si="64"/>
        <v>0.42106727399635169</v>
      </c>
      <c r="S116" s="59">
        <f t="shared" ca="1" si="65"/>
        <v>-0.49424510330315002</v>
      </c>
      <c r="T116" s="59">
        <f t="shared" ca="1" si="63"/>
        <v>-0.24427822213914144</v>
      </c>
      <c r="U116" s="59">
        <f t="shared" ca="1" si="66"/>
        <v>-1.059122043628981</v>
      </c>
      <c r="V116" s="59"/>
      <c r="W116" s="105">
        <f t="shared" ca="1" si="67"/>
        <v>0.12493749481553862</v>
      </c>
      <c r="Z116" s="59">
        <f t="shared" ca="1" si="68"/>
        <v>0.43600047506002931</v>
      </c>
      <c r="AA116" s="59">
        <f t="shared" ca="1" si="69"/>
        <v>-0.49812725849701733</v>
      </c>
      <c r="AB116" s="59">
        <f t="shared" ca="1" si="38"/>
        <v>-0.24813076565775433</v>
      </c>
      <c r="AC116" s="59">
        <f t="shared" ca="1" si="44"/>
        <v>-1.153487306827226</v>
      </c>
      <c r="AD116" s="60">
        <f t="shared" ca="1" si="39"/>
        <v>0.31553448293407305</v>
      </c>
      <c r="AE116" s="60">
        <f t="shared" ca="1" si="45"/>
        <v>0.13757318445707656</v>
      </c>
      <c r="AF116" s="60"/>
      <c r="AG116" s="93">
        <f t="shared" ref="AG116:AG139" ca="1" si="71">AG115-LTFactor*(MaxStandard-MinStandard)/100</f>
        <v>-1.4390477743874712</v>
      </c>
      <c r="AH116" s="97">
        <f t="shared" ca="1" si="47"/>
        <v>-1.5173486081379135</v>
      </c>
      <c r="AI116" s="97">
        <f t="shared" ca="1" si="48"/>
        <v>-1.5203977746127322</v>
      </c>
      <c r="AJ116" s="62"/>
      <c r="AK116" s="97">
        <f t="shared" ca="1" si="49"/>
        <v>0.11431832712777067</v>
      </c>
      <c r="AL116" s="62"/>
      <c r="AM116" s="95"/>
      <c r="AN116" s="96"/>
      <c r="AX116" s="107">
        <f t="shared" ca="1" si="50"/>
        <v>0.51197912217660924</v>
      </c>
      <c r="AY116" s="107">
        <f t="shared" ca="1" si="51"/>
        <v>0.51193520903660827</v>
      </c>
      <c r="AZ116" s="107">
        <f t="shared" ca="1" si="52"/>
        <v>0.5120230834528392</v>
      </c>
      <c r="BB116" s="39">
        <f ca="1">_xll.EURO(UnderlyingPrice,$D116,IntRate,Yield,AX116,$D$6,1,0)</f>
        <v>2.0409535484099419</v>
      </c>
      <c r="BC116" s="39">
        <f ca="1">_xll.EURO(UnderlyingPrice,$D116*(1+$P$8),IntRate,Yield,AY116,$D$6,1,0)</f>
        <v>2.0396585202299575</v>
      </c>
      <c r="BD116" s="39">
        <f ca="1">_xll.EURO(UnderlyingPrice,$D116*(1-$P$8),IntRate,Yield,AZ116,$D$6,1,0)</f>
        <v>2.0422487939715408</v>
      </c>
      <c r="BF116" s="59">
        <f t="shared" ca="1" si="53"/>
        <v>0.1117054580710536</v>
      </c>
      <c r="BG116" s="39">
        <f t="shared" ca="1" si="54"/>
        <v>0.11366002658581545</v>
      </c>
      <c r="BI116" s="58"/>
    </row>
    <row r="117" spans="3:62" x14ac:dyDescent="0.2">
      <c r="C117" s="98"/>
      <c r="D117" s="63">
        <f t="shared" ca="1" si="70"/>
        <v>2.6850000000000001</v>
      </c>
      <c r="E117" s="45">
        <f t="shared" ca="1" si="40"/>
        <v>-0.44582043343653244</v>
      </c>
      <c r="F117" s="45">
        <f t="shared" ca="1" si="58"/>
        <v>-0.44554334365325077</v>
      </c>
      <c r="G117" s="45">
        <f t="shared" ca="1" si="59"/>
        <v>-0.44609752321981411</v>
      </c>
      <c r="H117" s="45">
        <f t="shared" ca="1" si="60"/>
        <v>0.54791443213616287</v>
      </c>
      <c r="I117" s="45">
        <f t="shared" ca="1" si="61"/>
        <v>0.54797580097700571</v>
      </c>
      <c r="J117" s="45">
        <f t="shared" ca="1" si="62"/>
        <v>0.54803723410152316</v>
      </c>
      <c r="L117" s="58"/>
      <c r="M117" s="58"/>
      <c r="O117" s="58"/>
      <c r="P117" s="58"/>
      <c r="R117" s="59">
        <f t="shared" ca="1" si="64"/>
        <v>0.4375335919738626</v>
      </c>
      <c r="S117" s="59">
        <f t="shared" ca="1" si="65"/>
        <v>-0.53260597117559605</v>
      </c>
      <c r="T117" s="59">
        <f t="shared" ca="1" si="63"/>
        <v>-0.28366912053189985</v>
      </c>
      <c r="U117" s="59">
        <f t="shared" ca="1" si="66"/>
        <v>-1.2299099609503874</v>
      </c>
      <c r="V117" s="59"/>
      <c r="W117" s="105">
        <f t="shared" ca="1" si="67"/>
        <v>0.1089601946354315</v>
      </c>
      <c r="Z117" s="59">
        <f t="shared" ca="1" si="68"/>
        <v>0.4530507729674047</v>
      </c>
      <c r="AA117" s="59">
        <f t="shared" ca="1" si="69"/>
        <v>-0.53648812636946341</v>
      </c>
      <c r="AB117" s="59">
        <f t="shared" ca="1" si="38"/>
        <v>-0.28781950973541737</v>
      </c>
      <c r="AC117" s="59">
        <f t="shared" ca="1" si="44"/>
        <v>-1.3379886619741461</v>
      </c>
      <c r="AD117" s="60">
        <f t="shared" ca="1" si="39"/>
        <v>0.26237285873151761</v>
      </c>
      <c r="AE117" s="60">
        <f t="shared" ca="1" si="45"/>
        <v>0.11886822645398173</v>
      </c>
      <c r="AF117" s="60"/>
      <c r="AG117" s="93">
        <f t="shared" ca="1" si="71"/>
        <v>-1.5097753090696104</v>
      </c>
      <c r="AH117" s="97">
        <f t="shared" ca="1" si="47"/>
        <v>-1.634317270652121</v>
      </c>
      <c r="AI117" s="97">
        <f t="shared" ca="1" si="48"/>
        <v>-1.6373664371269385</v>
      </c>
      <c r="AJ117" s="62"/>
      <c r="AK117" s="97">
        <f t="shared" ca="1" si="49"/>
        <v>9.5946916972986046E-2</v>
      </c>
      <c r="AL117" s="62"/>
      <c r="AM117" s="95"/>
      <c r="AN117" s="96"/>
      <c r="AX117" s="107">
        <f t="shared" ca="1" si="50"/>
        <v>0.51542362672911346</v>
      </c>
      <c r="AY117" s="107">
        <f t="shared" ca="1" si="51"/>
        <v>0.51537783888880162</v>
      </c>
      <c r="AZ117" s="107">
        <f t="shared" ca="1" si="52"/>
        <v>0.51546946017828821</v>
      </c>
      <c r="BB117" s="39">
        <f ca="1">_xll.EURO(UnderlyingPrice,$D117,IntRate,Yield,AX117,$D$6,1,0)</f>
        <v>2.1390217820636654</v>
      </c>
      <c r="BC117" s="39">
        <f ca="1">_xll.EURO(UnderlyingPrice,$D117*(1+$P$8),IntRate,Yield,AY117,$D$6,1,0)</f>
        <v>2.1377609072932433</v>
      </c>
      <c r="BD117" s="39">
        <f ca="1">_xll.EURO(UnderlyingPrice,$D117*(1-$P$8),IntRate,Yield,AZ117,$D$6,1,0)</f>
        <v>2.1402828283243314</v>
      </c>
      <c r="BF117" s="59">
        <f t="shared" ca="1" si="53"/>
        <v>9.5150445901842962E-2</v>
      </c>
      <c r="BG117" s="39">
        <f t="shared" ca="1" si="54"/>
        <v>9.6815342755916078E-2</v>
      </c>
      <c r="BI117" s="58"/>
    </row>
    <row r="118" spans="3:62" x14ac:dyDescent="0.2">
      <c r="C118" s="98"/>
      <c r="D118" s="63">
        <f t="shared" ca="1" si="70"/>
        <v>2.58</v>
      </c>
      <c r="E118" s="45">
        <f t="shared" ca="1" si="40"/>
        <v>-0.46749226006191946</v>
      </c>
      <c r="F118" s="45">
        <f t="shared" ca="1" si="58"/>
        <v>-0.46722600619195043</v>
      </c>
      <c r="G118" s="45">
        <f t="shared" ca="1" si="59"/>
        <v>-0.4677585139318885</v>
      </c>
      <c r="H118" s="45">
        <f t="shared" ca="1" si="60"/>
        <v>0.5529125814537601</v>
      </c>
      <c r="I118" s="45">
        <f t="shared" ca="1" si="61"/>
        <v>0.55297644523731737</v>
      </c>
      <c r="J118" s="45">
        <f t="shared" ca="1" si="62"/>
        <v>0.55304036992933814</v>
      </c>
      <c r="L118" s="58"/>
      <c r="M118" s="58"/>
      <c r="O118" s="58"/>
      <c r="P118" s="58"/>
      <c r="R118" s="59">
        <f t="shared" ca="1" si="64"/>
        <v>0.45534019164721751</v>
      </c>
      <c r="S118" s="59">
        <f t="shared" ca="1" si="65"/>
        <v>-0.57249730020289813</v>
      </c>
      <c r="T118" s="59">
        <f t="shared" ca="1" si="63"/>
        <v>-0.32775315873960725</v>
      </c>
      <c r="U118" s="59">
        <f t="shared" ca="1" si="66"/>
        <v>-1.4210460197815762</v>
      </c>
      <c r="V118" s="59"/>
      <c r="W118" s="105">
        <f t="shared" ca="1" si="67"/>
        <v>9.3205740619351343E-2</v>
      </c>
      <c r="Z118" s="59">
        <f t="shared" ca="1" si="68"/>
        <v>0.47148888582072929</v>
      </c>
      <c r="AA118" s="59">
        <f t="shared" ca="1" si="69"/>
        <v>-0.57637945539676549</v>
      </c>
      <c r="AB118" s="59">
        <f t="shared" ca="1" si="38"/>
        <v>-0.332213276603472</v>
      </c>
      <c r="AC118" s="59">
        <f t="shared" ca="1" si="44"/>
        <v>-1.5443622910112584</v>
      </c>
      <c r="AD118" s="60">
        <f t="shared" ca="1" si="39"/>
        <v>0.21344794550388393</v>
      </c>
      <c r="AE118" s="60">
        <f t="shared" ca="1" si="45"/>
        <v>0.10063833400634999</v>
      </c>
      <c r="AF118" s="60"/>
      <c r="AG118" s="93">
        <f t="shared" ca="1" si="71"/>
        <v>-1.5805028437517497</v>
      </c>
      <c r="AH118" s="97">
        <f t="shared" ca="1" si="47"/>
        <v>-1.75595256362184</v>
      </c>
      <c r="AI118" s="97">
        <f t="shared" ca="1" si="48"/>
        <v>-1.7590017300966583</v>
      </c>
      <c r="AJ118" s="62"/>
      <c r="AK118" s="97">
        <f t="shared" ca="1" si="49"/>
        <v>7.8864441408454583E-2</v>
      </c>
      <c r="AL118" s="62"/>
      <c r="AM118" s="95"/>
      <c r="AN118" s="96"/>
      <c r="AX118" s="107">
        <f t="shared" ca="1" si="50"/>
        <v>0.51914712810302677</v>
      </c>
      <c r="AY118" s="107">
        <f t="shared" ca="1" si="51"/>
        <v>0.51909966417658338</v>
      </c>
      <c r="AZ118" s="107">
        <f t="shared" ca="1" si="52"/>
        <v>0.51919463508972175</v>
      </c>
      <c r="BB118" s="39">
        <f ca="1">_xll.EURO(UnderlyingPrice,$D118,IntRate,Yield,AX118,$D$6,1,0)</f>
        <v>2.2381402440833136</v>
      </c>
      <c r="BC118" s="39">
        <f ca="1">_xll.EURO(UnderlyingPrice,$D118*(1+$P$8),IntRate,Yield,AY118,$D$6,1,0)</f>
        <v>2.2369168221664166</v>
      </c>
      <c r="BD118" s="39">
        <f ca="1">_xll.EURO(UnderlyingPrice,$D118*(1-$P$8),IntRate,Yield,AZ118,$D$6,1,0)</f>
        <v>2.2393637989497313</v>
      </c>
      <c r="BF118" s="59">
        <f t="shared" ca="1" si="53"/>
        <v>7.9892747266296874E-2</v>
      </c>
      <c r="BG118" s="39">
        <f t="shared" ca="1" si="54"/>
        <v>8.1290672229508629E-2</v>
      </c>
      <c r="BI118" s="58"/>
    </row>
    <row r="119" spans="3:62" x14ac:dyDescent="0.2">
      <c r="C119" s="98"/>
      <c r="D119" s="63">
        <f t="shared" ca="1" si="70"/>
        <v>2.4750000000000001</v>
      </c>
      <c r="E119" s="45">
        <f t="shared" ca="1" si="40"/>
        <v>-0.48916408668730649</v>
      </c>
      <c r="F119" s="45">
        <f t="shared" ca="1" si="58"/>
        <v>-0.4889086687306502</v>
      </c>
      <c r="G119" s="45">
        <f t="shared" ca="1" si="59"/>
        <v>-0.48941950464396278</v>
      </c>
      <c r="H119" s="45">
        <f t="shared" ca="1" si="60"/>
        <v>0.5583145386915972</v>
      </c>
      <c r="I119" s="45">
        <f t="shared" ca="1" si="61"/>
        <v>0.55838062042163761</v>
      </c>
      <c r="J119" s="45">
        <f t="shared" ca="1" si="62"/>
        <v>0.55844675963367796</v>
      </c>
      <c r="L119" s="58"/>
      <c r="M119" s="58"/>
      <c r="O119" s="58"/>
      <c r="P119" s="58"/>
      <c r="R119" s="59">
        <f t="shared" ca="1" si="64"/>
        <v>0.47465765432315998</v>
      </c>
      <c r="S119" s="59">
        <f t="shared" ca="1" si="65"/>
        <v>-0.61404630311577058</v>
      </c>
      <c r="T119" s="59">
        <f t="shared" ca="1" si="63"/>
        <v>-0.37705286237014479</v>
      </c>
      <c r="U119" s="59">
        <f t="shared" ca="1" si="66"/>
        <v>-1.6347957450016024</v>
      </c>
      <c r="V119" s="59"/>
      <c r="W119" s="105">
        <f t="shared" ca="1" si="67"/>
        <v>7.8030275401082191E-2</v>
      </c>
      <c r="Z119" s="59">
        <f t="shared" ca="1" si="68"/>
        <v>0.49149144461312394</v>
      </c>
      <c r="AA119" s="59">
        <f t="shared" ca="1" si="69"/>
        <v>-0.61792845830963794</v>
      </c>
      <c r="AB119" s="59">
        <f t="shared" ca="1" si="38"/>
        <v>-0.38183557958892594</v>
      </c>
      <c r="AC119" s="59">
        <f t="shared" ca="1" si="44"/>
        <v>-1.7750418541743569</v>
      </c>
      <c r="AD119" s="60">
        <f t="shared" ca="1" si="39"/>
        <v>0.16947635605807024</v>
      </c>
      <c r="AE119" s="60">
        <f t="shared" ca="1" si="45"/>
        <v>8.3296179066749104E-2</v>
      </c>
      <c r="AF119" s="60"/>
      <c r="AG119" s="93">
        <f t="shared" ca="1" si="71"/>
        <v>-1.6512303784338889</v>
      </c>
      <c r="AH119" s="97">
        <f t="shared" ca="1" si="47"/>
        <v>-1.8826423798084124</v>
      </c>
      <c r="AI119" s="97">
        <f t="shared" ca="1" si="48"/>
        <v>-1.88569154628323</v>
      </c>
      <c r="AJ119" s="62"/>
      <c r="AK119" s="97">
        <f t="shared" ca="1" si="49"/>
        <v>6.3336958874714522E-2</v>
      </c>
      <c r="AL119" s="62"/>
      <c r="AM119" s="95"/>
      <c r="AN119" s="96"/>
      <c r="AX119" s="107">
        <f t="shared" ca="1" si="50"/>
        <v>0.52315591237650294</v>
      </c>
      <c r="AY119" s="107">
        <f t="shared" ca="1" si="51"/>
        <v>0.52310698041193993</v>
      </c>
      <c r="AZ119" s="107">
        <f t="shared" ca="1" si="52"/>
        <v>0.52320488484088956</v>
      </c>
      <c r="BB119" s="39">
        <f ca="1">_xll.EURO(UnderlyingPrice,$D119,IntRate,Yield,AX119,$D$6,1,0)</f>
        <v>2.3381408562729931</v>
      </c>
      <c r="BC119" s="39">
        <f ca="1">_xll.EURO(UnderlyingPrice,$D119*(1+$P$8),IntRate,Yield,AY119,$D$6,1,0)</f>
        <v>2.3369577440397298</v>
      </c>
      <c r="BD119" s="39">
        <f ca="1">_xll.EURO(UnderlyingPrice,$D119*(1-$P$8),IntRate,Yield,AZ119,$D$6,1,0)</f>
        <v>2.3393240697054685</v>
      </c>
      <c r="BF119" s="59">
        <f t="shared" ca="1" si="53"/>
        <v>6.60825385592239E-2</v>
      </c>
      <c r="BG119" s="39">
        <f t="shared" ca="1" si="54"/>
        <v>6.7238819115911092E-2</v>
      </c>
      <c r="BI119" s="58"/>
    </row>
    <row r="120" spans="3:62" x14ac:dyDescent="0.2">
      <c r="C120" s="98"/>
      <c r="D120" s="63">
        <f t="shared" ca="1" si="70"/>
        <v>2.37</v>
      </c>
      <c r="E120" s="45">
        <f t="shared" ca="1" si="40"/>
        <v>-0.5108359133126934</v>
      </c>
      <c r="F120" s="45">
        <f t="shared" ca="1" si="58"/>
        <v>-0.51059133126934975</v>
      </c>
      <c r="G120" s="45">
        <f t="shared" ca="1" si="59"/>
        <v>-0.51108049535603706</v>
      </c>
      <c r="H120" s="45">
        <f t="shared" ca="1" si="60"/>
        <v>0.56413061655030516</v>
      </c>
      <c r="I120" s="45">
        <f t="shared" ca="1" si="61"/>
        <v>0.56419862377700303</v>
      </c>
      <c r="J120" s="45">
        <f t="shared" ca="1" si="62"/>
        <v>0.56426668502343014</v>
      </c>
      <c r="L120" s="58"/>
      <c r="M120" s="58"/>
      <c r="O120" s="58"/>
      <c r="P120" s="58"/>
      <c r="R120" s="59">
        <f t="shared" ca="1" si="64"/>
        <v>0.4956867909070975</v>
      </c>
      <c r="S120" s="59">
        <f t="shared" ca="1" si="65"/>
        <v>-0.6573967439893843</v>
      </c>
      <c r="T120" s="59">
        <f t="shared" ca="1" si="63"/>
        <v>-0.43217047900784411</v>
      </c>
      <c r="U120" s="59">
        <f t="shared" ca="1" si="66"/>
        <v>-1.8737703136802115</v>
      </c>
      <c r="V120" s="59"/>
      <c r="W120" s="105">
        <f t="shared" ca="1" si="67"/>
        <v>6.3771771148683834E-2</v>
      </c>
      <c r="Z120" s="59">
        <f t="shared" ca="1" si="68"/>
        <v>0.5132663820326927</v>
      </c>
      <c r="AA120" s="59">
        <f t="shared" ca="1" si="69"/>
        <v>-0.66127889918325167</v>
      </c>
      <c r="AB120" s="59">
        <f t="shared" ca="1" si="38"/>
        <v>-0.4372897825050131</v>
      </c>
      <c r="AC120" s="59">
        <f t="shared" ca="1" si="44"/>
        <v>-2.0328322132391232</v>
      </c>
      <c r="AD120" s="60">
        <f t="shared" ca="1" si="39"/>
        <v>0.13096407719925715</v>
      </c>
      <c r="AE120" s="60">
        <f t="shared" ca="1" si="45"/>
        <v>6.7219458080312974E-2</v>
      </c>
      <c r="AF120" s="60"/>
      <c r="AG120" s="93">
        <f t="shared" ca="1" si="71"/>
        <v>-1.7219579131160281</v>
      </c>
      <c r="AH120" s="97">
        <f t="shared" ca="1" si="47"/>
        <v>-2.0148250797736011</v>
      </c>
      <c r="AI120" s="97">
        <f t="shared" ca="1" si="48"/>
        <v>-2.0178742462484194</v>
      </c>
      <c r="AJ120" s="62"/>
      <c r="AK120" s="97">
        <f t="shared" ca="1" si="49"/>
        <v>4.9567348608406316E-2</v>
      </c>
      <c r="AL120" s="62"/>
      <c r="AM120" s="95"/>
      <c r="AN120" s="96"/>
      <c r="AX120" s="107">
        <f t="shared" ca="1" si="50"/>
        <v>0.52745626562769532</v>
      </c>
      <c r="AY120" s="107">
        <f t="shared" ca="1" si="51"/>
        <v>0.52740608310685699</v>
      </c>
      <c r="AZ120" s="107">
        <f t="shared" ca="1" si="52"/>
        <v>0.52750648608554185</v>
      </c>
      <c r="BB120" s="39">
        <f ca="1">_xll.EURO(UnderlyingPrice,$D120,IntRate,Yield,AX120,$D$6,1,0)</f>
        <v>2.4388714399646667</v>
      </c>
      <c r="BC120" s="39">
        <f ca="1">_xll.EURO(UnderlyingPrice,$D120*(1+$P$8),IntRate,Yield,AY120,$D$6,1,0)</f>
        <v>2.4377310672779418</v>
      </c>
      <c r="BD120" s="39">
        <f ca="1">_xll.EURO(UnderlyingPrice,$D120*(1-$P$8),IntRate,Yield,AZ120,$D$6,1,0)</f>
        <v>2.4400118882069246</v>
      </c>
      <c r="BF120" s="59">
        <f t="shared" ca="1" si="53"/>
        <v>5.3805859101755345E-2</v>
      </c>
      <c r="BG120" s="39">
        <f t="shared" ca="1" si="54"/>
        <v>5.4747328211018638E-2</v>
      </c>
      <c r="BI120" s="58"/>
    </row>
    <row r="121" spans="3:62" x14ac:dyDescent="0.2">
      <c r="C121" s="98"/>
      <c r="D121" s="63">
        <f t="shared" ca="1" si="70"/>
        <v>2.2650000000000001</v>
      </c>
      <c r="E121" s="45">
        <f t="shared" ca="1" si="40"/>
        <v>-0.53250773993808043</v>
      </c>
      <c r="F121" s="45">
        <f t="shared" ca="1" si="58"/>
        <v>-0.53227399380804952</v>
      </c>
      <c r="G121" s="45">
        <f t="shared" ca="1" si="59"/>
        <v>-0.53274148606811134</v>
      </c>
      <c r="H121" s="45">
        <f t="shared" ca="1" si="60"/>
        <v>0.57037112773051546</v>
      </c>
      <c r="I121" s="45">
        <f t="shared" ca="1" si="61"/>
        <v>0.57044075255045001</v>
      </c>
      <c r="J121" s="45">
        <f t="shared" ca="1" si="62"/>
        <v>0.57051042790748263</v>
      </c>
      <c r="L121" s="58"/>
      <c r="M121" s="58"/>
      <c r="O121" s="58"/>
      <c r="P121" s="58"/>
      <c r="R121" s="59">
        <f t="shared" ca="1" si="64"/>
        <v>0.5186656487637179</v>
      </c>
      <c r="S121" s="59">
        <f t="shared" ca="1" si="65"/>
        <v>-0.70271194020142669</v>
      </c>
      <c r="T121" s="59">
        <f t="shared" ca="1" si="63"/>
        <v>-0.49380407090165346</v>
      </c>
      <c r="U121" s="59">
        <f t="shared" ca="1" si="66"/>
        <v>-2.1409963284724092</v>
      </c>
      <c r="V121" s="59"/>
      <c r="W121" s="105">
        <f t="shared" ca="1" si="67"/>
        <v>5.072958115430598E-2</v>
      </c>
      <c r="Z121" s="59">
        <f t="shared" ca="1" si="68"/>
        <v>0.5370601878222877</v>
      </c>
      <c r="AA121" s="59">
        <f t="shared" ca="1" si="69"/>
        <v>-0.70659409539529405</v>
      </c>
      <c r="AB121" s="59">
        <f t="shared" ca="1" si="38"/>
        <v>-0.49927521564749389</v>
      </c>
      <c r="AC121" s="59">
        <f t="shared" ca="1" si="44"/>
        <v>-2.3209843500711114</v>
      </c>
      <c r="AD121" s="60">
        <f t="shared" ca="1" si="39"/>
        <v>9.8176897588618209E-2</v>
      </c>
      <c r="AE121" s="60">
        <f t="shared" ca="1" si="45"/>
        <v>5.27269030587528E-2</v>
      </c>
      <c r="AF121" s="60"/>
      <c r="AG121" s="93">
        <f t="shared" ca="1" si="71"/>
        <v>-1.7926854477981673</v>
      </c>
      <c r="AH121" s="97">
        <f t="shared" ca="1" si="47"/>
        <v>-2.1529986453487084</v>
      </c>
      <c r="AI121" s="97">
        <f t="shared" ca="1" si="48"/>
        <v>-2.1560478118235258</v>
      </c>
      <c r="AJ121" s="62"/>
      <c r="AK121" s="97">
        <f t="shared" ca="1" si="49"/>
        <v>3.7683249590820096E-2</v>
      </c>
      <c r="AL121" s="62"/>
      <c r="AM121" s="95"/>
      <c r="AN121" s="96"/>
      <c r="AX121" s="107">
        <f t="shared" ca="1" si="50"/>
        <v>0.53205447393475758</v>
      </c>
      <c r="AY121" s="107">
        <f t="shared" ca="1" si="51"/>
        <v>0.53200326777332096</v>
      </c>
      <c r="AZ121" s="107">
        <f t="shared" ca="1" si="52"/>
        <v>0.5321057154774288</v>
      </c>
      <c r="BB121" s="39">
        <f ca="1">_xll.EURO(UnderlyingPrice,$D121,IntRate,Yield,AX121,$D$6,1,0)</f>
        <v>2.5401966681570487</v>
      </c>
      <c r="BC121" s="39">
        <f ca="1">_xll.EURO(UnderlyingPrice,$D121*(1+$P$8),IntRate,Yield,AY121,$D$6,1,0)</f>
        <v>2.5391010642636966</v>
      </c>
      <c r="BD121" s="39">
        <f ca="1">_xll.EURO(UnderlyingPrice,$D121*(1-$P$8),IntRate,Yield,AZ121,$D$6,1,0)</f>
        <v>2.5412923273138253</v>
      </c>
      <c r="BF121" s="59">
        <f t="shared" ca="1" si="53"/>
        <v>4.3088499283480734E-2</v>
      </c>
      <c r="BG121" s="39">
        <f t="shared" ca="1" si="54"/>
        <v>4.3842441172284946E-2</v>
      </c>
      <c r="BI121" s="58"/>
    </row>
    <row r="122" spans="3:62" x14ac:dyDescent="0.2">
      <c r="C122" s="98"/>
      <c r="D122" s="63">
        <f t="shared" ca="1" si="70"/>
        <v>2.16</v>
      </c>
      <c r="E122" s="45">
        <f t="shared" ca="1" si="40"/>
        <v>-0.55417956656346745</v>
      </c>
      <c r="F122" s="45">
        <f t="shared" ca="1" si="58"/>
        <v>-0.55395665634674918</v>
      </c>
      <c r="G122" s="45">
        <f t="shared" ca="1" si="59"/>
        <v>-0.55440247678018573</v>
      </c>
      <c r="H122" s="45">
        <f t="shared" ca="1" si="60"/>
        <v>0.5770463849328592</v>
      </c>
      <c r="I122" s="45">
        <f t="shared" ca="1" si="61"/>
        <v>0.57711730398901517</v>
      </c>
      <c r="J122" s="45">
        <f t="shared" ca="1" si="62"/>
        <v>0.57718827009472273</v>
      </c>
      <c r="L122" s="58"/>
      <c r="M122" s="58"/>
      <c r="O122" s="58"/>
      <c r="P122" s="58"/>
      <c r="R122" s="59">
        <f t="shared" ca="1" si="64"/>
        <v>0.54387856224528752</v>
      </c>
      <c r="S122" s="59">
        <f t="shared" ca="1" si="65"/>
        <v>-0.75017847744035049</v>
      </c>
      <c r="T122" s="59">
        <f t="shared" ca="1" si="63"/>
        <v>-0.5627677480147224</v>
      </c>
      <c r="U122" s="59">
        <f t="shared" ca="1" si="66"/>
        <v>-2.4400035424620317</v>
      </c>
      <c r="V122" s="59"/>
      <c r="W122" s="105">
        <f t="shared" ca="1" si="67"/>
        <v>3.9144440080398565E-2</v>
      </c>
      <c r="Z122" s="59">
        <f t="shared" ca="1" si="68"/>
        <v>0.56316728028587115</v>
      </c>
      <c r="AA122" s="59">
        <f t="shared" ca="1" si="69"/>
        <v>-0.75406063263421785</v>
      </c>
      <c r="AB122" s="59">
        <f t="shared" ca="1" si="38"/>
        <v>-0.56860743768871691</v>
      </c>
      <c r="AC122" s="59">
        <f t="shared" ca="1" si="44"/>
        <v>-2.6432895582410048</v>
      </c>
      <c r="AD122" s="60">
        <f t="shared" ca="1" si="39"/>
        <v>7.1126908188052673E-2</v>
      </c>
      <c r="AE122" s="60">
        <f t="shared" ca="1" si="45"/>
        <v>4.0056347439408481E-2</v>
      </c>
      <c r="AF122" s="60"/>
      <c r="AG122" s="93">
        <f t="shared" ca="1" si="71"/>
        <v>-1.8634129824803065</v>
      </c>
      <c r="AH122" s="97">
        <f t="shared" ca="1" si="47"/>
        <v>-2.2977320073122334</v>
      </c>
      <c r="AI122" s="97">
        <f t="shared" ca="1" si="48"/>
        <v>-2.3007811737870516</v>
      </c>
      <c r="AJ122" s="62"/>
      <c r="AK122" s="97">
        <f t="shared" ca="1" si="49"/>
        <v>2.7729542244393605E-2</v>
      </c>
      <c r="AL122" s="62"/>
      <c r="AM122" s="95"/>
      <c r="AN122" s="96"/>
      <c r="AX122" s="107">
        <f t="shared" ca="1" si="50"/>
        <v>0.53695682337584305</v>
      </c>
      <c r="AY122" s="107">
        <f t="shared" ca="1" si="51"/>
        <v>0.53690482992331767</v>
      </c>
      <c r="AZ122" s="107">
        <f t="shared" ca="1" si="52"/>
        <v>0.53700884967030038</v>
      </c>
      <c r="BB122" s="39">
        <f ca="1">_xll.EURO(UnderlyingPrice,$D122,IntRate,Yield,AX122,$D$6,1,0)</f>
        <v>2.6419983561692075</v>
      </c>
      <c r="BC122" s="39">
        <f ca="1">_xll.EURO(UnderlyingPrice,$D122*(1+$P$8),IntRate,Yield,AY122,$D$6,1,0)</f>
        <v>2.6409491840726367</v>
      </c>
      <c r="BD122" s="39">
        <f ca="1">_xll.EURO(UnderlyingPrice,$D122*(1-$P$8),IntRate,Yield,AZ122,$D$6,1,0)</f>
        <v>2.6430475678100223</v>
      </c>
      <c r="BF122" s="59">
        <f t="shared" ca="1" si="53"/>
        <v>3.3902815778042127E-2</v>
      </c>
      <c r="BG122" s="39">
        <f t="shared" ca="1" si="54"/>
        <v>3.4496030983689308E-2</v>
      </c>
      <c r="BI122" s="58"/>
    </row>
    <row r="123" spans="3:62" x14ac:dyDescent="0.2">
      <c r="C123" s="98"/>
      <c r="D123" s="63">
        <f t="shared" ca="1" si="70"/>
        <v>2.0550000000000002</v>
      </c>
      <c r="E123" s="45">
        <f t="shared" ca="1" si="40"/>
        <v>-0.57585139318885448</v>
      </c>
      <c r="F123" s="45">
        <f t="shared" ca="1" si="58"/>
        <v>-0.57563931888544895</v>
      </c>
      <c r="G123" s="45">
        <f t="shared" ca="1" si="59"/>
        <v>-0.57606346749226001</v>
      </c>
      <c r="H123" s="45">
        <f t="shared" ca="1" si="60"/>
        <v>0.58416670085796751</v>
      </c>
      <c r="I123" s="45">
        <f t="shared" ca="1" si="61"/>
        <v>0.58423857533973478</v>
      </c>
      <c r="J123" s="45">
        <f t="shared" ca="1" si="62"/>
        <v>0.58431049339403807</v>
      </c>
      <c r="L123" s="58"/>
      <c r="M123" s="58"/>
      <c r="O123" s="58"/>
      <c r="P123" s="58"/>
      <c r="R123" s="59">
        <f t="shared" ca="1" si="64"/>
        <v>0.57166797783446277</v>
      </c>
      <c r="S123" s="59">
        <f t="shared" ca="1" si="65"/>
        <v>-0.80001085118822612</v>
      </c>
      <c r="T123" s="59">
        <f t="shared" ca="1" si="63"/>
        <v>-0.64001736201891013</v>
      </c>
      <c r="U123" s="59">
        <f t="shared" ca="1" si="66"/>
        <v>-2.7749362611350135</v>
      </c>
      <c r="V123" s="59"/>
      <c r="W123" s="105">
        <f t="shared" ca="1" si="67"/>
        <v>2.9181109471840522E-2</v>
      </c>
      <c r="Z123" s="59">
        <f t="shared" ca="1" si="68"/>
        <v>0.5919422508114266</v>
      </c>
      <c r="AA123" s="59">
        <f t="shared" ca="1" si="69"/>
        <v>-0.80389300638209349</v>
      </c>
      <c r="AB123" s="59">
        <f t="shared" ca="1" si="38"/>
        <v>-0.64624396571004061</v>
      </c>
      <c r="AC123" s="59">
        <f t="shared" ca="1" si="44"/>
        <v>-3.0041990544146993</v>
      </c>
      <c r="AD123" s="60">
        <f t="shared" ca="1" si="39"/>
        <v>4.9578448069165726E-2</v>
      </c>
      <c r="AE123" s="60">
        <f t="shared" ca="1" si="45"/>
        <v>2.9347578141799387E-2</v>
      </c>
      <c r="AF123" s="60"/>
      <c r="AG123" s="93">
        <f t="shared" ca="1" si="71"/>
        <v>-1.9341405171624457</v>
      </c>
      <c r="AH123" s="97">
        <f t="shared" ca="1" si="47"/>
        <v>-2.4496791980426034</v>
      </c>
      <c r="AI123" s="97">
        <f t="shared" ca="1" si="48"/>
        <v>-2.4527283645174212</v>
      </c>
      <c r="AJ123" s="62"/>
      <c r="AK123" s="97">
        <f t="shared" ca="1" si="49"/>
        <v>1.9666745144905805E-2</v>
      </c>
      <c r="AL123" s="62"/>
      <c r="AM123" s="95"/>
      <c r="AN123" s="96"/>
      <c r="AX123" s="107">
        <f t="shared" ca="1" si="50"/>
        <v>0.5421696000291053</v>
      </c>
      <c r="AY123" s="107">
        <f t="shared" ca="1" si="51"/>
        <v>0.5421170650688335</v>
      </c>
      <c r="AZ123" s="107">
        <f t="shared" ca="1" si="52"/>
        <v>0.54222216531790657</v>
      </c>
      <c r="BB123" s="39">
        <f ca="1">_xll.EURO(UnderlyingPrice,$D123,IntRate,Yield,AX123,$D$6,1,0)</f>
        <v>2.7441751650395085</v>
      </c>
      <c r="BC123" s="39">
        <f ca="1">_xll.EURO(UnderlyingPrice,$D123*(1+$P$8),IntRate,Yield,AY123,$D$6,1,0)</f>
        <v>2.7431737611503126</v>
      </c>
      <c r="BD123" s="39">
        <f ca="1">_xll.EURO(UnderlyingPrice,$D123*(1-$P$8),IntRate,Yield,AZ123,$D$6,1,0)</f>
        <v>2.7451765965647992</v>
      </c>
      <c r="BF123" s="59">
        <f t="shared" ca="1" si="53"/>
        <v>2.6176586027217136E-2</v>
      </c>
      <c r="BG123" s="39">
        <f t="shared" ca="1" si="54"/>
        <v>2.6634611371334244E-2</v>
      </c>
      <c r="BI123" s="58"/>
    </row>
    <row r="124" spans="3:62" x14ac:dyDescent="0.2">
      <c r="C124" s="98"/>
      <c r="D124" s="63">
        <f t="shared" ca="1" si="70"/>
        <v>1.9500000000000002</v>
      </c>
      <c r="E124" s="45">
        <f t="shared" ca="1" si="40"/>
        <v>-0.5975232198142415</v>
      </c>
      <c r="F124" s="45">
        <f t="shared" ca="1" si="58"/>
        <v>-0.59732198142414861</v>
      </c>
      <c r="G124" s="45">
        <f t="shared" ca="1" si="59"/>
        <v>-0.59772445820433429</v>
      </c>
      <c r="H124" s="45">
        <f t="shared" ca="1" si="60"/>
        <v>0.59174238820647185</v>
      </c>
      <c r="I124" s="45">
        <f t="shared" ca="1" si="61"/>
        <v>0.59181486384964532</v>
      </c>
      <c r="J124" s="45">
        <f t="shared" ca="1" si="62"/>
        <v>0.59188737961431626</v>
      </c>
      <c r="L124" s="58"/>
      <c r="M124" s="58"/>
      <c r="O124" s="58"/>
      <c r="P124" s="58"/>
      <c r="R124" s="59">
        <f t="shared" ca="1" si="64"/>
        <v>0.6024500997178569</v>
      </c>
      <c r="S124" s="59">
        <f t="shared" ca="1" si="65"/>
        <v>-0.85245732656076867</v>
      </c>
      <c r="T124" s="59">
        <f t="shared" ca="1" si="63"/>
        <v>-0.72668349360713302</v>
      </c>
      <c r="U124" s="59">
        <f t="shared" ca="1" si="66"/>
        <v>-3.1506963661387783</v>
      </c>
      <c r="V124" s="59"/>
      <c r="W124" s="105">
        <f t="shared" ca="1" si="67"/>
        <v>2.091608923152645E-2</v>
      </c>
      <c r="Z124" s="59">
        <f t="shared" ca="1" si="68"/>
        <v>0.62381606431665726</v>
      </c>
      <c r="AA124" s="59">
        <f t="shared" ca="1" si="69"/>
        <v>-0.85633948175463603</v>
      </c>
      <c r="AB124" s="59">
        <f t="shared" ca="1" si="38"/>
        <v>-0.73331730801179862</v>
      </c>
      <c r="AC124" s="59">
        <f t="shared" ca="1" si="44"/>
        <v>-3.4089775382188146</v>
      </c>
      <c r="AD124" s="60">
        <f t="shared" ca="1" si="39"/>
        <v>3.307500101746319E-2</v>
      </c>
      <c r="AE124" s="60">
        <f t="shared" ca="1" si="45"/>
        <v>2.0632716961983322E-2</v>
      </c>
      <c r="AF124" s="60"/>
      <c r="AG124" s="93">
        <f t="shared" ca="1" si="71"/>
        <v>-2.0048680518445847</v>
      </c>
      <c r="AH124" s="97">
        <f t="shared" ca="1" si="47"/>
        <v>-2.6095972191444394</v>
      </c>
      <c r="AI124" s="97">
        <f t="shared" ca="1" si="48"/>
        <v>-2.6126463856192572</v>
      </c>
      <c r="AJ124" s="62"/>
      <c r="AK124" s="97">
        <f t="shared" ca="1" si="49"/>
        <v>1.3376237190825695E-2</v>
      </c>
      <c r="AL124" s="62"/>
      <c r="AM124" s="95"/>
      <c r="AN124" s="96"/>
      <c r="AX124" s="107">
        <f t="shared" ca="1" si="50"/>
        <v>0.54769908997269801</v>
      </c>
      <c r="AY124" s="107">
        <f t="shared" ca="1" si="51"/>
        <v>0.54764626872185429</v>
      </c>
      <c r="AZ124" s="107">
        <f t="shared" ca="1" si="52"/>
        <v>0.54775193907399744</v>
      </c>
      <c r="BB124" s="39">
        <f ca="1">_xll.EURO(UnderlyingPrice,$D124,IntRate,Yield,AX124,$D$6,1,0)</f>
        <v>2.8466418145527848</v>
      </c>
      <c r="BC124" s="39">
        <f ca="1">_xll.EURO(UnderlyingPrice,$D124*(1+$P$8),IntRate,Yield,AY124,$D$6,1,0)</f>
        <v>2.8456892310130559</v>
      </c>
      <c r="BD124" s="39">
        <f ca="1">_xll.EURO(UnderlyingPrice,$D124*(1-$P$8),IntRate,Yield,AZ124,$D$6,1,0)</f>
        <v>2.8475944169177847</v>
      </c>
      <c r="BF124" s="59">
        <f t="shared" ca="1" si="53"/>
        <v>1.9803046542788021E-2</v>
      </c>
      <c r="BG124" s="39">
        <f t="shared" ca="1" si="54"/>
        <v>2.0149550750704851E-2</v>
      </c>
      <c r="BI124" s="58"/>
    </row>
    <row r="125" spans="3:62" x14ac:dyDescent="0.2">
      <c r="C125" s="98"/>
      <c r="D125" s="63">
        <f t="shared" ca="1" si="70"/>
        <v>1.8450000000000002</v>
      </c>
      <c r="E125" s="45">
        <f t="shared" ca="1" si="40"/>
        <v>-0.61919504643962842</v>
      </c>
      <c r="F125" s="45">
        <f t="shared" ca="1" si="58"/>
        <v>-0.61900464396284827</v>
      </c>
      <c r="G125" s="45">
        <f t="shared" ca="1" si="59"/>
        <v>-0.61938544891640857</v>
      </c>
      <c r="H125" s="45">
        <f t="shared" ca="1" si="60"/>
        <v>0.59978375967900333</v>
      </c>
      <c r="I125" s="45">
        <f t="shared" ca="1" si="61"/>
        <v>0.59985646676578341</v>
      </c>
      <c r="J125" s="45">
        <f t="shared" ca="1" si="62"/>
        <v>0.59992921056444481</v>
      </c>
      <c r="L125" s="58"/>
      <c r="M125" s="58"/>
      <c r="O125" s="58"/>
      <c r="P125" s="58"/>
      <c r="R125" s="59">
        <f t="shared" ca="1" si="64"/>
        <v>0.63673587775058049</v>
      </c>
      <c r="S125" s="59">
        <f t="shared" ca="1" si="65"/>
        <v>-0.90780742164393358</v>
      </c>
      <c r="T125" s="59">
        <f t="shared" ca="1" si="63"/>
        <v>-0.82411431479180663</v>
      </c>
      <c r="U125" s="59">
        <f t="shared" ca="1" si="66"/>
        <v>-3.5731291542191808</v>
      </c>
      <c r="V125" s="59"/>
      <c r="W125" s="105">
        <f t="shared" ca="1" si="67"/>
        <v>1.433269438155914E-2</v>
      </c>
      <c r="Z125" s="59">
        <f t="shared" ca="1" si="68"/>
        <v>0.65931779155419057</v>
      </c>
      <c r="AA125" s="59">
        <f t="shared" ca="1" si="69"/>
        <v>-0.91168957683780094</v>
      </c>
      <c r="AB125" s="59">
        <f t="shared" ca="1" si="38"/>
        <v>-0.83117788451468855</v>
      </c>
      <c r="AC125" s="59">
        <f t="shared" ca="1" si="44"/>
        <v>-3.8639027166248425</v>
      </c>
      <c r="AD125" s="60">
        <f t="shared" ca="1" si="39"/>
        <v>2.0985937327955961E-2</v>
      </c>
      <c r="AE125" s="60">
        <f t="shared" ca="1" si="45"/>
        <v>1.3836401852762576E-2</v>
      </c>
      <c r="AF125" s="60"/>
      <c r="AG125" s="93">
        <f t="shared" ca="1" si="71"/>
        <v>-2.0755955865267239</v>
      </c>
      <c r="AH125" s="97">
        <f t="shared" ca="1" si="47"/>
        <v>-2.7783688593857252</v>
      </c>
      <c r="AI125" s="97">
        <f t="shared" ca="1" si="48"/>
        <v>-2.7814180258605434</v>
      </c>
      <c r="AJ125" s="62"/>
      <c r="AK125" s="97">
        <f t="shared" ca="1" si="49"/>
        <v>8.6724753641248768E-3</v>
      </c>
      <c r="AL125" s="62"/>
      <c r="AM125" s="95"/>
      <c r="AN125" s="96"/>
      <c r="AX125" s="107">
        <f t="shared" ca="1" si="50"/>
        <v>0.5535515792847745</v>
      </c>
      <c r="AY125" s="107">
        <f t="shared" ca="1" si="51"/>
        <v>0.55349873639436631</v>
      </c>
      <c r="AZ125" s="107">
        <f t="shared" ca="1" si="52"/>
        <v>0.55360444759232319</v>
      </c>
      <c r="BB125" s="39">
        <f ca="1">_xll.EURO(UnderlyingPrice,$D125,IntRate,Yield,AX125,$D$6,1,0)</f>
        <v>2.9493279156335168</v>
      </c>
      <c r="BC125" s="39">
        <f ca="1">_xll.EURO(UnderlyingPrice,$D125*(1+$P$8),IntRate,Yield,AY125,$D$6,1,0)</f>
        <v>2.9484249630073531</v>
      </c>
      <c r="BD125" s="39">
        <f ca="1">_xll.EURO(UnderlyingPrice,$D125*(1-$P$8),IntRate,Yield,AZ125,$D$6,1,0)</f>
        <v>2.9502308807279425</v>
      </c>
      <c r="BF125" s="59">
        <f t="shared" ca="1" si="53"/>
        <v>1.4651199069838382E-2</v>
      </c>
      <c r="BG125" s="39">
        <f t="shared" ca="1" si="54"/>
        <v>1.4907558722266456E-2</v>
      </c>
      <c r="BI125" s="58"/>
    </row>
    <row r="126" spans="3:62" x14ac:dyDescent="0.2">
      <c r="C126" s="98"/>
      <c r="D126" s="63">
        <f t="shared" ca="1" si="70"/>
        <v>1.7400000000000002</v>
      </c>
      <c r="E126" s="45">
        <f t="shared" ca="1" si="40"/>
        <v>-0.64086687306501544</v>
      </c>
      <c r="F126" s="45">
        <f t="shared" ca="1" si="58"/>
        <v>-0.64068730650154793</v>
      </c>
      <c r="G126" s="45">
        <f t="shared" ca="1" si="59"/>
        <v>-0.64104643962848296</v>
      </c>
      <c r="H126" s="45">
        <f t="shared" ca="1" si="60"/>
        <v>0.60830112797619329</v>
      </c>
      <c r="I126" s="45">
        <f t="shared" ca="1" si="61"/>
        <v>0.60837368133518555</v>
      </c>
      <c r="J126" s="45">
        <f t="shared" ca="1" si="62"/>
        <v>0.60844626805331126</v>
      </c>
      <c r="L126" s="58"/>
      <c r="M126" s="58"/>
      <c r="O126" s="58"/>
      <c r="P126" s="58"/>
      <c r="R126" s="59">
        <f t="shared" ca="1" si="64"/>
        <v>0.6751595945113914</v>
      </c>
      <c r="S126" s="59">
        <f t="shared" ca="1" si="65"/>
        <v>-0.96640158590998637</v>
      </c>
      <c r="T126" s="59">
        <f t="shared" ca="1" si="63"/>
        <v>-0.93393202524933672</v>
      </c>
      <c r="U126" s="59">
        <f t="shared" ca="1" si="66"/>
        <v>-4.0492680294242911</v>
      </c>
      <c r="V126" s="59"/>
      <c r="W126" s="105">
        <f t="shared" ca="1" si="67"/>
        <v>9.3252049554753118E-3</v>
      </c>
      <c r="Z126" s="59">
        <f t="shared" ca="1" si="68"/>
        <v>0.69910421001004697</v>
      </c>
      <c r="AA126" s="59">
        <f t="shared" ca="1" si="69"/>
        <v>-0.97028374110385374</v>
      </c>
      <c r="AB126" s="59">
        <f t="shared" ca="1" si="38"/>
        <v>-0.9414505382504903</v>
      </c>
      <c r="AC126" s="59">
        <f t="shared" ca="1" si="44"/>
        <v>-4.3765280093297587</v>
      </c>
      <c r="AD126" s="60">
        <f t="shared" ca="1" si="39"/>
        <v>1.2568922131637151E-2</v>
      </c>
      <c r="AE126" s="60">
        <f t="shared" ca="1" si="45"/>
        <v>8.7869863775159856E-3</v>
      </c>
      <c r="AF126" s="60"/>
      <c r="AG126" s="93">
        <f t="shared" ca="1" si="71"/>
        <v>-2.1463231212088631</v>
      </c>
      <c r="AH126" s="97">
        <f t="shared" ca="1" si="47"/>
        <v>-2.9570322057971552</v>
      </c>
      <c r="AI126" s="97">
        <f t="shared" ca="1" si="48"/>
        <v>-2.960081372271973</v>
      </c>
      <c r="AJ126" s="62"/>
      <c r="AK126" s="97">
        <f t="shared" ca="1" si="49"/>
        <v>5.3214072621261743E-3</v>
      </c>
      <c r="AL126" s="62"/>
      <c r="AM126" s="95"/>
      <c r="AN126" s="96"/>
      <c r="AX126" s="107">
        <f t="shared" ca="1" si="50"/>
        <v>0.55973335404348834</v>
      </c>
      <c r="AY126" s="107">
        <f t="shared" ca="1" si="51"/>
        <v>0.55968076359835539</v>
      </c>
      <c r="AZ126" s="107">
        <f t="shared" ca="1" si="52"/>
        <v>0.55978596752663368</v>
      </c>
      <c r="BB126" s="39">
        <f ca="1">_xll.EURO(UnderlyingPrice,$D126,IntRate,Yield,AX126,$D$6,1,0)</f>
        <v>3.0521765352693606</v>
      </c>
      <c r="BC126" s="39">
        <f ca="1">_xll.EURO(UnderlyingPrice,$D126*(1+$P$8),IntRate,Yield,AY126,$D$6,1,0)</f>
        <v>3.0513238236953386</v>
      </c>
      <c r="BD126" s="39">
        <f ca="1">_xll.EURO(UnderlyingPrice,$D126*(1-$P$8),IntRate,Yield,AZ126,$D$6,1,0)</f>
        <v>3.0530292548481412</v>
      </c>
      <c r="BF126" s="59">
        <f t="shared" ca="1" si="53"/>
        <v>1.0575714934228167E-2</v>
      </c>
      <c r="BG126" s="39">
        <f t="shared" ca="1" si="54"/>
        <v>1.0760763720460175E-2</v>
      </c>
      <c r="BI126" s="58"/>
    </row>
    <row r="127" spans="3:62" x14ac:dyDescent="0.2">
      <c r="C127" s="98"/>
      <c r="D127" s="63">
        <f t="shared" ca="1" si="70"/>
        <v>1.6350000000000002</v>
      </c>
      <c r="E127" s="45">
        <f t="shared" ca="1" si="40"/>
        <v>-0.66253869969040236</v>
      </c>
      <c r="F127" s="45">
        <f t="shared" ca="1" si="58"/>
        <v>-0.66236996904024759</v>
      </c>
      <c r="G127" s="45">
        <f t="shared" ca="1" si="59"/>
        <v>-0.66270743034055712</v>
      </c>
      <c r="H127" s="45">
        <f t="shared" ca="1" si="60"/>
        <v>0.61730480579867286</v>
      </c>
      <c r="I127" s="45">
        <f t="shared" ca="1" si="61"/>
        <v>0.61737680480488788</v>
      </c>
      <c r="J127" s="45">
        <f t="shared" ca="1" si="62"/>
        <v>0.61744883388980321</v>
      </c>
      <c r="L127" s="58"/>
      <c r="M127" s="58"/>
      <c r="O127" s="58"/>
      <c r="P127" s="58"/>
      <c r="R127" s="59">
        <f t="shared" ca="1" si="64"/>
        <v>0.71851846755340731</v>
      </c>
      <c r="S127" s="59">
        <f t="shared" ca="1" si="65"/>
        <v>-1.0286438947872074</v>
      </c>
      <c r="T127" s="59">
        <f t="shared" ca="1" si="63"/>
        <v>-1.0581082622829954</v>
      </c>
      <c r="U127" s="59">
        <f t="shared" ca="1" si="66"/>
        <v>-4.587661459610354</v>
      </c>
      <c r="V127" s="59"/>
      <c r="W127" s="105">
        <f t="shared" ca="1" si="67"/>
        <v>5.7126724891140091E-3</v>
      </c>
      <c r="Z127" s="59">
        <f t="shared" ca="1" si="68"/>
        <v>0.74400081065289392</v>
      </c>
      <c r="AA127" s="59">
        <f t="shared" ca="1" si="69"/>
        <v>-1.0325260499810747</v>
      </c>
      <c r="AB127" s="59">
        <f t="shared" ca="1" si="38"/>
        <v>-1.0661100438895208</v>
      </c>
      <c r="AC127" s="59">
        <f t="shared" ca="1" si="44"/>
        <v>-4.9560335658003813</v>
      </c>
      <c r="AD127" s="60">
        <f t="shared" ca="1" si="39"/>
        <v>7.0407993881847174E-3</v>
      </c>
      <c r="AE127" s="60">
        <f t="shared" ca="1" si="45"/>
        <v>5.2383604524538297E-3</v>
      </c>
      <c r="AF127" s="60"/>
      <c r="AG127" s="93">
        <f t="shared" ca="1" si="71"/>
        <v>-2.2170506558910024</v>
      </c>
      <c r="AH127" s="97">
        <f t="shared" ca="1" si="47"/>
        <v>-3.1468193515252638</v>
      </c>
      <c r="AI127" s="97">
        <f t="shared" ca="1" si="48"/>
        <v>-3.1498685180000816</v>
      </c>
      <c r="AJ127" s="62"/>
      <c r="AK127" s="97">
        <f t="shared" ca="1" si="49"/>
        <v>3.0632041893545866E-3</v>
      </c>
      <c r="AL127" s="62"/>
      <c r="AM127" s="95"/>
      <c r="AN127" s="96"/>
      <c r="AX127" s="107">
        <f t="shared" ca="1" si="50"/>
        <v>0.56625070032699298</v>
      </c>
      <c r="AY127" s="107">
        <f t="shared" ca="1" si="51"/>
        <v>0.56619864584580792</v>
      </c>
      <c r="AZ127" s="107">
        <f t="shared" ca="1" si="52"/>
        <v>0.56630277553067909</v>
      </c>
      <c r="BB127" s="39">
        <f ca="1">_xll.EURO(UnderlyingPrice,$D127,IntRate,Yield,AX127,$D$6,1,0)</f>
        <v>3.155142602351543</v>
      </c>
      <c r="BC127" s="39">
        <f ca="1">_xll.EURO(UnderlyingPrice,$D127*(1+$P$8),IntRate,Yield,AY127,$D$6,1,0)</f>
        <v>3.1543405797101869</v>
      </c>
      <c r="BD127" s="39">
        <f ca="1">_xll.EURO(UnderlyingPrice,$D127*(1-$P$8),IntRate,Yield,AZ127,$D$6,1,0)</f>
        <v>3.1559446299555836</v>
      </c>
      <c r="BF127" s="59">
        <f t="shared" ca="1" si="53"/>
        <v>7.4257639900518254E-3</v>
      </c>
      <c r="BG127" s="39">
        <f t="shared" ca="1" si="54"/>
        <v>7.5556964458479911E-3</v>
      </c>
      <c r="BI127" s="58"/>
    </row>
    <row r="128" spans="3:62" x14ac:dyDescent="0.2">
      <c r="C128" s="98"/>
      <c r="D128" s="63">
        <f t="shared" ca="1" si="70"/>
        <v>1.5300000000000002</v>
      </c>
      <c r="E128" s="45">
        <f t="shared" ca="1" si="40"/>
        <v>-0.68421052631578938</v>
      </c>
      <c r="F128" s="45">
        <f t="shared" ca="1" si="58"/>
        <v>-0.68405263157894725</v>
      </c>
      <c r="G128" s="45">
        <f t="shared" ca="1" si="59"/>
        <v>-0.68436842105263151</v>
      </c>
      <c r="H128" s="45">
        <f t="shared" ca="1" si="60"/>
        <v>0.62680510584707338</v>
      </c>
      <c r="I128" s="45">
        <f t="shared" ca="1" si="61"/>
        <v>0.62687613442192724</v>
      </c>
      <c r="J128" s="45">
        <f t="shared" ca="1" si="62"/>
        <v>0.62694718988280829</v>
      </c>
      <c r="L128" s="58"/>
      <c r="M128" s="58"/>
      <c r="O128" s="58"/>
      <c r="P128" s="58"/>
      <c r="R128" s="59">
        <f t="shared" ca="1" si="64"/>
        <v>0.76782855846393516</v>
      </c>
      <c r="S128" s="59">
        <f t="shared" ca="1" si="65"/>
        <v>-1.0950189637320797</v>
      </c>
      <c r="T128" s="59">
        <f t="shared" ca="1" si="63"/>
        <v>-1.1990665309328778</v>
      </c>
      <c r="U128" s="59">
        <f t="shared" ca="1" si="66"/>
        <v>-5.1988170847476178</v>
      </c>
      <c r="V128" s="59"/>
      <c r="W128" s="105">
        <f t="shared" ca="1" si="67"/>
        <v>3.2613698135542869E-3</v>
      </c>
      <c r="Z128" s="59">
        <f t="shared" ca="1" si="68"/>
        <v>0.79505968981534747</v>
      </c>
      <c r="AA128" s="59">
        <f t="shared" ca="1" si="69"/>
        <v>-1.098901118925947</v>
      </c>
      <c r="AB128" s="59">
        <f t="shared" ca="1" si="38"/>
        <v>-1.2075836691766983</v>
      </c>
      <c r="AC128" s="59">
        <f t="shared" ca="1" si="44"/>
        <v>-5.6137030433720385</v>
      </c>
      <c r="AD128" s="60">
        <f t="shared" ca="1" si="39"/>
        <v>3.647537329418356E-3</v>
      </c>
      <c r="AE128" s="60">
        <f t="shared" ca="1" si="45"/>
        <v>2.9000098977172589E-3</v>
      </c>
      <c r="AF128" s="60"/>
      <c r="AG128" s="93">
        <f t="shared" ca="1" si="71"/>
        <v>-2.2877781905731416</v>
      </c>
      <c r="AH128" s="97">
        <f t="shared" ca="1" si="47"/>
        <v>-3.3492079696500014</v>
      </c>
      <c r="AI128" s="97">
        <f t="shared" ca="1" si="48"/>
        <v>-3.3522571361248197</v>
      </c>
      <c r="AJ128" s="62"/>
      <c r="AK128" s="97">
        <f t="shared" ca="1" si="49"/>
        <v>1.6364786429168381E-3</v>
      </c>
      <c r="AL128" s="62"/>
      <c r="AM128" s="95"/>
      <c r="AN128" s="96"/>
      <c r="AX128" s="107">
        <f t="shared" ca="1" si="50"/>
        <v>0.57310990421344221</v>
      </c>
      <c r="AY128" s="107">
        <f t="shared" ca="1" si="51"/>
        <v>0.57305867864870985</v>
      </c>
      <c r="AZ128" s="107">
        <f t="shared" ca="1" si="52"/>
        <v>0.57316114825820952</v>
      </c>
      <c r="BB128" s="39">
        <f ca="1">_xll.EURO(UnderlyingPrice,$D128,IntRate,Yield,AX128,$D$6,1,0)</f>
        <v>3.2581912516462581</v>
      </c>
      <c r="BC128" s="39">
        <f ca="1">_xll.EURO(UnderlyingPrice,$D128*(1+$P$8),IntRate,Yield,AY128,$D$6,1,0)</f>
        <v>3.2574402377589022</v>
      </c>
      <c r="BD128" s="39">
        <f ca="1">_xll.EURO(UnderlyingPrice,$D128*(1-$P$8),IntRate,Yield,AZ128,$D$6,1,0)</f>
        <v>3.2589422684904426</v>
      </c>
      <c r="BF128" s="59">
        <f t="shared" ca="1" si="53"/>
        <v>5.0524645388948649E-3</v>
      </c>
      <c r="BG128" s="39">
        <f t="shared" ca="1" si="54"/>
        <v>5.1408701394823767E-3</v>
      </c>
      <c r="BI128" s="58"/>
    </row>
    <row r="129" spans="3:61" x14ac:dyDescent="0.2">
      <c r="C129" s="98"/>
      <c r="D129" s="63">
        <f t="shared" ca="1" si="70"/>
        <v>1.4250000000000003</v>
      </c>
      <c r="E129" s="45">
        <f t="shared" ca="1" si="40"/>
        <v>-0.70588235294117641</v>
      </c>
      <c r="F129" s="45">
        <f t="shared" ca="1" si="58"/>
        <v>-0.70573529411764702</v>
      </c>
      <c r="G129" s="45">
        <f t="shared" ca="1" si="59"/>
        <v>-0.70602941176470579</v>
      </c>
      <c r="H129" s="45">
        <f t="shared" ca="1" si="60"/>
        <v>0.63681234082202631</v>
      </c>
      <c r="I129" s="45">
        <f t="shared" ca="1" si="61"/>
        <v>0.63688196743334002</v>
      </c>
      <c r="J129" s="45">
        <f t="shared" ca="1" si="62"/>
        <v>0.6369516178412139</v>
      </c>
      <c r="L129" s="58"/>
      <c r="M129" s="58"/>
      <c r="O129" s="58"/>
      <c r="P129" s="58"/>
      <c r="R129" s="59">
        <f t="shared" ca="1" si="64"/>
        <v>0.82440539961390946</v>
      </c>
      <c r="S129" s="59">
        <f t="shared" ca="1" si="65"/>
        <v>-1.1661148854158101</v>
      </c>
      <c r="T129" s="59">
        <f t="shared" ca="1" si="63"/>
        <v>-1.359823925988328</v>
      </c>
      <c r="U129" s="59">
        <f t="shared" ca="1" si="66"/>
        <v>-5.8958161839248602</v>
      </c>
      <c r="V129" s="59"/>
      <c r="W129" s="105">
        <f t="shared" ca="1" si="67"/>
        <v>1.7130432740625197E-3</v>
      </c>
      <c r="Z129" s="59">
        <f t="shared" ca="1" si="68"/>
        <v>0.85364303538068875</v>
      </c>
      <c r="AA129" s="59">
        <f t="shared" ca="1" si="69"/>
        <v>-1.1699970406096774</v>
      </c>
      <c r="AB129" s="59">
        <f t="shared" ca="1" si="38"/>
        <v>-1.3688930750354029</v>
      </c>
      <c r="AC129" s="59">
        <f t="shared" ca="1" si="44"/>
        <v>-6.3635832593002011</v>
      </c>
      <c r="AD129" s="60">
        <f t="shared" ca="1" si="39"/>
        <v>1.7231810315701903E-3</v>
      </c>
      <c r="AE129" s="60">
        <f t="shared" ca="1" si="45"/>
        <v>1.4709814863000036E-3</v>
      </c>
      <c r="AF129" s="60"/>
      <c r="AG129" s="93">
        <f t="shared" ca="1" si="71"/>
        <v>-2.3585057252552808</v>
      </c>
      <c r="AH129" s="97">
        <f t="shared" ca="1" si="47"/>
        <v>-3.5659912524790625</v>
      </c>
      <c r="AI129" s="97">
        <f t="shared" ca="1" si="48"/>
        <v>-3.5690404189538802</v>
      </c>
      <c r="AJ129" s="62"/>
      <c r="AK129" s="97">
        <f t="shared" ca="1" si="49"/>
        <v>8.0057507049855815E-4</v>
      </c>
      <c r="AL129" s="62"/>
      <c r="AM129" s="95"/>
      <c r="AN129" s="96"/>
      <c r="AX129" s="107">
        <f t="shared" ca="1" si="50"/>
        <v>0.58031725178098914</v>
      </c>
      <c r="AY129" s="107">
        <f t="shared" ca="1" si="51"/>
        <v>0.58026715751904734</v>
      </c>
      <c r="AZ129" s="107">
        <f t="shared" ca="1" si="52"/>
        <v>0.58036736236297493</v>
      </c>
      <c r="BB129" s="39">
        <f ca="1">_xll.EURO(UnderlyingPrice,$D129,IntRate,Yield,AX129,$D$6,1,0)</f>
        <v>3.3612961876447329</v>
      </c>
      <c r="BC129" s="39">
        <f ca="1">_xll.EURO(UnderlyingPrice,$D129*(1+$P$8),IntRate,Yield,AY129,$D$6,1,0)</f>
        <v>3.360596403950737</v>
      </c>
      <c r="BD129" s="39">
        <f ca="1">_xll.EURO(UnderlyingPrice,$D129*(1-$P$8),IntRate,Yield,AZ129,$D$6,1,0)</f>
        <v>3.3619959730214424</v>
      </c>
      <c r="BF129" s="59">
        <f t="shared" ca="1" si="53"/>
        <v>3.3146711462254362E-3</v>
      </c>
      <c r="BG129" s="39">
        <f t="shared" ca="1" si="54"/>
        <v>3.3726696717324067E-3</v>
      </c>
      <c r="BI129" s="58"/>
    </row>
    <row r="130" spans="3:61" x14ac:dyDescent="0.2">
      <c r="C130" s="98"/>
      <c r="D130" s="63">
        <f t="shared" ca="1" si="70"/>
        <v>1.3200000000000003</v>
      </c>
      <c r="E130" s="45">
        <f t="shared" ca="1" si="40"/>
        <v>-0.72755417956656343</v>
      </c>
      <c r="F130" s="45">
        <f t="shared" ca="1" si="58"/>
        <v>-0.72741795665634668</v>
      </c>
      <c r="G130" s="45">
        <f t="shared" ca="1" si="59"/>
        <v>-0.72769040247678007</v>
      </c>
      <c r="H130" s="45">
        <f t="shared" ca="1" si="60"/>
        <v>0.64733682342416243</v>
      </c>
      <c r="I130" s="45">
        <f t="shared" ca="1" si="61"/>
        <v>0.6474046010861626</v>
      </c>
      <c r="J130" s="45">
        <f t="shared" ca="1" si="62"/>
        <v>0.64747239957390779</v>
      </c>
      <c r="L130" s="58"/>
      <c r="M130" s="58"/>
      <c r="O130" s="58"/>
      <c r="P130" s="58"/>
      <c r="R130" s="59">
        <f t="shared" ca="1" si="64"/>
        <v>0.88998310185592489</v>
      </c>
      <c r="S130" s="59">
        <f t="shared" ca="1" si="65"/>
        <v>-1.2426549625381444</v>
      </c>
      <c r="T130" s="59">
        <f t="shared" ca="1" si="63"/>
        <v>-1.5441913559206772</v>
      </c>
      <c r="U130" s="59">
        <f t="shared" ca="1" si="66"/>
        <v>-6.6951817903166884</v>
      </c>
      <c r="V130" s="59"/>
      <c r="W130" s="105">
        <f t="shared" ca="1" si="67"/>
        <v>8.1451186748888137E-4</v>
      </c>
      <c r="Z130" s="59">
        <f t="shared" ca="1" si="68"/>
        <v>0.92154645864960727</v>
      </c>
      <c r="AA130" s="59">
        <f t="shared" ca="1" si="69"/>
        <v>-1.2465371177320117</v>
      </c>
      <c r="AB130" s="59">
        <f t="shared" ca="1" si="38"/>
        <v>-1.5538547858836311</v>
      </c>
      <c r="AC130" s="59">
        <f t="shared" ca="1" si="44"/>
        <v>-7.2234161185867958</v>
      </c>
      <c r="AD130" s="60">
        <f t="shared" ca="1" si="39"/>
        <v>7.2930676019548272E-4</v>
      </c>
      <c r="AE130" s="60">
        <f t="shared" ca="1" si="45"/>
        <v>6.7209006212736551E-4</v>
      </c>
      <c r="AF130" s="60"/>
      <c r="AG130" s="93">
        <f t="shared" ca="1" si="71"/>
        <v>-2.42923325993742</v>
      </c>
      <c r="AH130" s="97">
        <f t="shared" ca="1" si="47"/>
        <v>-3.7993746701718698</v>
      </c>
      <c r="AI130" s="97">
        <f t="shared" ca="1" si="48"/>
        <v>-3.8024238366466871</v>
      </c>
      <c r="AJ130" s="62"/>
      <c r="AK130" s="97">
        <f t="shared" ca="1" si="49"/>
        <v>3.5260641685683274E-4</v>
      </c>
      <c r="AL130" s="62"/>
      <c r="AM130" s="95"/>
      <c r="AN130" s="96"/>
      <c r="AX130" s="107">
        <f t="shared" ca="1" si="50"/>
        <v>0.58787902910778767</v>
      </c>
      <c r="AY130" s="107">
        <f t="shared" ca="1" si="51"/>
        <v>0.58783037796880622</v>
      </c>
      <c r="AZ130" s="107">
        <f t="shared" ca="1" si="52"/>
        <v>0.58792769449872528</v>
      </c>
      <c r="BB130" s="39">
        <f ca="1">_xll.EURO(UnderlyingPrice,$D130,IntRate,Yield,AX130,$D$6,1,0)</f>
        <v>3.4644381323924121</v>
      </c>
      <c r="BC130" s="39">
        <f ca="1">_xll.EURO(UnderlyingPrice,$D130*(1+$P$8),IntRate,Yield,AY130,$D$6,1,0)</f>
        <v>3.4637897269220836</v>
      </c>
      <c r="BD130" s="39">
        <f ca="1">_xll.EURO(UnderlyingPrice,$D130*(1-$P$8),IntRate,Yield,AZ130,$D$6,1,0)</f>
        <v>3.4650865387701808</v>
      </c>
      <c r="BF130" s="59">
        <f t="shared" ca="1" si="53"/>
        <v>2.0831963844999118E-3</v>
      </c>
      <c r="BG130" s="39">
        <f t="shared" ca="1" si="54"/>
        <v>2.1196471554248142E-3</v>
      </c>
      <c r="BI130" s="58"/>
    </row>
    <row r="131" spans="3:61" x14ac:dyDescent="0.2">
      <c r="C131" s="98"/>
      <c r="D131" s="63">
        <f t="shared" ca="1" si="70"/>
        <v>1.2150000000000003</v>
      </c>
      <c r="E131" s="45">
        <f t="shared" ca="1" si="40"/>
        <v>-0.74922600619195046</v>
      </c>
      <c r="F131" s="45">
        <f t="shared" ca="1" si="58"/>
        <v>-0.74910061919504645</v>
      </c>
      <c r="G131" s="45">
        <f t="shared" ca="1" si="59"/>
        <v>-0.74935139318885446</v>
      </c>
      <c r="H131" s="45">
        <f t="shared" ca="1" si="60"/>
        <v>0.65838886635411353</v>
      </c>
      <c r="I131" s="45">
        <f t="shared" ca="1" si="61"/>
        <v>0.65845433262743147</v>
      </c>
      <c r="J131" s="45">
        <f t="shared" ca="1" si="62"/>
        <v>0.65851981688977745</v>
      </c>
      <c r="L131" s="58"/>
      <c r="M131" s="58"/>
      <c r="O131" s="58"/>
      <c r="P131" s="58"/>
      <c r="R131" s="59">
        <f t="shared" ca="1" si="64"/>
        <v>0.96689522176939979</v>
      </c>
      <c r="S131" s="59">
        <f t="shared" ca="1" si="65"/>
        <v>-1.3255426223439122</v>
      </c>
      <c r="T131" s="59">
        <f t="shared" ca="1" si="63"/>
        <v>-1.7570632436503755</v>
      </c>
      <c r="U131" s="59">
        <f t="shared" ca="1" si="66"/>
        <v>-7.6181347526770251</v>
      </c>
      <c r="V131" s="59"/>
      <c r="W131" s="105">
        <f t="shared" ca="1" si="67"/>
        <v>3.4334118859979246E-4</v>
      </c>
      <c r="Z131" s="59">
        <f t="shared" ca="1" si="68"/>
        <v>1.0011862760637706</v>
      </c>
      <c r="AA131" s="59">
        <f t="shared" ca="1" si="69"/>
        <v>-1.3294247775377794</v>
      </c>
      <c r="AB131" s="59">
        <f t="shared" ca="1" si="38"/>
        <v>-1.7673702391313744</v>
      </c>
      <c r="AC131" s="59">
        <f t="shared" ca="1" si="44"/>
        <v>-8.2159869692020582</v>
      </c>
      <c r="AD131" s="60">
        <f t="shared" ca="1" si="39"/>
        <v>2.7029760393081374E-4</v>
      </c>
      <c r="AE131" s="60">
        <f t="shared" ca="1" si="45"/>
        <v>2.7061825150845141E-4</v>
      </c>
      <c r="AF131" s="60"/>
      <c r="AG131" s="93">
        <f t="shared" ca="1" si="71"/>
        <v>-2.4999607946195592</v>
      </c>
      <c r="AH131" s="97">
        <f t="shared" ca="1" si="47"/>
        <v>-4.0521129225662369</v>
      </c>
      <c r="AI131" s="97">
        <f t="shared" ca="1" si="48"/>
        <v>-4.0551620890410547</v>
      </c>
      <c r="AJ131" s="62"/>
      <c r="AK131" s="97">
        <f t="shared" ca="1" si="49"/>
        <v>1.3681100969525664E-4</v>
      </c>
      <c r="AL131" s="62"/>
      <c r="AM131" s="95"/>
      <c r="AN131" s="96"/>
      <c r="AX131" s="107">
        <f t="shared" ca="1" si="50"/>
        <v>0.59580152227199101</v>
      </c>
      <c r="AY131" s="107">
        <f t="shared" ca="1" si="51"/>
        <v>0.59575463550997299</v>
      </c>
      <c r="AZ131" s="107">
        <f t="shared" ca="1" si="52"/>
        <v>0.5958484213192109</v>
      </c>
      <c r="BB131" s="39">
        <f ca="1">_xll.EURO(UnderlyingPrice,$D131,IntRate,Yield,AX131,$D$6,1,0)</f>
        <v>3.5676034034718871</v>
      </c>
      <c r="BC131" s="39">
        <f ca="1">_xll.EURO(UnderlyingPrice,$D131*(1+$P$8),IntRate,Yield,AY131,$D$6,1,0)</f>
        <v>3.5670064712271667</v>
      </c>
      <c r="BD131" s="39">
        <f ca="1">_xll.EURO(UnderlyingPrice,$D131*(1-$P$8),IntRate,Yield,AZ131,$D$6,1,0)</f>
        <v>3.5682003361754973</v>
      </c>
      <c r="BF131" s="59">
        <f t="shared" ca="1" si="53"/>
        <v>1.2434142899244904E-3</v>
      </c>
      <c r="BG131" s="39">
        <f t="shared" ca="1" si="54"/>
        <v>1.2651709566430091E-3</v>
      </c>
      <c r="BI131" s="58"/>
    </row>
    <row r="132" spans="3:61" x14ac:dyDescent="0.2">
      <c r="C132" s="98"/>
      <c r="D132" s="63">
        <f t="shared" ca="1" si="70"/>
        <v>1.1100000000000003</v>
      </c>
      <c r="E132" s="45">
        <f t="shared" ca="1" si="40"/>
        <v>-0.77089783281733737</v>
      </c>
      <c r="F132" s="45">
        <f t="shared" ca="1" si="58"/>
        <v>-0.77078328173374611</v>
      </c>
      <c r="G132" s="45">
        <f t="shared" ca="1" si="59"/>
        <v>-0.77101238390092863</v>
      </c>
      <c r="H132" s="45">
        <f t="shared" ca="1" si="60"/>
        <v>0.6699787823125104</v>
      </c>
      <c r="I132" s="45">
        <f t="shared" ca="1" si="61"/>
        <v>0.67004145930418302</v>
      </c>
      <c r="J132" s="45">
        <f t="shared" ca="1" si="62"/>
        <v>0.67010415159771042</v>
      </c>
      <c r="L132" s="58"/>
      <c r="M132" s="58"/>
      <c r="O132" s="58"/>
      <c r="P132" s="58"/>
      <c r="R132" s="59">
        <f t="shared" ca="1" si="64"/>
        <v>1.0583582832881269</v>
      </c>
      <c r="S132" s="59">
        <f t="shared" ca="1" si="65"/>
        <v>-1.4159266838121811</v>
      </c>
      <c r="T132" s="59">
        <f t="shared" ca="1" si="63"/>
        <v>-2.0048483739313605</v>
      </c>
      <c r="U132" s="59">
        <f t="shared" ca="1" si="66"/>
        <v>-8.6924617690845167</v>
      </c>
      <c r="V132" s="59"/>
      <c r="W132" s="105">
        <f t="shared" ca="1" si="67"/>
        <v>1.2484580314943758E-4</v>
      </c>
      <c r="Z132" s="59">
        <f t="shared" ca="1" si="68"/>
        <v>1.0958930859616949</v>
      </c>
      <c r="AA132" s="59">
        <f t="shared" ca="1" si="69"/>
        <v>-1.4198088390060484</v>
      </c>
      <c r="AB132" s="59">
        <f t="shared" ca="1" si="38"/>
        <v>-2.0158571393197029</v>
      </c>
      <c r="AC132" s="59">
        <f t="shared" ca="1" si="44"/>
        <v>-9.3711298412287523</v>
      </c>
      <c r="AD132" s="60">
        <f t="shared" ca="1" si="39"/>
        <v>8.5147131313047949E-5</v>
      </c>
      <c r="AE132" s="60">
        <f t="shared" ca="1" si="45"/>
        <v>9.3312152495441774E-5</v>
      </c>
      <c r="AF132" s="60"/>
      <c r="AG132" s="93">
        <f t="shared" ca="1" si="71"/>
        <v>-2.5706883293016984</v>
      </c>
      <c r="AH132" s="97">
        <f t="shared" ca="1" si="47"/>
        <v>-4.3277089496868593</v>
      </c>
      <c r="AI132" s="97">
        <f t="shared" ca="1" si="48"/>
        <v>-4.3307581161616762</v>
      </c>
      <c r="AJ132" s="62"/>
      <c r="AK132" s="97">
        <f t="shared" ca="1" si="49"/>
        <v>4.5448106110440329E-5</v>
      </c>
      <c r="AL132" s="62"/>
      <c r="AM132" s="95"/>
      <c r="AN132" s="96"/>
      <c r="AX132" s="107">
        <f t="shared" ca="1" si="50"/>
        <v>0.60409101735175275</v>
      </c>
      <c r="AY132" s="107">
        <f t="shared" ca="1" si="51"/>
        <v>0.60404622565453336</v>
      </c>
      <c r="AZ132" s="107">
        <f t="shared" ca="1" si="52"/>
        <v>0.60413581947818173</v>
      </c>
      <c r="BB132" s="39">
        <f ca="1">_xll.EURO(UnderlyingPrice,$D132,IntRate,Yield,AX132,$D$6,1,0)</f>
        <v>3.6707826516447239</v>
      </c>
      <c r="BC132" s="39">
        <f ca="1">_xll.EURO(UnderlyingPrice,$D132*(1+$P$8),IntRate,Yield,AY132,$D$6,1,0)</f>
        <v>3.670237250714341</v>
      </c>
      <c r="BD132" s="39">
        <f ca="1">_xll.EURO(UnderlyingPrice,$D132*(1-$P$8),IntRate,Yield,AZ132,$D$6,1,0)</f>
        <v>3.6713280527896957</v>
      </c>
      <c r="BF132" s="59">
        <f t="shared" ca="1" si="53"/>
        <v>6.9666174911149528E-4</v>
      </c>
      <c r="BG132" s="39">
        <f t="shared" ca="1" si="54"/>
        <v>7.0885160217477275E-4</v>
      </c>
      <c r="BI132" s="58"/>
    </row>
    <row r="133" spans="3:61" x14ac:dyDescent="0.2">
      <c r="C133" s="98"/>
      <c r="D133" s="63">
        <f t="shared" ca="1" si="70"/>
        <v>1.0050000000000003</v>
      </c>
      <c r="E133" s="45">
        <f t="shared" ca="1" si="40"/>
        <v>-0.79256965944272439</v>
      </c>
      <c r="F133" s="45">
        <f t="shared" ca="1" si="58"/>
        <v>-0.79246594427244577</v>
      </c>
      <c r="G133" s="45">
        <f t="shared" ca="1" si="59"/>
        <v>-0.79267337461300302</v>
      </c>
      <c r="H133" s="45">
        <f t="shared" ca="1" si="60"/>
        <v>0.68211688399998449</v>
      </c>
      <c r="I133" s="45">
        <f t="shared" ca="1" si="61"/>
        <v>0.68217627836345396</v>
      </c>
      <c r="J133" s="45">
        <f t="shared" ca="1" si="62"/>
        <v>0.6822356855065943</v>
      </c>
      <c r="L133" s="58"/>
      <c r="M133" s="58"/>
      <c r="O133" s="58"/>
      <c r="P133" s="58"/>
      <c r="R133" s="59">
        <f t="shared" ca="1" si="64"/>
        <v>1.1689330293033042</v>
      </c>
      <c r="S133" s="59">
        <f t="shared" ca="1" si="65"/>
        <v>-1.5152991576253847</v>
      </c>
      <c r="T133" s="59">
        <f t="shared" ca="1" si="63"/>
        <v>-2.2961315371002002</v>
      </c>
      <c r="U133" s="59">
        <f t="shared" ca="1" si="66"/>
        <v>-9.9553840891690744</v>
      </c>
      <c r="V133" s="59"/>
      <c r="W133" s="105">
        <f t="shared" ca="1" si="67"/>
        <v>3.7749195709801989E-5</v>
      </c>
      <c r="Z133" s="59">
        <f t="shared" ca="1" si="68"/>
        <v>1.210389378524857</v>
      </c>
      <c r="AA133" s="59">
        <f t="shared" ca="1" si="69"/>
        <v>-1.5191813128192519</v>
      </c>
      <c r="AB133" s="59">
        <f t="shared" ca="1" si="38"/>
        <v>-2.307911861219226</v>
      </c>
      <c r="AC133" s="59">
        <f t="shared" ca="1" si="44"/>
        <v>-10.728806764995289</v>
      </c>
      <c r="AD133" s="60">
        <f t="shared" ca="1" si="39"/>
        <v>2.1904756236013259E-5</v>
      </c>
      <c r="AE133" s="60">
        <f t="shared" ca="1" si="45"/>
        <v>2.6513284287246574E-5</v>
      </c>
      <c r="AF133" s="60"/>
      <c r="AG133" s="93">
        <f t="shared" ca="1" si="71"/>
        <v>-2.6414158639838377</v>
      </c>
      <c r="AH133" s="97">
        <f t="shared" ca="1" si="47"/>
        <v>-4.6307121401075682</v>
      </c>
      <c r="AI133" s="97">
        <f t="shared" ca="1" si="48"/>
        <v>-4.6337613065823859</v>
      </c>
      <c r="AJ133" s="62"/>
      <c r="AK133" s="97">
        <f t="shared" ca="1" si="49"/>
        <v>1.244206966122376E-5</v>
      </c>
      <c r="AL133" s="62"/>
      <c r="AM133" s="95"/>
      <c r="AN133" s="96"/>
      <c r="AX133" s="107">
        <f t="shared" ca="1" si="50"/>
        <v>0.61275380042522654</v>
      </c>
      <c r="AY133" s="107">
        <f t="shared" ca="1" si="51"/>
        <v>0.61271144391447363</v>
      </c>
      <c r="AZ133" s="107">
        <f t="shared" ca="1" si="52"/>
        <v>0.61279616562938766</v>
      </c>
      <c r="BB133" s="39">
        <f ca="1">_xll.EURO(UnderlyingPrice,$D133,IntRate,Yield,AX133,$D$6,1,0)</f>
        <v>3.7739697733262401</v>
      </c>
      <c r="BC133" s="39">
        <f ca="1">_xll.EURO(UnderlyingPrice,$D133*(1+$P$8),IntRate,Yield,AY133,$D$6,1,0)</f>
        <v>3.7734759372008915</v>
      </c>
      <c r="BD133" s="39">
        <f ca="1">_xll.EURO(UnderlyingPrice,$D133*(1-$P$8),IntRate,Yield,AZ133,$D$6,1,0)</f>
        <v>3.77446360954263</v>
      </c>
      <c r="BF133" s="59">
        <f t="shared" ca="1" si="53"/>
        <v>3.6054930345099138E-4</v>
      </c>
      <c r="BG133" s="39">
        <f t="shared" ca="1" si="54"/>
        <v>3.6685802218966185E-4</v>
      </c>
      <c r="BI133" s="58"/>
    </row>
    <row r="134" spans="3:61" x14ac:dyDescent="0.2">
      <c r="C134" s="98"/>
      <c r="D134" s="63">
        <f t="shared" ca="1" si="70"/>
        <v>0.90000000000000036</v>
      </c>
      <c r="E134" s="45">
        <f t="shared" ca="1" si="40"/>
        <v>-0.81424148606811131</v>
      </c>
      <c r="F134" s="45">
        <f t="shared" ca="1" si="58"/>
        <v>-0.81414860681114543</v>
      </c>
      <c r="G134" s="45">
        <f t="shared" ca="1" si="59"/>
        <v>-0.8143343653250773</v>
      </c>
      <c r="H134" s="45">
        <f t="shared" ca="1" si="60"/>
        <v>0.69481348411716692</v>
      </c>
      <c r="I134" s="45">
        <f t="shared" ca="1" si="61"/>
        <v>0.69486908705228057</v>
      </c>
      <c r="J134" s="45">
        <f t="shared" ca="1" si="62"/>
        <v>0.69492470042531673</v>
      </c>
      <c r="L134" s="58"/>
      <c r="M134" s="58"/>
      <c r="O134" s="58"/>
      <c r="P134" s="58"/>
      <c r="R134" s="59">
        <f t="shared" ca="1" si="64"/>
        <v>1.3053085493886896</v>
      </c>
      <c r="S134" s="59">
        <f t="shared" ca="1" si="65"/>
        <v>-1.62564721479425</v>
      </c>
      <c r="T134" s="59">
        <f t="shared" ca="1" si="63"/>
        <v>-2.6427288669683024</v>
      </c>
      <c r="U134" s="59">
        <f t="shared" ca="1" si="66"/>
        <v>-11.458133164021755</v>
      </c>
      <c r="V134" s="59"/>
      <c r="W134" s="105">
        <f t="shared" ca="1" si="67"/>
        <v>9.023331908619795E-6</v>
      </c>
      <c r="Z134" s="59">
        <f t="shared" ca="1" si="68"/>
        <v>1.3516014726860903</v>
      </c>
      <c r="AA134" s="59">
        <f t="shared" ca="1" si="69"/>
        <v>-1.6295293699881173</v>
      </c>
      <c r="AB134" s="59">
        <f t="shared" ca="1" si="38"/>
        <v>-2.6553659676538706</v>
      </c>
      <c r="AC134" s="59">
        <f t="shared" ca="1" si="44"/>
        <v>-12.344019213217683</v>
      </c>
      <c r="AD134" s="60">
        <f t="shared" ca="1" si="39"/>
        <v>4.3557261890341343E-6</v>
      </c>
      <c r="AE134" s="60">
        <f t="shared" ca="1" si="45"/>
        <v>5.8872059317159078E-6</v>
      </c>
      <c r="AF134" s="60"/>
      <c r="AG134" s="93">
        <f t="shared" ca="1" si="71"/>
        <v>-2.7121433986659769</v>
      </c>
      <c r="AH134" s="97">
        <f t="shared" ca="1" si="47"/>
        <v>-4.9671817085490702</v>
      </c>
      <c r="AI134" s="97">
        <f t="shared" ca="1" si="48"/>
        <v>-4.9702308750238879</v>
      </c>
      <c r="AJ134" s="62"/>
      <c r="AK134" s="97">
        <f t="shared" ca="1" si="49"/>
        <v>2.6633503893037237E-6</v>
      </c>
      <c r="AL134" s="62"/>
      <c r="AM134" s="95"/>
      <c r="AN134" s="96"/>
      <c r="AX134" s="107">
        <f t="shared" ca="1" si="50"/>
        <v>0.62179615757056583</v>
      </c>
      <c r="AY134" s="107">
        <f t="shared" ca="1" si="51"/>
        <v>0.62175658580177984</v>
      </c>
      <c r="AZ134" s="107">
        <f t="shared" ca="1" si="52"/>
        <v>0.62183573642657908</v>
      </c>
      <c r="BB134" s="39">
        <f ca="1">_xll.EURO(UnderlyingPrice,$D134,IntRate,Yield,AX134,$D$6,1,0)</f>
        <v>3.8771610016706948</v>
      </c>
      <c r="BC134" s="39">
        <f ca="1">_xll.EURO(UnderlyingPrice,$D134*(1+$P$8),IntRate,Yield,AY134,$D$6,1,0)</f>
        <v>3.8767187482976846</v>
      </c>
      <c r="BD134" s="39">
        <f ca="1">_xll.EURO(UnderlyingPrice,$D134*(1-$P$8),IntRate,Yield,AZ134,$D$6,1,0)</f>
        <v>3.8776032550778212</v>
      </c>
      <c r="BF134" s="59">
        <f t="shared" ca="1" si="53"/>
        <v>1.6847757756800584E-4</v>
      </c>
      <c r="BG134" s="39">
        <f t="shared" ca="1" si="54"/>
        <v>1.7142551739336611E-4</v>
      </c>
      <c r="BI134" s="58"/>
    </row>
    <row r="135" spans="3:61" x14ac:dyDescent="0.2">
      <c r="C135" s="98"/>
      <c r="D135" s="63">
        <f t="shared" ca="1" si="70"/>
        <v>0.79500000000000037</v>
      </c>
      <c r="E135" s="45">
        <f t="shared" ca="1" si="40"/>
        <v>-0.83591331269349833</v>
      </c>
      <c r="F135" s="45">
        <f t="shared" ca="1" si="58"/>
        <v>-0.83583126934984509</v>
      </c>
      <c r="G135" s="45">
        <f t="shared" ca="1" si="59"/>
        <v>-0.83599535603715158</v>
      </c>
      <c r="H135" s="45">
        <f t="shared" ca="1" si="60"/>
        <v>0.70807889536468904</v>
      </c>
      <c r="I135" s="45">
        <f t="shared" ca="1" si="61"/>
        <v>0.70813018261769956</v>
      </c>
      <c r="J135" s="45">
        <f t="shared" ca="1" si="62"/>
        <v>0.708181478162765</v>
      </c>
      <c r="L135" s="58"/>
      <c r="M135" s="58"/>
      <c r="O135" s="58"/>
      <c r="P135" s="58"/>
      <c r="R135" s="59">
        <f t="shared" ca="1" si="64"/>
        <v>1.4777077917607806</v>
      </c>
      <c r="S135" s="59">
        <f t="shared" ca="1" si="65"/>
        <v>-1.7496998634642289</v>
      </c>
      <c r="T135" s="59">
        <f t="shared" ca="1" si="63"/>
        <v>-3.0614496122067414</v>
      </c>
      <c r="U135" s="59">
        <f t="shared" ca="1" si="66"/>
        <v>-13.273589194130654</v>
      </c>
      <c r="V135" s="59"/>
      <c r="W135" s="105">
        <f t="shared" ca="1" si="67"/>
        <v>1.5866064080950552E-6</v>
      </c>
      <c r="Z135" s="59">
        <f t="shared" ca="1" si="68"/>
        <v>1.5301148747389699</v>
      </c>
      <c r="AA135" s="59">
        <f t="shared" ca="1" si="69"/>
        <v>-1.7535820186580962</v>
      </c>
      <c r="AB135" s="59">
        <f t="shared" ca="1" si="38"/>
        <v>-3.0750498961610035</v>
      </c>
      <c r="AC135" s="59">
        <f t="shared" ca="1" si="44"/>
        <v>-14.295006964088046</v>
      </c>
      <c r="AD135" s="60">
        <f t="shared" ca="1" si="39"/>
        <v>6.1909508580997472E-7</v>
      </c>
      <c r="AE135" s="60">
        <f t="shared" ca="1" si="45"/>
        <v>9.4728659967564124E-7</v>
      </c>
      <c r="AF135" s="60"/>
      <c r="AG135" s="93">
        <f t="shared" ca="1" si="71"/>
        <v>-2.7828709333481161</v>
      </c>
      <c r="AH135" s="97">
        <f t="shared" ca="1" si="47"/>
        <v>-5.3454388544645486</v>
      </c>
      <c r="AI135" s="97">
        <f t="shared" ca="1" si="48"/>
        <v>-5.3484880209393664</v>
      </c>
      <c r="AJ135" s="62"/>
      <c r="AK135" s="97">
        <f t="shared" ca="1" si="49"/>
        <v>4.1367111466452322E-7</v>
      </c>
      <c r="AL135" s="62"/>
      <c r="AM135" s="95"/>
      <c r="AN135" s="96"/>
      <c r="AX135" s="107">
        <f t="shared" ca="1" si="50"/>
        <v>0.63122437486592409</v>
      </c>
      <c r="AY135" s="107">
        <f t="shared" ca="1" si="51"/>
        <v>0.63118794682843815</v>
      </c>
      <c r="AZ135" s="107">
        <f t="shared" ca="1" si="52"/>
        <v>0.63126080852350563</v>
      </c>
      <c r="BB135" s="39">
        <f ca="1">_xll.EURO(UnderlyingPrice,$D135,IntRate,Yield,AX135,$D$6,1,0)</f>
        <v>3.9803541716907964</v>
      </c>
      <c r="BC135" s="39">
        <f ca="1">_xll.EURO(UnderlyingPrice,$D135*(1+$P$8),IntRate,Yield,AY135,$D$6,1,0)</f>
        <v>3.979963509830827</v>
      </c>
      <c r="BD135" s="39">
        <f ca="1">_xll.EURO(UnderlyingPrice,$D135*(1-$P$8),IntRate,Yield,AZ135,$D$6,1,0)</f>
        <v>3.9807448335616327</v>
      </c>
      <c r="BF135" s="59">
        <f t="shared" ca="1" si="53"/>
        <v>6.8774893176890307E-5</v>
      </c>
      <c r="BG135" s="39">
        <f t="shared" ca="1" si="54"/>
        <v>6.9978283263023375E-5</v>
      </c>
      <c r="BI135" s="58"/>
    </row>
    <row r="136" spans="3:61" x14ac:dyDescent="0.2">
      <c r="D136" s="63">
        <f t="shared" ca="1" si="70"/>
        <v>0.69000000000000039</v>
      </c>
      <c r="E136" s="45">
        <f t="shared" ca="1" si="40"/>
        <v>-0.85758513931888536</v>
      </c>
      <c r="F136" s="45">
        <f t="shared" ca="1" si="58"/>
        <v>-0.85751393188854486</v>
      </c>
      <c r="G136" s="45">
        <f t="shared" ca="1" si="59"/>
        <v>-0.85765634674922586</v>
      </c>
      <c r="H136" s="45">
        <f t="shared" ca="1" si="60"/>
        <v>0.7219234304431823</v>
      </c>
      <c r="I136" s="45">
        <f t="shared" ca="1" si="61"/>
        <v>0.72196986230674709</v>
      </c>
      <c r="J136" s="45">
        <f t="shared" ca="1" si="62"/>
        <v>0.72201630052782684</v>
      </c>
      <c r="L136" s="58"/>
      <c r="M136" s="58"/>
      <c r="O136" s="58"/>
      <c r="P136" s="58"/>
      <c r="R136" s="59">
        <f t="shared" ca="1" si="64"/>
        <v>1.7025763687678557</v>
      </c>
      <c r="S136" s="59">
        <f t="shared" ca="1" si="65"/>
        <v>-1.8913503805272556</v>
      </c>
      <c r="T136" s="59">
        <f t="shared" ca="1" si="63"/>
        <v>-3.5772062619205944</v>
      </c>
      <c r="U136" s="59">
        <f t="shared" ca="1" si="66"/>
        <v>-15.509765763931574</v>
      </c>
      <c r="V136" s="59"/>
      <c r="W136" s="105">
        <f t="shared" ca="1" si="67"/>
        <v>1.8441066805255054E-7</v>
      </c>
      <c r="Z136" s="59">
        <f t="shared" ca="1" si="68"/>
        <v>1.7629584426340306</v>
      </c>
      <c r="AA136" s="59">
        <f t="shared" ca="1" si="69"/>
        <v>-1.8952325357211228</v>
      </c>
      <c r="AB136" s="59">
        <f t="shared" ca="1" si="38"/>
        <v>-3.5919063644559173</v>
      </c>
      <c r="AC136" s="59">
        <f t="shared" ca="1" si="44"/>
        <v>-16.697721412049933</v>
      </c>
      <c r="AD136" s="60">
        <f t="shared" ca="1" si="39"/>
        <v>5.601079415320202E-8</v>
      </c>
      <c r="AE136" s="60">
        <f t="shared" ca="1" si="45"/>
        <v>9.8744702431024302E-8</v>
      </c>
      <c r="AF136" s="60"/>
      <c r="AG136" s="93">
        <f t="shared" ca="1" si="71"/>
        <v>-2.8535984680302553</v>
      </c>
      <c r="AH136" s="97">
        <f t="shared" ca="1" si="47"/>
        <v>-5.7773548262408028</v>
      </c>
      <c r="AI136" s="97">
        <f t="shared" ca="1" si="48"/>
        <v>-5.7804039927156197</v>
      </c>
      <c r="AJ136" s="62"/>
      <c r="AK136" s="97">
        <f t="shared" ca="1" si="49"/>
        <v>4.1730539151326857E-8</v>
      </c>
      <c r="AL136" s="62"/>
      <c r="AM136" s="95"/>
      <c r="AN136" s="96"/>
      <c r="AX136" s="107">
        <f t="shared" ca="1" si="50"/>
        <v>0.64104473838945475</v>
      </c>
      <c r="AY136" s="107">
        <f t="shared" ca="1" si="51"/>
        <v>0.64101182250643463</v>
      </c>
      <c r="AZ136" s="107">
        <f t="shared" ca="1" si="52"/>
        <v>0.64107765857391763</v>
      </c>
      <c r="BB136" s="39">
        <f ca="1">_xll.EURO(UnderlyingPrice,$D136,IntRate,Yield,AX136,$D$6,1,0)</f>
        <v>4.0835481491516203</v>
      </c>
      <c r="BC136" s="39">
        <f ca="1">_xll.EURO(UnderlyingPrice,$D136*(1+$P$8),IntRate,Yield,AY136,$D$6,1,0)</f>
        <v>4.0832090825881764</v>
      </c>
      <c r="BD136" s="39">
        <f ca="1">_xll.EURO(UnderlyingPrice,$D136*(1-$P$8),IntRate,Yield,AZ136,$D$6,1,0)</f>
        <v>4.0838872157178381</v>
      </c>
      <c r="BF136" s="59">
        <f t="shared" ca="1" si="53"/>
        <v>2.3296727799233672E-5</v>
      </c>
      <c r="BG136" s="39">
        <f t="shared" ca="1" si="54"/>
        <v>2.3704362765686209E-5</v>
      </c>
      <c r="BI136" s="58"/>
    </row>
    <row r="137" spans="3:61" x14ac:dyDescent="0.2">
      <c r="D137" s="63">
        <f t="shared" ca="1" si="70"/>
        <v>0.58500000000000041</v>
      </c>
      <c r="E137" s="45">
        <f t="shared" ca="1" si="40"/>
        <v>-0.87925696594427238</v>
      </c>
      <c r="F137" s="45">
        <f t="shared" ca="1" si="58"/>
        <v>-0.87919659442724452</v>
      </c>
      <c r="G137" s="45">
        <f t="shared" ca="1" si="59"/>
        <v>-0.87931733746130014</v>
      </c>
      <c r="H137" s="45">
        <f t="shared" ca="1" si="60"/>
        <v>0.7363574020532776</v>
      </c>
      <c r="I137" s="45">
        <f t="shared" ca="1" si="61"/>
        <v>0.73639842336645978</v>
      </c>
      <c r="J137" s="45">
        <f t="shared" ca="1" si="62"/>
        <v>0.73643944932938998</v>
      </c>
      <c r="L137" s="58"/>
      <c r="M137" s="58"/>
      <c r="O137" s="58"/>
      <c r="P137" s="58"/>
      <c r="R137" s="59">
        <f t="shared" ca="1" si="64"/>
        <v>2.0081669990595219</v>
      </c>
      <c r="S137" s="59">
        <f t="shared" ca="1" si="65"/>
        <v>-2.0564301308867039</v>
      </c>
      <c r="T137" s="59">
        <f t="shared" ca="1" si="63"/>
        <v>-4.2289048832187062</v>
      </c>
      <c r="U137" s="59">
        <f t="shared" ca="1" si="66"/>
        <v>-18.335348697912032</v>
      </c>
      <c r="V137" s="59"/>
      <c r="W137" s="105">
        <f t="shared" ca="1" si="67"/>
        <v>1.1986754342055376E-8</v>
      </c>
      <c r="Z137" s="59">
        <f t="shared" ca="1" si="68"/>
        <v>2.0793868810555227</v>
      </c>
      <c r="AA137" s="59">
        <f t="shared" ca="1" si="69"/>
        <v>-2.0603122860805714</v>
      </c>
      <c r="AB137" s="59">
        <f t="shared" ca="1" si="38"/>
        <v>-4.24488671617455</v>
      </c>
      <c r="AC137" s="59">
        <f t="shared" ca="1" si="44"/>
        <v>-19.733235953418461</v>
      </c>
      <c r="AD137" s="60">
        <f t="shared" ca="1" si="39"/>
        <v>2.691314897131519E-9</v>
      </c>
      <c r="AE137" s="60">
        <f t="shared" ca="1" si="45"/>
        <v>5.5962848898845745E-9</v>
      </c>
      <c r="AF137" s="60"/>
      <c r="AG137" s="93">
        <f t="shared" ca="1" si="71"/>
        <v>-2.9243260027123945</v>
      </c>
      <c r="AH137" s="97">
        <f t="shared" ca="1" si="47"/>
        <v>-6.2807104247619012</v>
      </c>
      <c r="AI137" s="97">
        <f t="shared" ca="1" si="48"/>
        <v>-6.2837595912367172</v>
      </c>
      <c r="AJ137" s="62"/>
      <c r="AK137" s="97">
        <f t="shared" ca="1" si="49"/>
        <v>2.299727269081142E-9</v>
      </c>
      <c r="AL137" s="62"/>
      <c r="AM137" s="95"/>
      <c r="AN137" s="96"/>
      <c r="AX137" s="107">
        <f t="shared" ca="1" si="50"/>
        <v>0.6512635342193116</v>
      </c>
      <c r="AY137" s="107">
        <f t="shared" ca="1" si="51"/>
        <v>0.6512345083477552</v>
      </c>
      <c r="AZ137" s="107">
        <f t="shared" ca="1" si="52"/>
        <v>0.65129256323156526</v>
      </c>
      <c r="BB137" s="39">
        <f ca="1">_xll.EURO(UnderlyingPrice,$D137,IntRate,Yield,AX137,$D$6,1,0)</f>
        <v>4.1867424091247516</v>
      </c>
      <c r="BC137" s="39">
        <f ca="1">_xll.EURO(UnderlyingPrice,$D137*(1+$P$8),IntRate,Yield,AY137,$D$6,1,0)</f>
        <v>4.1864549392424442</v>
      </c>
      <c r="BD137" s="39">
        <f ca="1">_xll.EURO(UnderlyingPrice,$D137*(1-$P$8),IntRate,Yield,AZ137,$D$6,1,0)</f>
        <v>4.1870298790075777</v>
      </c>
      <c r="BF137" s="59">
        <f t="shared" ca="1" si="53"/>
        <v>6.0626336136152805E-6</v>
      </c>
      <c r="BG137" s="39">
        <f t="shared" ca="1" si="54"/>
        <v>6.1687146680447947E-6</v>
      </c>
      <c r="BI137" s="58"/>
    </row>
    <row r="138" spans="3:61" x14ac:dyDescent="0.2">
      <c r="D138" s="63">
        <f t="shared" ca="1" si="70"/>
        <v>0.48000000000000043</v>
      </c>
      <c r="E138" s="45">
        <f t="shared" ca="1" si="40"/>
        <v>-0.90092879256965941</v>
      </c>
      <c r="F138" s="45">
        <f t="shared" ca="1" si="58"/>
        <v>-0.90087925696594418</v>
      </c>
      <c r="G138" s="45">
        <f t="shared" ca="1" si="59"/>
        <v>-0.90097832817337453</v>
      </c>
      <c r="H138" s="45">
        <f t="shared" ca="1" si="60"/>
        <v>0.75139112289560639</v>
      </c>
      <c r="I138" s="45">
        <f t="shared" ca="1" si="61"/>
        <v>0.75142616304387411</v>
      </c>
      <c r="J138" s="45">
        <f t="shared" ca="1" si="62"/>
        <v>0.75146120637634206</v>
      </c>
      <c r="L138" s="58"/>
      <c r="M138" s="58"/>
      <c r="O138" s="58"/>
      <c r="P138" s="58"/>
      <c r="R138" s="59">
        <f t="shared" ca="1" si="64"/>
        <v>2.4474535301037919</v>
      </c>
      <c r="S138" s="59">
        <f t="shared" ca="1" si="65"/>
        <v>-2.2542558742166237</v>
      </c>
      <c r="T138" s="59">
        <f t="shared" ca="1" si="63"/>
        <v>-5.0816695464401542</v>
      </c>
      <c r="U138" s="59">
        <f t="shared" ca="1" si="66"/>
        <v>-22.032697749073971</v>
      </c>
      <c r="V138" s="59"/>
      <c r="W138" s="105">
        <f t="shared" ca="1" si="67"/>
        <v>3.2920983040320083E-10</v>
      </c>
      <c r="Z138" s="59">
        <f t="shared" ca="1" si="68"/>
        <v>2.5342527612864179</v>
      </c>
      <c r="AA138" s="59">
        <f t="shared" ca="1" si="69"/>
        <v>-2.2581380294104911</v>
      </c>
      <c r="AB138" s="59">
        <f t="shared" ca="1" si="38"/>
        <v>-5.0991873598698962</v>
      </c>
      <c r="AC138" s="59">
        <f t="shared" ca="1" si="44"/>
        <v>-23.704629609923366</v>
      </c>
      <c r="AD138" s="60">
        <f t="shared" ca="1" si="39"/>
        <v>5.0723611183390631E-11</v>
      </c>
      <c r="AE138" s="60">
        <f t="shared" ca="1" si="45"/>
        <v>1.2854645170392634E-10</v>
      </c>
      <c r="AF138" s="60"/>
      <c r="AG138" s="93">
        <f t="shared" ca="1" si="71"/>
        <v>-2.9950535373945337</v>
      </c>
      <c r="AH138" s="97">
        <f t="shared" ca="1" si="47"/>
        <v>-6.8839139989125284</v>
      </c>
      <c r="AI138" s="97">
        <f t="shared" ca="1" si="48"/>
        <v>-6.8869631653873462</v>
      </c>
      <c r="AJ138" s="62"/>
      <c r="AK138" s="97">
        <f t="shared" ca="1" si="49"/>
        <v>5.1824234556750309E-11</v>
      </c>
      <c r="AL138" s="62"/>
      <c r="AM138" s="95"/>
      <c r="AX138" s="107">
        <f t="shared" ca="1" si="50"/>
        <v>0.66188704843364787</v>
      </c>
      <c r="AY138" s="107">
        <f t="shared" ca="1" si="51"/>
        <v>0.66186229986438605</v>
      </c>
      <c r="AZ138" s="107">
        <f t="shared" ca="1" si="52"/>
        <v>0.66191179915019827</v>
      </c>
      <c r="BB138" s="39">
        <f ca="1">_xll.EURO(UnderlyingPrice,$D138,IntRate,Yield,AX138,$D$6,1,0)</f>
        <v>4.2899367468504437</v>
      </c>
      <c r="BC138" s="39">
        <f ca="1">_xll.EURO(UnderlyingPrice,$D138*(1+$P$8),IntRate,Yield,AY138,$D$6,1,0)</f>
        <v>4.2897008740512277</v>
      </c>
      <c r="BD138" s="39">
        <f ca="1">_xll.EURO(UnderlyingPrice,$D138*(1-$P$8),IntRate,Yield,AZ138,$D$6,1,0)</f>
        <v>4.2901726196497219</v>
      </c>
      <c r="BF138" s="59">
        <f t="shared" ca="1" si="53"/>
        <v>1.0793834961633446E-6</v>
      </c>
      <c r="BG138" s="39">
        <f t="shared" ca="1" si="54"/>
        <v>1.098270030746216E-6</v>
      </c>
      <c r="BI138" s="58"/>
    </row>
    <row r="139" spans="3:61" x14ac:dyDescent="0.2">
      <c r="D139" s="63">
        <f t="shared" ca="1" si="70"/>
        <v>0.37500000000000044</v>
      </c>
      <c r="E139" s="45">
        <f t="shared" ca="1" si="40"/>
        <v>-0.92260061919504632</v>
      </c>
      <c r="F139" s="45">
        <f t="shared" ca="1" si="58"/>
        <v>-0.92256191950464383</v>
      </c>
      <c r="G139" s="45">
        <f t="shared" ca="1" si="59"/>
        <v>-0.92263931888544881</v>
      </c>
      <c r="H139" s="45">
        <f t="shared" ca="1" si="60"/>
        <v>0.76703490567079979</v>
      </c>
      <c r="I139" s="45">
        <f t="shared" ca="1" si="61"/>
        <v>0.76706337858602636</v>
      </c>
      <c r="J139" s="45">
        <f t="shared" ca="1" si="62"/>
        <v>0.76709185347757003</v>
      </c>
      <c r="L139" s="58"/>
      <c r="M139" s="58"/>
      <c r="O139" s="58"/>
      <c r="P139" s="58"/>
      <c r="R139" s="59">
        <f t="shared" ca="1" si="64"/>
        <v>3.1327405185328523</v>
      </c>
      <c r="S139" s="59">
        <f t="shared" ca="1" si="65"/>
        <v>-2.5011159521481492</v>
      </c>
      <c r="T139" s="59">
        <f t="shared" ca="1" si="63"/>
        <v>-6.2555810060899431</v>
      </c>
      <c r="U139" s="59">
        <f t="shared" ca="1" si="66"/>
        <v>-27.122449480915087</v>
      </c>
      <c r="V139" s="59"/>
      <c r="W139" s="105">
        <f t="shared" ca="1" si="67"/>
        <v>2.2763212830979008E-12</v>
      </c>
      <c r="Z139" s="59">
        <f t="shared" ca="1" si="68"/>
        <v>3.2438435344466141</v>
      </c>
      <c r="AA139" s="59">
        <f t="shared" ca="1" si="69"/>
        <v>-2.5049981073420167</v>
      </c>
      <c r="AB139" s="59">
        <f t="shared" ca="1" si="38"/>
        <v>-6.2750155177870859</v>
      </c>
      <c r="AC139" s="59">
        <f t="shared" ca="1" si="44"/>
        <v>-29.170710575627794</v>
      </c>
      <c r="AD139" s="60">
        <f t="shared" ca="1" si="39"/>
        <v>2.1444768573671179E-13</v>
      </c>
      <c r="AE139" s="60">
        <f t="shared" ca="1" si="45"/>
        <v>6.9563473885407189E-13</v>
      </c>
      <c r="AF139" s="60"/>
      <c r="AG139" s="93">
        <f t="shared" ca="1" si="71"/>
        <v>-3.0657810720766729</v>
      </c>
      <c r="AH139" s="97">
        <f t="shared" ca="1" si="47"/>
        <v>-7.636631409785906</v>
      </c>
      <c r="AI139" s="97">
        <f t="shared" ca="1" si="48"/>
        <v>-7.6396805762607247</v>
      </c>
      <c r="AJ139" s="62"/>
      <c r="AK139" s="97">
        <f t="shared" ca="1" si="49"/>
        <v>2.7995207484119927E-13</v>
      </c>
      <c r="AL139" s="62"/>
      <c r="AM139" s="95"/>
      <c r="AX139" s="107">
        <f t="shared" ca="1" si="50"/>
        <v>0.67292156711061724</v>
      </c>
      <c r="AY139" s="107">
        <f t="shared" ca="1" si="51"/>
        <v>0.67290149256831333</v>
      </c>
      <c r="AZ139" s="107">
        <f t="shared" ca="1" si="52"/>
        <v>0.67294164298356696</v>
      </c>
      <c r="BB139" s="39">
        <f ca="1">_xll.EURO(UnderlyingPrice,$D139,IntRate,Yield,AX139,$D$6,1,0)</f>
        <v>4.3931310997073734</v>
      </c>
      <c r="BC139" s="39">
        <f ca="1">_xll.EURO(UnderlyingPrice,$D139*(1+$P$8),IntRate,Yield,AY139,$D$6,1,0)</f>
        <v>4.3929468240745777</v>
      </c>
      <c r="BD139" s="39">
        <f ca="1">_xll.EURO(UnderlyingPrice,$D139*(1-$P$8),IntRate,Yield,AZ139,$D$6,1,0)</f>
        <v>4.3933153753401708</v>
      </c>
      <c r="BF139" s="59">
        <f t="shared" ca="1" si="53"/>
        <v>5.0527483431829233E-8</v>
      </c>
      <c r="BG139" s="39">
        <f t="shared" ca="1" si="54"/>
        <v>5.1411589096417134E-8</v>
      </c>
      <c r="BI139" s="58"/>
    </row>
    <row r="140" spans="3:61" x14ac:dyDescent="0.2">
      <c r="C140" s="98" t="s">
        <v>96</v>
      </c>
      <c r="D140" s="63">
        <f ca="1">MaxStrike</f>
        <v>6.5000000000000142</v>
      </c>
      <c r="E140" s="45">
        <f t="shared" ca="1" si="40"/>
        <v>0.3415892672858647</v>
      </c>
      <c r="F140" s="45">
        <f t="shared" ca="1" si="58"/>
        <v>0.34226006191950753</v>
      </c>
      <c r="G140" s="45">
        <f t="shared" ca="1" si="59"/>
        <v>0.34091847265222186</v>
      </c>
      <c r="H140" s="45">
        <f t="shared" ca="1" si="60"/>
        <v>0.55081486583353889</v>
      </c>
      <c r="I140" s="45">
        <f t="shared" ca="1" si="61"/>
        <v>0.55073164361305049</v>
      </c>
      <c r="J140" s="45">
        <f t="shared" ca="1" si="62"/>
        <v>0.55064843969166744</v>
      </c>
      <c r="L140" s="58"/>
      <c r="M140" s="58"/>
      <c r="O140" s="58"/>
      <c r="P140" s="58"/>
      <c r="R140" s="59">
        <f ca="1">(1/($D140*SQRT(2*PI()*T/365.25*$I$140^2)))</f>
        <v>0.1756681887516853</v>
      </c>
      <c r="S140" s="59">
        <f ca="1">LN($D140/UnderlyingPrice)+0.5*T/365.25*$I$140^2</f>
        <v>0.35488968236198476</v>
      </c>
      <c r="T140" s="59">
        <f t="shared" ca="1" si="63"/>
        <v>-0.12594668664699044</v>
      </c>
      <c r="U140" s="59">
        <f ca="1">T140/(2*T/365.25*$I$140^2)</f>
        <v>-0.51588105542224538</v>
      </c>
      <c r="V140" s="59"/>
      <c r="W140" s="105">
        <f ca="1">(Alpha2*R140)*EXP(Gamma2^2*U140)</f>
        <v>9.2608845521757618E-2</v>
      </c>
      <c r="Z140" s="59">
        <f t="shared" ca="1" si="68"/>
        <v>0.18714481929499677</v>
      </c>
      <c r="AA140" s="59">
        <f t="shared" ca="1" si="69"/>
        <v>0.34763332257130208</v>
      </c>
      <c r="AB140" s="59">
        <f t="shared" ca="1" si="38"/>
        <v>-0.12084892696196296</v>
      </c>
      <c r="AC140" s="59">
        <f t="shared" ca="1" si="44"/>
        <v>-0.56179129147808071</v>
      </c>
      <c r="AD140" s="60">
        <f t="shared" ca="1" si="39"/>
        <v>0.57018677780003657</v>
      </c>
      <c r="AE140" s="60">
        <f t="shared" ca="1" si="45"/>
        <v>0.10670750149578431</v>
      </c>
      <c r="AF140" s="60"/>
      <c r="AG140" s="93">
        <f ca="1">MaxStandard</f>
        <v>1.0599917843814457</v>
      </c>
      <c r="AH140" s="97">
        <f t="shared" ca="1" si="47"/>
        <v>1.0615159864730295</v>
      </c>
      <c r="AI140" s="97">
        <f t="shared" ca="1" si="48"/>
        <v>1.0584668199982117</v>
      </c>
      <c r="AJ140" s="62"/>
      <c r="AK140" s="97">
        <f t="shared" ca="1" si="49"/>
        <v>0.19741706491358352</v>
      </c>
      <c r="AL140" s="62"/>
      <c r="AM140" s="95"/>
      <c r="AX140" s="107">
        <f t="shared" ca="1" si="50"/>
        <v>0.51914537248604609</v>
      </c>
      <c r="AY140" s="107">
        <f t="shared" ca="1" si="51"/>
        <v>0.51921983000314109</v>
      </c>
      <c r="AZ140" s="107">
        <f t="shared" ca="1" si="52"/>
        <v>0.51907096344881276</v>
      </c>
      <c r="BB140" s="39">
        <f ca="1">_xll.EURO(UnderlyingPrice,$D140,IntRate,Yield,AX140,$D$6,1,0)</f>
        <v>0.18351056638956675</v>
      </c>
      <c r="BC140" s="39">
        <f ca="1">_xll.EURO(UnderlyingPrice,$D140*(1+$P$8),IntRate,Yield,AY140,$D$6,1,0)</f>
        <v>0.18311588025838466</v>
      </c>
      <c r="BD140" s="39">
        <f ca="1">_xll.EURO(UnderlyingPrice,$D140*(1-$P$8),IntRate,Yield,AZ140,$D$6,1,0)</f>
        <v>0.18390625956079421</v>
      </c>
      <c r="BF140" s="59">
        <f t="shared" ca="1" si="53"/>
        <v>9.5341069382554447E-2</v>
      </c>
      <c r="BG140" s="39">
        <f t="shared" ca="1" si="54"/>
        <v>9.7009301674841647E-2</v>
      </c>
      <c r="BI140" s="58"/>
    </row>
    <row r="141" spans="3:61" x14ac:dyDescent="0.2">
      <c r="C141" s="56">
        <v>10</v>
      </c>
      <c r="D141" s="63">
        <f ca="1">+D140+UTFactor*(ROUNDUP(MAX(StrikeRange),1)-ROUNDDOWN(MIN(StrikeRange),1))/100</f>
        <v>6.8500000000000139</v>
      </c>
      <c r="E141" s="45">
        <f t="shared" ca="1" si="40"/>
        <v>0.41382868937048789</v>
      </c>
      <c r="F141" s="45">
        <f t="shared" ca="1" si="58"/>
        <v>0.41453560371517328</v>
      </c>
      <c r="G141" s="45">
        <f t="shared" ca="1" si="59"/>
        <v>0.41312177502580272</v>
      </c>
      <c r="H141" s="45">
        <f t="shared" ca="1" si="60"/>
        <v>0.5598235030554195</v>
      </c>
      <c r="I141" s="45">
        <f t="shared" ca="1" si="61"/>
        <v>0.559735606635134</v>
      </c>
      <c r="J141" s="45">
        <f t="shared" ca="1" si="62"/>
        <v>0.55964769401670256</v>
      </c>
      <c r="L141" s="58"/>
      <c r="M141" s="58"/>
      <c r="O141" s="58"/>
      <c r="P141" s="58"/>
      <c r="R141" s="59">
        <f t="shared" ref="R141:R164" ca="1" si="72">(1/($D141*SQRT(2*PI()*T/365.25*$I$140^2)))</f>
        <v>0.16669244188116125</v>
      </c>
      <c r="S141" s="59">
        <f t="shared" ref="S141:S164" ca="1" si="73">LN($D141/UnderlyingPrice)+0.5*T/365.25*$I$140^2</f>
        <v>0.40733615773452703</v>
      </c>
      <c r="T141" s="59">
        <f t="shared" ca="1" si="63"/>
        <v>-0.16592274539792748</v>
      </c>
      <c r="U141" s="59">
        <f t="shared" ref="U141:U164" ca="1" si="74">T141/(2*T/365.25*$I$140^2)</f>
        <v>-0.67962407978506911</v>
      </c>
      <c r="V141" s="59"/>
      <c r="W141" s="105">
        <f t="shared" ref="W141:W164" ca="1" si="75">(Alpha2*R141)*EXP(Gamma2^2*U141)</f>
        <v>7.4289745433809604E-2</v>
      </c>
      <c r="Z141" s="59">
        <f t="shared" ca="1" si="68"/>
        <v>0.17758267524342763</v>
      </c>
      <c r="AA141" s="59">
        <f t="shared" ca="1" si="69"/>
        <v>0.40007979794384435</v>
      </c>
      <c r="AB141" s="59">
        <f t="shared" ca="1" si="38"/>
        <v>-0.16006384472278731</v>
      </c>
      <c r="AC141" s="59">
        <f t="shared" ca="1" si="44"/>
        <v>-0.74408996675712835</v>
      </c>
      <c r="AD141" s="60">
        <f t="shared" ca="1" si="39"/>
        <v>0.47516652057213193</v>
      </c>
      <c r="AE141" s="60">
        <f t="shared" ca="1" si="45"/>
        <v>8.4381341909310376E-2</v>
      </c>
      <c r="AF141" s="60"/>
      <c r="AG141" s="94">
        <f ca="1">AG140+UTFactor*(MaxStandard-MinStandard)/100</f>
        <v>1.2957502333219095</v>
      </c>
      <c r="AH141" s="97">
        <f t="shared" ca="1" si="47"/>
        <v>1.2214340075748655</v>
      </c>
      <c r="AI141" s="97">
        <f t="shared" ca="1" si="48"/>
        <v>1.2183848411000471</v>
      </c>
      <c r="AJ141" s="62"/>
      <c r="AK141" s="97">
        <f t="shared" ca="1" si="49"/>
        <v>0.16689307075367063</v>
      </c>
      <c r="AL141" s="62"/>
      <c r="AM141" s="95"/>
      <c r="AX141" s="107">
        <f t="shared" ca="1" si="50"/>
        <v>0.52740359009214566</v>
      </c>
      <c r="AY141" s="107">
        <f t="shared" ca="1" si="51"/>
        <v>0.52748640997492413</v>
      </c>
      <c r="AZ141" s="107">
        <f t="shared" ca="1" si="52"/>
        <v>0.52732080175602858</v>
      </c>
      <c r="BB141" s="39">
        <f ca="1">_xll.EURO(UnderlyingPrice,$D141,IntRate,Yield,AX141,$D$6,1,0)</f>
        <v>0.14626399002529344</v>
      </c>
      <c r="BC141" s="39">
        <f ca="1">_xll.EURO(UnderlyingPrice,$D141*(1+$P$8),IntRate,Yield,AY141,$D$6,1,0)</f>
        <v>0.14594706242721323</v>
      </c>
      <c r="BD141" s="39">
        <f ca="1">_xll.EURO(UnderlyingPrice,$D141*(1-$P$8),IntRate,Yield,AZ141,$D$6,1,0)</f>
        <v>0.14658175145568253</v>
      </c>
      <c r="BF141" s="59">
        <f t="shared" ca="1" si="53"/>
        <v>7.1081660940176011E-2</v>
      </c>
      <c r="BG141" s="39">
        <f t="shared" ca="1" si="54"/>
        <v>7.2325413741961872E-2</v>
      </c>
      <c r="BI141" s="58"/>
    </row>
    <row r="142" spans="3:61" x14ac:dyDescent="0.2">
      <c r="C142" s="56"/>
      <c r="D142" s="63">
        <f t="shared" ref="D142:D164" ca="1" si="76">+D141+UTFactor*(ROUNDUP(MAX(StrikeRange),1)-ROUNDDOWN(MIN(StrikeRange),1))/100</f>
        <v>7.2000000000000135</v>
      </c>
      <c r="E142" s="45">
        <f t="shared" ca="1" si="40"/>
        <v>0.48606811145511131</v>
      </c>
      <c r="F142" s="45">
        <f t="shared" ca="1" si="58"/>
        <v>0.48681114551083859</v>
      </c>
      <c r="G142" s="45">
        <f t="shared" ca="1" si="59"/>
        <v>0.4853250773993838</v>
      </c>
      <c r="H142" s="45">
        <f t="shared" ca="1" si="60"/>
        <v>0.56865908206880622</v>
      </c>
      <c r="I142" s="45">
        <f t="shared" ca="1" si="61"/>
        <v>0.56857041644824091</v>
      </c>
      <c r="J142" s="45">
        <f t="shared" ca="1" si="62"/>
        <v>0.56848169258355963</v>
      </c>
      <c r="L142" s="58"/>
      <c r="M142" s="58"/>
      <c r="O142" s="58"/>
      <c r="P142" s="58"/>
      <c r="R142" s="59">
        <f t="shared" ca="1" si="72"/>
        <v>0.1585893370674937</v>
      </c>
      <c r="S142" s="59">
        <f t="shared" ca="1" si="73"/>
        <v>0.45716853148240272</v>
      </c>
      <c r="T142" s="59">
        <f t="shared" ca="1" si="63"/>
        <v>-0.20900306617777664</v>
      </c>
      <c r="U142" s="59">
        <f t="shared" ca="1" si="74"/>
        <v>-0.85608224588299042</v>
      </c>
      <c r="V142" s="59"/>
      <c r="W142" s="105">
        <f t="shared" ca="1" si="75"/>
        <v>5.8976100318400629E-2</v>
      </c>
      <c r="Z142" s="59">
        <f t="shared" ca="1" si="68"/>
        <v>0.16895018408576104</v>
      </c>
      <c r="AA142" s="59">
        <f t="shared" ca="1" si="69"/>
        <v>0.44991217169172004</v>
      </c>
      <c r="AB142" s="59">
        <f t="shared" ca="1" si="38"/>
        <v>-0.20242096223635977</v>
      </c>
      <c r="AC142" s="59">
        <f t="shared" ref="AC142:AC164" ca="1" si="77">AB142/(2*T/365.25*ATMImpVol^2)</f>
        <v>-0.94099580903017077</v>
      </c>
      <c r="AD142" s="60">
        <f t="shared" ca="1" si="39"/>
        <v>0.39023903824860023</v>
      </c>
      <c r="AE142" s="60">
        <f t="shared" ref="AE142:AE164" ca="1" si="78">AD142*Z142</f>
        <v>6.5930957349551358E-2</v>
      </c>
      <c r="AF142" s="60"/>
      <c r="AG142" s="94">
        <f t="shared" ref="AG142:AG164" ca="1" si="79">AG141+UTFactor*(MaxStandard-MinStandard)/100</f>
        <v>1.5315086822623734</v>
      </c>
      <c r="AH142" s="97">
        <f t="shared" ref="AH142:AH164" ca="1" si="80">(LN(($D142*(1+$P$8))/UnderlyingPrice)+0.5*ATMImpVol^2*(T/365.25))/(ATMImpVol*SQRT(T/365.25))</f>
        <v>1.3733811983052344</v>
      </c>
      <c r="AI142" s="97">
        <f t="shared" ref="AI142:AI164" ca="1" si="81">(LN($D142*(1-$P$8)/UnderlyingPrice)+0.5*ATMImpVol^2*(T/365.25))/(ATMImpVol*SQRT(T/365.25))</f>
        <v>1.3703320318304169</v>
      </c>
      <c r="AJ142" s="62"/>
      <c r="AK142" s="97">
        <f t="shared" ref="AK142:AK164" ca="1" si="82">W142/(AH142-AI142)*(D142*2*$P$8)</f>
        <v>0.13926032763360063</v>
      </c>
      <c r="AL142" s="62"/>
      <c r="AM142" s="95"/>
      <c r="AX142" s="107">
        <f t="shared" ref="AX142:AX164" ca="1" si="83">OFFSET(ENAVolCoef,0,impvol_order-2)+OFFSET(ENAVolCoef,1,impvol_order-2)*E142+OFFSET(ENAVolCoef,2,impvol_order-2)*E142^2+IF(impvol_order&gt;2,OFFSET(ENAVolCoef,3,impvol_order-2)*E142^3,0)+IF(impvol_order&gt;3,OFFSET(ENAVolCoef,4,impvol_order-2)*E142^4,0)+IF(impvol_order&gt;4,OFFSET(ENAVolCoef,5,impvol_order-2)*E142^5,0)</f>
        <v>0.53599124163883594</v>
      </c>
      <c r="AY142" s="107">
        <f t="shared" ref="AY142:AY164" ca="1" si="84">OFFSET(ENAVolCoef,0,impvol_order-2)+OFFSET(ENAVolCoef,1,impvol_order-2)*F142+OFFSET(ENAVolCoef,2,impvol_order-2)*F142^2+IF(impvol_order&gt;2,OFFSET(ENAVolCoef,3,impvol_order-2)*F142^3,0)+IF(impvol_order&gt;3,OFFSET(ENAVolCoef,4,impvol_order-2)*F142^4,0)+IF(impvol_order&gt;4,OFFSET(ENAVolCoef,5,impvol_order-2)*F142^5,0)</f>
        <v>0.53608047283715499</v>
      </c>
      <c r="AZ142" s="107">
        <f t="shared" ref="AZ142:AZ164" ca="1" si="85">OFFSET(ENAVolCoef,0,impvol_order-2)+OFFSET(ENAVolCoef,1,impvol_order-2)*G142+OFFSET(ENAVolCoef,2,impvol_order-2)*G142^2+IF(impvol_order&gt;2,OFFSET(ENAVolCoef,3,impvol_order-2)*G142^3,0)+IF(impvol_order&gt;3,OFFSET(ENAVolCoef,4,impvol_order-2)*G142^4,0)+IF(impvol_order&gt;4,OFFSET(ENAVolCoef,5,impvol_order-2)*G142^5,0)</f>
        <v>0.53590202066211967</v>
      </c>
      <c r="BB142" s="39">
        <f ca="1">_xll.EURO(UnderlyingPrice,$D142,IntRate,Yield,AX142,$D$6,1,0)</f>
        <v>0.11778394640826917</v>
      </c>
      <c r="BC142" s="39">
        <f ca="1">_xll.EURO(UnderlyingPrice,$D142*(1+$P$8),IntRate,Yield,AY142,$D$6,1,0)</f>
        <v>0.11752809151277821</v>
      </c>
      <c r="BD142" s="39">
        <f ca="1">_xll.EURO(UnderlyingPrice,$D142*(1-$P$8),IntRate,Yield,AZ142,$D$6,1,0)</f>
        <v>0.11804048289686375</v>
      </c>
      <c r="BF142" s="59">
        <f t="shared" ref="BF142:BF164" ca="1" si="86">(BC142+BD142-2*BB142)/($P$8*$D142)^2</f>
        <v>5.259206046482582E-2</v>
      </c>
      <c r="BG142" s="39">
        <f t="shared" ref="BG142:BG164" ca="1" si="87">+BF142/$D$9</f>
        <v>5.3512291107858628E-2</v>
      </c>
      <c r="BI142" s="58"/>
    </row>
    <row r="143" spans="3:61" x14ac:dyDescent="0.2">
      <c r="C143" s="56"/>
      <c r="D143" s="63">
        <f t="shared" ca="1" si="76"/>
        <v>7.5500000000000131</v>
      </c>
      <c r="E143" s="45">
        <f t="shared" ca="1" si="40"/>
        <v>0.5583075335397345</v>
      </c>
      <c r="F143" s="45">
        <f t="shared" ca="1" si="58"/>
        <v>0.55908668730650413</v>
      </c>
      <c r="G143" s="45">
        <f t="shared" ca="1" si="59"/>
        <v>0.55752837977296488</v>
      </c>
      <c r="H143" s="45">
        <f t="shared" ca="1" si="60"/>
        <v>0.57693965099846778</v>
      </c>
      <c r="I143" s="45">
        <f t="shared" ca="1" si="61"/>
        <v>0.57685469353250174</v>
      </c>
      <c r="J143" s="45">
        <f t="shared" ca="1" si="62"/>
        <v>0.57676962765566231</v>
      </c>
      <c r="L143" s="58"/>
      <c r="M143" s="58"/>
      <c r="O143" s="58"/>
      <c r="P143" s="58"/>
      <c r="R143" s="59">
        <f t="shared" ca="1" si="72"/>
        <v>0.15123751349482845</v>
      </c>
      <c r="S143" s="59">
        <f t="shared" ca="1" si="73"/>
        <v>0.50463506872132624</v>
      </c>
      <c r="T143" s="59">
        <f t="shared" ca="1" si="63"/>
        <v>-0.25465655258337766</v>
      </c>
      <c r="U143" s="59">
        <f t="shared" ca="1" si="74"/>
        <v>-1.0430801683979243</v>
      </c>
      <c r="V143" s="59"/>
      <c r="W143" s="105">
        <f t="shared" ca="1" si="75"/>
        <v>4.6425363784221248E-2</v>
      </c>
      <c r="Z143" s="59">
        <f t="shared" ca="1" si="68"/>
        <v>0.16111805634668605</v>
      </c>
      <c r="AA143" s="59">
        <f t="shared" ca="1" si="69"/>
        <v>0.49737870893064356</v>
      </c>
      <c r="AB143" s="59">
        <f t="shared" ca="1" si="38"/>
        <v>-0.24738558009751385</v>
      </c>
      <c r="AC143" s="59">
        <f t="shared" ca="1" si="77"/>
        <v>-1.1500231572579867</v>
      </c>
      <c r="AD143" s="60">
        <f t="shared" ca="1" si="39"/>
        <v>0.31662943702459556</v>
      </c>
      <c r="AE143" s="60">
        <f t="shared" ca="1" si="78"/>
        <v>5.1014719475548267E-2</v>
      </c>
      <c r="AF143" s="60"/>
      <c r="AG143" s="94">
        <f t="shared" ca="1" si="79"/>
        <v>1.7672671312028372</v>
      </c>
      <c r="AH143" s="97">
        <f t="shared" ca="1" si="80"/>
        <v>1.5181145602687589</v>
      </c>
      <c r="AI143" s="97">
        <f t="shared" ca="1" si="81"/>
        <v>1.5150653937939418</v>
      </c>
      <c r="AJ143" s="62"/>
      <c r="AK143" s="97">
        <f t="shared" ca="1" si="82"/>
        <v>0.11495321736800003</v>
      </c>
      <c r="AL143" s="62"/>
      <c r="AM143" s="95"/>
      <c r="AX143" s="107">
        <f t="shared" ca="1" si="83"/>
        <v>0.5446755094167276</v>
      </c>
      <c r="AY143" s="107">
        <f t="shared" ca="1" si="84"/>
        <v>0.54476885147923804</v>
      </c>
      <c r="AZ143" s="107">
        <f t="shared" ca="1" si="85"/>
        <v>0.54458215150967682</v>
      </c>
      <c r="BB143" s="39">
        <f ca="1">_xll.EURO(UnderlyingPrice,$D143,IntRate,Yield,AX143,$D$6,1,0)</f>
        <v>9.5794293227018823E-2</v>
      </c>
      <c r="BC143" s="39">
        <f ca="1">_xll.EURO(UnderlyingPrice,$D143*(1+$P$8),IntRate,Yield,AY143,$D$6,1,0)</f>
        <v>9.5585835822963872E-2</v>
      </c>
      <c r="BD143" s="39">
        <f ca="1">_xll.EURO(UnderlyingPrice,$D143*(1-$P$8),IntRate,Yield,AZ143,$D$6,1,0)</f>
        <v>9.6003303467024681E-2</v>
      </c>
      <c r="BF143" s="59">
        <f t="shared" ca="1" si="86"/>
        <v>3.8793803844154415E-2</v>
      </c>
      <c r="BG143" s="39">
        <f t="shared" ca="1" si="87"/>
        <v>3.9472599212536506E-2</v>
      </c>
      <c r="BI143" s="58"/>
    </row>
    <row r="144" spans="3:61" x14ac:dyDescent="0.2">
      <c r="C144" s="56"/>
      <c r="D144" s="63">
        <f t="shared" ca="1" si="76"/>
        <v>7.9000000000000128</v>
      </c>
      <c r="E144" s="45">
        <f t="shared" ca="1" si="40"/>
        <v>0.6305469556243577</v>
      </c>
      <c r="F144" s="45">
        <f t="shared" ca="1" si="58"/>
        <v>0.63136222910216988</v>
      </c>
      <c r="G144" s="45">
        <f t="shared" ca="1" si="59"/>
        <v>0.62973168214654551</v>
      </c>
      <c r="H144" s="45">
        <f t="shared" ca="1" si="60"/>
        <v>0.58428325796917258</v>
      </c>
      <c r="I144" s="45">
        <f t="shared" ca="1" si="61"/>
        <v>0.58420705836804732</v>
      </c>
      <c r="J144" s="45">
        <f t="shared" ca="1" si="62"/>
        <v>0.58413069149643382</v>
      </c>
      <c r="L144" s="58"/>
      <c r="M144" s="58"/>
      <c r="O144" s="58"/>
      <c r="P144" s="58"/>
      <c r="R144" s="59">
        <f t="shared" ca="1" si="72"/>
        <v>0.14453711732733607</v>
      </c>
      <c r="S144" s="59">
        <f t="shared" ca="1" si="73"/>
        <v>0.54995026493336852</v>
      </c>
      <c r="T144" s="59">
        <f t="shared" ca="1" si="63"/>
        <v>-0.30244529390028224</v>
      </c>
      <c r="U144" s="59">
        <f t="shared" ca="1" si="74"/>
        <v>-1.2388241531282642</v>
      </c>
      <c r="V144" s="59"/>
      <c r="W144" s="105">
        <f t="shared" ca="1" si="75"/>
        <v>3.6297154834100079E-2</v>
      </c>
      <c r="Z144" s="59">
        <f t="shared" ca="1" si="68"/>
        <v>0.15397991460980756</v>
      </c>
      <c r="AA144" s="59">
        <f t="shared" ca="1" si="69"/>
        <v>0.5426939051426859</v>
      </c>
      <c r="AB144" s="59">
        <f t="shared" ref="AB144:AB164" ca="1" si="88">-(AA144^2)</f>
        <v>-0.29451667467901854</v>
      </c>
      <c r="AC144" s="59">
        <f t="shared" ca="1" si="77"/>
        <v>-1.3691218216760246</v>
      </c>
      <c r="AD144" s="60">
        <f t="shared" ref="AD144:AD164" ca="1" si="89">EXP(AC144)</f>
        <v>0.25433020878862334</v>
      </c>
      <c r="AE144" s="60">
        <f t="shared" ca="1" si="78"/>
        <v>3.9161743831966751E-2</v>
      </c>
      <c r="AF144" s="60"/>
      <c r="AG144" s="94">
        <f t="shared" ca="1" si="79"/>
        <v>2.003025580143301</v>
      </c>
      <c r="AH144" s="97">
        <f t="shared" ca="1" si="80"/>
        <v>1.6562881258438664</v>
      </c>
      <c r="AI144" s="97">
        <f t="shared" ca="1" si="81"/>
        <v>1.653238959369048</v>
      </c>
      <c r="AJ144" s="62"/>
      <c r="AK144" s="97">
        <f t="shared" ca="1" si="82"/>
        <v>9.4041281628109166E-2</v>
      </c>
      <c r="AL144" s="62"/>
      <c r="AM144" s="95"/>
      <c r="AX144" s="107">
        <f t="shared" ca="1" si="83"/>
        <v>0.5532235757164311</v>
      </c>
      <c r="AY144" s="107">
        <f t="shared" ca="1" si="84"/>
        <v>0.55331837879057733</v>
      </c>
      <c r="AZ144" s="107">
        <f t="shared" ca="1" si="85"/>
        <v>0.55312872564129012</v>
      </c>
      <c r="BB144" s="39">
        <f ca="1">_xll.EURO(UnderlyingPrice,$D144,IntRate,Yield,AX144,$D$6,1,0)</f>
        <v>7.8593897076260855E-2</v>
      </c>
      <c r="BC144" s="39">
        <f ca="1">_xll.EURO(UnderlyingPrice,$D144*(1+$P$8),IntRate,Yield,AY144,$D$6,1,0)</f>
        <v>7.8421954253166615E-2</v>
      </c>
      <c r="BD144" s="39">
        <f ca="1">_xll.EURO(UnderlyingPrice,$D144*(1-$P$8),IntRate,Yield,AZ144,$D$6,1,0)</f>
        <v>7.8766286607966751E-2</v>
      </c>
      <c r="BF144" s="59">
        <f t="shared" ca="1" si="86"/>
        <v>2.8630579180043622E-2</v>
      </c>
      <c r="BG144" s="39">
        <f t="shared" ca="1" si="87"/>
        <v>2.9131543319048488E-2</v>
      </c>
      <c r="BI144" s="58"/>
    </row>
    <row r="145" spans="3:61" x14ac:dyDescent="0.2">
      <c r="C145" s="56"/>
      <c r="D145" s="63">
        <f t="shared" ca="1" si="76"/>
        <v>8.2500000000000124</v>
      </c>
      <c r="E145" s="45">
        <f t="shared" ca="1" si="40"/>
        <v>0.70278637770898089</v>
      </c>
      <c r="F145" s="45">
        <f t="shared" ca="1" si="58"/>
        <v>0.70363777089783541</v>
      </c>
      <c r="G145" s="45">
        <f t="shared" ca="1" si="59"/>
        <v>0.70193498452012637</v>
      </c>
      <c r="H145" s="45">
        <f t="shared" ca="1" si="60"/>
        <v>0.59030795110568934</v>
      </c>
      <c r="I145" s="45">
        <f t="shared" ca="1" si="61"/>
        <v>0.59024613143500837</v>
      </c>
      <c r="J145" s="45">
        <f t="shared" ca="1" si="62"/>
        <v>0.59018407636929782</v>
      </c>
      <c r="L145" s="58"/>
      <c r="M145" s="58"/>
      <c r="O145" s="58"/>
      <c r="P145" s="58"/>
      <c r="R145" s="59">
        <f t="shared" ca="1" si="72"/>
        <v>0.13840523962254001</v>
      </c>
      <c r="S145" s="59">
        <f t="shared" ca="1" si="73"/>
        <v>0.59330070580698213</v>
      </c>
      <c r="T145" s="59">
        <f t="shared" ca="1" si="63"/>
        <v>-0.35200572751106318</v>
      </c>
      <c r="U145" s="59">
        <f t="shared" ca="1" si="74"/>
        <v>-1.4418250377007584</v>
      </c>
      <c r="V145" s="59"/>
      <c r="W145" s="105">
        <f t="shared" ca="1" si="75"/>
        <v>2.8223458836278758E-2</v>
      </c>
      <c r="Z145" s="59">
        <f t="shared" ca="1" si="68"/>
        <v>0.14744743338393695</v>
      </c>
      <c r="AA145" s="59">
        <f t="shared" ca="1" si="69"/>
        <v>0.58604434601629951</v>
      </c>
      <c r="AB145" s="59">
        <f t="shared" ca="1" si="88"/>
        <v>-0.3434479754976722</v>
      </c>
      <c r="AC145" s="59">
        <f t="shared" ca="1" si="77"/>
        <v>-1.5965891180076344</v>
      </c>
      <c r="AD145" s="60">
        <f t="shared" ca="1" si="89"/>
        <v>0.2025863389723922</v>
      </c>
      <c r="AE145" s="60">
        <f t="shared" ca="1" si="78"/>
        <v>2.987083572012747E-2</v>
      </c>
      <c r="AF145" s="60"/>
      <c r="AG145" s="94">
        <f t="shared" ca="1" si="79"/>
        <v>2.2387840290837651</v>
      </c>
      <c r="AH145" s="97">
        <f t="shared" ca="1" si="80"/>
        <v>1.7884708258090549</v>
      </c>
      <c r="AI145" s="97">
        <f t="shared" ca="1" si="81"/>
        <v>1.7854216593342367</v>
      </c>
      <c r="AJ145" s="62"/>
      <c r="AK145" s="97">
        <f t="shared" ca="1" si="82"/>
        <v>7.6363011768053893E-2</v>
      </c>
      <c r="AL145" s="62"/>
      <c r="AM145" s="95"/>
      <c r="AX145" s="107">
        <f t="shared" ca="1" si="83"/>
        <v>0.56140262282855702</v>
      </c>
      <c r="AY145" s="107">
        <f t="shared" ca="1" si="84"/>
        <v>0.56149588766057656</v>
      </c>
      <c r="AZ145" s="107">
        <f t="shared" ca="1" si="85"/>
        <v>0.56130927439955014</v>
      </c>
      <c r="BB145" s="39">
        <f ca="1">_xll.EURO(UnderlyingPrice,$D145,IntRate,Yield,AX145,$D$6,1,0)</f>
        <v>6.4928587477722066E-2</v>
      </c>
      <c r="BC145" s="39">
        <f ca="1">_xll.EURO(UnderlyingPrice,$D145*(1+$P$8),IntRate,Yield,AY145,$D$6,1,0)</f>
        <v>6.4784666325281348E-2</v>
      </c>
      <c r="BD145" s="39">
        <f ca="1">_xll.EURO(UnderlyingPrice,$D145*(1-$P$8),IntRate,Yield,AZ145,$D$6,1,0)</f>
        <v>6.5072869442869163E-2</v>
      </c>
      <c r="BF145" s="59">
        <f t="shared" ca="1" si="86"/>
        <v>2.1204787151763153E-2</v>
      </c>
      <c r="BG145" s="39">
        <f t="shared" ca="1" si="87"/>
        <v>2.1575818344372378E-2</v>
      </c>
      <c r="BI145" s="58"/>
    </row>
    <row r="146" spans="3:61" x14ac:dyDescent="0.2">
      <c r="C146" s="56"/>
      <c r="D146" s="63">
        <f t="shared" ca="1" si="76"/>
        <v>8.6000000000000121</v>
      </c>
      <c r="E146" s="45">
        <f t="shared" ca="1" si="40"/>
        <v>0.77502579979360431</v>
      </c>
      <c r="F146" s="45">
        <f t="shared" ca="1" si="58"/>
        <v>0.77591331269350072</v>
      </c>
      <c r="G146" s="45">
        <f t="shared" ca="1" si="59"/>
        <v>0.77413828689370767</v>
      </c>
      <c r="H146" s="45">
        <f t="shared" ca="1" si="60"/>
        <v>0.59463177853278637</v>
      </c>
      <c r="I146" s="45">
        <f t="shared" ca="1" si="61"/>
        <v>0.5945905332135154</v>
      </c>
      <c r="J146" s="45">
        <f t="shared" ca="1" si="62"/>
        <v>0.59454897453767763</v>
      </c>
      <c r="L146" s="58"/>
      <c r="M146" s="58"/>
      <c r="O146" s="58"/>
      <c r="P146" s="58"/>
      <c r="R146" s="59">
        <f t="shared" ca="1" si="72"/>
        <v>0.13277246824255293</v>
      </c>
      <c r="S146" s="59">
        <f t="shared" ca="1" si="73"/>
        <v>0.63484970871985458</v>
      </c>
      <c r="T146" s="59">
        <f t="shared" ca="1" si="63"/>
        <v>-0.40303415266168419</v>
      </c>
      <c r="U146" s="59">
        <f t="shared" ca="1" si="74"/>
        <v>-1.6508388555634013</v>
      </c>
      <c r="V146" s="59"/>
      <c r="W146" s="105">
        <f t="shared" ca="1" si="75"/>
        <v>2.1850004102137791E-2</v>
      </c>
      <c r="Z146" s="59">
        <f t="shared" ca="1" si="68"/>
        <v>0.14144666574621859</v>
      </c>
      <c r="AA146" s="59">
        <f t="shared" ca="1" si="69"/>
        <v>0.62759334892917196</v>
      </c>
      <c r="AB146" s="59">
        <f t="shared" ca="1" si="88"/>
        <v>-0.3938734116201334</v>
      </c>
      <c r="AC146" s="59">
        <f t="shared" ca="1" si="77"/>
        <v>-1.8310022120643099</v>
      </c>
      <c r="AD146" s="60">
        <f t="shared" ca="1" si="89"/>
        <v>0.16025287989738429</v>
      </c>
      <c r="AE146" s="60">
        <f t="shared" ca="1" si="78"/>
        <v>2.2667235537714228E-2</v>
      </c>
      <c r="AF146" s="60"/>
      <c r="AG146" s="94">
        <f t="shared" ca="1" si="79"/>
        <v>2.4745424780242291</v>
      </c>
      <c r="AH146" s="97">
        <f t="shared" ca="1" si="80"/>
        <v>1.9151606419956262</v>
      </c>
      <c r="AI146" s="97">
        <f t="shared" ca="1" si="81"/>
        <v>1.9121114755208091</v>
      </c>
      <c r="AJ146" s="62"/>
      <c r="AK146" s="97">
        <f t="shared" ca="1" si="82"/>
        <v>6.1626689401947272E-2</v>
      </c>
      <c r="AL146" s="62"/>
      <c r="AM146" s="95"/>
      <c r="AX146" s="107">
        <f t="shared" ca="1" si="83"/>
        <v>0.56897983304371602</v>
      </c>
      <c r="AY146" s="107">
        <f t="shared" ca="1" si="84"/>
        <v>0.56906821097864013</v>
      </c>
      <c r="AZ146" s="107">
        <f t="shared" ca="1" si="85"/>
        <v>0.56889132912704765</v>
      </c>
      <c r="BB146" s="39">
        <f ca="1">_xll.EURO(UnderlyingPrice,$D146,IntRate,Yield,AX146,$D$6,1,0)</f>
        <v>5.3881506007923408E-2</v>
      </c>
      <c r="BC146" s="39">
        <f ca="1">_xll.EURO(UnderlyingPrice,$D146*(1+$P$8),IntRate,Yield,AY146,$D$6,1,0)</f>
        <v>5.3759073222855114E-2</v>
      </c>
      <c r="BD146" s="39">
        <f ca="1">_xll.EURO(UnderlyingPrice,$D146*(1-$P$8),IntRate,Yield,AZ146,$D$6,1,0)</f>
        <v>5.4004231123238655E-2</v>
      </c>
      <c r="BF146" s="59">
        <f t="shared" ca="1" si="86"/>
        <v>1.581018101426402E-2</v>
      </c>
      <c r="BG146" s="39">
        <f t="shared" ca="1" si="87"/>
        <v>1.6086819976735396E-2</v>
      </c>
      <c r="BI146" s="58"/>
    </row>
    <row r="147" spans="3:61" x14ac:dyDescent="0.2">
      <c r="C147" s="56"/>
      <c r="D147" s="63">
        <f t="shared" ca="1" si="76"/>
        <v>8.9500000000000117</v>
      </c>
      <c r="E147" s="45">
        <f t="shared" ref="E147:E164" ca="1" si="90">+D147/UnderlyingPrice-1</f>
        <v>0.8472652218782275</v>
      </c>
      <c r="F147" s="45">
        <f t="shared" ca="1" si="58"/>
        <v>0.84818885448916648</v>
      </c>
      <c r="G147" s="45">
        <f t="shared" ca="1" si="59"/>
        <v>0.84634158926728853</v>
      </c>
      <c r="H147" s="45">
        <f t="shared" ca="1" si="60"/>
        <v>0.59687278837523228</v>
      </c>
      <c r="I147" s="45">
        <f t="shared" ca="1" si="61"/>
        <v>0.59685888418369915</v>
      </c>
      <c r="J147" s="45">
        <f t="shared" ca="1" si="62"/>
        <v>0.59684457826499671</v>
      </c>
      <c r="L147" s="58"/>
      <c r="M147" s="58"/>
      <c r="O147" s="58"/>
      <c r="P147" s="58"/>
      <c r="R147" s="59">
        <f t="shared" ca="1" si="72"/>
        <v>0.12758024881407323</v>
      </c>
      <c r="S147" s="59">
        <f t="shared" ca="1" si="73"/>
        <v>0.67474103774715644</v>
      </c>
      <c r="T147" s="59">
        <f t="shared" ca="1" si="63"/>
        <v>-0.4552754680201096</v>
      </c>
      <c r="U147" s="59">
        <f t="shared" ca="1" si="74"/>
        <v>-1.8648207047190561</v>
      </c>
      <c r="V147" s="59"/>
      <c r="W147" s="105">
        <f t="shared" ca="1" si="75"/>
        <v>1.6857745942908852E-2</v>
      </c>
      <c r="Z147" s="59">
        <f t="shared" ca="1" si="68"/>
        <v>0.13591523189022126</v>
      </c>
      <c r="AA147" s="59">
        <f t="shared" ca="1" si="69"/>
        <v>0.66748467795647382</v>
      </c>
      <c r="AB147" s="59">
        <f t="shared" ca="1" si="88"/>
        <v>-0.44553579530665754</v>
      </c>
      <c r="AC147" s="59">
        <f t="shared" ca="1" si="77"/>
        <v>-2.071165513317482</v>
      </c>
      <c r="AD147" s="60">
        <f t="shared" ca="1" si="89"/>
        <v>0.12603879616942329</v>
      </c>
      <c r="AE147" s="60">
        <f t="shared" ca="1" si="78"/>
        <v>1.7130592208531498E-2</v>
      </c>
      <c r="AF147" s="60"/>
      <c r="AG147" s="94">
        <f t="shared" ca="1" si="79"/>
        <v>2.7103009269646932</v>
      </c>
      <c r="AH147" s="97">
        <f t="shared" ca="1" si="80"/>
        <v>2.0367959349653453</v>
      </c>
      <c r="AI147" s="97">
        <f t="shared" ca="1" si="81"/>
        <v>2.0337467684905275</v>
      </c>
      <c r="AJ147" s="62"/>
      <c r="AK147" s="97">
        <f t="shared" ca="1" si="82"/>
        <v>4.9481334467987852E-2</v>
      </c>
      <c r="AL147" s="62"/>
      <c r="AM147" s="95"/>
      <c r="AX147" s="107">
        <f t="shared" ca="1" si="83"/>
        <v>0.57572238865251857</v>
      </c>
      <c r="AY147" s="107">
        <f t="shared" ca="1" si="84"/>
        <v>0.57580218163417218</v>
      </c>
      <c r="AZ147" s="107">
        <f t="shared" ca="1" si="85"/>
        <v>0.57564242116637265</v>
      </c>
      <c r="BB147" s="39">
        <f ca="1">_xll.EURO(UnderlyingPrice,$D147,IntRate,Yield,AX147,$D$6,1,0)</f>
        <v>4.478641288976043E-2</v>
      </c>
      <c r="BC147" s="39">
        <f ca="1">_xll.EURO(UnderlyingPrice,$D147*(1+$P$8),IntRate,Yield,AY147,$D$6,1,0)</f>
        <v>4.4680510101390181E-2</v>
      </c>
      <c r="BD147" s="39">
        <f ca="1">_xll.EURO(UnderlyingPrice,$D147*(1-$P$8),IntRate,Yield,AZ147,$D$6,1,0)</f>
        <v>4.4892554302327137E-2</v>
      </c>
      <c r="BF147" s="59">
        <f t="shared" ca="1" si="86"/>
        <v>1.1915942521546093E-2</v>
      </c>
      <c r="BG147" s="39">
        <f t="shared" ca="1" si="87"/>
        <v>1.2124441967128342E-2</v>
      </c>
      <c r="BI147" s="58"/>
    </row>
    <row r="148" spans="3:61" x14ac:dyDescent="0.2">
      <c r="C148" s="56"/>
      <c r="D148" s="63">
        <f t="shared" ca="1" si="76"/>
        <v>9.3000000000000114</v>
      </c>
      <c r="E148" s="45">
        <f t="shared" ca="1" si="90"/>
        <v>0.9195046439628507</v>
      </c>
      <c r="F148" s="45">
        <f t="shared" ca="1" si="58"/>
        <v>0.92046439628483223</v>
      </c>
      <c r="G148" s="45">
        <f t="shared" ca="1" si="59"/>
        <v>0.91854489164086939</v>
      </c>
      <c r="H148" s="45">
        <f t="shared" ca="1" si="60"/>
        <v>0.5966490287577958</v>
      </c>
      <c r="I148" s="45">
        <f t="shared" ca="1" si="61"/>
        <v>0.59666980482569032</v>
      </c>
      <c r="J148" s="45">
        <f t="shared" ca="1" si="62"/>
        <v>0.59669007981467903</v>
      </c>
      <c r="L148" s="58"/>
      <c r="M148" s="58"/>
      <c r="O148" s="58"/>
      <c r="P148" s="58"/>
      <c r="R148" s="59">
        <f t="shared" ca="1" si="72"/>
        <v>0.12277884160064036</v>
      </c>
      <c r="S148" s="59">
        <f t="shared" ca="1" si="73"/>
        <v>0.71310190561960252</v>
      </c>
      <c r="T148" s="59">
        <f t="shared" ca="1" si="63"/>
        <v>-0.50851432779830852</v>
      </c>
      <c r="U148" s="59">
        <f t="shared" ca="1" si="74"/>
        <v>-2.0828885229605492</v>
      </c>
      <c r="V148" s="59"/>
      <c r="W148" s="105">
        <f t="shared" ca="1" si="75"/>
        <v>1.2971550355459121E-2</v>
      </c>
      <c r="Z148" s="59">
        <f t="shared" ca="1" si="68"/>
        <v>0.13080014251800864</v>
      </c>
      <c r="AA148" s="59">
        <f t="shared" ca="1" si="69"/>
        <v>0.7058455458289199</v>
      </c>
      <c r="AB148" s="59">
        <f t="shared" ca="1" si="88"/>
        <v>-0.49821793456652586</v>
      </c>
      <c r="AC148" s="59">
        <f t="shared" ca="1" si="77"/>
        <v>-2.3160693597698794</v>
      </c>
      <c r="AD148" s="60">
        <f t="shared" ca="1" si="89"/>
        <v>9.86606238692741E-2</v>
      </c>
      <c r="AE148" s="60">
        <f t="shared" ca="1" si="78"/>
        <v>1.2904823663016698E-2</v>
      </c>
      <c r="AF148" s="60"/>
      <c r="AG148" s="94">
        <f t="shared" ca="1" si="79"/>
        <v>2.9460593759051572</v>
      </c>
      <c r="AH148" s="97">
        <f t="shared" ca="1" si="80"/>
        <v>2.1537645974795527</v>
      </c>
      <c r="AI148" s="97">
        <f t="shared" ca="1" si="81"/>
        <v>2.1507154310047345</v>
      </c>
      <c r="AJ148" s="62"/>
      <c r="AK148" s="97">
        <f t="shared" ca="1" si="82"/>
        <v>3.9563408328815934E-2</v>
      </c>
      <c r="AL148" s="62"/>
      <c r="AM148" s="95"/>
      <c r="AX148" s="107">
        <f t="shared" ca="1" si="83"/>
        <v>0.58139747194557523</v>
      </c>
      <c r="AY148" s="107">
        <f t="shared" ca="1" si="84"/>
        <v>0.58146463251657698</v>
      </c>
      <c r="AZ148" s="107">
        <f t="shared" ca="1" si="85"/>
        <v>0.58133008186011603</v>
      </c>
      <c r="BB148" s="39">
        <f ca="1">_xll.EURO(UnderlyingPrice,$D148,IntRate,Yield,AX148,$D$6,1,0)</f>
        <v>3.7162318555037627E-2</v>
      </c>
      <c r="BC148" s="39">
        <f ca="1">_xll.EURO(UnderlyingPrice,$D148*(1+$P$8),IntRate,Yield,AY148,$D$6,1,0)</f>
        <v>3.7069248775279756E-2</v>
      </c>
      <c r="BD148" s="39">
        <f ca="1">_xll.EURO(UnderlyingPrice,$D148*(1-$P$8),IntRate,Yield,AZ148,$D$6,1,0)</f>
        <v>3.7255585829909371E-2</v>
      </c>
      <c r="BF148" s="59">
        <f t="shared" ca="1" si="86"/>
        <v>9.1337779569384582E-3</v>
      </c>
      <c r="BG148" s="39">
        <f t="shared" ca="1" si="87"/>
        <v>9.2935964217094637E-3</v>
      </c>
      <c r="BI148" s="58"/>
    </row>
    <row r="149" spans="3:61" x14ac:dyDescent="0.2">
      <c r="C149" s="56"/>
      <c r="D149" s="63">
        <f t="shared" ca="1" si="76"/>
        <v>9.650000000000011</v>
      </c>
      <c r="E149" s="45">
        <f t="shared" ca="1" si="90"/>
        <v>0.99174406604747389</v>
      </c>
      <c r="F149" s="45">
        <f t="shared" ca="1" si="58"/>
        <v>0.99273993808049776</v>
      </c>
      <c r="G149" s="45">
        <f t="shared" ca="1" si="59"/>
        <v>0.99074819401445025</v>
      </c>
      <c r="H149" s="45">
        <f t="shared" ca="1" si="60"/>
        <v>0.59357854780524533</v>
      </c>
      <c r="I149" s="45">
        <f t="shared" ca="1" si="61"/>
        <v>0.59364191561961921</v>
      </c>
      <c r="J149" s="45">
        <f t="shared" ca="1" si="62"/>
        <v>0.5937046714501476</v>
      </c>
      <c r="L149" s="58"/>
      <c r="M149" s="58"/>
      <c r="O149" s="58"/>
      <c r="P149" s="58"/>
      <c r="R149" s="59">
        <f t="shared" ca="1" si="72"/>
        <v>0.11832572299336327</v>
      </c>
      <c r="S149" s="59">
        <f t="shared" ca="1" si="73"/>
        <v>0.75004542081128678</v>
      </c>
      <c r="T149" s="59">
        <f t="shared" ca="1" si="63"/>
        <v>-0.56256813327998023</v>
      </c>
      <c r="U149" s="59">
        <f t="shared" ca="1" si="74"/>
        <v>-2.3042943809775367</v>
      </c>
      <c r="V149" s="59"/>
      <c r="W149" s="105">
        <f t="shared" ca="1" si="75"/>
        <v>9.9612248239530094E-3</v>
      </c>
      <c r="Z149" s="59">
        <f t="shared" ca="1" si="68"/>
        <v>0.12605609589818448</v>
      </c>
      <c r="AA149" s="59">
        <f t="shared" ca="1" si="69"/>
        <v>0.74278906102060416</v>
      </c>
      <c r="AB149" s="59">
        <f t="shared" ca="1" si="88"/>
        <v>-0.55173558917187082</v>
      </c>
      <c r="AC149" s="59">
        <f t="shared" ca="1" si="77"/>
        <v>-2.5648572725254284</v>
      </c>
      <c r="AD149" s="60">
        <f t="shared" ca="1" si="89"/>
        <v>7.6930160705850473E-2</v>
      </c>
      <c r="AE149" s="60">
        <f t="shared" ca="1" si="78"/>
        <v>9.697515715399431E-3</v>
      </c>
      <c r="AF149" s="60"/>
      <c r="AG149" s="94">
        <f t="shared" ca="1" si="79"/>
        <v>3.1818178248456213</v>
      </c>
      <c r="AH149" s="97">
        <f t="shared" ca="1" si="80"/>
        <v>2.2664115160767317</v>
      </c>
      <c r="AI149" s="97">
        <f t="shared" ca="1" si="81"/>
        <v>2.2633623496019135</v>
      </c>
      <c r="AJ149" s="62"/>
      <c r="AK149" s="97">
        <f t="shared" ca="1" si="82"/>
        <v>3.1525277594716086E-2</v>
      </c>
      <c r="AL149" s="62"/>
      <c r="AM149" s="95"/>
      <c r="AX149" s="107">
        <f t="shared" ca="1" si="83"/>
        <v>0.58577226521349679</v>
      </c>
      <c r="AY149" s="107">
        <f t="shared" ca="1" si="84"/>
        <v>0.58582239651525814</v>
      </c>
      <c r="AZ149" s="107">
        <f t="shared" ca="1" si="85"/>
        <v>0.58572184255086801</v>
      </c>
      <c r="BB149" s="39">
        <f ca="1">_xll.EURO(UnderlyingPrice,$D149,IntRate,Yield,AX149,$D$6,1,0)</f>
        <v>3.0665561017745369E-2</v>
      </c>
      <c r="BC149" s="39">
        <f ca="1">_xll.EURO(UnderlyingPrice,$D149*(1+$P$8),IntRate,Yield,AY149,$D$6,1,0)</f>
        <v>3.0582646362602273E-2</v>
      </c>
      <c r="BD149" s="39">
        <f ca="1">_xll.EURO(UnderlyingPrice,$D149*(1-$P$8),IntRate,Yield,AZ149,$D$6,1,0)</f>
        <v>3.0748642903378282E-2</v>
      </c>
      <c r="BF149" s="59">
        <f t="shared" ca="1" si="86"/>
        <v>7.1832474350253944E-3</v>
      </c>
      <c r="BG149" s="39">
        <f t="shared" ca="1" si="87"/>
        <v>7.3089364524887472E-3</v>
      </c>
      <c r="BI149" s="58"/>
    </row>
    <row r="150" spans="3:61" x14ac:dyDescent="0.2">
      <c r="C150" s="56"/>
      <c r="D150" s="63">
        <f t="shared" ca="1" si="76"/>
        <v>10.000000000000011</v>
      </c>
      <c r="E150" s="45">
        <f t="shared" ca="1" si="90"/>
        <v>1.0639834881320973</v>
      </c>
      <c r="F150" s="45">
        <f t="shared" ca="1" si="58"/>
        <v>1.0650154798761631</v>
      </c>
      <c r="G150" s="45">
        <f t="shared" ca="1" si="59"/>
        <v>1.0629514963880315</v>
      </c>
      <c r="H150" s="45">
        <f t="shared" ca="1" si="60"/>
        <v>0.58727939364234938</v>
      </c>
      <c r="I150" s="45">
        <f t="shared" ca="1" si="61"/>
        <v>0.5873938370456171</v>
      </c>
      <c r="J150" s="45">
        <f t="shared" ca="1" si="62"/>
        <v>0.58750754543482597</v>
      </c>
      <c r="L150" s="58"/>
      <c r="M150" s="58"/>
      <c r="O150" s="58"/>
      <c r="P150" s="58"/>
      <c r="R150" s="59">
        <f t="shared" ca="1" si="72"/>
        <v>0.11418432268859556</v>
      </c>
      <c r="S150" s="59">
        <f t="shared" ca="1" si="73"/>
        <v>0.78567259845443782</v>
      </c>
      <c r="T150" s="59">
        <f t="shared" ca="1" si="63"/>
        <v>-0.61728143196214824</v>
      </c>
      <c r="U150" s="59">
        <f t="shared" ca="1" si="74"/>
        <v>-2.5284015410880789</v>
      </c>
      <c r="V150" s="59"/>
      <c r="W150" s="105">
        <f t="shared" ca="1" si="75"/>
        <v>7.6383906409380102E-3</v>
      </c>
      <c r="Z150" s="59">
        <f t="shared" ca="1" si="68"/>
        <v>0.12164413254174805</v>
      </c>
      <c r="AA150" s="59">
        <f t="shared" ca="1" si="69"/>
        <v>0.7784162386637552</v>
      </c>
      <c r="AB150" s="59">
        <f t="shared" ca="1" si="88"/>
        <v>-0.60593184061542826</v>
      </c>
      <c r="AC150" s="59">
        <f t="shared" ca="1" si="77"/>
        <v>-2.8167997833706435</v>
      </c>
      <c r="AD150" s="60">
        <f t="shared" ca="1" si="89"/>
        <v>5.9797000187607412E-2</v>
      </c>
      <c r="AE150" s="60">
        <f t="shared" ca="1" si="78"/>
        <v>7.2739542164202489E-3</v>
      </c>
      <c r="AF150" s="60"/>
      <c r="AG150" s="94">
        <f t="shared" ca="1" si="79"/>
        <v>3.4175762737860853</v>
      </c>
      <c r="AH150" s="97">
        <f t="shared" ca="1" si="80"/>
        <v>2.3750447026858565</v>
      </c>
      <c r="AI150" s="97">
        <f t="shared" ca="1" si="81"/>
        <v>2.3719955362110392</v>
      </c>
      <c r="AJ150" s="62"/>
      <c r="AK150" s="97">
        <f t="shared" ca="1" si="82"/>
        <v>2.5050749783662059E-2</v>
      </c>
      <c r="AL150" s="62"/>
      <c r="AM150" s="95"/>
      <c r="AX150" s="107">
        <f t="shared" ca="1" si="83"/>
        <v>0.5886139507468936</v>
      </c>
      <c r="AY150" s="107">
        <f t="shared" ca="1" si="84"/>
        <v>0.58864230651962013</v>
      </c>
      <c r="AZ150" s="107">
        <f t="shared" ca="1" si="85"/>
        <v>0.58858523458121925</v>
      </c>
      <c r="BB150" s="39">
        <f ca="1">_xll.EURO(UnderlyingPrice,$D150,IntRate,Yield,AX150,$D$6,1,0)</f>
        <v>2.5055139820806926E-2</v>
      </c>
      <c r="BC150" s="39">
        <f ca="1">_xll.EURO(UnderlyingPrice,$D150*(1+$P$8),IntRate,Yield,AY150,$D$6,1,0)</f>
        <v>2.4980538891938575E-2</v>
      </c>
      <c r="BD150" s="39">
        <f ca="1">_xll.EURO(UnderlyingPrice,$D150*(1-$P$8),IntRate,Yield,AZ150,$D$6,1,0)</f>
        <v>2.5129887280522706E-2</v>
      </c>
      <c r="BF150" s="59">
        <f t="shared" ca="1" si="86"/>
        <v>5.8612338971197765E-3</v>
      </c>
      <c r="BG150" s="39">
        <f t="shared" ca="1" si="87"/>
        <v>5.9637909559313359E-3</v>
      </c>
      <c r="BI150" s="58"/>
    </row>
    <row r="151" spans="3:61" x14ac:dyDescent="0.2">
      <c r="C151" s="56"/>
      <c r="D151" s="63">
        <f t="shared" ca="1" si="76"/>
        <v>10.35000000000001</v>
      </c>
      <c r="E151" s="45">
        <f t="shared" ca="1" si="90"/>
        <v>1.1362229102167203</v>
      </c>
      <c r="F151" s="45">
        <f t="shared" ca="1" si="58"/>
        <v>1.1372910216718286</v>
      </c>
      <c r="G151" s="45">
        <f t="shared" ca="1" si="59"/>
        <v>1.1351547987616124</v>
      </c>
      <c r="H151" s="45">
        <f t="shared" ca="1" si="60"/>
        <v>0.57736961439387657</v>
      </c>
      <c r="I151" s="45">
        <f t="shared" ca="1" si="61"/>
        <v>0.57754418958381415</v>
      </c>
      <c r="J151" s="45">
        <f t="shared" ca="1" si="62"/>
        <v>0.5777178940321378</v>
      </c>
      <c r="L151" s="58"/>
      <c r="M151" s="58"/>
      <c r="O151" s="58"/>
      <c r="P151" s="58"/>
      <c r="R151" s="59">
        <f t="shared" ca="1" si="72"/>
        <v>0.11032301709043049</v>
      </c>
      <c r="S151" s="59">
        <f t="shared" ca="1" si="73"/>
        <v>0.82007402517177008</v>
      </c>
      <c r="T151" s="59">
        <f t="shared" ca="1" si="63"/>
        <v>-0.67252140676142902</v>
      </c>
      <c r="U151" s="59">
        <f t="shared" ca="1" si="74"/>
        <v>-2.7546659809047824</v>
      </c>
      <c r="V151" s="59"/>
      <c r="W151" s="105">
        <f t="shared" ca="1" si="75"/>
        <v>5.8514334746844225E-3</v>
      </c>
      <c r="Z151" s="59">
        <f t="shared" ca="1" si="68"/>
        <v>0.11753056284226865</v>
      </c>
      <c r="AA151" s="59">
        <f t="shared" ca="1" si="69"/>
        <v>0.81281766538108746</v>
      </c>
      <c r="AB151" s="59">
        <f t="shared" ca="1" si="88"/>
        <v>-0.6606725571555615</v>
      </c>
      <c r="AC151" s="59">
        <f t="shared" ca="1" si="77"/>
        <v>-3.0712733530962266</v>
      </c>
      <c r="AD151" s="60">
        <f t="shared" ca="1" si="89"/>
        <v>4.6362081954476948E-2</v>
      </c>
      <c r="AE151" s="60">
        <f t="shared" ca="1" si="78"/>
        <v>5.4489615866490622E-3</v>
      </c>
      <c r="AF151" s="60"/>
      <c r="AG151" s="94">
        <f t="shared" ca="1" si="79"/>
        <v>3.6533347227265494</v>
      </c>
      <c r="AH151" s="97">
        <f t="shared" ca="1" si="80"/>
        <v>2.4799403709769576</v>
      </c>
      <c r="AI151" s="97">
        <f t="shared" ca="1" si="81"/>
        <v>2.4768912045021398</v>
      </c>
      <c r="AJ151" s="62"/>
      <c r="AK151" s="97">
        <f t="shared" ca="1" si="82"/>
        <v>1.9861931765008965E-2</v>
      </c>
      <c r="AL151" s="62"/>
      <c r="AM151" s="95"/>
      <c r="AX151" s="107">
        <f t="shared" ca="1" si="83"/>
        <v>0.58968971083637634</v>
      </c>
      <c r="AY151" s="107">
        <f t="shared" ca="1" si="84"/>
        <v>0.58969119541906712</v>
      </c>
      <c r="AZ151" s="107">
        <f t="shared" ca="1" si="85"/>
        <v>0.58968778929375998</v>
      </c>
      <c r="BB151" s="39">
        <f ca="1">_xll.EURO(UnderlyingPrice,$D151,IntRate,Yield,AX151,$D$6,1,0)</f>
        <v>2.016757887396789E-2</v>
      </c>
      <c r="BC151" s="39">
        <f ca="1">_xll.EURO(UnderlyingPrice,$D151*(1+$P$8),IntRate,Yield,AY151,$D$6,1,0)</f>
        <v>2.0100147280047664E-2</v>
      </c>
      <c r="BD151" s="39">
        <f ca="1">_xll.EURO(UnderlyingPrice,$D151*(1-$P$8),IntRate,Yield,AZ151,$D$6,1,0)</f>
        <v>2.0235144823541107E-2</v>
      </c>
      <c r="BF151" s="59">
        <f t="shared" ca="1" si="86"/>
        <v>5.0168975889107884E-3</v>
      </c>
      <c r="BG151" s="39">
        <f t="shared" ca="1" si="87"/>
        <v>5.1046808560706826E-3</v>
      </c>
      <c r="BI151" s="58"/>
    </row>
    <row r="152" spans="3:61" x14ac:dyDescent="0.2">
      <c r="C152" s="56"/>
      <c r="D152" s="63">
        <f t="shared" ca="1" si="76"/>
        <v>10.70000000000001</v>
      </c>
      <c r="E152" s="45">
        <f t="shared" ca="1" si="90"/>
        <v>1.2084623323013437</v>
      </c>
      <c r="F152" s="45">
        <f t="shared" ca="1" si="58"/>
        <v>1.2095665634674946</v>
      </c>
      <c r="G152" s="45">
        <f t="shared" ca="1" si="59"/>
        <v>1.2073581011351933</v>
      </c>
      <c r="H152" s="45">
        <f t="shared" ca="1" si="60"/>
        <v>0.5634672581845952</v>
      </c>
      <c r="I152" s="45">
        <f t="shared" ca="1" si="61"/>
        <v>0.5637115937143411</v>
      </c>
      <c r="J152" s="45">
        <f t="shared" ca="1" si="62"/>
        <v>0.56395490950550664</v>
      </c>
      <c r="L152" s="58"/>
      <c r="M152" s="58"/>
      <c r="O152" s="58"/>
      <c r="P152" s="58"/>
      <c r="R152" s="59">
        <f t="shared" ca="1" si="72"/>
        <v>0.10671432026971549</v>
      </c>
      <c r="S152" s="59">
        <f t="shared" ca="1" si="73"/>
        <v>0.85333124692825246</v>
      </c>
      <c r="T152" s="59">
        <f t="shared" ca="1" si="63"/>
        <v>-0.72817421698412621</v>
      </c>
      <c r="U152" s="59">
        <f t="shared" ca="1" si="74"/>
        <v>-2.9826214058487461</v>
      </c>
      <c r="V152" s="59"/>
      <c r="W152" s="105">
        <f t="shared" ca="1" si="75"/>
        <v>4.4798789407362359E-3</v>
      </c>
      <c r="Z152" s="59">
        <f t="shared" ca="1" si="68"/>
        <v>0.11368610517920379</v>
      </c>
      <c r="AA152" s="59">
        <f t="shared" ca="1" si="69"/>
        <v>0.84607488713756984</v>
      </c>
      <c r="AB152" s="59">
        <f t="shared" ca="1" si="88"/>
        <v>-0.7158427146448515</v>
      </c>
      <c r="AC152" s="59">
        <f t="shared" ca="1" si="77"/>
        <v>-3.3277432681060031</v>
      </c>
      <c r="AD152" s="60">
        <f t="shared" ca="1" si="89"/>
        <v>3.5873971722305949E-2</v>
      </c>
      <c r="AE152" s="60">
        <f t="shared" ca="1" si="78"/>
        <v>4.0783721224178565E-3</v>
      </c>
      <c r="AF152" s="60"/>
      <c r="AG152" s="94">
        <f t="shared" ca="1" si="79"/>
        <v>3.8890931716670134</v>
      </c>
      <c r="AH152" s="97">
        <f t="shared" ca="1" si="80"/>
        <v>2.5813471681518538</v>
      </c>
      <c r="AI152" s="97">
        <f t="shared" ca="1" si="81"/>
        <v>2.5782980016770356</v>
      </c>
      <c r="AJ152" s="62"/>
      <c r="AK152" s="97">
        <f t="shared" ca="1" si="82"/>
        <v>1.5720592844552791E-2</v>
      </c>
      <c r="AL152" s="62"/>
      <c r="AM152" s="95"/>
      <c r="AX152" s="107">
        <f t="shared" ca="1" si="83"/>
        <v>0.58876672777255534</v>
      </c>
      <c r="AY152" s="107">
        <f t="shared" ca="1" si="84"/>
        <v>0.58873589610300292</v>
      </c>
      <c r="AZ152" s="107">
        <f t="shared" ca="1" si="85"/>
        <v>0.58879703803108097</v>
      </c>
      <c r="BB152" s="39">
        <f ca="1">_xll.EURO(UnderlyingPrice,$D152,IntRate,Yield,AX152,$D$6,1,0)</f>
        <v>1.5898244481186402E-2</v>
      </c>
      <c r="BC152" s="39">
        <f ca="1">_xll.EURO(UnderlyingPrice,$D152*(1+$P$8),IntRate,Yield,AY152,$D$6,1,0)</f>
        <v>1.583742003503813E-2</v>
      </c>
      <c r="BD152" s="39">
        <f ca="1">_xll.EURO(UnderlyingPrice,$D152*(1-$P$8),IntRate,Yield,AZ152,$D$6,1,0)</f>
        <v>1.5959198633940339E-2</v>
      </c>
      <c r="BF152" s="59">
        <f t="shared" ca="1" si="86"/>
        <v>4.5316309080045058E-3</v>
      </c>
      <c r="BG152" s="39">
        <f t="shared" ca="1" si="87"/>
        <v>4.6109232115880356E-3</v>
      </c>
      <c r="BI152" s="58"/>
    </row>
    <row r="153" spans="3:61" x14ac:dyDescent="0.2">
      <c r="C153" s="56"/>
      <c r="D153" s="63">
        <f t="shared" ca="1" si="76"/>
        <v>11.05000000000001</v>
      </c>
      <c r="E153" s="45">
        <f t="shared" ca="1" si="90"/>
        <v>1.2807017543859671</v>
      </c>
      <c r="F153" s="45">
        <f t="shared" ca="1" si="58"/>
        <v>1.2818421052631597</v>
      </c>
      <c r="G153" s="45">
        <f t="shared" ca="1" si="59"/>
        <v>1.2795614035087741</v>
      </c>
      <c r="H153" s="45">
        <f t="shared" ca="1" si="60"/>
        <v>0.54519037313927421</v>
      </c>
      <c r="I153" s="45">
        <f t="shared" ca="1" si="61"/>
        <v>0.54551466991732878</v>
      </c>
      <c r="J153" s="45">
        <f t="shared" ca="1" si="62"/>
        <v>0.54583778411835571</v>
      </c>
      <c r="L153" s="58"/>
      <c r="M153" s="58"/>
      <c r="O153" s="58"/>
      <c r="P153" s="58"/>
      <c r="R153" s="59">
        <f t="shared" ca="1" si="72"/>
        <v>0.10333422867746207</v>
      </c>
      <c r="S153" s="59">
        <f t="shared" ca="1" si="73"/>
        <v>0.88551793342415386</v>
      </c>
      <c r="T153" s="59">
        <f t="shared" ca="1" si="63"/>
        <v>-0.78414201041578413</v>
      </c>
      <c r="U153" s="59">
        <f t="shared" ca="1" si="74"/>
        <v>-3.2118670105870732</v>
      </c>
      <c r="V153" s="59"/>
      <c r="W153" s="105">
        <f t="shared" ca="1" si="75"/>
        <v>3.4289444229488493E-3</v>
      </c>
      <c r="Z153" s="59">
        <f t="shared" ca="1" si="68"/>
        <v>0.11008518782058649</v>
      </c>
      <c r="AA153" s="59">
        <f t="shared" ca="1" si="69"/>
        <v>0.87826157363347124</v>
      </c>
      <c r="AB153" s="59">
        <f t="shared" ca="1" si="88"/>
        <v>-0.77134339172114119</v>
      </c>
      <c r="AC153" s="59">
        <f t="shared" ca="1" si="77"/>
        <v>-3.5857496719395305</v>
      </c>
      <c r="AD153" s="60">
        <f t="shared" ca="1" si="89"/>
        <v>2.7715882020929509E-2</v>
      </c>
      <c r="AE153" s="60">
        <f t="shared" ca="1" si="78"/>
        <v>3.0511080778872412E-3</v>
      </c>
      <c r="AF153" s="60"/>
      <c r="AG153" s="94">
        <f t="shared" ca="1" si="79"/>
        <v>4.124851620607477</v>
      </c>
      <c r="AH153" s="97">
        <f t="shared" ca="1" si="80"/>
        <v>2.6794897253720946</v>
      </c>
      <c r="AI153" s="97">
        <f t="shared" ca="1" si="81"/>
        <v>2.6764405588972768</v>
      </c>
      <c r="AJ153" s="62"/>
      <c r="AK153" s="97">
        <f t="shared" ca="1" si="82"/>
        <v>1.2426292951370927E-2</v>
      </c>
      <c r="AL153" s="62"/>
      <c r="AM153" s="95"/>
      <c r="AX153" s="107">
        <f t="shared" ca="1" si="83"/>
        <v>0.58561218384604152</v>
      </c>
      <c r="AY153" s="107">
        <f t="shared" ca="1" si="84"/>
        <v>0.58554324146083181</v>
      </c>
      <c r="AZ153" s="107">
        <f t="shared" ca="1" si="85"/>
        <v>0.58568051213577255</v>
      </c>
      <c r="BB153" s="39">
        <f ca="1">_xll.EURO(UnderlyingPrice,$D153,IntRate,Yield,AX153,$D$6,1,0)</f>
        <v>1.2186653680506754E-2</v>
      </c>
      <c r="BC153" s="39">
        <f ca="1">_xll.EURO(UnderlyingPrice,$D153*(1+$P$8),IntRate,Yield,AY153,$D$6,1,0)</f>
        <v>1.2132346986146167E-2</v>
      </c>
      <c r="BD153" s="39">
        <f ca="1">_xll.EURO(UnderlyingPrice,$D153*(1-$P$8),IntRate,Yield,AZ153,$D$6,1,0)</f>
        <v>1.224109173086646E-2</v>
      </c>
      <c r="BF153" s="59">
        <f t="shared" ca="1" si="86"/>
        <v>4.3031387275283889E-3</v>
      </c>
      <c r="BG153" s="39">
        <f t="shared" ca="1" si="87"/>
        <v>4.3784329845568092E-3</v>
      </c>
      <c r="BI153" s="58"/>
    </row>
    <row r="154" spans="3:61" x14ac:dyDescent="0.2">
      <c r="C154" s="56"/>
      <c r="D154" s="63">
        <f t="shared" ca="1" si="76"/>
        <v>11.400000000000009</v>
      </c>
      <c r="E154" s="45">
        <f t="shared" ca="1" si="90"/>
        <v>1.3529411764705901</v>
      </c>
      <c r="F154" s="45">
        <f t="shared" ca="1" si="58"/>
        <v>1.3541176470588252</v>
      </c>
      <c r="G154" s="45">
        <f t="shared" ca="1" si="59"/>
        <v>1.351764705882355</v>
      </c>
      <c r="H154" s="45">
        <f t="shared" ca="1" si="60"/>
        <v>0.52215700738268211</v>
      </c>
      <c r="I154" s="45">
        <f t="shared" ca="1" si="61"/>
        <v>0.5225720386729078</v>
      </c>
      <c r="J154" s="45">
        <f t="shared" ca="1" si="62"/>
        <v>0.52298571013410888</v>
      </c>
      <c r="L154" s="58"/>
      <c r="M154" s="58"/>
      <c r="O154" s="58"/>
      <c r="P154" s="58"/>
      <c r="R154" s="59">
        <f t="shared" ca="1" si="72"/>
        <v>0.1001616865689435</v>
      </c>
      <c r="S154" s="59">
        <f t="shared" ca="1" si="73"/>
        <v>0.91670086086084157</v>
      </c>
      <c r="T154" s="59">
        <f t="shared" ca="1" si="63"/>
        <v>-0.84034046830300801</v>
      </c>
      <c r="U154" s="59">
        <f t="shared" ca="1" si="74"/>
        <v>-3.4420574232116077</v>
      </c>
      <c r="V154" s="59"/>
      <c r="W154" s="105">
        <f t="shared" ca="1" si="75"/>
        <v>2.6246393483593212E-3</v>
      </c>
      <c r="Z154" s="59">
        <f t="shared" ca="1" si="68"/>
        <v>0.10670537942258604</v>
      </c>
      <c r="AA154" s="59">
        <f t="shared" ca="1" si="69"/>
        <v>0.90944450107015895</v>
      </c>
      <c r="AB154" s="59">
        <f t="shared" ca="1" si="88"/>
        <v>-0.82708930052675034</v>
      </c>
      <c r="AC154" s="59">
        <f t="shared" ca="1" si="77"/>
        <v>-3.8448960863084363</v>
      </c>
      <c r="AD154" s="60">
        <f t="shared" ca="1" si="89"/>
        <v>2.1388624016562351E-2</v>
      </c>
      <c r="AE154" s="60">
        <f t="shared" ca="1" si="78"/>
        <v>2.2822812410143219E-3</v>
      </c>
      <c r="AF154" s="60"/>
      <c r="AG154" s="94">
        <f t="shared" ca="1" si="79"/>
        <v>4.3606100695479411</v>
      </c>
      <c r="AH154" s="97">
        <f t="shared" ca="1" si="80"/>
        <v>2.7745716543752397</v>
      </c>
      <c r="AI154" s="97">
        <f t="shared" ca="1" si="81"/>
        <v>2.7715224879004214</v>
      </c>
      <c r="AJ154" s="62"/>
      <c r="AK154" s="97">
        <f t="shared" ca="1" si="82"/>
        <v>9.812809113047832E-3</v>
      </c>
      <c r="AL154" s="62"/>
      <c r="AM154" s="95"/>
      <c r="AX154" s="107">
        <f t="shared" ca="1" si="83"/>
        <v>0.57999326134744533</v>
      </c>
      <c r="AY154" s="107">
        <f t="shared" ca="1" si="84"/>
        <v>0.57988006438195794</v>
      </c>
      <c r="AZ154" s="107">
        <f t="shared" ca="1" si="85"/>
        <v>0.58010574295042527</v>
      </c>
      <c r="BB154" s="39">
        <f ca="1">_xll.EURO(UnderlyingPrice,$D154,IntRate,Yield,AX154,$D$6,1,0)</f>
        <v>9.0038178159477927E-3</v>
      </c>
      <c r="BC154" s="39">
        <f ca="1">_xll.EURO(UnderlyingPrice,$D154*(1+$P$8),IntRate,Yield,AY154,$D$6,1,0)</f>
        <v>8.9562889408064394E-3</v>
      </c>
      <c r="BD154" s="39">
        <f ca="1">_xll.EURO(UnderlyingPrice,$D154*(1-$P$8),IntRate,Yield,AZ154,$D$6,1,0)</f>
        <v>9.051484227317802E-3</v>
      </c>
      <c r="BF154" s="59">
        <f t="shared" ca="1" si="86"/>
        <v>4.233186477561603E-3</v>
      </c>
      <c r="BG154" s="39">
        <f t="shared" ca="1" si="87"/>
        <v>4.3072567436796168E-3</v>
      </c>
      <c r="BI154" s="58"/>
    </row>
    <row r="155" spans="3:61" x14ac:dyDescent="0.2">
      <c r="C155" s="56"/>
      <c r="D155" s="63">
        <f t="shared" ca="1" si="76"/>
        <v>11.750000000000009</v>
      </c>
      <c r="E155" s="45">
        <f t="shared" ca="1" si="90"/>
        <v>1.4251805985552135</v>
      </c>
      <c r="F155" s="45">
        <f t="shared" ca="1" si="58"/>
        <v>1.4263931888544912</v>
      </c>
      <c r="G155" s="45">
        <f t="shared" ca="1" si="59"/>
        <v>1.4239680082559358</v>
      </c>
      <c r="H155" s="45">
        <f t="shared" ca="1" si="60"/>
        <v>0.49398520903958687</v>
      </c>
      <c r="I155" s="45">
        <f t="shared" ca="1" si="61"/>
        <v>0.49450232046120884</v>
      </c>
      <c r="J155" s="45">
        <f t="shared" ca="1" si="62"/>
        <v>0.49501787981618928</v>
      </c>
      <c r="L155" s="58"/>
      <c r="M155" s="58"/>
      <c r="O155" s="58"/>
      <c r="P155" s="58"/>
      <c r="R155" s="59">
        <f t="shared" ca="1" si="72"/>
        <v>9.7178146969017526E-2</v>
      </c>
      <c r="S155" s="59">
        <f t="shared" ca="1" si="73"/>
        <v>0.94694074605055978</v>
      </c>
      <c r="T155" s="59">
        <f t="shared" ca="1" si="63"/>
        <v>-0.89669677653079072</v>
      </c>
      <c r="U155" s="59">
        <f t="shared" ca="1" si="74"/>
        <v>-3.672894395126062</v>
      </c>
      <c r="V155" s="59"/>
      <c r="W155" s="105">
        <f t="shared" ca="1" si="75"/>
        <v>2.0095570739172117E-3</v>
      </c>
      <c r="Z155" s="59">
        <f t="shared" ca="1" si="68"/>
        <v>0.10352692131212603</v>
      </c>
      <c r="AA155" s="59">
        <f t="shared" ca="1" si="69"/>
        <v>0.93968438625987716</v>
      </c>
      <c r="AB155" s="59">
        <f t="shared" ca="1" si="88"/>
        <v>-0.88300674578060201</v>
      </c>
      <c r="AC155" s="59">
        <f t="shared" ca="1" si="77"/>
        <v>-4.1048399234200694</v>
      </c>
      <c r="AD155" s="60">
        <f t="shared" ca="1" si="89"/>
        <v>1.6492658715466291E-2</v>
      </c>
      <c r="AE155" s="60">
        <f t="shared" ca="1" si="78"/>
        <v>1.7074341810638283E-3</v>
      </c>
      <c r="AF155" s="60"/>
      <c r="AG155" s="94">
        <f t="shared" ca="1" si="79"/>
        <v>4.5963685184884051</v>
      </c>
      <c r="AH155" s="97">
        <f t="shared" ca="1" si="80"/>
        <v>2.8667780908142122</v>
      </c>
      <c r="AI155" s="97">
        <f t="shared" ca="1" si="81"/>
        <v>2.8637289243393935</v>
      </c>
      <c r="AJ155" s="62"/>
      <c r="AK155" s="97">
        <f t="shared" ca="1" si="82"/>
        <v>7.7438525621764875E-3</v>
      </c>
      <c r="AL155" s="62"/>
      <c r="AM155" s="95"/>
      <c r="AX155" s="107">
        <f t="shared" ca="1" si="83"/>
        <v>0.57167714256737734</v>
      </c>
      <c r="AY155" s="107">
        <f t="shared" ca="1" si="84"/>
        <v>0.57151319775578524</v>
      </c>
      <c r="AZ155" s="107">
        <f t="shared" ca="1" si="85"/>
        <v>0.57184026181762948</v>
      </c>
      <c r="BB155" s="39">
        <f ca="1">_xll.EURO(UnderlyingPrice,$D155,IntRate,Yield,AX155,$D$6,1,0)</f>
        <v>6.3401254739801211E-3</v>
      </c>
      <c r="BC155" s="39">
        <f ca="1">_xll.EURO(UnderlyingPrice,$D155*(1+$P$8),IntRate,Yield,AY155,$D$6,1,0)</f>
        <v>6.2998292503061992E-3</v>
      </c>
      <c r="BD155" s="39">
        <f ca="1">_xll.EURO(UnderlyingPrice,$D155*(1-$P$8),IntRate,Yield,AZ155,$D$6,1,0)</f>
        <v>6.3805673374343064E-3</v>
      </c>
      <c r="BF155" s="59">
        <f t="shared" ca="1" si="86"/>
        <v>4.2195318863122271E-3</v>
      </c>
      <c r="BG155" s="39">
        <f t="shared" ca="1" si="87"/>
        <v>4.2933632309433336E-3</v>
      </c>
      <c r="BI155" s="58"/>
    </row>
    <row r="156" spans="3:61" x14ac:dyDescent="0.2">
      <c r="C156" s="56"/>
      <c r="D156" s="63">
        <f t="shared" ca="1" si="76"/>
        <v>12.100000000000009</v>
      </c>
      <c r="E156" s="45">
        <f t="shared" ca="1" si="90"/>
        <v>1.4974200206398369</v>
      </c>
      <c r="F156" s="45">
        <f t="shared" ca="1" si="58"/>
        <v>1.4986687306501567</v>
      </c>
      <c r="G156" s="45">
        <f t="shared" ca="1" si="59"/>
        <v>1.4961713106295167</v>
      </c>
      <c r="H156" s="45">
        <f t="shared" ca="1" si="60"/>
        <v>0.46029302623475765</v>
      </c>
      <c r="I156" s="45">
        <f t="shared" ca="1" si="61"/>
        <v>0.46092413576236235</v>
      </c>
      <c r="J156" s="45">
        <f t="shared" ca="1" si="62"/>
        <v>0.46155348542802055</v>
      </c>
      <c r="L156" s="58"/>
      <c r="M156" s="58"/>
      <c r="O156" s="58"/>
      <c r="P156" s="58"/>
      <c r="R156" s="59">
        <f t="shared" ca="1" si="72"/>
        <v>9.4367208833550084E-2</v>
      </c>
      <c r="S156" s="59">
        <f t="shared" ca="1" si="73"/>
        <v>0.97629295806308725</v>
      </c>
      <c r="T156" s="59">
        <f t="shared" ca="1" si="63"/>
        <v>-0.95314793996357305</v>
      </c>
      <c r="U156" s="59">
        <f t="shared" ca="1" si="74"/>
        <v>-3.9041198965411348</v>
      </c>
      <c r="V156" s="59"/>
      <c r="W156" s="105">
        <f t="shared" ca="1" si="75"/>
        <v>1.5393716331837965E-3</v>
      </c>
      <c r="Z156" s="59">
        <f t="shared" ca="1" si="68"/>
        <v>0.10053234094359345</v>
      </c>
      <c r="AA156" s="59">
        <f t="shared" ca="1" si="69"/>
        <v>0.96903659827240463</v>
      </c>
      <c r="AB156" s="59">
        <f t="shared" ca="1" si="88"/>
        <v>-0.93903192879135366</v>
      </c>
      <c r="AC156" s="59">
        <f t="shared" ca="1" si="77"/>
        <v>-4.3652846018309299</v>
      </c>
      <c r="AD156" s="60">
        <f t="shared" ca="1" si="89"/>
        <v>1.2711037075990474E-2</v>
      </c>
      <c r="AE156" s="60">
        <f t="shared" ca="1" si="78"/>
        <v>1.2778703130701314E-3</v>
      </c>
      <c r="AF156" s="60"/>
      <c r="AG156" s="94">
        <f t="shared" ca="1" si="79"/>
        <v>4.8321269674288692</v>
      </c>
      <c r="AH156" s="97">
        <f t="shared" ca="1" si="80"/>
        <v>2.9562778641862537</v>
      </c>
      <c r="AI156" s="97">
        <f t="shared" ca="1" si="81"/>
        <v>2.953228697711435</v>
      </c>
      <c r="AJ156" s="62"/>
      <c r="AK156" s="97">
        <f t="shared" ca="1" si="82"/>
        <v>6.1086847554401233E-3</v>
      </c>
      <c r="AL156" s="62"/>
      <c r="AM156" s="95"/>
      <c r="AX156" s="107">
        <f t="shared" ca="1" si="83"/>
        <v>0.560431009796448</v>
      </c>
      <c r="AY156" s="107">
        <f t="shared" ca="1" si="84"/>
        <v>0.56020947447171787</v>
      </c>
      <c r="AZ156" s="107">
        <f t="shared" ca="1" si="85"/>
        <v>0.56065160007997572</v>
      </c>
      <c r="BB156" s="39">
        <f ca="1">_xll.EURO(UnderlyingPrice,$D156,IntRate,Yield,AX156,$D$6,1,0)</f>
        <v>4.1927964380377783E-3</v>
      </c>
      <c r="BC156" s="39">
        <f ca="1">_xll.EURO(UnderlyingPrice,$D156*(1+$P$8),IntRate,Yield,AY156,$D$6,1,0)</f>
        <v>4.1601852576477125E-3</v>
      </c>
      <c r="BD156" s="39">
        <f ca="1">_xll.EURO(UnderlyingPrice,$D156*(1-$P$8),IntRate,Yield,AZ156,$D$6,1,0)</f>
        <v>4.2255596658727357E-3</v>
      </c>
      <c r="BF156" s="59">
        <f t="shared" ca="1" si="86"/>
        <v>4.1540180285924823E-3</v>
      </c>
      <c r="BG156" s="39">
        <f t="shared" ca="1" si="87"/>
        <v>4.2267030431714066E-3</v>
      </c>
      <c r="BI156" s="58"/>
    </row>
    <row r="157" spans="3:61" x14ac:dyDescent="0.2">
      <c r="C157" s="56"/>
      <c r="D157" s="63">
        <f t="shared" ca="1" si="76"/>
        <v>12.450000000000008</v>
      </c>
      <c r="E157" s="45">
        <f t="shared" ca="1" si="90"/>
        <v>1.5696594427244599</v>
      </c>
      <c r="F157" s="45">
        <f t="shared" ca="1" si="58"/>
        <v>1.5709442724458218</v>
      </c>
      <c r="G157" s="45">
        <f t="shared" ca="1" si="59"/>
        <v>1.568374613003098</v>
      </c>
      <c r="H157" s="45">
        <f t="shared" ca="1" si="60"/>
        <v>0.42069850709296319</v>
      </c>
      <c r="I157" s="45">
        <f t="shared" ca="1" si="61"/>
        <v>0.42145610505649933</v>
      </c>
      <c r="J157" s="45">
        <f t="shared" ca="1" si="62"/>
        <v>0.42221171923302603</v>
      </c>
      <c r="L157" s="58"/>
      <c r="M157" s="58"/>
      <c r="O157" s="58"/>
      <c r="P157" s="58"/>
      <c r="R157" s="59">
        <f t="shared" ca="1" si="72"/>
        <v>9.1714315412526587E-2</v>
      </c>
      <c r="S157" s="59">
        <f t="shared" ca="1" si="73"/>
        <v>1.0048081283711083</v>
      </c>
      <c r="T157" s="59">
        <f t="shared" ca="1" si="63"/>
        <v>-1.0096393748406498</v>
      </c>
      <c r="U157" s="59">
        <f t="shared" ca="1" si="74"/>
        <v>-4.1355103508877935</v>
      </c>
      <c r="V157" s="59"/>
      <c r="W157" s="105">
        <f t="shared" ca="1" si="75"/>
        <v>1.1799854457646617E-3</v>
      </c>
      <c r="Z157" s="59">
        <f t="shared" ca="1" si="68"/>
        <v>9.7706130555620968E-2</v>
      </c>
      <c r="AA157" s="59">
        <f t="shared" ca="1" si="69"/>
        <v>0.99755176858042571</v>
      </c>
      <c r="AB157" s="59">
        <f t="shared" ca="1" si="88"/>
        <v>-0.9951095309979352</v>
      </c>
      <c r="AC157" s="59">
        <f t="shared" ca="1" si="77"/>
        <v>-4.6259729617411951</v>
      </c>
      <c r="AD157" s="60">
        <f t="shared" ca="1" si="89"/>
        <v>9.7941210933808302E-3</v>
      </c>
      <c r="AE157" s="60">
        <f t="shared" ca="1" si="78"/>
        <v>9.5694567422742861E-4</v>
      </c>
      <c r="AF157" s="60"/>
      <c r="AG157" s="94">
        <f t="shared" ca="1" si="79"/>
        <v>5.0678854163693332</v>
      </c>
      <c r="AH157" s="97">
        <f t="shared" ca="1" si="80"/>
        <v>3.0432253582675797</v>
      </c>
      <c r="AI157" s="97">
        <f t="shared" ca="1" si="81"/>
        <v>3.0401761917927619</v>
      </c>
      <c r="AJ157" s="62"/>
      <c r="AK157" s="97">
        <f t="shared" ca="1" si="82"/>
        <v>4.8179785922144308E-3</v>
      </c>
      <c r="AL157" s="62"/>
      <c r="AM157" s="62"/>
      <c r="AX157" s="107">
        <f t="shared" ca="1" si="83"/>
        <v>0.54602204532526821</v>
      </c>
      <c r="AY157" s="107">
        <f t="shared" ca="1" si="84"/>
        <v>0.5457357274191601</v>
      </c>
      <c r="AZ157" s="107">
        <f t="shared" ca="1" si="85"/>
        <v>0.54630728908005444</v>
      </c>
      <c r="BB157" s="39">
        <f ca="1">_xll.EURO(UnderlyingPrice,$D157,IntRate,Yield,AX157,$D$6,1,0)</f>
        <v>2.5527108102799331E-3</v>
      </c>
      <c r="BC157" s="39">
        <f ca="1">_xll.EURO(UnderlyingPrice,$D157*(1+$P$8),IntRate,Yield,AY157,$D$6,1,0)</f>
        <v>2.527998780945926E-3</v>
      </c>
      <c r="BD157" s="39">
        <f ca="1">_xll.EURO(UnderlyingPrice,$D157*(1-$P$8),IntRate,Yield,AZ157,$D$6,1,0)</f>
        <v>2.5775751487579976E-3</v>
      </c>
      <c r="BF157" s="59">
        <f t="shared" ca="1" si="86"/>
        <v>3.9304951612358849E-3</v>
      </c>
      <c r="BG157" s="39">
        <f t="shared" ca="1" si="87"/>
        <v>3.9992690799166425E-3</v>
      </c>
      <c r="BI157" s="58"/>
    </row>
    <row r="158" spans="3:61" x14ac:dyDescent="0.2">
      <c r="C158" s="56"/>
      <c r="D158" s="63">
        <f t="shared" ca="1" si="76"/>
        <v>12.800000000000008</v>
      </c>
      <c r="E158" s="45">
        <f t="shared" ca="1" si="90"/>
        <v>1.6418988648090833</v>
      </c>
      <c r="F158" s="45">
        <f t="shared" ca="1" si="58"/>
        <v>1.6432198142414878</v>
      </c>
      <c r="G158" s="45">
        <f t="shared" ca="1" si="59"/>
        <v>1.6405779153766789</v>
      </c>
      <c r="H158" s="45">
        <f t="shared" ca="1" si="60"/>
        <v>0.374819699738971</v>
      </c>
      <c r="I158" s="45">
        <f t="shared" ca="1" si="61"/>
        <v>0.37571684882375</v>
      </c>
      <c r="J158" s="45">
        <f t="shared" ca="1" si="62"/>
        <v>0.37661177349462949</v>
      </c>
      <c r="L158" s="58"/>
      <c r="M158" s="58"/>
      <c r="O158" s="58"/>
      <c r="P158" s="58"/>
      <c r="R158" s="59">
        <f t="shared" ca="1" si="72"/>
        <v>8.9206502100465324E-2</v>
      </c>
      <c r="S158" s="59">
        <f t="shared" ca="1" si="73"/>
        <v>1.0325326763859632</v>
      </c>
      <c r="T158" s="59">
        <f t="shared" ca="1" si="63"/>
        <v>-1.0661237278047604</v>
      </c>
      <c r="U158" s="59">
        <f t="shared" ca="1" si="74"/>
        <v>-4.3668717975262492</v>
      </c>
      <c r="V158" s="59"/>
      <c r="W158" s="105">
        <f t="shared" ca="1" si="75"/>
        <v>9.0524494344343181E-4</v>
      </c>
      <c r="Z158" s="59">
        <f t="shared" ca="1" si="68"/>
        <v>9.5034478548240708E-2</v>
      </c>
      <c r="AA158" s="59">
        <f t="shared" ca="1" si="69"/>
        <v>1.0252763165952807</v>
      </c>
      <c r="AB158" s="59">
        <f t="shared" ca="1" si="88"/>
        <v>-1.0511915253711863</v>
      </c>
      <c r="AC158" s="59">
        <f t="shared" ca="1" si="77"/>
        <v>-4.8866817395488109</v>
      </c>
      <c r="AD158" s="60">
        <f t="shared" ca="1" si="89"/>
        <v>7.5464219682047275E-3</v>
      </c>
      <c r="AE158" s="60">
        <f t="shared" ca="1" si="78"/>
        <v>7.1717027665332465E-4</v>
      </c>
      <c r="AF158" s="60"/>
      <c r="AG158" s="94">
        <f t="shared" ca="1" si="79"/>
        <v>5.3036438653097973</v>
      </c>
      <c r="AH158" s="97">
        <f t="shared" ca="1" si="80"/>
        <v>3.1277621135592351</v>
      </c>
      <c r="AI158" s="97">
        <f t="shared" ca="1" si="81"/>
        <v>3.1247129470844168</v>
      </c>
      <c r="AJ158" s="62"/>
      <c r="AK158" s="97">
        <f t="shared" ca="1" si="82"/>
        <v>3.8000992637722969E-3</v>
      </c>
      <c r="AL158" s="62"/>
      <c r="AM158" s="62"/>
      <c r="AX158" s="107">
        <f t="shared" ca="1" si="83"/>
        <v>0.5282174314444481</v>
      </c>
      <c r="AY158" s="107">
        <f t="shared" ca="1" si="84"/>
        <v>0.52785878948751597</v>
      </c>
      <c r="AZ158" s="107">
        <f t="shared" ca="1" si="85"/>
        <v>0.52857486016045618</v>
      </c>
      <c r="BB158" s="39">
        <f ca="1">_xll.EURO(UnderlyingPrice,$D158,IntRate,Yield,AX158,$D$6,1,0)</f>
        <v>1.3916312723454873E-3</v>
      </c>
      <c r="BC158" s="39">
        <f ca="1">_xll.EURO(UnderlyingPrice,$D158*(1+$P$8),IntRate,Yield,AY158,$D$6,1,0)</f>
        <v>1.374552003721179E-3</v>
      </c>
      <c r="BD158" s="39">
        <f ca="1">_xll.EURO(UnderlyingPrice,$D158*(1-$P$8),IntRate,Yield,AZ158,$D$6,1,0)</f>
        <v>1.4088525514940001E-3</v>
      </c>
      <c r="BF158" s="59">
        <f t="shared" ca="1" si="86"/>
        <v>3.4670538135894032E-3</v>
      </c>
      <c r="BG158" s="39">
        <f t="shared" ca="1" si="87"/>
        <v>3.5277186579044982E-3</v>
      </c>
      <c r="BI158" s="58"/>
    </row>
    <row r="159" spans="3:61" x14ac:dyDescent="0.2">
      <c r="C159" s="56"/>
      <c r="D159" s="63">
        <f t="shared" ca="1" si="76"/>
        <v>13.150000000000007</v>
      </c>
      <c r="E159" s="45">
        <f t="shared" ca="1" si="90"/>
        <v>1.7141382868937067</v>
      </c>
      <c r="F159" s="45">
        <f t="shared" ca="1" si="58"/>
        <v>1.7154953560371533</v>
      </c>
      <c r="G159" s="45">
        <f t="shared" ca="1" si="59"/>
        <v>1.7127812177502597</v>
      </c>
      <c r="H159" s="45">
        <f t="shared" ca="1" si="60"/>
        <v>0.32227465229755037</v>
      </c>
      <c r="I159" s="45">
        <f t="shared" ca="1" si="61"/>
        <v>0.32332498754424543</v>
      </c>
      <c r="J159" s="45">
        <f t="shared" ca="1" si="62"/>
        <v>0.32437284047625448</v>
      </c>
      <c r="L159" s="58"/>
      <c r="M159" s="58"/>
      <c r="O159" s="58"/>
      <c r="P159" s="58"/>
      <c r="R159" s="59">
        <f t="shared" ca="1" si="72"/>
        <v>8.6832184554065106E-2</v>
      </c>
      <c r="S159" s="59">
        <f t="shared" ca="1" si="73"/>
        <v>1.0595092640841655</v>
      </c>
      <c r="T159" s="59">
        <f t="shared" ca="1" si="63"/>
        <v>-1.1225598806801698</v>
      </c>
      <c r="U159" s="59">
        <f t="shared" ca="1" si="74"/>
        <v>-4.5980358152898964</v>
      </c>
      <c r="V159" s="59"/>
      <c r="W159" s="105">
        <f t="shared" ca="1" si="75"/>
        <v>6.9513371475538933E-4</v>
      </c>
      <c r="Z159" s="59">
        <f t="shared" ca="1" si="68"/>
        <v>9.2505043757983352E-2</v>
      </c>
      <c r="AA159" s="59">
        <f t="shared" ca="1" si="69"/>
        <v>1.0522529042934827</v>
      </c>
      <c r="AB159" s="59">
        <f t="shared" ca="1" si="88"/>
        <v>-1.1072361745940693</v>
      </c>
      <c r="AC159" s="59">
        <f t="shared" ca="1" si="77"/>
        <v>-5.1472169106825145</v>
      </c>
      <c r="AD159" s="60">
        <f t="shared" ca="1" si="89"/>
        <v>5.8155674689301246E-3</v>
      </c>
      <c r="AE159" s="60">
        <f t="shared" ca="1" si="78"/>
        <v>5.3796932319088563E-4</v>
      </c>
      <c r="AF159" s="60"/>
      <c r="AG159" s="94">
        <f t="shared" ca="1" si="79"/>
        <v>5.5394023142502613</v>
      </c>
      <c r="AH159" s="97">
        <f t="shared" ca="1" si="80"/>
        <v>3.2100182135189121</v>
      </c>
      <c r="AI159" s="97">
        <f t="shared" ca="1" si="81"/>
        <v>3.2069690470440939</v>
      </c>
      <c r="AJ159" s="62"/>
      <c r="AK159" s="97">
        <f t="shared" ca="1" si="82"/>
        <v>2.9978711967762572E-3</v>
      </c>
      <c r="AL159" s="62"/>
      <c r="AM159" s="62"/>
      <c r="AX159" s="107">
        <f t="shared" ca="1" si="83"/>
        <v>0.50678435044459857</v>
      </c>
      <c r="AY159" s="107">
        <f t="shared" ca="1" si="84"/>
        <v>0.50634549356618941</v>
      </c>
      <c r="AZ159" s="107">
        <f t="shared" ca="1" si="85"/>
        <v>0.5072218446637714</v>
      </c>
      <c r="BB159" s="39">
        <f ca="1">_xll.EURO(UnderlyingPrice,$D159,IntRate,Yield,AX159,$D$6,1,0)</f>
        <v>6.5256068364988578E-4</v>
      </c>
      <c r="BC159" s="39">
        <f ca="1">_xll.EURO(UnderlyingPrice,$D159*(1+$P$8),IntRate,Yield,AY159,$D$6,1,0)</f>
        <v>6.4219321292086681E-4</v>
      </c>
      <c r="BD159" s="39">
        <f ca="1">_xll.EURO(UnderlyingPrice,$D159*(1-$P$8),IntRate,Yield,AZ159,$D$6,1,0)</f>
        <v>6.6304677565928293E-4</v>
      </c>
      <c r="BF159" s="59">
        <f t="shared" ca="1" si="86"/>
        <v>2.7439177753774825E-3</v>
      </c>
      <c r="BG159" s="39">
        <f t="shared" ca="1" si="87"/>
        <v>2.7919295322196306E-3</v>
      </c>
      <c r="BI159" s="58"/>
    </row>
    <row r="160" spans="3:61" x14ac:dyDescent="0.2">
      <c r="C160" s="56"/>
      <c r="D160" s="63">
        <f t="shared" ca="1" si="76"/>
        <v>13.500000000000007</v>
      </c>
      <c r="E160" s="45">
        <f t="shared" ca="1" si="90"/>
        <v>1.7863777089783297</v>
      </c>
      <c r="F160" s="45">
        <f t="shared" ca="1" si="58"/>
        <v>1.7877708978328188</v>
      </c>
      <c r="G160" s="45">
        <f t="shared" ca="1" si="59"/>
        <v>1.784984520123841</v>
      </c>
      <c r="H160" s="45">
        <f t="shared" ca="1" si="60"/>
        <v>0.26268141289347013</v>
      </c>
      <c r="I160" s="45">
        <f t="shared" ca="1" si="61"/>
        <v>0.26389914169811635</v>
      </c>
      <c r="J160" s="45">
        <f t="shared" ca="1" si="62"/>
        <v>0.26511411244132377</v>
      </c>
      <c r="L160" s="58"/>
      <c r="M160" s="58"/>
      <c r="O160" s="58"/>
      <c r="P160" s="58"/>
      <c r="R160" s="59">
        <f t="shared" ca="1" si="72"/>
        <v>8.4580979769330086E-2</v>
      </c>
      <c r="S160" s="59">
        <f t="shared" ca="1" si="73"/>
        <v>1.0857771909047753</v>
      </c>
      <c r="T160" s="59">
        <f t="shared" ca="1" si="63"/>
        <v>-1.1789121082890648</v>
      </c>
      <c r="U160" s="59">
        <f t="shared" ca="1" si="74"/>
        <v>-4.8288560728783567</v>
      </c>
      <c r="V160" s="59"/>
      <c r="W160" s="105">
        <f t="shared" ca="1" si="75"/>
        <v>5.3435700652618742E-4</v>
      </c>
      <c r="Z160" s="59">
        <f t="shared" ca="1" si="68"/>
        <v>9.0106764845739346E-2</v>
      </c>
      <c r="AA160" s="59">
        <f t="shared" ca="1" si="69"/>
        <v>1.0785208311140928</v>
      </c>
      <c r="AB160" s="59">
        <f t="shared" ca="1" si="88"/>
        <v>-1.1632071831470334</v>
      </c>
      <c r="AC160" s="59">
        <f t="shared" ca="1" si="77"/>
        <v>-5.4074097478948575</v>
      </c>
      <c r="AD160" s="60">
        <f t="shared" ca="1" si="89"/>
        <v>4.4832379008045153E-3</v>
      </c>
      <c r="AE160" s="60">
        <f t="shared" ca="1" si="78"/>
        <v>4.0397006327529854E-4</v>
      </c>
      <c r="AF160" s="60"/>
      <c r="AG160" s="94">
        <f t="shared" ca="1" si="79"/>
        <v>5.7751607631907254</v>
      </c>
      <c r="AH160" s="97">
        <f t="shared" ca="1" si="80"/>
        <v>3.2901134886686898</v>
      </c>
      <c r="AI160" s="97">
        <f t="shared" ca="1" si="81"/>
        <v>3.287064322193872</v>
      </c>
      <c r="AJ160" s="62"/>
      <c r="AK160" s="97">
        <f t="shared" ca="1" si="82"/>
        <v>2.3658333015532111E-3</v>
      </c>
      <c r="AL160" s="62"/>
      <c r="AM160" s="62"/>
      <c r="AX160" s="107">
        <f t="shared" ca="1" si="83"/>
        <v>0.48148998461633008</v>
      </c>
      <c r="AY160" s="107">
        <f t="shared" ca="1" si="84"/>
        <v>0.48096267254458491</v>
      </c>
      <c r="AZ160" s="107">
        <f t="shared" ca="1" si="85"/>
        <v>0.48201577393259054</v>
      </c>
      <c r="BB160" s="39">
        <f ca="1">_xll.EURO(UnderlyingPrice,$D160,IntRate,Yield,AX160,$D$6,1,0)</f>
        <v>2.4776816020398787E-4</v>
      </c>
      <c r="BC160" s="39">
        <f ca="1">_xll.EURO(UnderlyingPrice,$D160*(1+$P$8),IntRate,Yield,AY160,$D$6,1,0)</f>
        <v>2.4254574593013866E-4</v>
      </c>
      <c r="BD160" s="39">
        <f ca="1">_xll.EURO(UnderlyingPrice,$D160*(1-$P$8),IntRate,Yield,AZ160,$D$6,1,0)</f>
        <v>2.5307466289156352E-4</v>
      </c>
      <c r="BF160" s="59">
        <f t="shared" ca="1" si="86"/>
        <v>1.8455618924872071E-3</v>
      </c>
      <c r="BG160" s="39">
        <f t="shared" ca="1" si="87"/>
        <v>1.877854649075746E-3</v>
      </c>
      <c r="BI160" s="58"/>
    </row>
    <row r="161" spans="3:61" x14ac:dyDescent="0.2">
      <c r="C161" s="56"/>
      <c r="D161" s="63">
        <f t="shared" ca="1" si="76"/>
        <v>13.850000000000007</v>
      </c>
      <c r="E161" s="45">
        <f t="shared" ca="1" si="90"/>
        <v>1.8586171310629531</v>
      </c>
      <c r="F161" s="45">
        <f t="shared" ca="1" si="58"/>
        <v>1.8600464396284844</v>
      </c>
      <c r="G161" s="45">
        <f t="shared" ca="1" si="59"/>
        <v>1.8571878224974219</v>
      </c>
      <c r="H161" s="45">
        <f t="shared" ca="1" si="60"/>
        <v>0.19565802965149781</v>
      </c>
      <c r="I161" s="45">
        <f t="shared" ca="1" si="61"/>
        <v>0.1970579317654928</v>
      </c>
      <c r="J161" s="45">
        <f t="shared" ca="1" si="62"/>
        <v>0.1984547816532618</v>
      </c>
      <c r="L161" s="58"/>
      <c r="M161" s="58"/>
      <c r="O161" s="58"/>
      <c r="P161" s="58"/>
      <c r="R161" s="59">
        <f t="shared" ca="1" si="72"/>
        <v>8.2443554287794679E-2</v>
      </c>
      <c r="S161" s="59">
        <f t="shared" ca="1" si="73"/>
        <v>1.111372738093739</v>
      </c>
      <c r="T161" s="59">
        <f t="shared" ca="1" si="63"/>
        <v>-1.2351493629779746</v>
      </c>
      <c r="U161" s="59">
        <f t="shared" ca="1" si="74"/>
        <v>-5.0592053982582286</v>
      </c>
      <c r="V161" s="59"/>
      <c r="W161" s="105">
        <f t="shared" ca="1" si="75"/>
        <v>4.1124106156092228E-4</v>
      </c>
      <c r="Z161" s="59">
        <f t="shared" ca="1" si="68"/>
        <v>8.7829698586099722E-2</v>
      </c>
      <c r="AA161" s="59">
        <f t="shared" ca="1" si="69"/>
        <v>1.1041163783030565</v>
      </c>
      <c r="AB161" s="59">
        <f t="shared" ca="1" si="88"/>
        <v>-1.2190729768370583</v>
      </c>
      <c r="AC161" s="59">
        <f t="shared" ca="1" si="77"/>
        <v>-5.6671134720035994</v>
      </c>
      <c r="AD161" s="60">
        <f t="shared" ca="1" si="89"/>
        <v>3.4578320134633534E-3</v>
      </c>
      <c r="AE161" s="60">
        <f t="shared" ca="1" si="78"/>
        <v>3.0370034350385265E-4</v>
      </c>
      <c r="AF161" s="60"/>
      <c r="AG161" s="94">
        <f t="shared" ca="1" si="79"/>
        <v>6.0109192121311894</v>
      </c>
      <c r="AH161" s="97">
        <f t="shared" ca="1" si="80"/>
        <v>3.3681585665581495</v>
      </c>
      <c r="AI161" s="97">
        <f t="shared" ca="1" si="81"/>
        <v>3.3651094000833326</v>
      </c>
      <c r="AJ161" s="62"/>
      <c r="AK161" s="97">
        <f t="shared" ca="1" si="82"/>
        <v>1.8679494050782509E-3</v>
      </c>
      <c r="AL161" s="62"/>
      <c r="AM161" s="62"/>
      <c r="AX161" s="107">
        <f t="shared" ca="1" si="83"/>
        <v>0.45210151625025308</v>
      </c>
      <c r="AY161" s="107">
        <f t="shared" ca="1" si="84"/>
        <v>0.45147715931210575</v>
      </c>
      <c r="AZ161" s="107">
        <f t="shared" ca="1" si="85"/>
        <v>0.45272417930950404</v>
      </c>
      <c r="BB161" s="39">
        <f ca="1">_xll.EURO(UnderlyingPrice,$D161,IntRate,Yield,AX161,$D$6,1,0)</f>
        <v>6.9261425308461558E-5</v>
      </c>
      <c r="BC161" s="39">
        <f ca="1">_xll.EURO(UnderlyingPrice,$D161*(1+$P$8),IntRate,Yield,AY161,$D$6,1,0)</f>
        <v>6.72660398968706E-5</v>
      </c>
      <c r="BD161" s="39">
        <f ca="1">_xll.EURO(UnderlyingPrice,$D161*(1-$P$8),IntRate,Yield,AZ161,$D$6,1,0)</f>
        <v>7.1303307669553888E-5</v>
      </c>
      <c r="BF161" s="59">
        <f t="shared" ca="1" si="86"/>
        <v>9.6958280705071865E-4</v>
      </c>
      <c r="BG161" s="39">
        <f t="shared" ca="1" si="87"/>
        <v>9.8654810185225196E-4</v>
      </c>
      <c r="BI161" s="58"/>
    </row>
    <row r="162" spans="3:61" x14ac:dyDescent="0.2">
      <c r="C162" s="56"/>
      <c r="D162" s="63">
        <f t="shared" ca="1" si="76"/>
        <v>14.200000000000006</v>
      </c>
      <c r="E162" s="45">
        <f t="shared" ca="1" si="90"/>
        <v>1.9308565531475761</v>
      </c>
      <c r="F162" s="45">
        <f t="shared" ca="1" si="58"/>
        <v>1.9323219814241499</v>
      </c>
      <c r="G162" s="45">
        <f t="shared" ca="1" si="59"/>
        <v>1.9293911248710027</v>
      </c>
      <c r="H162" s="45">
        <f t="shared" ca="1" si="60"/>
        <v>0.12082255069640313</v>
      </c>
      <c r="I162" s="45">
        <f t="shared" ca="1" si="61"/>
        <v>0.12241997822650608</v>
      </c>
      <c r="J162" s="45">
        <f t="shared" ca="1" si="62"/>
        <v>0.12401404037549169</v>
      </c>
      <c r="L162" s="58"/>
      <c r="M162" s="58"/>
      <c r="O162" s="58"/>
      <c r="P162" s="58"/>
      <c r="R162" s="59">
        <f t="shared" ca="1" si="72"/>
        <v>8.0411494851123685E-2</v>
      </c>
      <c r="S162" s="59">
        <f t="shared" ca="1" si="73"/>
        <v>1.1363294700676065</v>
      </c>
      <c r="T162" s="59">
        <f t="shared" ca="1" si="63"/>
        <v>-1.2912446645441276</v>
      </c>
      <c r="U162" s="59">
        <f t="shared" ca="1" si="74"/>
        <v>-5.288973279784849</v>
      </c>
      <c r="V162" s="59"/>
      <c r="W162" s="105">
        <f t="shared" ca="1" si="75"/>
        <v>3.1688223897483958E-4</v>
      </c>
      <c r="Z162" s="59">
        <f t="shared" ca="1" si="68"/>
        <v>8.5664882071653597E-2</v>
      </c>
      <c r="AA162" s="59">
        <f t="shared" ca="1" si="69"/>
        <v>1.129073110276924</v>
      </c>
      <c r="AB162" s="59">
        <f t="shared" ca="1" si="88"/>
        <v>-1.2748060883504071</v>
      </c>
      <c r="AC162" s="59">
        <f t="shared" ca="1" si="77"/>
        <v>-5.9262003955062879</v>
      </c>
      <c r="AD162" s="60">
        <f t="shared" ca="1" si="89"/>
        <v>2.6686023834602631E-3</v>
      </c>
      <c r="AE162" s="60">
        <f t="shared" ca="1" si="78"/>
        <v>2.2860550847525715E-4</v>
      </c>
      <c r="AF162" s="60"/>
      <c r="AG162" s="94">
        <f t="shared" ca="1" si="79"/>
        <v>6.2466776610716535</v>
      </c>
      <c r="AH162" s="97">
        <f t="shared" ca="1" si="80"/>
        <v>3.444255790672456</v>
      </c>
      <c r="AI162" s="97">
        <f t="shared" ca="1" si="81"/>
        <v>3.4412066241976387</v>
      </c>
      <c r="AJ162" s="62"/>
      <c r="AK162" s="97">
        <f t="shared" ca="1" si="82"/>
        <v>1.4757238840861497E-3</v>
      </c>
      <c r="AL162" s="62"/>
      <c r="AM162" s="62"/>
      <c r="AX162" s="107">
        <f t="shared" ca="1" si="83"/>
        <v>0.41838612763697869</v>
      </c>
      <c r="AY162" s="107">
        <f t="shared" ca="1" si="84"/>
        <v>0.41765578675815729</v>
      </c>
      <c r="AZ162" s="107">
        <f t="shared" ca="1" si="85"/>
        <v>0.41911459213710245</v>
      </c>
      <c r="BB162" s="39">
        <f ca="1">_xll.EURO(UnderlyingPrice,$D162,IntRate,Yield,AX162,$D$6,1,0)</f>
        <v>1.2171405408980667E-5</v>
      </c>
      <c r="BC162" s="39">
        <f ca="1">_xll.EURO(UnderlyingPrice,$D162*(1+$P$8),IntRate,Yield,AY162,$D$6,1,0)</f>
        <v>1.1674032979220087E-5</v>
      </c>
      <c r="BD162" s="39">
        <f ca="1">_xll.EURO(UnderlyingPrice,$D162*(1-$P$8),IntRate,Yield,AZ162,$D$6,1,0)</f>
        <v>1.268618313525431E-5</v>
      </c>
      <c r="BF162" s="59">
        <f t="shared" ca="1" si="86"/>
        <v>3.4527467790245695E-4</v>
      </c>
      <c r="BG162" s="39">
        <f t="shared" ca="1" si="87"/>
        <v>3.5131612857126324E-4</v>
      </c>
      <c r="BI162" s="58"/>
    </row>
    <row r="163" spans="3:61" x14ac:dyDescent="0.2">
      <c r="C163" s="56"/>
      <c r="D163" s="63">
        <f t="shared" ca="1" si="76"/>
        <v>14.550000000000006</v>
      </c>
      <c r="E163" s="45">
        <f t="shared" ca="1" si="90"/>
        <v>2.0030959752321995</v>
      </c>
      <c r="F163" s="45">
        <f t="shared" ca="1" si="58"/>
        <v>2.0045975232198154</v>
      </c>
      <c r="G163" s="45">
        <f t="shared" ca="1" si="59"/>
        <v>2.0015944272445836</v>
      </c>
      <c r="H163" s="45">
        <f t="shared" ca="1" si="60"/>
        <v>3.7793024152953825E-2</v>
      </c>
      <c r="I163" s="45">
        <f t="shared" ca="1" si="61"/>
        <v>3.9603901561286126E-2</v>
      </c>
      <c r="J163" s="45">
        <f t="shared" ca="1" si="62"/>
        <v>4.1411080871436967E-2</v>
      </c>
      <c r="L163" s="58"/>
      <c r="M163" s="58"/>
      <c r="O163" s="58"/>
      <c r="P163" s="58"/>
      <c r="R163" s="59">
        <f t="shared" ca="1" si="72"/>
        <v>7.8477197724120706E-2</v>
      </c>
      <c r="S163" s="59">
        <f t="shared" ca="1" si="73"/>
        <v>1.1606784990778931</v>
      </c>
      <c r="T163" s="59">
        <f t="shared" ca="1" si="63"/>
        <v>-1.3471745782217108</v>
      </c>
      <c r="U163" s="59">
        <f t="shared" ca="1" si="74"/>
        <v>-5.5180637280198068</v>
      </c>
      <c r="V163" s="59"/>
      <c r="W163" s="105">
        <f t="shared" ca="1" si="75"/>
        <v>2.4449221680186521E-4</v>
      </c>
      <c r="Z163" s="59">
        <f t="shared" ca="1" si="68"/>
        <v>8.3604214805325164E-2</v>
      </c>
      <c r="AA163" s="59">
        <f t="shared" ca="1" si="69"/>
        <v>1.1534221392872106</v>
      </c>
      <c r="AB163" s="59">
        <f t="shared" ca="1" si="88"/>
        <v>-1.3303826313978855</v>
      </c>
      <c r="AC163" s="59">
        <f t="shared" ca="1" si="77"/>
        <v>-6.1845594780354798</v>
      </c>
      <c r="AD163" s="60">
        <f t="shared" ca="1" si="89"/>
        <v>2.0610092725388677E-3</v>
      </c>
      <c r="AE163" s="60">
        <f t="shared" ca="1" si="78"/>
        <v>1.7230906193710645E-4</v>
      </c>
      <c r="AF163" s="60"/>
      <c r="AG163" s="94">
        <f t="shared" ca="1" si="79"/>
        <v>6.4824361100121175</v>
      </c>
      <c r="AH163" s="97">
        <f t="shared" ca="1" si="80"/>
        <v>3.518500027437979</v>
      </c>
      <c r="AI163" s="97">
        <f t="shared" ca="1" si="81"/>
        <v>3.5154508609631612</v>
      </c>
      <c r="AJ163" s="62"/>
      <c r="AK163" s="97">
        <f t="shared" ca="1" si="82"/>
        <v>1.1666669510656089E-3</v>
      </c>
      <c r="AL163" s="62"/>
      <c r="AM163" s="62"/>
      <c r="AX163" s="107">
        <f t="shared" ca="1" si="83"/>
        <v>0.38011100106711626</v>
      </c>
      <c r="AY163" s="107">
        <f t="shared" ca="1" si="84"/>
        <v>0.37926538777214258</v>
      </c>
      <c r="AZ163" s="107">
        <f t="shared" ca="1" si="85"/>
        <v>0.38095454375797633</v>
      </c>
      <c r="BB163" s="39">
        <f ca="1">_xll.EURO(UnderlyingPrice,$D163,IntRate,Yield,AX163,$D$6,1,0)</f>
        <v>1.0157043818315754E-6</v>
      </c>
      <c r="BC163" s="39">
        <f ca="1">_xll.EURO(UnderlyingPrice,$D163*(1+$P$8),IntRate,Yield,AY163,$D$6,1,0)</f>
        <v>9.5398966099515854E-7</v>
      </c>
      <c r="BD163" s="39">
        <f ca="1">_xll.EURO(UnderlyingPrice,$D163*(1-$P$8),IntRate,Yield,AZ163,$D$6,1,0)</f>
        <v>1.0808318995586221E-6</v>
      </c>
      <c r="BF163" s="59">
        <f t="shared" ca="1" si="86"/>
        <v>6.4482883114366936E-5</v>
      </c>
      <c r="BG163" s="39">
        <f t="shared" ca="1" si="87"/>
        <v>6.5611173667512885E-5</v>
      </c>
      <c r="BI163" s="58"/>
    </row>
    <row r="164" spans="3:61" x14ac:dyDescent="0.2">
      <c r="C164" s="56"/>
      <c r="D164" s="63">
        <f t="shared" ca="1" si="76"/>
        <v>14.900000000000006</v>
      </c>
      <c r="E164" s="45">
        <f t="shared" ca="1" si="90"/>
        <v>2.0753353973168229</v>
      </c>
      <c r="F164" s="45">
        <f t="shared" ca="1" si="58"/>
        <v>2.076873065015481</v>
      </c>
      <c r="G164" s="45">
        <f t="shared" ca="1" si="59"/>
        <v>2.0737977296181649</v>
      </c>
      <c r="H164" s="45">
        <f t="shared" ca="1" si="60"/>
        <v>-5.3812501854081152E-2</v>
      </c>
      <c r="I164" s="45">
        <f t="shared" ca="1" si="61"/>
        <v>-5.1771677750035661E-2</v>
      </c>
      <c r="J164" s="45">
        <f t="shared" ca="1" si="62"/>
        <v>-4.9734904595479135E-2</v>
      </c>
      <c r="L164" s="58"/>
      <c r="M164" s="58"/>
      <c r="O164" s="58"/>
      <c r="P164" s="58"/>
      <c r="R164" s="59">
        <f t="shared" ca="1" si="72"/>
        <v>7.6633773616507139E-2</v>
      </c>
      <c r="S164" s="59">
        <f t="shared" ca="1" si="73"/>
        <v>1.1844487184118049</v>
      </c>
      <c r="T164" s="59">
        <f t="shared" ca="1" si="63"/>
        <v>-1.402918766547367</v>
      </c>
      <c r="U164" s="59">
        <f t="shared" ca="1" si="74"/>
        <v>-5.7463934401598209</v>
      </c>
      <c r="V164" s="59"/>
      <c r="W164" s="105">
        <f t="shared" ca="1" si="75"/>
        <v>1.8889586672518792E-4</v>
      </c>
      <c r="Z164" s="59">
        <f t="shared" ca="1" si="68"/>
        <v>8.1640357410569214E-2</v>
      </c>
      <c r="AA164" s="59">
        <f t="shared" ca="1" si="69"/>
        <v>1.1771923586211224</v>
      </c>
      <c r="AB164" s="59">
        <f t="shared" ca="1" si="88"/>
        <v>-1.3857818491959613</v>
      </c>
      <c r="AC164" s="59">
        <f t="shared" ca="1" si="77"/>
        <v>-6.4420942273796111</v>
      </c>
      <c r="AD164" s="60">
        <f t="shared" ca="1" si="89"/>
        <v>1.5930669403410901E-3</v>
      </c>
      <c r="AE164" s="60">
        <f t="shared" ca="1" si="78"/>
        <v>1.3005855438840853E-4</v>
      </c>
      <c r="AF164" s="60"/>
      <c r="AG164" s="94">
        <f t="shared" ca="1" si="79"/>
        <v>6.7181945589525816</v>
      </c>
      <c r="AH164" s="97">
        <f t="shared" ca="1" si="80"/>
        <v>3.5909793772900738</v>
      </c>
      <c r="AI164" s="97">
        <f t="shared" ca="1" si="81"/>
        <v>3.5879302108152564</v>
      </c>
      <c r="AJ164" s="62"/>
      <c r="AK164" s="97">
        <f t="shared" ca="1" si="82"/>
        <v>9.2305501764179752E-4</v>
      </c>
      <c r="AL164" s="62"/>
      <c r="AM164" s="62"/>
      <c r="AX164" s="107">
        <f t="shared" ca="1" si="83"/>
        <v>0.33704331883127781</v>
      </c>
      <c r="AY164" s="107">
        <f t="shared" ca="1" si="84"/>
        <v>0.33607279524346612</v>
      </c>
      <c r="AZ164" s="107">
        <f t="shared" ca="1" si="85"/>
        <v>0.33801156551471612</v>
      </c>
      <c r="BB164" s="39">
        <f ca="1">_xll.EURO(UnderlyingPrice,$D164,IntRate,Yield,AX164,$D$6,1,0)</f>
        <v>2.3406614757345097E-8</v>
      </c>
      <c r="BC164" s="39">
        <f ca="1">_xll.EURO(UnderlyingPrice,$D164*(1+$P$8),IntRate,Yield,AY164,$D$6,1,0)</f>
        <v>2.1158947100097752E-8</v>
      </c>
      <c r="BD164" s="39">
        <f ca="1">_xll.EURO(UnderlyingPrice,$D164*(1-$P$8),IntRate,Yield,AZ164,$D$6,1,0)</f>
        <v>2.5865660031123364E-8</v>
      </c>
      <c r="BF164" s="59">
        <f t="shared" ca="1" si="86"/>
        <v>3.8084341521719223E-6</v>
      </c>
      <c r="BG164" s="39">
        <f t="shared" ca="1" si="87"/>
        <v>3.8750723058747082E-6</v>
      </c>
      <c r="BI164" s="58"/>
    </row>
    <row r="165" spans="3:61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4"/>
      <c r="AH165" s="62"/>
      <c r="AI165" s="62"/>
      <c r="AJ165" s="62"/>
      <c r="AK165" s="62"/>
      <c r="AL165" s="62"/>
      <c r="AM165" s="62"/>
    </row>
    <row r="166" spans="3:61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4"/>
      <c r="AH166" s="62"/>
      <c r="AI166" s="62"/>
      <c r="AJ166" s="62"/>
      <c r="AK166" s="62"/>
      <c r="AL166" s="62"/>
      <c r="AM166" s="62"/>
    </row>
    <row r="167" spans="3:61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4"/>
      <c r="AH167" s="62"/>
      <c r="AI167" s="62"/>
      <c r="AJ167" s="62"/>
      <c r="AK167" s="62"/>
      <c r="AL167" s="62"/>
      <c r="AM167" s="62"/>
    </row>
    <row r="168" spans="3:61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4"/>
      <c r="AH168" s="62"/>
      <c r="AI168" s="62"/>
      <c r="AJ168" s="62"/>
      <c r="AK168" s="62"/>
      <c r="AL168" s="62"/>
      <c r="AM168" s="62"/>
    </row>
    <row r="169" spans="3:61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1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1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1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1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1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1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1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3.2" x14ac:dyDescent="0.25"/>
  <sheetData>
    <row r="1" spans="1:5" x14ac:dyDescent="0.25">
      <c r="A1" s="67" t="s">
        <v>53</v>
      </c>
      <c r="B1" s="67"/>
      <c r="C1" s="67"/>
      <c r="D1" s="67"/>
      <c r="E1" s="67"/>
    </row>
    <row r="2" spans="1:5" x14ac:dyDescent="0.25">
      <c r="A2" s="67" t="s">
        <v>54</v>
      </c>
      <c r="B2" s="67" t="s">
        <v>55</v>
      </c>
      <c r="C2" s="67" t="s">
        <v>56</v>
      </c>
      <c r="D2" s="67" t="s">
        <v>57</v>
      </c>
      <c r="E2" s="67" t="s">
        <v>58</v>
      </c>
    </row>
    <row r="3" spans="1:5" x14ac:dyDescent="0.25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5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5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5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5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5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5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5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5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5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5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5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5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5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5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5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5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5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5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5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5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5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5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5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5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5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5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5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5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5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5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5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5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5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5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5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5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5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5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5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5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5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5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5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5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5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5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5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5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5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5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5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5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5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5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5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5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5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5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5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5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5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5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5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5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5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5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5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5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5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5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5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5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5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5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5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5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5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5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5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5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5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5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5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5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5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5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5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5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5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5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5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5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5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5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5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5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5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5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5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5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5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5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5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5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5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5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5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5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5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5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5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5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5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5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5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5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5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5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5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5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5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5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5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5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5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5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5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5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5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5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5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5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5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5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5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5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5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5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5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5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5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5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5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5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5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5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5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5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5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5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5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5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5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5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5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5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5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5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5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5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5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5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5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5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5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5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5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5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5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5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5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5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5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5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5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5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5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5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5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5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5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5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5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5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5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5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5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5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5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5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5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5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5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5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5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5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5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5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5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5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5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5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5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5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5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5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5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5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5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5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5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5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5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5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5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5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5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5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5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5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5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5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5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5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5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5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5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5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5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5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5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5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5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5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5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5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5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5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5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5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5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5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5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5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5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5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5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5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5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5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5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5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5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5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5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5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5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5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5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5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5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5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5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5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5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5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5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5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5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5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5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5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5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5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5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5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5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5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5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5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5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5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5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5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5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5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5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5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5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5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5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5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5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5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5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5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5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5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5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5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5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5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5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5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5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5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5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5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5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5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5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5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5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5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5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5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5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5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5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5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5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5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5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5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5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5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5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5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5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5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5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5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5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5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5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5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5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5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5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5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5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5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5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5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5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5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5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5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5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5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5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5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5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5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5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5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5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5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5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5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5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5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5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5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5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5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5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5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5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5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5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5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5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5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5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5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5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5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5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5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5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5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5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5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5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5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5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5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5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5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5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5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5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5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5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5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5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5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5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5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5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5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5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5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5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5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5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5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5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5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5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5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5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5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5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5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5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5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5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5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5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5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5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5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5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5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5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5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5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5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5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60</vt:i4>
      </vt:variant>
    </vt:vector>
  </HeadingPairs>
  <TitlesOfParts>
    <vt:vector size="65" baseType="lpstr">
      <vt:lpstr>VolSkew</vt:lpstr>
      <vt:lpstr>Shimko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Havlíček Jan</cp:lastModifiedBy>
  <cp:lastPrinted>2001-05-02T14:07:07Z</cp:lastPrinted>
  <dcterms:created xsi:type="dcterms:W3CDTF">2001-03-30T18:44:24Z</dcterms:created>
  <dcterms:modified xsi:type="dcterms:W3CDTF">2023-09-10T11:22:28Z</dcterms:modified>
</cp:coreProperties>
</file>