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VolSkew" sheetId="4" r:id="rId1"/>
    <sheet name="payout" sheetId="12" r:id="rId2"/>
    <sheet name="payoutChart" sheetId="11" r:id="rId3"/>
    <sheet name="Distribution" sheetId="8" r:id="rId4"/>
    <sheet name="St Dist" sheetId="9" r:id="rId5"/>
    <sheet name="Shimko" sheetId="5" r:id="rId6"/>
    <sheet name="ENA VolSkew" sheetId="10" r:id="rId7"/>
    <sheet name="expiry" sheetId="7" r:id="rId8"/>
  </sheets>
  <definedNames>
    <definedName name="_xlnm._FilterDatabase" localSheetId="7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">VolSkew!$K$3</definedName>
    <definedName name="ENAVolCoef">VolSkew!$AO$29</definedName>
    <definedName name="ENAVolFit">VolSkew!$AN$28</definedName>
    <definedName name="ENAVolTable">VolSkew!$AG$30:$AK$47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5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payout!$A$22:$F$22</definedName>
    <definedName name="PastableRange">VolSkew!$A$20:$G$26,VolSkew!$M$8:$O$14,VolSkew!$A$47:$A$53</definedName>
    <definedName name="pdfCoef">VolSkew!$AD$10</definedName>
    <definedName name="PremiumTop">VolSkew!$I$9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VolSkew!$J$9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VolSkew!$A$47:$A$53</definedName>
    <definedName name="Yield">VolSkew!$C$7</definedName>
  </definedNames>
  <calcPr calcId="92512" iterateDelta="9.9999999999999995E-8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B3" i="12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B7" i="12"/>
  <c r="C7" i="12"/>
  <c r="D7" i="12"/>
  <c r="E7" i="12"/>
  <c r="F7" i="12"/>
  <c r="G7" i="12"/>
  <c r="H7" i="12"/>
  <c r="B8" i="12"/>
  <c r="C8" i="12"/>
  <c r="D8" i="12"/>
  <c r="E8" i="12"/>
  <c r="F8" i="12"/>
  <c r="G8" i="12"/>
  <c r="H8" i="12"/>
  <c r="B9" i="12"/>
  <c r="C9" i="12"/>
  <c r="D9" i="12"/>
  <c r="E9" i="12"/>
  <c r="F9" i="12"/>
  <c r="G9" i="12"/>
  <c r="H9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C13" i="12"/>
  <c r="D13" i="12"/>
  <c r="E13" i="12"/>
  <c r="F13" i="12"/>
  <c r="G13" i="12"/>
  <c r="H13" i="12"/>
  <c r="B14" i="12"/>
  <c r="C14" i="12"/>
  <c r="D14" i="12"/>
  <c r="E14" i="12"/>
  <c r="F14" i="12"/>
  <c r="G14" i="12"/>
  <c r="H14" i="12"/>
  <c r="B15" i="12"/>
  <c r="C15" i="12"/>
  <c r="D15" i="12"/>
  <c r="E15" i="12"/>
  <c r="F15" i="12"/>
  <c r="G15" i="12"/>
  <c r="H15" i="12"/>
  <c r="B16" i="12"/>
  <c r="C16" i="12"/>
  <c r="D16" i="12"/>
  <c r="E16" i="12"/>
  <c r="F16" i="12"/>
  <c r="G16" i="12"/>
  <c r="H16" i="12"/>
  <c r="B17" i="12"/>
  <c r="C17" i="12"/>
  <c r="D17" i="12"/>
  <c r="E17" i="12"/>
  <c r="F17" i="12"/>
  <c r="G17" i="12"/>
  <c r="H17" i="12"/>
  <c r="B18" i="12"/>
  <c r="C18" i="12"/>
  <c r="D18" i="12"/>
  <c r="E18" i="12"/>
  <c r="F18" i="12"/>
  <c r="G18" i="12"/>
  <c r="H18" i="12"/>
  <c r="B19" i="12"/>
  <c r="C19" i="12"/>
  <c r="D19" i="12"/>
  <c r="E19" i="12"/>
  <c r="F19" i="12"/>
  <c r="G19" i="12"/>
  <c r="H19" i="12"/>
  <c r="B20" i="12"/>
  <c r="C20" i="12"/>
  <c r="D20" i="12"/>
  <c r="E20" i="12"/>
  <c r="F20" i="12"/>
  <c r="G20" i="12"/>
  <c r="H20" i="12"/>
  <c r="B21" i="12"/>
  <c r="C21" i="12"/>
  <c r="D21" i="12"/>
  <c r="E21" i="12"/>
  <c r="F21" i="12"/>
  <c r="G21" i="12"/>
  <c r="H21" i="12"/>
  <c r="B22" i="12"/>
  <c r="C22" i="12"/>
  <c r="D22" i="12"/>
  <c r="E22" i="12"/>
  <c r="F22" i="12"/>
  <c r="G22" i="12"/>
  <c r="H22" i="12"/>
  <c r="B23" i="12"/>
  <c r="C23" i="12"/>
  <c r="D23" i="12"/>
  <c r="E23" i="12"/>
  <c r="F23" i="12"/>
  <c r="G23" i="12"/>
  <c r="H23" i="12"/>
  <c r="B24" i="12"/>
  <c r="C24" i="12"/>
  <c r="D24" i="12"/>
  <c r="E24" i="12"/>
  <c r="F24" i="12"/>
  <c r="G24" i="12"/>
  <c r="H24" i="12"/>
  <c r="B25" i="12"/>
  <c r="C25" i="12"/>
  <c r="D25" i="12"/>
  <c r="E25" i="12"/>
  <c r="F25" i="12"/>
  <c r="G25" i="12"/>
  <c r="H25" i="12"/>
  <c r="B26" i="12"/>
  <c r="C26" i="12"/>
  <c r="D26" i="12"/>
  <c r="E26" i="12"/>
  <c r="F26" i="12"/>
  <c r="G26" i="12"/>
  <c r="H26" i="12"/>
  <c r="B27" i="12"/>
  <c r="C27" i="12"/>
  <c r="D27" i="12"/>
  <c r="E27" i="12"/>
  <c r="F27" i="12"/>
  <c r="G27" i="12"/>
  <c r="H27" i="12"/>
  <c r="B28" i="12"/>
  <c r="C28" i="12"/>
  <c r="D28" i="12"/>
  <c r="E28" i="12"/>
  <c r="F28" i="12"/>
  <c r="G28" i="12"/>
  <c r="H28" i="12"/>
  <c r="B29" i="12"/>
  <c r="C29" i="12"/>
  <c r="D29" i="12"/>
  <c r="E29" i="12"/>
  <c r="F29" i="12"/>
  <c r="G29" i="12"/>
  <c r="H29" i="12"/>
  <c r="B30" i="12"/>
  <c r="C30" i="12"/>
  <c r="D30" i="12"/>
  <c r="E30" i="12"/>
  <c r="F30" i="12"/>
  <c r="G30" i="12"/>
  <c r="H30" i="12"/>
  <c r="B31" i="12"/>
  <c r="C31" i="12"/>
  <c r="D31" i="12"/>
  <c r="E31" i="12"/>
  <c r="F31" i="12"/>
  <c r="G31" i="12"/>
  <c r="H31" i="12"/>
  <c r="B32" i="12"/>
  <c r="C32" i="12"/>
  <c r="D32" i="12"/>
  <c r="E32" i="12"/>
  <c r="F32" i="12"/>
  <c r="G32" i="12"/>
  <c r="H32" i="12"/>
  <c r="B33" i="12"/>
  <c r="C33" i="12"/>
  <c r="D33" i="12"/>
  <c r="E33" i="12"/>
  <c r="F33" i="12"/>
  <c r="G33" i="12"/>
  <c r="H33" i="12"/>
  <c r="B34" i="12"/>
  <c r="C34" i="12"/>
  <c r="D34" i="12"/>
  <c r="E34" i="12"/>
  <c r="F34" i="12"/>
  <c r="G34" i="12"/>
  <c r="H34" i="12"/>
  <c r="B35" i="12"/>
  <c r="C35" i="12"/>
  <c r="D35" i="12"/>
  <c r="E35" i="12"/>
  <c r="F35" i="12"/>
  <c r="G35" i="12"/>
  <c r="H35" i="12"/>
  <c r="B36" i="12"/>
  <c r="C36" i="12"/>
  <c r="D36" i="12"/>
  <c r="E36" i="12"/>
  <c r="F36" i="12"/>
  <c r="G36" i="12"/>
  <c r="H36" i="12"/>
  <c r="B37" i="12"/>
  <c r="C37" i="12"/>
  <c r="D37" i="12"/>
  <c r="E37" i="12"/>
  <c r="F37" i="12"/>
  <c r="G37" i="12"/>
  <c r="H37" i="12"/>
  <c r="B38" i="12"/>
  <c r="C38" i="12"/>
  <c r="D38" i="12"/>
  <c r="E38" i="12"/>
  <c r="F38" i="12"/>
  <c r="G38" i="12"/>
  <c r="H38" i="12"/>
  <c r="B39" i="12"/>
  <c r="C39" i="12"/>
  <c r="D39" i="12"/>
  <c r="E39" i="12"/>
  <c r="F39" i="12"/>
  <c r="G39" i="12"/>
  <c r="H39" i="12"/>
  <c r="B40" i="12"/>
  <c r="C40" i="12"/>
  <c r="D40" i="12"/>
  <c r="E40" i="12"/>
  <c r="F40" i="12"/>
  <c r="G40" i="12"/>
  <c r="H40" i="12"/>
  <c r="B41" i="12"/>
  <c r="C41" i="12"/>
  <c r="D41" i="12"/>
  <c r="E41" i="12"/>
  <c r="F41" i="12"/>
  <c r="G41" i="12"/>
  <c r="H41" i="12"/>
  <c r="B42" i="12"/>
  <c r="C42" i="12"/>
  <c r="D42" i="12"/>
  <c r="E42" i="12"/>
  <c r="F42" i="12"/>
  <c r="G42" i="12"/>
  <c r="H42" i="12"/>
  <c r="B43" i="12"/>
  <c r="C43" i="12"/>
  <c r="D43" i="12"/>
  <c r="E43" i="12"/>
  <c r="F43" i="12"/>
  <c r="G43" i="12"/>
  <c r="H43" i="12"/>
  <c r="B44" i="12"/>
  <c r="C44" i="12"/>
  <c r="D44" i="12"/>
  <c r="E44" i="12"/>
  <c r="F44" i="12"/>
  <c r="G44" i="12"/>
  <c r="H44" i="12"/>
  <c r="B45" i="12"/>
  <c r="C45" i="12"/>
  <c r="D45" i="12"/>
  <c r="E45" i="12"/>
  <c r="F45" i="12"/>
  <c r="G45" i="12"/>
  <c r="H45" i="12"/>
  <c r="B46" i="12"/>
  <c r="C46" i="12"/>
  <c r="D46" i="12"/>
  <c r="E46" i="12"/>
  <c r="F46" i="12"/>
  <c r="G46" i="12"/>
  <c r="H46" i="12"/>
  <c r="B47" i="12"/>
  <c r="C47" i="12"/>
  <c r="D47" i="12"/>
  <c r="E47" i="12"/>
  <c r="F47" i="12"/>
  <c r="G47" i="12"/>
  <c r="H47" i="12"/>
  <c r="B48" i="12"/>
  <c r="C48" i="12"/>
  <c r="D48" i="12"/>
  <c r="E48" i="12"/>
  <c r="F48" i="12"/>
  <c r="G48" i="12"/>
  <c r="H48" i="12"/>
  <c r="B49" i="12"/>
  <c r="C49" i="12"/>
  <c r="D49" i="12"/>
  <c r="E49" i="12"/>
  <c r="F49" i="12"/>
  <c r="G49" i="12"/>
  <c r="H49" i="12"/>
  <c r="B50" i="12"/>
  <c r="C50" i="12"/>
  <c r="D50" i="12"/>
  <c r="E50" i="12"/>
  <c r="F50" i="12"/>
  <c r="G50" i="12"/>
  <c r="H50" i="12"/>
  <c r="B51" i="12"/>
  <c r="C51" i="12"/>
  <c r="D51" i="12"/>
  <c r="E51" i="12"/>
  <c r="F51" i="12"/>
  <c r="G51" i="12"/>
  <c r="H51" i="12"/>
  <c r="B52" i="12"/>
  <c r="C52" i="12"/>
  <c r="D52" i="12"/>
  <c r="E52" i="12"/>
  <c r="F52" i="12"/>
  <c r="G52" i="12"/>
  <c r="H52" i="12"/>
  <c r="B53" i="12"/>
  <c r="C53" i="12"/>
  <c r="D53" i="12"/>
  <c r="E53" i="12"/>
  <c r="F53" i="12"/>
  <c r="G53" i="12"/>
  <c r="H53" i="12"/>
  <c r="B54" i="12"/>
  <c r="C54" i="12"/>
  <c r="D54" i="12"/>
  <c r="E54" i="12"/>
  <c r="F54" i="12"/>
  <c r="G54" i="12"/>
  <c r="H54" i="12"/>
  <c r="B55" i="12"/>
  <c r="C55" i="12"/>
  <c r="D55" i="12"/>
  <c r="E55" i="12"/>
  <c r="F55" i="12"/>
  <c r="G55" i="12"/>
  <c r="H55" i="12"/>
  <c r="B56" i="12"/>
  <c r="C56" i="12"/>
  <c r="D56" i="12"/>
  <c r="E56" i="12"/>
  <c r="F56" i="12"/>
  <c r="G56" i="12"/>
  <c r="H56" i="12"/>
  <c r="B57" i="12"/>
  <c r="C57" i="12"/>
  <c r="D57" i="12"/>
  <c r="E57" i="12"/>
  <c r="F57" i="12"/>
  <c r="G57" i="12"/>
  <c r="H57" i="12"/>
  <c r="B58" i="12"/>
  <c r="C58" i="12"/>
  <c r="D58" i="12"/>
  <c r="E58" i="12"/>
  <c r="F58" i="12"/>
  <c r="G58" i="12"/>
  <c r="H58" i="12"/>
  <c r="B59" i="12"/>
  <c r="C59" i="12"/>
  <c r="D59" i="12"/>
  <c r="E59" i="12"/>
  <c r="F59" i="12"/>
  <c r="G59" i="12"/>
  <c r="H59" i="12"/>
  <c r="B60" i="12"/>
  <c r="C60" i="12"/>
  <c r="D60" i="12"/>
  <c r="E60" i="12"/>
  <c r="F60" i="12"/>
  <c r="G60" i="12"/>
  <c r="H60" i="12"/>
  <c r="B61" i="12"/>
  <c r="C61" i="12"/>
  <c r="D61" i="12"/>
  <c r="E61" i="12"/>
  <c r="F61" i="12"/>
  <c r="G61" i="12"/>
  <c r="H61" i="12"/>
  <c r="B62" i="12"/>
  <c r="C62" i="12"/>
  <c r="D62" i="12"/>
  <c r="E62" i="12"/>
  <c r="F62" i="12"/>
  <c r="G62" i="12"/>
  <c r="H62" i="12"/>
  <c r="B63" i="12"/>
  <c r="C63" i="12"/>
  <c r="D63" i="12"/>
  <c r="E63" i="12"/>
  <c r="F63" i="12"/>
  <c r="G63" i="12"/>
  <c r="H63" i="12"/>
  <c r="B64" i="12"/>
  <c r="C64" i="12"/>
  <c r="D64" i="12"/>
  <c r="E64" i="12"/>
  <c r="F64" i="12"/>
  <c r="G64" i="12"/>
  <c r="H64" i="12"/>
  <c r="B65" i="12"/>
  <c r="C65" i="12"/>
  <c r="D65" i="12"/>
  <c r="E65" i="12"/>
  <c r="F65" i="12"/>
  <c r="G65" i="12"/>
  <c r="H65" i="12"/>
  <c r="B66" i="12"/>
  <c r="C66" i="12"/>
  <c r="D66" i="12"/>
  <c r="E66" i="12"/>
  <c r="F66" i="12"/>
  <c r="G66" i="12"/>
  <c r="H66" i="12"/>
  <c r="B67" i="12"/>
  <c r="C67" i="12"/>
  <c r="D67" i="12"/>
  <c r="E67" i="12"/>
  <c r="F67" i="12"/>
  <c r="G67" i="12"/>
  <c r="H67" i="12"/>
  <c r="B68" i="12"/>
  <c r="C68" i="12"/>
  <c r="D68" i="12"/>
  <c r="E68" i="12"/>
  <c r="F68" i="12"/>
  <c r="G68" i="12"/>
  <c r="H68" i="12"/>
  <c r="B69" i="12"/>
  <c r="C69" i="12"/>
  <c r="D69" i="12"/>
  <c r="E69" i="12"/>
  <c r="F69" i="12"/>
  <c r="G69" i="12"/>
  <c r="H69" i="12"/>
  <c r="B70" i="12"/>
  <c r="C70" i="12"/>
  <c r="D70" i="12"/>
  <c r="E70" i="12"/>
  <c r="F70" i="12"/>
  <c r="G70" i="12"/>
  <c r="H70" i="12"/>
  <c r="B71" i="12"/>
  <c r="C71" i="12"/>
  <c r="D71" i="12"/>
  <c r="E71" i="12"/>
  <c r="F71" i="12"/>
  <c r="G71" i="12"/>
  <c r="H71" i="12"/>
  <c r="B72" i="12"/>
  <c r="C72" i="12"/>
  <c r="D72" i="12"/>
  <c r="E72" i="12"/>
  <c r="F72" i="12"/>
  <c r="G72" i="12"/>
  <c r="H72" i="12"/>
  <c r="B73" i="12"/>
  <c r="C73" i="12"/>
  <c r="D73" i="12"/>
  <c r="E73" i="12"/>
  <c r="F73" i="12"/>
  <c r="G73" i="12"/>
  <c r="H73" i="12"/>
  <c r="B74" i="12"/>
  <c r="C74" i="12"/>
  <c r="D74" i="12"/>
  <c r="E74" i="12"/>
  <c r="F74" i="12"/>
  <c r="G74" i="12"/>
  <c r="H74" i="12"/>
  <c r="B75" i="12"/>
  <c r="C75" i="12"/>
  <c r="D75" i="12"/>
  <c r="E75" i="12"/>
  <c r="F75" i="12"/>
  <c r="G75" i="12"/>
  <c r="H75" i="12"/>
  <c r="B76" i="12"/>
  <c r="C76" i="12"/>
  <c r="D76" i="12"/>
  <c r="E76" i="12"/>
  <c r="F76" i="12"/>
  <c r="G76" i="12"/>
  <c r="H76" i="12"/>
  <c r="B77" i="12"/>
  <c r="C77" i="12"/>
  <c r="D77" i="12"/>
  <c r="E77" i="12"/>
  <c r="F77" i="12"/>
  <c r="G77" i="12"/>
  <c r="H77" i="12"/>
  <c r="B78" i="12"/>
  <c r="C78" i="12"/>
  <c r="D78" i="12"/>
  <c r="E78" i="12"/>
  <c r="F78" i="12"/>
  <c r="G78" i="12"/>
  <c r="H78" i="12"/>
  <c r="B79" i="12"/>
  <c r="C79" i="12"/>
  <c r="D79" i="12"/>
  <c r="E79" i="12"/>
  <c r="F79" i="12"/>
  <c r="G79" i="12"/>
  <c r="H79" i="12"/>
  <c r="B80" i="12"/>
  <c r="C80" i="12"/>
  <c r="D80" i="12"/>
  <c r="E80" i="12"/>
  <c r="F80" i="12"/>
  <c r="G80" i="12"/>
  <c r="H80" i="12"/>
  <c r="B81" i="12"/>
  <c r="C81" i="12"/>
  <c r="D81" i="12"/>
  <c r="E81" i="12"/>
  <c r="F81" i="12"/>
  <c r="G81" i="12"/>
  <c r="H81" i="12"/>
  <c r="B82" i="12"/>
  <c r="C82" i="12"/>
  <c r="D82" i="12"/>
  <c r="E82" i="12"/>
  <c r="F82" i="12"/>
  <c r="G82" i="12"/>
  <c r="H82" i="12"/>
  <c r="B83" i="12"/>
  <c r="C83" i="12"/>
  <c r="D83" i="12"/>
  <c r="E83" i="12"/>
  <c r="F83" i="12"/>
  <c r="G83" i="12"/>
  <c r="H83" i="12"/>
  <c r="B84" i="12"/>
  <c r="C84" i="12"/>
  <c r="D84" i="12"/>
  <c r="E84" i="12"/>
  <c r="F84" i="12"/>
  <c r="G84" i="12"/>
  <c r="H84" i="12"/>
  <c r="B85" i="12"/>
  <c r="C85" i="12"/>
  <c r="D85" i="12"/>
  <c r="E85" i="12"/>
  <c r="F85" i="12"/>
  <c r="G85" i="12"/>
  <c r="H85" i="12"/>
  <c r="B86" i="12"/>
  <c r="C86" i="12"/>
  <c r="D86" i="12"/>
  <c r="E86" i="12"/>
  <c r="F86" i="12"/>
  <c r="G86" i="12"/>
  <c r="H86" i="12"/>
  <c r="B87" i="12"/>
  <c r="C87" i="12"/>
  <c r="D87" i="12"/>
  <c r="E87" i="12"/>
  <c r="F87" i="12"/>
  <c r="G87" i="12"/>
  <c r="H87" i="12"/>
  <c r="B88" i="12"/>
  <c r="C88" i="12"/>
  <c r="D88" i="12"/>
  <c r="E88" i="12"/>
  <c r="F88" i="12"/>
  <c r="G88" i="12"/>
  <c r="H88" i="12"/>
  <c r="B89" i="12"/>
  <c r="C89" i="12"/>
  <c r="D89" i="12"/>
  <c r="E89" i="12"/>
  <c r="F89" i="12"/>
  <c r="G89" i="12"/>
  <c r="H89" i="12"/>
  <c r="B90" i="12"/>
  <c r="C90" i="12"/>
  <c r="D90" i="12"/>
  <c r="E90" i="12"/>
  <c r="F90" i="12"/>
  <c r="G90" i="12"/>
  <c r="H90" i="12"/>
  <c r="B91" i="12"/>
  <c r="C91" i="12"/>
  <c r="D91" i="12"/>
  <c r="E91" i="12"/>
  <c r="F91" i="12"/>
  <c r="G91" i="12"/>
  <c r="H91" i="12"/>
  <c r="B92" i="12"/>
  <c r="C92" i="12"/>
  <c r="D92" i="12"/>
  <c r="E92" i="12"/>
  <c r="F92" i="12"/>
  <c r="G92" i="12"/>
  <c r="H92" i="12"/>
  <c r="B93" i="12"/>
  <c r="C93" i="12"/>
  <c r="D93" i="12"/>
  <c r="E93" i="12"/>
  <c r="F93" i="12"/>
  <c r="G93" i="12"/>
  <c r="H93" i="12"/>
  <c r="B94" i="12"/>
  <c r="C94" i="12"/>
  <c r="D94" i="12"/>
  <c r="E94" i="12"/>
  <c r="F94" i="12"/>
  <c r="G94" i="12"/>
  <c r="H94" i="12"/>
  <c r="B95" i="12"/>
  <c r="C95" i="12"/>
  <c r="D95" i="12"/>
  <c r="E95" i="12"/>
  <c r="F95" i="12"/>
  <c r="G95" i="12"/>
  <c r="H95" i="12"/>
  <c r="B96" i="12"/>
  <c r="C96" i="12"/>
  <c r="D96" i="12"/>
  <c r="E96" i="12"/>
  <c r="F96" i="12"/>
  <c r="G96" i="12"/>
  <c r="H96" i="12"/>
  <c r="B97" i="12"/>
  <c r="C97" i="12"/>
  <c r="D97" i="12"/>
  <c r="E97" i="12"/>
  <c r="F97" i="12"/>
  <c r="G97" i="12"/>
  <c r="H97" i="12"/>
  <c r="B98" i="12"/>
  <c r="C98" i="12"/>
  <c r="D98" i="12"/>
  <c r="E98" i="12"/>
  <c r="F98" i="12"/>
  <c r="G98" i="12"/>
  <c r="H98" i="12"/>
  <c r="B99" i="12"/>
  <c r="C99" i="12"/>
  <c r="D99" i="12"/>
  <c r="E99" i="12"/>
  <c r="F99" i="12"/>
  <c r="G99" i="12"/>
  <c r="H99" i="12"/>
  <c r="B100" i="12"/>
  <c r="C100" i="12"/>
  <c r="D100" i="12"/>
  <c r="E100" i="12"/>
  <c r="F100" i="12"/>
  <c r="G100" i="12"/>
  <c r="H100" i="12"/>
  <c r="B101" i="12"/>
  <c r="C101" i="12"/>
  <c r="D101" i="12"/>
  <c r="E101" i="12"/>
  <c r="F101" i="12"/>
  <c r="G101" i="12"/>
  <c r="H101" i="12"/>
  <c r="B102" i="12"/>
  <c r="C102" i="12"/>
  <c r="D102" i="12"/>
  <c r="E102" i="12"/>
  <c r="F102" i="12"/>
  <c r="G102" i="12"/>
  <c r="H102" i="12"/>
  <c r="B103" i="12"/>
  <c r="C103" i="12"/>
  <c r="D103" i="12"/>
  <c r="E103" i="12"/>
  <c r="F103" i="12"/>
  <c r="G103" i="12"/>
  <c r="H103" i="12"/>
  <c r="B104" i="12"/>
  <c r="C104" i="12"/>
  <c r="D104" i="12"/>
  <c r="E104" i="12"/>
  <c r="F104" i="12"/>
  <c r="G104" i="12"/>
  <c r="H104" i="12"/>
  <c r="B105" i="12"/>
  <c r="C105" i="12"/>
  <c r="D105" i="12"/>
  <c r="E105" i="12"/>
  <c r="F105" i="12"/>
  <c r="G105" i="12"/>
  <c r="H105" i="12"/>
  <c r="B106" i="12"/>
  <c r="C106" i="12"/>
  <c r="D106" i="12"/>
  <c r="E106" i="12"/>
  <c r="F106" i="12"/>
  <c r="G106" i="12"/>
  <c r="H106" i="12"/>
  <c r="B107" i="12"/>
  <c r="C107" i="12"/>
  <c r="D107" i="12"/>
  <c r="E107" i="12"/>
  <c r="F107" i="12"/>
  <c r="G107" i="12"/>
  <c r="H107" i="12"/>
  <c r="B108" i="12"/>
  <c r="C108" i="12"/>
  <c r="D108" i="12"/>
  <c r="E108" i="12"/>
  <c r="F108" i="12"/>
  <c r="G108" i="12"/>
  <c r="H108" i="12"/>
  <c r="B109" i="12"/>
  <c r="C109" i="12"/>
  <c r="D109" i="12"/>
  <c r="E109" i="12"/>
  <c r="F109" i="12"/>
  <c r="G109" i="12"/>
  <c r="H109" i="12"/>
  <c r="B110" i="12"/>
  <c r="C110" i="12"/>
  <c r="D110" i="12"/>
  <c r="E110" i="12"/>
  <c r="F110" i="12"/>
  <c r="G110" i="12"/>
  <c r="H110" i="12"/>
  <c r="B111" i="12"/>
  <c r="C111" i="12"/>
  <c r="D111" i="12"/>
  <c r="E111" i="12"/>
  <c r="F111" i="12"/>
  <c r="G111" i="12"/>
  <c r="H111" i="12"/>
  <c r="B112" i="12"/>
  <c r="C112" i="12"/>
  <c r="D112" i="12"/>
  <c r="E112" i="12"/>
  <c r="F112" i="12"/>
  <c r="G112" i="12"/>
  <c r="H112" i="12"/>
  <c r="B113" i="12"/>
  <c r="C113" i="12"/>
  <c r="D113" i="12"/>
  <c r="E113" i="12"/>
  <c r="F113" i="12"/>
  <c r="G113" i="12"/>
  <c r="H113" i="12"/>
  <c r="B114" i="12"/>
  <c r="C114" i="12"/>
  <c r="D114" i="12"/>
  <c r="E114" i="12"/>
  <c r="F114" i="12"/>
  <c r="G114" i="12"/>
  <c r="H114" i="12"/>
  <c r="B115" i="12"/>
  <c r="C115" i="12"/>
  <c r="D115" i="12"/>
  <c r="E115" i="12"/>
  <c r="F115" i="12"/>
  <c r="G115" i="12"/>
  <c r="H115" i="12"/>
  <c r="B116" i="12"/>
  <c r="C116" i="12"/>
  <c r="D116" i="12"/>
  <c r="E116" i="12"/>
  <c r="F116" i="12"/>
  <c r="G116" i="12"/>
  <c r="H116" i="12"/>
  <c r="B117" i="12"/>
  <c r="C117" i="12"/>
  <c r="D117" i="12"/>
  <c r="E117" i="12"/>
  <c r="F117" i="12"/>
  <c r="G117" i="12"/>
  <c r="H117" i="12"/>
  <c r="B118" i="12"/>
  <c r="C118" i="12"/>
  <c r="D118" i="12"/>
  <c r="E118" i="12"/>
  <c r="F118" i="12"/>
  <c r="G118" i="12"/>
  <c r="H118" i="12"/>
  <c r="B119" i="12"/>
  <c r="C119" i="12"/>
  <c r="D119" i="12"/>
  <c r="E119" i="12"/>
  <c r="F119" i="12"/>
  <c r="G119" i="12"/>
  <c r="H119" i="12"/>
  <c r="B120" i="12"/>
  <c r="C120" i="12"/>
  <c r="D120" i="12"/>
  <c r="E120" i="12"/>
  <c r="F120" i="12"/>
  <c r="G120" i="12"/>
  <c r="H120" i="12"/>
  <c r="B121" i="12"/>
  <c r="C121" i="12"/>
  <c r="D121" i="12"/>
  <c r="E121" i="12"/>
  <c r="F121" i="12"/>
  <c r="G121" i="12"/>
  <c r="H121" i="12"/>
  <c r="B122" i="12"/>
  <c r="C122" i="12"/>
  <c r="D122" i="12"/>
  <c r="E122" i="12"/>
  <c r="F122" i="12"/>
  <c r="G122" i="12"/>
  <c r="H122" i="12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BK13" i="5"/>
  <c r="BM13" i="5"/>
  <c r="BO13" i="5"/>
  <c r="BP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BK14" i="5"/>
  <c r="BM14" i="5"/>
  <c r="BO14" i="5"/>
  <c r="BP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BK15" i="5"/>
  <c r="BM15" i="5"/>
  <c r="BO15" i="5"/>
  <c r="BP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BK16" i="5"/>
  <c r="BM16" i="5"/>
  <c r="BO16" i="5"/>
  <c r="BP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BK17" i="5"/>
  <c r="BM17" i="5"/>
  <c r="BO17" i="5"/>
  <c r="BP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BK18" i="5"/>
  <c r="BM18" i="5"/>
  <c r="BO18" i="5"/>
  <c r="BP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BK19" i="5"/>
  <c r="BM19" i="5"/>
  <c r="BO19" i="5"/>
  <c r="BP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BK20" i="5"/>
  <c r="BM20" i="5"/>
  <c r="BO20" i="5"/>
  <c r="BP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BK21" i="5"/>
  <c r="BM21" i="5"/>
  <c r="BO21" i="5"/>
  <c r="BP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BK22" i="5"/>
  <c r="BM22" i="5"/>
  <c r="BO22" i="5"/>
  <c r="BP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BK23" i="5"/>
  <c r="BM23" i="5"/>
  <c r="BO23" i="5"/>
  <c r="BP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BK24" i="5"/>
  <c r="BM24" i="5"/>
  <c r="BO24" i="5"/>
  <c r="BP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BK25" i="5"/>
  <c r="BM25" i="5"/>
  <c r="BO25" i="5"/>
  <c r="BP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BK26" i="5"/>
  <c r="BM26" i="5"/>
  <c r="BO26" i="5"/>
  <c r="BP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BK27" i="5"/>
  <c r="BM27" i="5"/>
  <c r="BO27" i="5"/>
  <c r="BP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BK28" i="5"/>
  <c r="BM28" i="5"/>
  <c r="BO28" i="5"/>
  <c r="BP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BK29" i="5"/>
  <c r="BM29" i="5"/>
  <c r="BO29" i="5"/>
  <c r="BP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BK30" i="5"/>
  <c r="BM30" i="5"/>
  <c r="BO30" i="5"/>
  <c r="BP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BK31" i="5"/>
  <c r="BM31" i="5"/>
  <c r="BO31" i="5"/>
  <c r="BP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BK32" i="5"/>
  <c r="BM32" i="5"/>
  <c r="BO32" i="5"/>
  <c r="BP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BK33" i="5"/>
  <c r="BM33" i="5"/>
  <c r="BO33" i="5"/>
  <c r="BP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BK34" i="5"/>
  <c r="BM34" i="5"/>
  <c r="BO34" i="5"/>
  <c r="BP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BK35" i="5"/>
  <c r="BM35" i="5"/>
  <c r="BO35" i="5"/>
  <c r="BP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BK36" i="5"/>
  <c r="BM36" i="5"/>
  <c r="BO36" i="5"/>
  <c r="BP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BK37" i="5"/>
  <c r="BM37" i="5"/>
  <c r="BO37" i="5"/>
  <c r="BP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BK38" i="5"/>
  <c r="BM38" i="5"/>
  <c r="BO38" i="5"/>
  <c r="BP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BK39" i="5"/>
  <c r="BM39" i="5"/>
  <c r="BO39" i="5"/>
  <c r="BP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BK40" i="5"/>
  <c r="BM40" i="5"/>
  <c r="BO40" i="5"/>
  <c r="BP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BK41" i="5"/>
  <c r="BM41" i="5"/>
  <c r="BO41" i="5"/>
  <c r="BP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BK42" i="5"/>
  <c r="BM42" i="5"/>
  <c r="BO42" i="5"/>
  <c r="BP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BK43" i="5"/>
  <c r="BM43" i="5"/>
  <c r="BO43" i="5"/>
  <c r="BP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BK44" i="5"/>
  <c r="BM44" i="5"/>
  <c r="BO44" i="5"/>
  <c r="BP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BK45" i="5"/>
  <c r="BM45" i="5"/>
  <c r="BO45" i="5"/>
  <c r="BP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BK46" i="5"/>
  <c r="BM46" i="5"/>
  <c r="BO46" i="5"/>
  <c r="BP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BK47" i="5"/>
  <c r="BM47" i="5"/>
  <c r="BO47" i="5"/>
  <c r="BP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BK48" i="5"/>
  <c r="BM48" i="5"/>
  <c r="BO48" i="5"/>
  <c r="BP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BK49" i="5"/>
  <c r="BM49" i="5"/>
  <c r="BO49" i="5"/>
  <c r="BP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BK50" i="5"/>
  <c r="BM50" i="5"/>
  <c r="BO50" i="5"/>
  <c r="BP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BK51" i="5"/>
  <c r="BM51" i="5"/>
  <c r="BO51" i="5"/>
  <c r="BP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BK52" i="5"/>
  <c r="BM52" i="5"/>
  <c r="BO52" i="5"/>
  <c r="BP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BK53" i="5"/>
  <c r="BM53" i="5"/>
  <c r="BO53" i="5"/>
  <c r="BP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BK54" i="5"/>
  <c r="BM54" i="5"/>
  <c r="BO54" i="5"/>
  <c r="BP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BK55" i="5"/>
  <c r="BM55" i="5"/>
  <c r="BO55" i="5"/>
  <c r="BP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BK56" i="5"/>
  <c r="BM56" i="5"/>
  <c r="BO56" i="5"/>
  <c r="BP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BK57" i="5"/>
  <c r="BM57" i="5"/>
  <c r="BO57" i="5"/>
  <c r="BP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BK58" i="5"/>
  <c r="BM58" i="5"/>
  <c r="BO58" i="5"/>
  <c r="BP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BK59" i="5"/>
  <c r="BM59" i="5"/>
  <c r="BO59" i="5"/>
  <c r="BP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BK60" i="5"/>
  <c r="BM60" i="5"/>
  <c r="BO60" i="5"/>
  <c r="BP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BK61" i="5"/>
  <c r="BM61" i="5"/>
  <c r="BO61" i="5"/>
  <c r="BP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BK62" i="5"/>
  <c r="BM62" i="5"/>
  <c r="BO62" i="5"/>
  <c r="BP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BK63" i="5"/>
  <c r="BM63" i="5"/>
  <c r="BO63" i="5"/>
  <c r="BP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BK64" i="5"/>
  <c r="BM64" i="5"/>
  <c r="BO64" i="5"/>
  <c r="BP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BK65" i="5"/>
  <c r="BM65" i="5"/>
  <c r="BO65" i="5"/>
  <c r="BP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BK66" i="5"/>
  <c r="BM66" i="5"/>
  <c r="BO66" i="5"/>
  <c r="BP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BK67" i="5"/>
  <c r="BM67" i="5"/>
  <c r="BO67" i="5"/>
  <c r="BP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BK68" i="5"/>
  <c r="BM68" i="5"/>
  <c r="BO68" i="5"/>
  <c r="BP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BK69" i="5"/>
  <c r="BM69" i="5"/>
  <c r="BO69" i="5"/>
  <c r="BP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BK70" i="5"/>
  <c r="BM70" i="5"/>
  <c r="BO70" i="5"/>
  <c r="BP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BK71" i="5"/>
  <c r="BM71" i="5"/>
  <c r="BO71" i="5"/>
  <c r="BP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BK72" i="5"/>
  <c r="BM72" i="5"/>
  <c r="BO72" i="5"/>
  <c r="BP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BK73" i="5"/>
  <c r="BM73" i="5"/>
  <c r="BO73" i="5"/>
  <c r="BP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BK74" i="5"/>
  <c r="BM74" i="5"/>
  <c r="BO74" i="5"/>
  <c r="BP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BK75" i="5"/>
  <c r="BM75" i="5"/>
  <c r="BO75" i="5"/>
  <c r="BP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BK76" i="5"/>
  <c r="BM76" i="5"/>
  <c r="BO76" i="5"/>
  <c r="BP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BK77" i="5"/>
  <c r="BM77" i="5"/>
  <c r="BO77" i="5"/>
  <c r="BP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BK78" i="5"/>
  <c r="BM78" i="5"/>
  <c r="BO78" i="5"/>
  <c r="BP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BK79" i="5"/>
  <c r="BM79" i="5"/>
  <c r="BO79" i="5"/>
  <c r="BP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BK80" i="5"/>
  <c r="BM80" i="5"/>
  <c r="BO80" i="5"/>
  <c r="BP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BK81" i="5"/>
  <c r="BM81" i="5"/>
  <c r="BO81" i="5"/>
  <c r="BP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BK82" i="5"/>
  <c r="BM82" i="5"/>
  <c r="BO82" i="5"/>
  <c r="BP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BK83" i="5"/>
  <c r="BM83" i="5"/>
  <c r="BO83" i="5"/>
  <c r="BP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BK84" i="5"/>
  <c r="BM84" i="5"/>
  <c r="BO84" i="5"/>
  <c r="BP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BK85" i="5"/>
  <c r="BM85" i="5"/>
  <c r="BO85" i="5"/>
  <c r="BP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BK86" i="5"/>
  <c r="BM86" i="5"/>
  <c r="BO86" i="5"/>
  <c r="BP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BK87" i="5"/>
  <c r="BM87" i="5"/>
  <c r="BO87" i="5"/>
  <c r="BP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BK88" i="5"/>
  <c r="BM88" i="5"/>
  <c r="BO88" i="5"/>
  <c r="BP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BK89" i="5"/>
  <c r="BM89" i="5"/>
  <c r="BO89" i="5"/>
  <c r="BP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BK90" i="5"/>
  <c r="BM90" i="5"/>
  <c r="BO90" i="5"/>
  <c r="BP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BK91" i="5"/>
  <c r="BM91" i="5"/>
  <c r="BO91" i="5"/>
  <c r="BP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BK92" i="5"/>
  <c r="BM92" i="5"/>
  <c r="BO92" i="5"/>
  <c r="BP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BK93" i="5"/>
  <c r="BM93" i="5"/>
  <c r="BO93" i="5"/>
  <c r="BP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BK94" i="5"/>
  <c r="BM94" i="5"/>
  <c r="BO94" i="5"/>
  <c r="BP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BK95" i="5"/>
  <c r="BM95" i="5"/>
  <c r="BO95" i="5"/>
  <c r="BP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BK96" i="5"/>
  <c r="BM96" i="5"/>
  <c r="BO96" i="5"/>
  <c r="BP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BK97" i="5"/>
  <c r="BM97" i="5"/>
  <c r="BO97" i="5"/>
  <c r="BP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BK98" i="5"/>
  <c r="BM98" i="5"/>
  <c r="BO98" i="5"/>
  <c r="BP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BK99" i="5"/>
  <c r="BM99" i="5"/>
  <c r="BO99" i="5"/>
  <c r="BP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BK100" i="5"/>
  <c r="BM100" i="5"/>
  <c r="BO100" i="5"/>
  <c r="BP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BK101" i="5"/>
  <c r="BM101" i="5"/>
  <c r="BO101" i="5"/>
  <c r="BP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BK102" i="5"/>
  <c r="BM102" i="5"/>
  <c r="BO102" i="5"/>
  <c r="BP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BK103" i="5"/>
  <c r="BM103" i="5"/>
  <c r="BO103" i="5"/>
  <c r="BP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BK104" i="5"/>
  <c r="BM104" i="5"/>
  <c r="BO104" i="5"/>
  <c r="BP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BK105" i="5"/>
  <c r="BM105" i="5"/>
  <c r="BO105" i="5"/>
  <c r="BP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BK106" i="5"/>
  <c r="BM106" i="5"/>
  <c r="BO106" i="5"/>
  <c r="BP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BK107" i="5"/>
  <c r="BM107" i="5"/>
  <c r="BO107" i="5"/>
  <c r="BP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BK108" i="5"/>
  <c r="BM108" i="5"/>
  <c r="BO108" i="5"/>
  <c r="BP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BK109" i="5"/>
  <c r="BM109" i="5"/>
  <c r="BO109" i="5"/>
  <c r="BP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BK110" i="5"/>
  <c r="BM110" i="5"/>
  <c r="BO110" i="5"/>
  <c r="BP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BK111" i="5"/>
  <c r="BM111" i="5"/>
  <c r="BO111" i="5"/>
  <c r="BP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BK112" i="5"/>
  <c r="BM112" i="5"/>
  <c r="BO112" i="5"/>
  <c r="BP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BK113" i="5"/>
  <c r="BM113" i="5"/>
  <c r="BO113" i="5"/>
  <c r="BP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BI114" i="5"/>
  <c r="BJ114" i="5"/>
  <c r="BK114" i="5"/>
  <c r="BM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BI115" i="5"/>
  <c r="BJ115" i="5"/>
  <c r="BK115" i="5"/>
  <c r="BM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BI116" i="5"/>
  <c r="BJ116" i="5"/>
  <c r="BK116" i="5"/>
  <c r="BM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BI117" i="5"/>
  <c r="BJ117" i="5"/>
  <c r="BK117" i="5"/>
  <c r="BM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BI118" i="5"/>
  <c r="BJ118" i="5"/>
  <c r="BK118" i="5"/>
  <c r="BM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BI119" i="5"/>
  <c r="BJ119" i="5"/>
  <c r="BK119" i="5"/>
  <c r="BM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BI120" i="5"/>
  <c r="BJ120" i="5"/>
  <c r="BK120" i="5"/>
  <c r="BM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BI121" i="5"/>
  <c r="BJ121" i="5"/>
  <c r="BK121" i="5"/>
  <c r="BM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BI122" i="5"/>
  <c r="BJ122" i="5"/>
  <c r="BK122" i="5"/>
  <c r="BM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BI123" i="5"/>
  <c r="BJ123" i="5"/>
  <c r="BK123" i="5"/>
  <c r="BM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BI124" i="5"/>
  <c r="BJ124" i="5"/>
  <c r="BK124" i="5"/>
  <c r="BM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BI125" i="5"/>
  <c r="BJ125" i="5"/>
  <c r="BK125" i="5"/>
  <c r="BM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BI126" i="5"/>
  <c r="BJ126" i="5"/>
  <c r="BK126" i="5"/>
  <c r="BM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BI127" i="5"/>
  <c r="BJ127" i="5"/>
  <c r="BK127" i="5"/>
  <c r="BM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BI128" i="5"/>
  <c r="BJ128" i="5"/>
  <c r="BK128" i="5"/>
  <c r="BM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BI129" i="5"/>
  <c r="BJ129" i="5"/>
  <c r="BK129" i="5"/>
  <c r="BM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BI130" i="5"/>
  <c r="BJ130" i="5"/>
  <c r="BK130" i="5"/>
  <c r="BM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BI131" i="5"/>
  <c r="BJ131" i="5"/>
  <c r="BK131" i="5"/>
  <c r="BM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BI132" i="5"/>
  <c r="BJ132" i="5"/>
  <c r="BK132" i="5"/>
  <c r="BM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BI133" i="5"/>
  <c r="BJ133" i="5"/>
  <c r="BK133" i="5"/>
  <c r="BM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BI134" i="5"/>
  <c r="BJ134" i="5"/>
  <c r="BK134" i="5"/>
  <c r="BM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BI135" i="5"/>
  <c r="BJ135" i="5"/>
  <c r="BK135" i="5"/>
  <c r="BM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BI136" i="5"/>
  <c r="BJ136" i="5"/>
  <c r="BK136" i="5"/>
  <c r="BM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BI137" i="5"/>
  <c r="BJ137" i="5"/>
  <c r="BK137" i="5"/>
  <c r="BM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BI138" i="5"/>
  <c r="BJ138" i="5"/>
  <c r="BK138" i="5"/>
  <c r="BM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BI139" i="5"/>
  <c r="BJ139" i="5"/>
  <c r="BK139" i="5"/>
  <c r="BM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BI140" i="5"/>
  <c r="BJ140" i="5"/>
  <c r="BK140" i="5"/>
  <c r="BM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BI141" i="5"/>
  <c r="BJ141" i="5"/>
  <c r="BK141" i="5"/>
  <c r="BM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BI142" i="5"/>
  <c r="BJ142" i="5"/>
  <c r="BK142" i="5"/>
  <c r="BM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BI143" i="5"/>
  <c r="BJ143" i="5"/>
  <c r="BK143" i="5"/>
  <c r="BM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BI144" i="5"/>
  <c r="BJ144" i="5"/>
  <c r="BK144" i="5"/>
  <c r="BM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BI145" i="5"/>
  <c r="BJ145" i="5"/>
  <c r="BK145" i="5"/>
  <c r="BM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BI146" i="5"/>
  <c r="BJ146" i="5"/>
  <c r="BK146" i="5"/>
  <c r="BM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BI147" i="5"/>
  <c r="BJ147" i="5"/>
  <c r="BK147" i="5"/>
  <c r="BM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BI148" i="5"/>
  <c r="BJ148" i="5"/>
  <c r="BK148" i="5"/>
  <c r="BM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BI149" i="5"/>
  <c r="BJ149" i="5"/>
  <c r="BK149" i="5"/>
  <c r="BM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BI150" i="5"/>
  <c r="BJ150" i="5"/>
  <c r="BK150" i="5"/>
  <c r="BM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BI151" i="5"/>
  <c r="BJ151" i="5"/>
  <c r="BK151" i="5"/>
  <c r="BM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BI152" i="5"/>
  <c r="BJ152" i="5"/>
  <c r="BK152" i="5"/>
  <c r="BM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BI153" i="5"/>
  <c r="BJ153" i="5"/>
  <c r="BK153" i="5"/>
  <c r="BM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BI154" i="5"/>
  <c r="BJ154" i="5"/>
  <c r="BK154" i="5"/>
  <c r="BM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BI155" i="5"/>
  <c r="BJ155" i="5"/>
  <c r="BK155" i="5"/>
  <c r="BM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BI156" i="5"/>
  <c r="BJ156" i="5"/>
  <c r="BK156" i="5"/>
  <c r="BM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BI157" i="5"/>
  <c r="BJ157" i="5"/>
  <c r="BK157" i="5"/>
  <c r="BM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BI158" i="5"/>
  <c r="BJ158" i="5"/>
  <c r="BK158" i="5"/>
  <c r="BM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BI159" i="5"/>
  <c r="BJ159" i="5"/>
  <c r="BK159" i="5"/>
  <c r="BM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BI160" i="5"/>
  <c r="BJ160" i="5"/>
  <c r="BK160" i="5"/>
  <c r="BM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BI161" i="5"/>
  <c r="BJ161" i="5"/>
  <c r="BK161" i="5"/>
  <c r="BM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BI162" i="5"/>
  <c r="BJ162" i="5"/>
  <c r="BK162" i="5"/>
  <c r="BM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BI163" i="5"/>
  <c r="BJ163" i="5"/>
  <c r="BK163" i="5"/>
  <c r="BM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BI164" i="5"/>
  <c r="BJ164" i="5"/>
  <c r="BK164" i="5"/>
  <c r="BM164" i="5"/>
  <c r="R1" i="4"/>
  <c r="K2" i="4"/>
  <c r="R2" i="4"/>
  <c r="C4" i="4"/>
  <c r="C7" i="4"/>
  <c r="W7" i="4"/>
  <c r="L9" i="4"/>
  <c r="M9" i="4"/>
  <c r="N9" i="4"/>
  <c r="B10" i="4"/>
  <c r="C10" i="4"/>
  <c r="D10" i="4"/>
  <c r="E10" i="4"/>
  <c r="F10" i="4"/>
  <c r="G10" i="4"/>
  <c r="L10" i="4"/>
  <c r="M10" i="4"/>
  <c r="N10" i="4"/>
  <c r="X10" i="4"/>
  <c r="Y10" i="4"/>
  <c r="Z10" i="4"/>
  <c r="AA10" i="4"/>
  <c r="AD10" i="4"/>
  <c r="AE10" i="4"/>
  <c r="AF10" i="4"/>
  <c r="AG10" i="4"/>
  <c r="L11" i="4"/>
  <c r="M11" i="4"/>
  <c r="N11" i="4"/>
  <c r="X11" i="4"/>
  <c r="Y11" i="4"/>
  <c r="Z11" i="4"/>
  <c r="AA11" i="4"/>
  <c r="AE11" i="4"/>
  <c r="AF11" i="4"/>
  <c r="AG11" i="4"/>
  <c r="L12" i="4"/>
  <c r="M12" i="4"/>
  <c r="N12" i="4"/>
  <c r="X12" i="4"/>
  <c r="Y12" i="4"/>
  <c r="Z12" i="4"/>
  <c r="AA12" i="4"/>
  <c r="AF12" i="4"/>
  <c r="AG12" i="4"/>
  <c r="L13" i="4"/>
  <c r="M13" i="4"/>
  <c r="N13" i="4"/>
  <c r="Y13" i="4"/>
  <c r="Z13" i="4"/>
  <c r="AA13" i="4"/>
  <c r="AG13" i="4"/>
  <c r="L14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H30" i="4"/>
  <c r="AI30" i="4"/>
  <c r="AJ30" i="4"/>
  <c r="AK30" i="4"/>
  <c r="AO30" i="4"/>
  <c r="AP30" i="4"/>
  <c r="AQ30" i="4"/>
  <c r="AR30" i="4"/>
  <c r="N31" i="4"/>
  <c r="AG31" i="4"/>
  <c r="AH31" i="4"/>
  <c r="AI31" i="4"/>
  <c r="AJ31" i="4"/>
  <c r="AK31" i="4"/>
  <c r="AO31" i="4"/>
  <c r="AP31" i="4"/>
  <c r="AQ31" i="4"/>
  <c r="AR31" i="4"/>
  <c r="N32" i="4"/>
  <c r="W32" i="4"/>
  <c r="X32" i="4"/>
  <c r="Z32" i="4"/>
  <c r="AA32" i="4"/>
  <c r="AG32" i="4"/>
  <c r="AH32" i="4"/>
  <c r="AI32" i="4"/>
  <c r="AJ32" i="4"/>
  <c r="AK32" i="4"/>
  <c r="AP32" i="4"/>
  <c r="AQ32" i="4"/>
  <c r="AR32" i="4"/>
  <c r="N33" i="4"/>
  <c r="W33" i="4"/>
  <c r="X33" i="4"/>
  <c r="Z33" i="4"/>
  <c r="AA33" i="4"/>
  <c r="AG33" i="4"/>
  <c r="AH33" i="4"/>
  <c r="AI33" i="4"/>
  <c r="AJ33" i="4"/>
  <c r="AK33" i="4"/>
  <c r="AQ33" i="4"/>
  <c r="AR33" i="4"/>
  <c r="W34" i="4"/>
  <c r="X34" i="4"/>
  <c r="Z34" i="4"/>
  <c r="AA34" i="4"/>
  <c r="AG34" i="4"/>
  <c r="AH34" i="4"/>
  <c r="AI34" i="4"/>
  <c r="AJ34" i="4"/>
  <c r="AK34" i="4"/>
  <c r="AR34" i="4"/>
  <c r="N35" i="4"/>
  <c r="W35" i="4"/>
  <c r="X35" i="4"/>
  <c r="Z35" i="4"/>
  <c r="AA35" i="4"/>
  <c r="AG35" i="4"/>
  <c r="AH35" i="4"/>
  <c r="AI35" i="4"/>
  <c r="AJ35" i="4"/>
  <c r="AK35" i="4"/>
  <c r="N36" i="4"/>
  <c r="W36" i="4"/>
  <c r="X36" i="4"/>
  <c r="Z36" i="4"/>
  <c r="AA36" i="4"/>
  <c r="AG36" i="4"/>
  <c r="AH36" i="4"/>
  <c r="AI36" i="4"/>
  <c r="AJ36" i="4"/>
  <c r="AK36" i="4"/>
  <c r="N37" i="4"/>
  <c r="W37" i="4"/>
  <c r="X37" i="4"/>
  <c r="Z37" i="4"/>
  <c r="AA37" i="4"/>
  <c r="AG37" i="4"/>
  <c r="AH37" i="4"/>
  <c r="AI37" i="4"/>
  <c r="AJ37" i="4"/>
  <c r="AK37" i="4"/>
  <c r="W38" i="4"/>
  <c r="X38" i="4"/>
  <c r="Z38" i="4"/>
  <c r="AA38" i="4"/>
  <c r="AG38" i="4"/>
  <c r="AH38" i="4"/>
  <c r="AI38" i="4"/>
  <c r="AJ38" i="4"/>
  <c r="AK38" i="4"/>
  <c r="W39" i="4"/>
  <c r="X39" i="4"/>
  <c r="Z39" i="4"/>
  <c r="AA39" i="4"/>
  <c r="AG39" i="4"/>
  <c r="AH39" i="4"/>
  <c r="AI39" i="4"/>
  <c r="AJ39" i="4"/>
  <c r="AK39" i="4"/>
  <c r="W40" i="4"/>
  <c r="X40" i="4"/>
  <c r="Z40" i="4"/>
  <c r="AA40" i="4"/>
  <c r="AG40" i="4"/>
  <c r="AH40" i="4"/>
  <c r="AI40" i="4"/>
  <c r="AJ40" i="4"/>
  <c r="AK40" i="4"/>
  <c r="W41" i="4"/>
  <c r="X41" i="4"/>
  <c r="Z41" i="4"/>
  <c r="AA41" i="4"/>
  <c r="AG41" i="4"/>
  <c r="AH41" i="4"/>
  <c r="AI41" i="4"/>
  <c r="AJ41" i="4"/>
  <c r="AK41" i="4"/>
  <c r="W42" i="4"/>
  <c r="X42" i="4"/>
  <c r="Z42" i="4"/>
  <c r="AA42" i="4"/>
  <c r="AG42" i="4"/>
  <c r="AH42" i="4"/>
  <c r="AI42" i="4"/>
  <c r="AJ42" i="4"/>
  <c r="AK42" i="4"/>
  <c r="W43" i="4"/>
  <c r="X43" i="4"/>
  <c r="Z43" i="4"/>
  <c r="AA43" i="4"/>
  <c r="AG43" i="4"/>
  <c r="AH43" i="4"/>
  <c r="AI43" i="4"/>
  <c r="AJ43" i="4"/>
  <c r="AK43" i="4"/>
  <c r="W44" i="4"/>
  <c r="X44" i="4"/>
  <c r="Z44" i="4"/>
  <c r="AA44" i="4"/>
  <c r="AG44" i="4"/>
  <c r="AH44" i="4"/>
  <c r="AI44" i="4"/>
  <c r="AJ44" i="4"/>
  <c r="AK44" i="4"/>
  <c r="Z45" i="4"/>
  <c r="AA45" i="4"/>
  <c r="AG45" i="4"/>
  <c r="AH45" i="4"/>
  <c r="AI45" i="4"/>
  <c r="AJ45" i="4"/>
  <c r="AK45" i="4"/>
  <c r="Z46" i="4"/>
  <c r="AA46" i="4"/>
  <c r="AG46" i="4"/>
  <c r="AH46" i="4"/>
  <c r="AI46" i="4"/>
  <c r="AJ46" i="4"/>
  <c r="AK46" i="4"/>
  <c r="Z47" i="4"/>
  <c r="AA47" i="4"/>
  <c r="AG47" i="4"/>
  <c r="AH47" i="4"/>
  <c r="AI47" i="4"/>
  <c r="AJ47" i="4"/>
  <c r="AK47" i="4"/>
  <c r="Z48" i="4"/>
  <c r="AA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<sst xmlns="http://schemas.openxmlformats.org/spreadsheetml/2006/main" count="228" uniqueCount="147">
  <si>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</si>
  <si>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</si>
  <si>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</si>
  <si>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</si>
  <si>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</si>
  <si>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</si>
  <si>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</si>
  <si>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</si>
  <si>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</si>
  <si>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</si>
  <si>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</si>
  <si>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</si>
  <si>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</si>
  <si>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</si>
  <si>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</si>
  <si>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</si>
  <si>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</si>
  <si>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</si>
  <si>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</si>
  <si>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</si>
  <si>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</si>
  <si>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</si>
  <si>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</si>
  <si>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</si>
  <si>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</si>
  <si>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</si>
  <si>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</si>
  <si>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</si>
  <si>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</si>
  <si>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</si>
  <si>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</si>
  <si>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</si>
  <si>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</si>
  <si>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</si>
  <si>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</si>
  <si>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</si>
  <si>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</si>
  <si>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</si>
  <si>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</si>
  <si>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</si>
  <si>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</si>
  <si>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</si>
  <si>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</si>
  <si>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</si>
  <si>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</si>
  <si>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</si>
  <si>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</si>
  <si>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</si>
  <si>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</si>
  <si>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</si>
  <si>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</si>
  <si>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</si>
  <si>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</si>
  <si>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</si>
  <si>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</si>
  <si>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</si>
  <si>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</si>
  <si>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</si>
  <si>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</si>
  <si>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</si>
  <si>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</si>
  <si>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</si>
  <si>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</si>
  <si>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</si>
  <si>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</si>
  <si>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</si>
  <si>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</si>
  <si>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</si>
  <si>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</si>
  <si>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</si>
  <si>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</si>
  <si>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</si>
  <si>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</si>
  <si>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</si>
  <si>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</si>
  <si>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</si>
  <si>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</si>
  <si>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</si>
  <si>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</si>
  <si>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</si>
  <si>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</si>
  <si>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</si>
  <si>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</si>
  <si>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</si>
  <si>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</si>
  <si>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</si>
  <si>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</si>
  <si>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</si>
  <si>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</si>
  <si>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</si>
  <si>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</si>
  <si>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</si>
  <si>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</si>
  <si>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</si>
  <si>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</si>
  <si>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</si>
  <si>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</si>
  <si>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</si>
  <si>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</si>
  <si>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</si>
  <si>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</si>
  <si>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</si>
  <si>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</si>
  <si>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</si>
  <si>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</si>
  <si>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</si>
  <si>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</si>
  <si>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</si>
  <si>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2nd d</t>
  </si>
  <si>
    <t>ENA Vol Fit</t>
  </si>
  <si>
    <t>premium difference</t>
  </si>
  <si>
    <t>0.054</t>
  </si>
  <si>
    <t>ENA Skew</t>
  </si>
  <si>
    <t>ENA to Market</t>
  </si>
  <si>
    <t>0.006</t>
  </si>
  <si>
    <t>0.261</t>
  </si>
  <si>
    <t>0.446</t>
  </si>
  <si>
    <t>0.694</t>
  </si>
  <si>
    <t>0.965</t>
  </si>
  <si>
    <t>1.307</t>
  </si>
  <si>
    <t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t>
  </si>
  <si>
    <t>VLOOKUP(E13,ENAVolTable,4)+VLOOKUP(E13,ENAVolTable,5)*(E13-VLOOKUP(E13,ENAVolTable,1))</t>
  </si>
  <si>
    <t>two methods for estimating the ENA volatility</t>
  </si>
  <si>
    <t>curve fit</t>
  </si>
  <si>
    <t>lin inter</t>
  </si>
  <si>
    <t>m+e</t>
  </si>
  <si>
    <t>Call at vol</t>
  </si>
  <si>
    <t>Call at vol+e</t>
  </si>
  <si>
    <t>Call at vol-e</t>
  </si>
  <si>
    <t>Dec'01</t>
  </si>
  <si>
    <t>trading at $4.725</t>
  </si>
  <si>
    <t xml:space="preserve"> 100  4.70 Calls</t>
  </si>
  <si>
    <t>-300  5.50 Calls</t>
  </si>
  <si>
    <t xml:space="preserve"> 200  5.90 Calls</t>
  </si>
  <si>
    <t>-200  3.50 Puts</t>
  </si>
  <si>
    <t xml:space="preserve"> 300  4.00 Puts</t>
  </si>
  <si>
    <t>-100  4.70 Puts</t>
  </si>
  <si>
    <t>Price</t>
  </si>
  <si>
    <t>c1</t>
  </si>
  <si>
    <t>c2</t>
  </si>
  <si>
    <t>c3</t>
  </si>
  <si>
    <t>p1</t>
  </si>
  <si>
    <t>p2</t>
  </si>
  <si>
    <t>p3</t>
  </si>
  <si>
    <t>sum</t>
  </si>
  <si>
    <t>Payout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</si>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</sst>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  <numFmt numFmtId="181" formatCode="0.0"/>
  </numFmts>
  <fonts count="30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164" fontId="14" fillId="0" borderId="0" xfId="1" applyNumberFormat="1" applyAlignment="1">
      <alignment horizontal="right"/>
    </xf>
    <xf numFmtId="172" fontId="14" fillId="0" borderId="5" xfId="1" applyNumberFormat="1" applyBorder="1"/>
    <xf numFmtId="166" fontId="14" fillId="0" borderId="5" xfId="1" applyNumberFormat="1" applyBorder="1"/>
    <xf numFmtId="169" fontId="14" fillId="0" borderId="5" xfId="1" applyNumberFormat="1" applyBorder="1"/>
    <xf numFmtId="170" fontId="14" fillId="0" borderId="5" xfId="1" applyNumberFormat="1" applyBorder="1"/>
    <xf numFmtId="173" fontId="14" fillId="0" borderId="5" xfId="1" applyNumberFormat="1" applyBorder="1"/>
    <xf numFmtId="173" fontId="23" fillId="0" borderId="5" xfId="1" applyNumberFormat="1" applyFont="1" applyBorder="1" applyAlignment="1"/>
    <xf numFmtId="0" fontId="26" fillId="0" borderId="0" xfId="0" applyFont="1" applyAlignment="1">
      <alignment horizontal="center"/>
    </xf>
    <xf numFmtId="1" fontId="27" fillId="4" borderId="8" xfId="0" applyNumberFormat="1" applyFont="1" applyFill="1" applyBorder="1" applyAlignment="1">
      <alignment horizontal="center"/>
    </xf>
    <xf numFmtId="1" fontId="27" fillId="4" borderId="9" xfId="0" applyNumberFormat="1" applyFont="1" applyFill="1" applyBorder="1" applyAlignment="1">
      <alignment horizontal="center"/>
    </xf>
    <xf numFmtId="181" fontId="27" fillId="4" borderId="10" xfId="0" applyNumberFormat="1" applyFont="1" applyFill="1" applyBorder="1" applyAlignment="1">
      <alignment horizontal="center"/>
    </xf>
    <xf numFmtId="1" fontId="27" fillId="4" borderId="11" xfId="0" applyNumberFormat="1" applyFont="1" applyFill="1" applyBorder="1" applyAlignment="1">
      <alignment horizontal="center"/>
    </xf>
    <xf numFmtId="1" fontId="27" fillId="4" borderId="12" xfId="0" applyNumberFormat="1" applyFont="1" applyFill="1" applyBorder="1" applyAlignment="1">
      <alignment horizontal="center"/>
    </xf>
    <xf numFmtId="17" fontId="27" fillId="4" borderId="8" xfId="0" applyNumberFormat="1" applyFont="1" applyFill="1" applyBorder="1" applyAlignment="1">
      <alignment horizontal="center"/>
    </xf>
    <xf numFmtId="2" fontId="27" fillId="5" borderId="13" xfId="3" applyNumberFormat="1" applyFont="1" applyFill="1" applyBorder="1" applyAlignment="1">
      <alignment horizontal="center"/>
    </xf>
    <xf numFmtId="2" fontId="27" fillId="5" borderId="14" xfId="3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27" fillId="2" borderId="16" xfId="3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27" fillId="2" borderId="14" xfId="3" applyNumberFormat="1" applyFont="1" applyFill="1" applyBorder="1" applyAlignment="1">
      <alignment horizontal="center"/>
    </xf>
    <xf numFmtId="2" fontId="27" fillId="5" borderId="15" xfId="3" applyNumberFormat="1" applyFont="1" applyFill="1" applyBorder="1" applyAlignment="1">
      <alignment horizontal="center"/>
    </xf>
    <xf numFmtId="17" fontId="27" fillId="4" borderId="17" xfId="0" applyNumberFormat="1" applyFont="1" applyFill="1" applyBorder="1" applyAlignment="1">
      <alignment horizontal="center"/>
    </xf>
    <xf numFmtId="2" fontId="27" fillId="5" borderId="18" xfId="3" applyNumberFormat="1" applyFont="1" applyFill="1" applyBorder="1" applyAlignment="1">
      <alignment horizontal="center"/>
    </xf>
    <xf numFmtId="2" fontId="27" fillId="5" borderId="19" xfId="3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27" fillId="2" borderId="4" xfId="3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27" fillId="2" borderId="19" xfId="3" applyNumberFormat="1" applyFont="1" applyFill="1" applyBorder="1" applyAlignment="1">
      <alignment horizontal="center"/>
    </xf>
    <xf numFmtId="2" fontId="27" fillId="5" borderId="3" xfId="3" applyNumberFormat="1" applyFont="1" applyFill="1" applyBorder="1" applyAlignment="1">
      <alignment horizontal="center"/>
    </xf>
    <xf numFmtId="2" fontId="27" fillId="5" borderId="18" xfId="0" applyNumberFormat="1" applyFont="1" applyFill="1" applyBorder="1" applyAlignment="1">
      <alignment horizontal="center"/>
    </xf>
    <xf numFmtId="2" fontId="27" fillId="5" borderId="19" xfId="0" applyNumberFormat="1" applyFont="1" applyFill="1" applyBorder="1" applyAlignment="1">
      <alignment horizontal="center"/>
    </xf>
    <xf numFmtId="2" fontId="27" fillId="2" borderId="4" xfId="0" applyNumberFormat="1" applyFont="1" applyFill="1" applyBorder="1" applyAlignment="1">
      <alignment horizontal="center"/>
    </xf>
    <xf numFmtId="2" fontId="27" fillId="2" borderId="19" xfId="0" applyNumberFormat="1" applyFont="1" applyFill="1" applyBorder="1" applyAlignment="1">
      <alignment horizontal="center"/>
    </xf>
    <xf numFmtId="2" fontId="27" fillId="5" borderId="3" xfId="0" applyNumberFormat="1" applyFont="1" applyFill="1" applyBorder="1" applyAlignment="1">
      <alignment horizontal="center"/>
    </xf>
    <xf numFmtId="2" fontId="27" fillId="5" borderId="20" xfId="0" applyNumberFormat="1" applyFont="1" applyFill="1" applyBorder="1" applyAlignment="1">
      <alignment horizontal="center"/>
    </xf>
    <xf numFmtId="2" fontId="27" fillId="5" borderId="21" xfId="0" applyNumberFormat="1" applyFont="1" applyFill="1" applyBorder="1" applyAlignment="1">
      <alignment horizontal="center"/>
    </xf>
    <xf numFmtId="17" fontId="27" fillId="6" borderId="17" xfId="0" applyNumberFormat="1" applyFont="1" applyFill="1" applyBorder="1" applyAlignment="1">
      <alignment horizontal="center"/>
    </xf>
    <xf numFmtId="2" fontId="27" fillId="6" borderId="18" xfId="0" applyNumberFormat="1" applyFont="1" applyFill="1" applyBorder="1" applyAlignment="1">
      <alignment horizontal="center"/>
    </xf>
    <xf numFmtId="2" fontId="27" fillId="6" borderId="19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2" fontId="27" fillId="6" borderId="4" xfId="0" applyNumberFormat="1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2" fontId="27" fillId="6" borderId="3" xfId="0" applyNumberFormat="1" applyFont="1" applyFill="1" applyBorder="1" applyAlignment="1">
      <alignment horizontal="center"/>
    </xf>
    <xf numFmtId="2" fontId="27" fillId="6" borderId="22" xfId="0" applyNumberFormat="1" applyFont="1" applyFill="1" applyBorder="1" applyAlignment="1">
      <alignment horizontal="center"/>
    </xf>
    <xf numFmtId="17" fontId="27" fillId="6" borderId="23" xfId="0" applyNumberFormat="1" applyFont="1" applyFill="1" applyBorder="1" applyAlignment="1">
      <alignment horizontal="center"/>
    </xf>
    <xf numFmtId="2" fontId="27" fillId="6" borderId="24" xfId="0" applyNumberFormat="1" applyFont="1" applyFill="1" applyBorder="1" applyAlignment="1">
      <alignment horizontal="center"/>
    </xf>
    <xf numFmtId="2" fontId="27" fillId="6" borderId="25" xfId="0" applyNumberFormat="1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2" fontId="27" fillId="6" borderId="27" xfId="0" applyNumberFormat="1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2" fontId="5" fillId="6" borderId="27" xfId="0" applyNumberFormat="1" applyFont="1" applyFill="1" applyBorder="1" applyAlignment="1">
      <alignment horizontal="center"/>
    </xf>
    <xf numFmtId="2" fontId="27" fillId="6" borderId="26" xfId="0" applyNumberFormat="1" applyFont="1" applyFill="1" applyBorder="1" applyAlignment="1">
      <alignment horizontal="center"/>
    </xf>
    <xf numFmtId="2" fontId="27" fillId="6" borderId="28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0" borderId="0" xfId="0" applyFill="1"/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13519458016374"/>
          <c:y val="6.8047411005047867E-2"/>
          <c:w val="0.75675708964891686"/>
          <c:h val="0.71597710709659046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52"/>
                <c:pt idx="0">
                  <c:v>-0.26</c:v>
                </c:pt>
                <c:pt idx="1">
                  <c:v>-0.25</c:v>
                </c:pt>
                <c:pt idx="2">
                  <c:v>-0.24</c:v>
                </c:pt>
                <c:pt idx="3">
                  <c:v>-0.22999999999999998</c:v>
                </c:pt>
                <c:pt idx="4">
                  <c:v>-0.21999999999999997</c:v>
                </c:pt>
                <c:pt idx="5">
                  <c:v>-0.20999999999999996</c:v>
                </c:pt>
                <c:pt idx="6">
                  <c:v>-0.19999999999999996</c:v>
                </c:pt>
                <c:pt idx="7">
                  <c:v>-0.18999999999999995</c:v>
                </c:pt>
                <c:pt idx="8">
                  <c:v>-0.17999999999999994</c:v>
                </c:pt>
                <c:pt idx="9">
                  <c:v>-0.16999999999999993</c:v>
                </c:pt>
                <c:pt idx="10">
                  <c:v>-0.15999999999999992</c:v>
                </c:pt>
                <c:pt idx="11">
                  <c:v>-0.14999999999999991</c:v>
                </c:pt>
                <c:pt idx="12">
                  <c:v>-0.1399999999999999</c:v>
                </c:pt>
                <c:pt idx="13">
                  <c:v>-0.12999999999999989</c:v>
                </c:pt>
                <c:pt idx="14">
                  <c:v>-0.1199999999999999</c:v>
                </c:pt>
                <c:pt idx="15">
                  <c:v>-0.1099999999999999</c:v>
                </c:pt>
                <c:pt idx="16">
                  <c:v>-9.9999999999999908E-2</c:v>
                </c:pt>
                <c:pt idx="17">
                  <c:v>-8.9999999999999913E-2</c:v>
                </c:pt>
                <c:pt idx="18">
                  <c:v>-7.9999999999999918E-2</c:v>
                </c:pt>
                <c:pt idx="19">
                  <c:v>-6.9999999999999923E-2</c:v>
                </c:pt>
                <c:pt idx="20">
                  <c:v>-5.9999999999999921E-2</c:v>
                </c:pt>
                <c:pt idx="21">
                  <c:v>-4.999999999999992E-2</c:v>
                </c:pt>
                <c:pt idx="22">
                  <c:v>-3.9999999999999918E-2</c:v>
                </c:pt>
                <c:pt idx="23">
                  <c:v>-2.9999999999999916E-2</c:v>
                </c:pt>
                <c:pt idx="24">
                  <c:v>-1.9999999999999914E-2</c:v>
                </c:pt>
                <c:pt idx="25">
                  <c:v>-9.9999999999999135E-3</c:v>
                </c:pt>
                <c:pt idx="26">
                  <c:v>8.6736173798840355E-17</c:v>
                </c:pt>
                <c:pt idx="27">
                  <c:v>1.0000000000000087E-2</c:v>
                </c:pt>
                <c:pt idx="28">
                  <c:v>2.0000000000000087E-2</c:v>
                </c:pt>
                <c:pt idx="29">
                  <c:v>3.0000000000000089E-2</c:v>
                </c:pt>
                <c:pt idx="30">
                  <c:v>4.0000000000000091E-2</c:v>
                </c:pt>
                <c:pt idx="31">
                  <c:v>5.0000000000000093E-2</c:v>
                </c:pt>
                <c:pt idx="32">
                  <c:v>6.0000000000000095E-2</c:v>
                </c:pt>
                <c:pt idx="33">
                  <c:v>7.000000000000009E-2</c:v>
                </c:pt>
                <c:pt idx="34">
                  <c:v>8.0000000000000085E-2</c:v>
                </c:pt>
                <c:pt idx="35">
                  <c:v>9.000000000000008E-2</c:v>
                </c:pt>
                <c:pt idx="36">
                  <c:v>0.10000000000000007</c:v>
                </c:pt>
                <c:pt idx="37">
                  <c:v>0.11000000000000007</c:v>
                </c:pt>
                <c:pt idx="38">
                  <c:v>0.12000000000000006</c:v>
                </c:pt>
                <c:pt idx="39">
                  <c:v>0.13000000000000006</c:v>
                </c:pt>
                <c:pt idx="40">
                  <c:v>0.14000000000000007</c:v>
                </c:pt>
                <c:pt idx="41">
                  <c:v>0.15000000000000008</c:v>
                </c:pt>
                <c:pt idx="42">
                  <c:v>0.16000000000000009</c:v>
                </c:pt>
                <c:pt idx="43">
                  <c:v>0.1700000000000001</c:v>
                </c:pt>
                <c:pt idx="44">
                  <c:v>0.1800000000000001</c:v>
                </c:pt>
                <c:pt idx="45">
                  <c:v>0.19000000000000011</c:v>
                </c:pt>
                <c:pt idx="46">
                  <c:v>0.20000000000000012</c:v>
                </c:pt>
                <c:pt idx="47">
                  <c:v>0.21000000000000013</c:v>
                </c:pt>
                <c:pt idx="48">
                  <c:v>0.22000000000000014</c:v>
                </c:pt>
                <c:pt idx="49">
                  <c:v>0.23000000000000015</c:v>
                </c:pt>
                <c:pt idx="50">
                  <c:v>0.24000000000000016</c:v>
                </c:pt>
                <c:pt idx="51">
                  <c:v>0.25000000000000017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52"/>
                <c:pt idx="0">
                  <c:v>0.57896656280000003</c:v>
                </c:pt>
                <c:pt idx="1">
                  <c:v>0.57932331250000002</c:v>
                </c:pt>
                <c:pt idx="2">
                  <c:v>0.57969953280000008</c:v>
                </c:pt>
                <c:pt idx="3">
                  <c:v>0.58009522370000011</c:v>
                </c:pt>
                <c:pt idx="4">
                  <c:v>0.58051038520000009</c:v>
                </c:pt>
                <c:pt idx="5">
                  <c:v>0.58094501730000003</c:v>
                </c:pt>
                <c:pt idx="6">
                  <c:v>0.58139912000000005</c:v>
                </c:pt>
                <c:pt idx="7">
                  <c:v>0.58187269330000002</c:v>
                </c:pt>
                <c:pt idx="8">
                  <c:v>0.58236573720000007</c:v>
                </c:pt>
                <c:pt idx="9">
                  <c:v>0.58287825169999996</c:v>
                </c:pt>
                <c:pt idx="10">
                  <c:v>0.58341023680000004</c:v>
                </c:pt>
                <c:pt idx="11">
                  <c:v>0.58396169250000007</c:v>
                </c:pt>
                <c:pt idx="12">
                  <c:v>0.58453261880000007</c:v>
                </c:pt>
                <c:pt idx="13">
                  <c:v>0.58512301570000003</c:v>
                </c:pt>
                <c:pt idx="14">
                  <c:v>0.58573288320000005</c:v>
                </c:pt>
                <c:pt idx="15">
                  <c:v>0.58636222130000004</c:v>
                </c:pt>
                <c:pt idx="16">
                  <c:v>0.5870110300000001</c:v>
                </c:pt>
                <c:pt idx="17">
                  <c:v>0.58767930930000001</c:v>
                </c:pt>
                <c:pt idx="18">
                  <c:v>0.5883670592000001</c:v>
                </c:pt>
                <c:pt idx="19">
                  <c:v>0.58907427970000004</c:v>
                </c:pt>
                <c:pt idx="20">
                  <c:v>0.58980097080000005</c:v>
                </c:pt>
                <c:pt idx="21">
                  <c:v>0.59054713250000002</c:v>
                </c:pt>
                <c:pt idx="22">
                  <c:v>0.59131276480000006</c:v>
                </c:pt>
                <c:pt idx="23">
                  <c:v>0.59209786770000006</c:v>
                </c:pt>
                <c:pt idx="24">
                  <c:v>0.59290244120000013</c:v>
                </c:pt>
                <c:pt idx="25">
                  <c:v>0.59372648530000005</c:v>
                </c:pt>
                <c:pt idx="26">
                  <c:v>0.59457000000000004</c:v>
                </c:pt>
                <c:pt idx="27">
                  <c:v>0.59543298530000011</c:v>
                </c:pt>
                <c:pt idx="28">
                  <c:v>0.59631544120000013</c:v>
                </c:pt>
                <c:pt idx="29">
                  <c:v>0.5972173677</c:v>
                </c:pt>
                <c:pt idx="30">
                  <c:v>0.59813876480000006</c:v>
                </c:pt>
                <c:pt idx="31">
                  <c:v>0.59907963250000007</c:v>
                </c:pt>
                <c:pt idx="32">
                  <c:v>0.60003997080000004</c:v>
                </c:pt>
                <c:pt idx="33">
                  <c:v>0.60101977969999998</c:v>
                </c:pt>
                <c:pt idx="34">
                  <c:v>0.6020190592000001</c:v>
                </c:pt>
                <c:pt idx="35">
                  <c:v>0.60303780930000006</c:v>
                </c:pt>
                <c:pt idx="36">
                  <c:v>0.6040760300000001</c:v>
                </c:pt>
                <c:pt idx="37">
                  <c:v>0.60513372129999998</c:v>
                </c:pt>
                <c:pt idx="38">
                  <c:v>0.60621088320000005</c:v>
                </c:pt>
                <c:pt idx="39">
                  <c:v>0.60730751570000008</c:v>
                </c:pt>
                <c:pt idx="40">
                  <c:v>0.60842361880000007</c:v>
                </c:pt>
                <c:pt idx="41">
                  <c:v>0.60955919250000001</c:v>
                </c:pt>
                <c:pt idx="42">
                  <c:v>0.61071423680000003</c:v>
                </c:pt>
                <c:pt idx="43">
                  <c:v>0.61188875170000012</c:v>
                </c:pt>
                <c:pt idx="44">
                  <c:v>0.61308273720000006</c:v>
                </c:pt>
                <c:pt idx="45">
                  <c:v>0.61429619330000007</c:v>
                </c:pt>
                <c:pt idx="46">
                  <c:v>0.61552912000000004</c:v>
                </c:pt>
                <c:pt idx="47">
                  <c:v>0.61678151730000008</c:v>
                </c:pt>
                <c:pt idx="48">
                  <c:v>0.61805338520000008</c:v>
                </c:pt>
                <c:pt idx="49">
                  <c:v>0.61934472370000004</c:v>
                </c:pt>
                <c:pt idx="50">
                  <c:v>0.62065553280000008</c:v>
                </c:pt>
                <c:pt idx="51">
                  <c:v>0.62198581250000007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FF-4602-A1E3-ED49283A81F7}"/>
            </c:ext>
          </c:extLst>
        </c:ser>
        <c:ser>
          <c:idx val="1"/>
          <c:order val="1"/>
          <c:tx>
            <c:v>Ask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6"/>
                <c:pt idx="0">
                  <c:v>-5.2910052910051242E-3</c:v>
                </c:pt>
                <c:pt idx="1">
                  <c:v>0.16402116402116418</c:v>
                </c:pt>
                <c:pt idx="2">
                  <c:v>0.24867724867724883</c:v>
                </c:pt>
                <c:pt idx="3">
                  <c:v>-0.25925925925925919</c:v>
                </c:pt>
                <c:pt idx="4">
                  <c:v>-0.15343915343915338</c:v>
                </c:pt>
                <c:pt idx="5">
                  <c:v>-5.2910052910051242E-3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6"/>
                <c:pt idx="0">
                  <c:v>0.59320846959537665</c:v>
                </c:pt>
                <c:pt idx="1">
                  <c:v>0.61347351367417968</c:v>
                </c:pt>
                <c:pt idx="2">
                  <c:v>0.62138652422539031</c:v>
                </c:pt>
                <c:pt idx="3">
                  <c:v>0.57593523799501845</c:v>
                </c:pt>
                <c:pt idx="4">
                  <c:v>0.59091173592652568</c:v>
                </c:pt>
                <c:pt idx="5">
                  <c:v>0.58899280183921532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F-4602-A1E3-ED49283A81F7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VolSkew!$AG$35:$AG$39</c:f>
              <c:numCache>
                <c:formatCode>General</c:formatCode>
                <c:ptCount val="5"/>
                <c:pt idx="0">
                  <c:v>-0.3174603174603175</c:v>
                </c:pt>
                <c:pt idx="1">
                  <c:v>-0.10582010582010583</c:v>
                </c:pt>
                <c:pt idx="2">
                  <c:v>0</c:v>
                </c:pt>
                <c:pt idx="3">
                  <c:v>0.10582010582010583</c:v>
                </c:pt>
                <c:pt idx="4">
                  <c:v>0.21164021164021166</c:v>
                </c:pt>
              </c:numCache>
            </c:numRef>
          </c:xVal>
          <c:yVal>
            <c:numRef>
              <c:f>VolSkew!$AJ$35:$AJ$39</c:f>
              <c:numCache>
                <c:formatCode>0.00</c:formatCode>
                <c:ptCount val="5"/>
                <c:pt idx="0">
                  <c:v>0.59099999999999997</c:v>
                </c:pt>
                <c:pt idx="1">
                  <c:v>0.59</c:v>
                </c:pt>
                <c:pt idx="2">
                  <c:v>0.59499999999999997</c:v>
                </c:pt>
                <c:pt idx="3">
                  <c:v>0.60449999999999993</c:v>
                </c:pt>
                <c:pt idx="4">
                  <c:v>0.61377371000000003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F-4602-A1E3-ED49283A81F7}"/>
            </c:ext>
          </c:extLst>
        </c:ser>
        <c:ser>
          <c:idx val="3"/>
          <c:order val="3"/>
          <c:tx>
            <c:v>Bid</c:v>
          </c:tx>
          <c:spPr>
            <a:ln w="19050">
              <a:noFill/>
            </a:ln>
          </c:spPr>
          <c:marker>
            <c:symbol val="square"/>
            <c:size val="4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VolSkew!$C$30:$C$32</c:f>
              <c:numCache>
                <c:formatCode>General</c:formatCode>
                <c:ptCount val="3"/>
                <c:pt idx="0">
                  <c:v>0.16402116402116418</c:v>
                </c:pt>
                <c:pt idx="1">
                  <c:v>-0.25925925925925919</c:v>
                </c:pt>
                <c:pt idx="2">
                  <c:v>-5.2910052910051242E-3</c:v>
                </c:pt>
              </c:numCache>
            </c:numRef>
          </c:xVal>
          <c:yVal>
            <c:numRef>
              <c:f>VolSkew!$D$30:$D$32</c:f>
              <c:numCache>
                <c:formatCode>General</c:formatCode>
                <c:ptCount val="3"/>
                <c:pt idx="0">
                  <c:v>0.61347351367417968</c:v>
                </c:pt>
                <c:pt idx="1">
                  <c:v>0.57593523799501845</c:v>
                </c:pt>
                <c:pt idx="2">
                  <c:v>0.58899280183921532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F-4602-A1E3-ED49283A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27720"/>
        <c:axId val="1"/>
      </c:scatterChart>
      <c:valAx>
        <c:axId val="185527720"/>
        <c:scaling>
          <c:orientation val="minMax"/>
          <c:max val="0.3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6036051888043663"/>
              <c:y val="0.893492092327150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2.1621631132826197E-2"/>
              <c:y val="0.402367299855935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7720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5675682571298993"/>
          <c:y val="8.5798909528103817E-2"/>
          <c:w val="0.33873888774761041"/>
          <c:h val="8.57989095281038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02135231316713E-2"/>
          <c:y val="3.4031413612565453E-2"/>
          <c:w val="0.90658362989323849"/>
          <c:h val="0.891361256544502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payout!$A$3:$A$63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payout!$H$3:$H$63</c:f>
              <c:numCache>
                <c:formatCode>General</c:formatCode>
                <c:ptCount val="61"/>
                <c:pt idx="0">
                  <c:v>0.3</c:v>
                </c:pt>
                <c:pt idx="1">
                  <c:v>0.29999999999999943</c:v>
                </c:pt>
                <c:pt idx="2">
                  <c:v>0.3</c:v>
                </c:pt>
                <c:pt idx="3">
                  <c:v>0.29999999999999943</c:v>
                </c:pt>
                <c:pt idx="4">
                  <c:v>0.3</c:v>
                </c:pt>
                <c:pt idx="5">
                  <c:v>0.3</c:v>
                </c:pt>
                <c:pt idx="6">
                  <c:v>0.29999999999999943</c:v>
                </c:pt>
                <c:pt idx="7">
                  <c:v>0.3</c:v>
                </c:pt>
                <c:pt idx="8">
                  <c:v>0.29999999999999943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0.30000000000000054</c:v>
                </c:pt>
                <c:pt idx="13">
                  <c:v>0.29999999999999888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0.29999999999999943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0.30000000000000054</c:v>
                </c:pt>
                <c:pt idx="23">
                  <c:v>0.29999999999999971</c:v>
                </c:pt>
                <c:pt idx="24">
                  <c:v>0.29999999999999971</c:v>
                </c:pt>
                <c:pt idx="25">
                  <c:v>0.29999999999999971</c:v>
                </c:pt>
                <c:pt idx="26">
                  <c:v>0.30000000000000027</c:v>
                </c:pt>
                <c:pt idx="27">
                  <c:v>0.29999999999999971</c:v>
                </c:pt>
                <c:pt idx="28">
                  <c:v>0.3</c:v>
                </c:pt>
                <c:pt idx="29">
                  <c:v>0.29999999999999971</c:v>
                </c:pt>
                <c:pt idx="30">
                  <c:v>0.29999999999999971</c:v>
                </c:pt>
                <c:pt idx="31">
                  <c:v>0.3</c:v>
                </c:pt>
                <c:pt idx="32">
                  <c:v>0.29999999999999971</c:v>
                </c:pt>
                <c:pt idx="33">
                  <c:v>0.3</c:v>
                </c:pt>
                <c:pt idx="34">
                  <c:v>0.29999999999999971</c:v>
                </c:pt>
                <c:pt idx="35">
                  <c:v>0.29999999999999988</c:v>
                </c:pt>
                <c:pt idx="36">
                  <c:v>9.9999999999999575E-2</c:v>
                </c:pt>
                <c:pt idx="37">
                  <c:v>-0.10000000000000057</c:v>
                </c:pt>
                <c:pt idx="38">
                  <c:v>-0.29999999999999971</c:v>
                </c:pt>
                <c:pt idx="39">
                  <c:v>-0.5</c:v>
                </c:pt>
                <c:pt idx="40">
                  <c:v>-0.70000000000000018</c:v>
                </c:pt>
                <c:pt idx="41">
                  <c:v>-0.60000000000000053</c:v>
                </c:pt>
                <c:pt idx="42">
                  <c:v>-0.5</c:v>
                </c:pt>
                <c:pt idx="43">
                  <c:v>-0.40000000000000036</c:v>
                </c:pt>
                <c:pt idx="44">
                  <c:v>-0.29999999999999982</c:v>
                </c:pt>
                <c:pt idx="45">
                  <c:v>-0.20000000000000018</c:v>
                </c:pt>
                <c:pt idx="46">
                  <c:v>-0.10000000000000053</c:v>
                </c:pt>
                <c:pt idx="47">
                  <c:v>0</c:v>
                </c:pt>
                <c:pt idx="48">
                  <c:v>9.9999999999999645E-2</c:v>
                </c:pt>
                <c:pt idx="49">
                  <c:v>0.20000000000000018</c:v>
                </c:pt>
                <c:pt idx="50">
                  <c:v>0.29999999999999982</c:v>
                </c:pt>
                <c:pt idx="51">
                  <c:v>0.39999999999999941</c:v>
                </c:pt>
                <c:pt idx="52">
                  <c:v>0.5</c:v>
                </c:pt>
                <c:pt idx="53">
                  <c:v>0.59999999999999964</c:v>
                </c:pt>
                <c:pt idx="54">
                  <c:v>0.70000000000000018</c:v>
                </c:pt>
                <c:pt idx="55">
                  <c:v>0.79999999999999982</c:v>
                </c:pt>
                <c:pt idx="56">
                  <c:v>0.60000000000000053</c:v>
                </c:pt>
                <c:pt idx="57">
                  <c:v>0.39999999999999941</c:v>
                </c:pt>
                <c:pt idx="58">
                  <c:v>0.20000000000000029</c:v>
                </c:pt>
                <c:pt idx="59">
                  <c:v>-9.9475983006414035E-16</c:v>
                </c:pt>
                <c:pt idx="60">
                  <c:v>-9.9475983006414035E-16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1-4E83-B768-73B783DE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4048"/>
        <c:axId val="1"/>
      </c:scatterChart>
      <c:valAx>
        <c:axId val="15339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underlying price</a:t>
                </a:r>
              </a:p>
            </c:rich>
          </c:tx>
          <c:layout>
            <c:manualLayout>
              <c:xMode val="edge"/>
              <c:yMode val="edge"/>
              <c:x val="0.47153024911032021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payoff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4371727748691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94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Dec-01 Natural Gas Price Distributions</c:v>
            </c:pt>
          </c:strCache>
        </c:strRef>
      </c:tx>
      <c:layout>
        <c:manualLayout>
          <c:xMode val="edge"/>
          <c:yMode val="edge"/>
          <c:x val="0.3496441281138789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243455497382199"/>
          <c:w val="0.8629893238434162"/>
          <c:h val="0.71335078534031415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3.524</c:v>
                </c:pt>
                <c:pt idx="2">
                  <c:v>3.548</c:v>
                </c:pt>
                <c:pt idx="3">
                  <c:v>3.5720000000000001</c:v>
                </c:pt>
                <c:pt idx="4">
                  <c:v>3.5960000000000001</c:v>
                </c:pt>
                <c:pt idx="5">
                  <c:v>3.62</c:v>
                </c:pt>
                <c:pt idx="6">
                  <c:v>3.6440000000000001</c:v>
                </c:pt>
                <c:pt idx="7">
                  <c:v>3.6680000000000001</c:v>
                </c:pt>
                <c:pt idx="8">
                  <c:v>3.6920000000000002</c:v>
                </c:pt>
                <c:pt idx="9">
                  <c:v>3.7160000000000002</c:v>
                </c:pt>
                <c:pt idx="10">
                  <c:v>3.74</c:v>
                </c:pt>
                <c:pt idx="11">
                  <c:v>3.7640000000000002</c:v>
                </c:pt>
                <c:pt idx="12">
                  <c:v>3.7880000000000003</c:v>
                </c:pt>
                <c:pt idx="13">
                  <c:v>3.8120000000000003</c:v>
                </c:pt>
                <c:pt idx="14">
                  <c:v>3.8360000000000003</c:v>
                </c:pt>
                <c:pt idx="15">
                  <c:v>3.8600000000000003</c:v>
                </c:pt>
                <c:pt idx="16">
                  <c:v>3.8840000000000003</c:v>
                </c:pt>
                <c:pt idx="17">
                  <c:v>3.9080000000000004</c:v>
                </c:pt>
                <c:pt idx="18">
                  <c:v>3.9320000000000004</c:v>
                </c:pt>
                <c:pt idx="19">
                  <c:v>3.9560000000000004</c:v>
                </c:pt>
                <c:pt idx="20">
                  <c:v>3.9800000000000004</c:v>
                </c:pt>
                <c:pt idx="21">
                  <c:v>4.0040000000000004</c:v>
                </c:pt>
                <c:pt idx="22">
                  <c:v>4.0280000000000005</c:v>
                </c:pt>
                <c:pt idx="23">
                  <c:v>4.0520000000000005</c:v>
                </c:pt>
                <c:pt idx="24">
                  <c:v>4.0760000000000005</c:v>
                </c:pt>
                <c:pt idx="25">
                  <c:v>4.1000000000000005</c:v>
                </c:pt>
                <c:pt idx="26">
                  <c:v>4.1240000000000006</c:v>
                </c:pt>
                <c:pt idx="27">
                  <c:v>4.1480000000000006</c:v>
                </c:pt>
                <c:pt idx="28">
                  <c:v>4.1720000000000006</c:v>
                </c:pt>
                <c:pt idx="29">
                  <c:v>4.1960000000000006</c:v>
                </c:pt>
                <c:pt idx="30">
                  <c:v>4.2200000000000006</c:v>
                </c:pt>
                <c:pt idx="31">
                  <c:v>4.2440000000000007</c:v>
                </c:pt>
                <c:pt idx="32">
                  <c:v>4.2680000000000007</c:v>
                </c:pt>
                <c:pt idx="33">
                  <c:v>4.2920000000000007</c:v>
                </c:pt>
                <c:pt idx="34">
                  <c:v>4.3160000000000007</c:v>
                </c:pt>
                <c:pt idx="35">
                  <c:v>4.3400000000000007</c:v>
                </c:pt>
                <c:pt idx="36">
                  <c:v>4.3640000000000008</c:v>
                </c:pt>
                <c:pt idx="37">
                  <c:v>4.3880000000000008</c:v>
                </c:pt>
                <c:pt idx="38">
                  <c:v>4.4120000000000008</c:v>
                </c:pt>
                <c:pt idx="39">
                  <c:v>4.4360000000000008</c:v>
                </c:pt>
                <c:pt idx="40">
                  <c:v>4.4600000000000009</c:v>
                </c:pt>
                <c:pt idx="41">
                  <c:v>4.4840000000000009</c:v>
                </c:pt>
                <c:pt idx="42">
                  <c:v>4.5080000000000009</c:v>
                </c:pt>
                <c:pt idx="43">
                  <c:v>4.5320000000000009</c:v>
                </c:pt>
                <c:pt idx="44">
                  <c:v>4.5560000000000009</c:v>
                </c:pt>
                <c:pt idx="45">
                  <c:v>4.580000000000001</c:v>
                </c:pt>
                <c:pt idx="46">
                  <c:v>4.604000000000001</c:v>
                </c:pt>
                <c:pt idx="47">
                  <c:v>4.628000000000001</c:v>
                </c:pt>
                <c:pt idx="48">
                  <c:v>4.652000000000001</c:v>
                </c:pt>
                <c:pt idx="49">
                  <c:v>4.676000000000001</c:v>
                </c:pt>
                <c:pt idx="50">
                  <c:v>4.7000000000000011</c:v>
                </c:pt>
                <c:pt idx="51">
                  <c:v>4.7240000000000011</c:v>
                </c:pt>
                <c:pt idx="52">
                  <c:v>4.7480000000000011</c:v>
                </c:pt>
                <c:pt idx="53">
                  <c:v>4.7720000000000011</c:v>
                </c:pt>
                <c:pt idx="54">
                  <c:v>4.7960000000000012</c:v>
                </c:pt>
                <c:pt idx="55">
                  <c:v>4.8200000000000012</c:v>
                </c:pt>
                <c:pt idx="56">
                  <c:v>4.8440000000000012</c:v>
                </c:pt>
                <c:pt idx="57">
                  <c:v>4.8680000000000012</c:v>
                </c:pt>
                <c:pt idx="58">
                  <c:v>4.8920000000000012</c:v>
                </c:pt>
                <c:pt idx="59">
                  <c:v>4.9160000000000013</c:v>
                </c:pt>
                <c:pt idx="60">
                  <c:v>4.9400000000000013</c:v>
                </c:pt>
                <c:pt idx="61">
                  <c:v>4.9640000000000013</c:v>
                </c:pt>
                <c:pt idx="62">
                  <c:v>4.9880000000000013</c:v>
                </c:pt>
                <c:pt idx="63">
                  <c:v>5.0120000000000013</c:v>
                </c:pt>
                <c:pt idx="64">
                  <c:v>5.0360000000000014</c:v>
                </c:pt>
                <c:pt idx="65">
                  <c:v>5.0600000000000014</c:v>
                </c:pt>
                <c:pt idx="66">
                  <c:v>5.0840000000000014</c:v>
                </c:pt>
                <c:pt idx="67">
                  <c:v>5.1080000000000014</c:v>
                </c:pt>
                <c:pt idx="68">
                  <c:v>5.1320000000000014</c:v>
                </c:pt>
                <c:pt idx="69">
                  <c:v>5.1560000000000015</c:v>
                </c:pt>
                <c:pt idx="70">
                  <c:v>5.1800000000000015</c:v>
                </c:pt>
                <c:pt idx="71">
                  <c:v>5.2040000000000015</c:v>
                </c:pt>
                <c:pt idx="72">
                  <c:v>5.2280000000000015</c:v>
                </c:pt>
                <c:pt idx="73">
                  <c:v>5.2520000000000016</c:v>
                </c:pt>
                <c:pt idx="74">
                  <c:v>5.2760000000000016</c:v>
                </c:pt>
                <c:pt idx="75">
                  <c:v>5.3000000000000016</c:v>
                </c:pt>
                <c:pt idx="76">
                  <c:v>5.3240000000000016</c:v>
                </c:pt>
                <c:pt idx="77">
                  <c:v>5.3480000000000016</c:v>
                </c:pt>
                <c:pt idx="78">
                  <c:v>5.3720000000000017</c:v>
                </c:pt>
                <c:pt idx="79">
                  <c:v>5.3960000000000017</c:v>
                </c:pt>
                <c:pt idx="80">
                  <c:v>5.4200000000000017</c:v>
                </c:pt>
                <c:pt idx="81">
                  <c:v>5.4440000000000017</c:v>
                </c:pt>
                <c:pt idx="82">
                  <c:v>5.4680000000000017</c:v>
                </c:pt>
                <c:pt idx="83">
                  <c:v>5.4920000000000018</c:v>
                </c:pt>
                <c:pt idx="84">
                  <c:v>5.5160000000000018</c:v>
                </c:pt>
                <c:pt idx="85">
                  <c:v>5.5400000000000018</c:v>
                </c:pt>
                <c:pt idx="86">
                  <c:v>5.5640000000000018</c:v>
                </c:pt>
                <c:pt idx="87">
                  <c:v>5.5880000000000019</c:v>
                </c:pt>
                <c:pt idx="88">
                  <c:v>5.6120000000000019</c:v>
                </c:pt>
                <c:pt idx="89">
                  <c:v>5.6360000000000019</c:v>
                </c:pt>
                <c:pt idx="90">
                  <c:v>5.6600000000000019</c:v>
                </c:pt>
                <c:pt idx="91">
                  <c:v>5.6840000000000019</c:v>
                </c:pt>
                <c:pt idx="92">
                  <c:v>5.708000000000002</c:v>
                </c:pt>
                <c:pt idx="93">
                  <c:v>5.732000000000002</c:v>
                </c:pt>
                <c:pt idx="94">
                  <c:v>5.756000000000002</c:v>
                </c:pt>
                <c:pt idx="95">
                  <c:v>5.780000000000002</c:v>
                </c:pt>
                <c:pt idx="96">
                  <c:v>5.804000000000002</c:v>
                </c:pt>
                <c:pt idx="97">
                  <c:v>5.8280000000000021</c:v>
                </c:pt>
                <c:pt idx="98">
                  <c:v>5.8520000000000021</c:v>
                </c:pt>
                <c:pt idx="99">
                  <c:v>5.8760000000000021</c:v>
                </c:pt>
                <c:pt idx="100">
                  <c:v>5.9000000000000021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0.26272836192715537</c:v>
                </c:pt>
                <c:pt idx="1">
                  <c:v>0.26370824638430679</c:v>
                </c:pt>
                <c:pt idx="2">
                  <c:v>0.26459507306153379</c:v>
                </c:pt>
                <c:pt idx="3">
                  <c:v>0.26538954259333075</c:v>
                </c:pt>
                <c:pt idx="4">
                  <c:v>0.26609244429546647</c:v>
                </c:pt>
                <c:pt idx="5">
                  <c:v>0.26670464334057742</c:v>
                </c:pt>
                <c:pt idx="6">
                  <c:v>0.26722709048438975</c:v>
                </c:pt>
                <c:pt idx="7">
                  <c:v>0.26766080539286841</c:v>
                </c:pt>
                <c:pt idx="8">
                  <c:v>0.26800688291701191</c:v>
                </c:pt>
                <c:pt idx="9">
                  <c:v>0.26826648347280141</c:v>
                </c:pt>
                <c:pt idx="10">
                  <c:v>0.2684408292385938</c:v>
                </c:pt>
                <c:pt idx="11">
                  <c:v>0.26853120796651109</c:v>
                </c:pt>
                <c:pt idx="12">
                  <c:v>0.26853896155767731</c:v>
                </c:pt>
                <c:pt idx="13">
                  <c:v>0.26846548487883715</c:v>
                </c:pt>
                <c:pt idx="14">
                  <c:v>0.26831222325197707</c:v>
                </c:pt>
                <c:pt idx="15">
                  <c:v>0.26808066921955587</c:v>
                </c:pt>
                <c:pt idx="16">
                  <c:v>0.26777235829217816</c:v>
                </c:pt>
                <c:pt idx="17">
                  <c:v>0.26738886602103334</c:v>
                </c:pt>
                <c:pt idx="18">
                  <c:v>0.26693180324744648</c:v>
                </c:pt>
                <c:pt idx="19">
                  <c:v>0.26640281662224408</c:v>
                </c:pt>
                <c:pt idx="20">
                  <c:v>0.26580357968687252</c:v>
                </c:pt>
                <c:pt idx="21">
                  <c:v>0.26513579617489819</c:v>
                </c:pt>
                <c:pt idx="22">
                  <c:v>0.26440119368609788</c:v>
                </c:pt>
                <c:pt idx="23">
                  <c:v>0.263601519429354</c:v>
                </c:pt>
                <c:pt idx="24">
                  <c:v>0.26273854026843174</c:v>
                </c:pt>
                <c:pt idx="25">
                  <c:v>0.26181403801049369</c:v>
                </c:pt>
                <c:pt idx="26">
                  <c:v>0.26082980744853507</c:v>
                </c:pt>
                <c:pt idx="27">
                  <c:v>0.2597876542089943</c:v>
                </c:pt>
                <c:pt idx="28">
                  <c:v>0.25868939096820609</c:v>
                </c:pt>
                <c:pt idx="29">
                  <c:v>0.2575368360743287</c:v>
                </c:pt>
                <c:pt idx="30">
                  <c:v>0.25633181103753133</c:v>
                </c:pt>
                <c:pt idx="31">
                  <c:v>0.25507613617634517</c:v>
                </c:pt>
                <c:pt idx="32">
                  <c:v>0.25377163072395348</c:v>
                </c:pt>
                <c:pt idx="33">
                  <c:v>0.25242011194670727</c:v>
                </c:pt>
                <c:pt idx="34">
                  <c:v>0.25102339053582207</c:v>
                </c:pt>
                <c:pt idx="35">
                  <c:v>0.24958326755407917</c:v>
                </c:pt>
                <c:pt idx="36">
                  <c:v>0.24917977394048099</c:v>
                </c:pt>
                <c:pt idx="37">
                  <c:v>0.24640171986500814</c:v>
                </c:pt>
                <c:pt idx="38">
                  <c:v>0.24483778611939469</c:v>
                </c:pt>
                <c:pt idx="39">
                  <c:v>0.24323437592342542</c:v>
                </c:pt>
                <c:pt idx="40">
                  <c:v>0.24159330763485315</c:v>
                </c:pt>
                <c:pt idx="41">
                  <c:v>0.23991636809267886</c:v>
                </c:pt>
                <c:pt idx="42">
                  <c:v>0.23820531379389662</c:v>
                </c:pt>
                <c:pt idx="43">
                  <c:v>0.23646186841191916</c:v>
                </c:pt>
                <c:pt idx="44">
                  <c:v>0.2346877223264425</c:v>
                </c:pt>
                <c:pt idx="45">
                  <c:v>0.23288453453774885</c:v>
                </c:pt>
                <c:pt idx="46">
                  <c:v>0.23105393252629908</c:v>
                </c:pt>
                <c:pt idx="47">
                  <c:v>0.22919750952872253</c:v>
                </c:pt>
                <c:pt idx="48">
                  <c:v>0.22731682614393417</c:v>
                </c:pt>
                <c:pt idx="49">
                  <c:v>0.22541341195036119</c:v>
                </c:pt>
                <c:pt idx="50">
                  <c:v>0.2234887619737593</c:v>
                </c:pt>
                <c:pt idx="51">
                  <c:v>0.2215443392289192</c:v>
                </c:pt>
                <c:pt idx="52">
                  <c:v>0.21958157520866392</c:v>
                </c:pt>
                <c:pt idx="53">
                  <c:v>0.21760186540391252</c:v>
                </c:pt>
                <c:pt idx="54">
                  <c:v>0.21560657659541627</c:v>
                </c:pt>
                <c:pt idx="55">
                  <c:v>0.21359704030912433</c:v>
                </c:pt>
                <c:pt idx="56">
                  <c:v>0.21157455488955529</c:v>
                </c:pt>
                <c:pt idx="57">
                  <c:v>0.20954038942265113</c:v>
                </c:pt>
                <c:pt idx="58">
                  <c:v>0.20749577728777333</c:v>
                </c:pt>
                <c:pt idx="59">
                  <c:v>0.20544192092124167</c:v>
                </c:pt>
                <c:pt idx="60">
                  <c:v>0.20337999358602868</c:v>
                </c:pt>
                <c:pt idx="61">
                  <c:v>0.20131113049175239</c:v>
                </c:pt>
                <c:pt idx="62">
                  <c:v>0.19923644134509816</c:v>
                </c:pt>
                <c:pt idx="63">
                  <c:v>0.1971570025879047</c:v>
                </c:pt>
                <c:pt idx="64">
                  <c:v>0.19507385736928146</c:v>
                </c:pt>
                <c:pt idx="65">
                  <c:v>0.19298802052167532</c:v>
                </c:pt>
                <c:pt idx="66">
                  <c:v>0.1909004747414193</c:v>
                </c:pt>
                <c:pt idx="67">
                  <c:v>0.18881217674174616</c:v>
                </c:pt>
                <c:pt idx="68">
                  <c:v>0.18586709409825103</c:v>
                </c:pt>
                <c:pt idx="69">
                  <c:v>0.18475535967152135</c:v>
                </c:pt>
                <c:pt idx="70">
                  <c:v>0.18266972699984418</c:v>
                </c:pt>
                <c:pt idx="71">
                  <c:v>0.18058815736240114</c:v>
                </c:pt>
                <c:pt idx="72">
                  <c:v>0.17851137794101779</c:v>
                </c:pt>
                <c:pt idx="73">
                  <c:v>0.17644009208070377</c:v>
                </c:pt>
                <c:pt idx="74">
                  <c:v>0.17437498383891586</c:v>
                </c:pt>
                <c:pt idx="75">
                  <c:v>0.17231671280610525</c:v>
                </c:pt>
                <c:pt idx="76">
                  <c:v>0.17026591846936467</c:v>
                </c:pt>
                <c:pt idx="77">
                  <c:v>0.1682232192660516</c:v>
                </c:pt>
                <c:pt idx="78">
                  <c:v>0.16618920740715484</c:v>
                </c:pt>
                <c:pt idx="79">
                  <c:v>0.16416445861669707</c:v>
                </c:pt>
                <c:pt idx="80">
                  <c:v>0.16214952296219401</c:v>
                </c:pt>
                <c:pt idx="81">
                  <c:v>0.1601449310685015</c:v>
                </c:pt>
                <c:pt idx="82">
                  <c:v>0.15815119073485182</c:v>
                </c:pt>
                <c:pt idx="83">
                  <c:v>0.15616879003600712</c:v>
                </c:pt>
                <c:pt idx="84">
                  <c:v>0.15419819447932331</c:v>
                </c:pt>
                <c:pt idx="85">
                  <c:v>0.1522398496238217</c:v>
                </c:pt>
                <c:pt idx="86">
                  <c:v>0.15029418010060763</c:v>
                </c:pt>
                <c:pt idx="87">
                  <c:v>0.14836159121418399</c:v>
                </c:pt>
                <c:pt idx="88">
                  <c:v>0.14644246774557268</c:v>
                </c:pt>
                <c:pt idx="89">
                  <c:v>0.14453717501904206</c:v>
                </c:pt>
                <c:pt idx="90">
                  <c:v>0.14264605811918601</c:v>
                </c:pt>
                <c:pt idx="91">
                  <c:v>0.14076944650399878</c:v>
                </c:pt>
                <c:pt idx="92">
                  <c:v>0.13890764698924979</c:v>
                </c:pt>
                <c:pt idx="93">
                  <c:v>0.13706095118447434</c:v>
                </c:pt>
                <c:pt idx="94">
                  <c:v>0.13522963165201229</c:v>
                </c:pt>
                <c:pt idx="95">
                  <c:v>0.13341394432801973</c:v>
                </c:pt>
                <c:pt idx="96">
                  <c:v>0.13161412831001951</c:v>
                </c:pt>
                <c:pt idx="97">
                  <c:v>0.1298304054770231</c:v>
                </c:pt>
                <c:pt idx="98">
                  <c:v>0.12806298203800609</c:v>
                </c:pt>
                <c:pt idx="99">
                  <c:v>0.12631204838946197</c:v>
                </c:pt>
                <c:pt idx="100">
                  <c:v>0.12457777948124971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3-48AD-B23C-3A2B3B05BC75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3.524</c:v>
                </c:pt>
                <c:pt idx="2">
                  <c:v>3.548</c:v>
                </c:pt>
                <c:pt idx="3">
                  <c:v>3.5720000000000001</c:v>
                </c:pt>
                <c:pt idx="4">
                  <c:v>3.5960000000000001</c:v>
                </c:pt>
                <c:pt idx="5">
                  <c:v>3.62</c:v>
                </c:pt>
                <c:pt idx="6">
                  <c:v>3.6440000000000001</c:v>
                </c:pt>
                <c:pt idx="7">
                  <c:v>3.6680000000000001</c:v>
                </c:pt>
                <c:pt idx="8">
                  <c:v>3.6920000000000002</c:v>
                </c:pt>
                <c:pt idx="9">
                  <c:v>3.7160000000000002</c:v>
                </c:pt>
                <c:pt idx="10">
                  <c:v>3.74</c:v>
                </c:pt>
                <c:pt idx="11">
                  <c:v>3.7640000000000002</c:v>
                </c:pt>
                <c:pt idx="12">
                  <c:v>3.7880000000000003</c:v>
                </c:pt>
                <c:pt idx="13">
                  <c:v>3.8120000000000003</c:v>
                </c:pt>
                <c:pt idx="14">
                  <c:v>3.8360000000000003</c:v>
                </c:pt>
                <c:pt idx="15">
                  <c:v>3.8600000000000003</c:v>
                </c:pt>
                <c:pt idx="16">
                  <c:v>3.8840000000000003</c:v>
                </c:pt>
                <c:pt idx="17">
                  <c:v>3.9080000000000004</c:v>
                </c:pt>
                <c:pt idx="18">
                  <c:v>3.9320000000000004</c:v>
                </c:pt>
                <c:pt idx="19">
                  <c:v>3.9560000000000004</c:v>
                </c:pt>
                <c:pt idx="20">
                  <c:v>3.9800000000000004</c:v>
                </c:pt>
                <c:pt idx="21">
                  <c:v>4.0040000000000004</c:v>
                </c:pt>
                <c:pt idx="22">
                  <c:v>4.0280000000000005</c:v>
                </c:pt>
                <c:pt idx="23">
                  <c:v>4.0520000000000005</c:v>
                </c:pt>
                <c:pt idx="24">
                  <c:v>4.0760000000000005</c:v>
                </c:pt>
                <c:pt idx="25">
                  <c:v>4.1000000000000005</c:v>
                </c:pt>
                <c:pt idx="26">
                  <c:v>4.1240000000000006</c:v>
                </c:pt>
                <c:pt idx="27">
                  <c:v>4.1480000000000006</c:v>
                </c:pt>
                <c:pt idx="28">
                  <c:v>4.1720000000000006</c:v>
                </c:pt>
                <c:pt idx="29">
                  <c:v>4.1960000000000006</c:v>
                </c:pt>
                <c:pt idx="30">
                  <c:v>4.2200000000000006</c:v>
                </c:pt>
                <c:pt idx="31">
                  <c:v>4.2440000000000007</c:v>
                </c:pt>
                <c:pt idx="32">
                  <c:v>4.2680000000000007</c:v>
                </c:pt>
                <c:pt idx="33">
                  <c:v>4.2920000000000007</c:v>
                </c:pt>
                <c:pt idx="34">
                  <c:v>4.3160000000000007</c:v>
                </c:pt>
                <c:pt idx="35">
                  <c:v>4.3400000000000007</c:v>
                </c:pt>
                <c:pt idx="36">
                  <c:v>4.3640000000000008</c:v>
                </c:pt>
                <c:pt idx="37">
                  <c:v>4.3880000000000008</c:v>
                </c:pt>
                <c:pt idx="38">
                  <c:v>4.4120000000000008</c:v>
                </c:pt>
                <c:pt idx="39">
                  <c:v>4.4360000000000008</c:v>
                </c:pt>
                <c:pt idx="40">
                  <c:v>4.4600000000000009</c:v>
                </c:pt>
                <c:pt idx="41">
                  <c:v>4.4840000000000009</c:v>
                </c:pt>
                <c:pt idx="42">
                  <c:v>4.5080000000000009</c:v>
                </c:pt>
                <c:pt idx="43">
                  <c:v>4.5320000000000009</c:v>
                </c:pt>
                <c:pt idx="44">
                  <c:v>4.5560000000000009</c:v>
                </c:pt>
                <c:pt idx="45">
                  <c:v>4.580000000000001</c:v>
                </c:pt>
                <c:pt idx="46">
                  <c:v>4.604000000000001</c:v>
                </c:pt>
                <c:pt idx="47">
                  <c:v>4.628000000000001</c:v>
                </c:pt>
                <c:pt idx="48">
                  <c:v>4.652000000000001</c:v>
                </c:pt>
                <c:pt idx="49">
                  <c:v>4.676000000000001</c:v>
                </c:pt>
                <c:pt idx="50">
                  <c:v>4.7000000000000011</c:v>
                </c:pt>
                <c:pt idx="51">
                  <c:v>4.7240000000000011</c:v>
                </c:pt>
                <c:pt idx="52">
                  <c:v>4.7480000000000011</c:v>
                </c:pt>
                <c:pt idx="53">
                  <c:v>4.7720000000000011</c:v>
                </c:pt>
                <c:pt idx="54">
                  <c:v>4.7960000000000012</c:v>
                </c:pt>
                <c:pt idx="55">
                  <c:v>4.8200000000000012</c:v>
                </c:pt>
                <c:pt idx="56">
                  <c:v>4.8440000000000012</c:v>
                </c:pt>
                <c:pt idx="57">
                  <c:v>4.8680000000000012</c:v>
                </c:pt>
                <c:pt idx="58">
                  <c:v>4.8920000000000012</c:v>
                </c:pt>
                <c:pt idx="59">
                  <c:v>4.9160000000000013</c:v>
                </c:pt>
                <c:pt idx="60">
                  <c:v>4.9400000000000013</c:v>
                </c:pt>
                <c:pt idx="61">
                  <c:v>4.9640000000000013</c:v>
                </c:pt>
                <c:pt idx="62">
                  <c:v>4.9880000000000013</c:v>
                </c:pt>
                <c:pt idx="63">
                  <c:v>5.0120000000000013</c:v>
                </c:pt>
                <c:pt idx="64">
                  <c:v>5.0360000000000014</c:v>
                </c:pt>
                <c:pt idx="65">
                  <c:v>5.0600000000000014</c:v>
                </c:pt>
                <c:pt idx="66">
                  <c:v>5.0840000000000014</c:v>
                </c:pt>
                <c:pt idx="67">
                  <c:v>5.1080000000000014</c:v>
                </c:pt>
                <c:pt idx="68">
                  <c:v>5.1320000000000014</c:v>
                </c:pt>
                <c:pt idx="69">
                  <c:v>5.1560000000000015</c:v>
                </c:pt>
                <c:pt idx="70">
                  <c:v>5.1800000000000015</c:v>
                </c:pt>
                <c:pt idx="71">
                  <c:v>5.2040000000000015</c:v>
                </c:pt>
                <c:pt idx="72">
                  <c:v>5.2280000000000015</c:v>
                </c:pt>
                <c:pt idx="73">
                  <c:v>5.2520000000000016</c:v>
                </c:pt>
                <c:pt idx="74">
                  <c:v>5.2760000000000016</c:v>
                </c:pt>
                <c:pt idx="75">
                  <c:v>5.3000000000000016</c:v>
                </c:pt>
                <c:pt idx="76">
                  <c:v>5.3240000000000016</c:v>
                </c:pt>
                <c:pt idx="77">
                  <c:v>5.3480000000000016</c:v>
                </c:pt>
                <c:pt idx="78">
                  <c:v>5.3720000000000017</c:v>
                </c:pt>
                <c:pt idx="79">
                  <c:v>5.3960000000000017</c:v>
                </c:pt>
                <c:pt idx="80">
                  <c:v>5.4200000000000017</c:v>
                </c:pt>
                <c:pt idx="81">
                  <c:v>5.4440000000000017</c:v>
                </c:pt>
                <c:pt idx="82">
                  <c:v>5.4680000000000017</c:v>
                </c:pt>
                <c:pt idx="83">
                  <c:v>5.4920000000000018</c:v>
                </c:pt>
                <c:pt idx="84">
                  <c:v>5.5160000000000018</c:v>
                </c:pt>
                <c:pt idx="85">
                  <c:v>5.5400000000000018</c:v>
                </c:pt>
                <c:pt idx="86">
                  <c:v>5.5640000000000018</c:v>
                </c:pt>
                <c:pt idx="87">
                  <c:v>5.5880000000000019</c:v>
                </c:pt>
                <c:pt idx="88">
                  <c:v>5.6120000000000019</c:v>
                </c:pt>
                <c:pt idx="89">
                  <c:v>5.6360000000000019</c:v>
                </c:pt>
                <c:pt idx="90">
                  <c:v>5.6600000000000019</c:v>
                </c:pt>
                <c:pt idx="91">
                  <c:v>5.6840000000000019</c:v>
                </c:pt>
                <c:pt idx="92">
                  <c:v>5.708000000000002</c:v>
                </c:pt>
                <c:pt idx="93">
                  <c:v>5.732000000000002</c:v>
                </c:pt>
                <c:pt idx="94">
                  <c:v>5.756000000000002</c:v>
                </c:pt>
                <c:pt idx="95">
                  <c:v>5.780000000000002</c:v>
                </c:pt>
                <c:pt idx="96">
                  <c:v>5.804000000000002</c:v>
                </c:pt>
                <c:pt idx="97">
                  <c:v>5.8280000000000021</c:v>
                </c:pt>
                <c:pt idx="98">
                  <c:v>5.8520000000000021</c:v>
                </c:pt>
                <c:pt idx="99">
                  <c:v>5.8760000000000021</c:v>
                </c:pt>
                <c:pt idx="100">
                  <c:v>5.9000000000000021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0.24432798958081298</c:v>
                </c:pt>
                <c:pt idx="1">
                  <c:v>0.24488889944185613</c:v>
                </c:pt>
                <c:pt idx="2">
                  <c:v>0.24537709143046219</c:v>
                </c:pt>
                <c:pt idx="3">
                  <c:v>0.24579359758147087</c:v>
                </c:pt>
                <c:pt idx="4">
                  <c:v>0.24613948766331767</c:v>
                </c:pt>
                <c:pt idx="5">
                  <c:v>0.24641586633281615</c:v>
                </c:pt>
                <c:pt idx="6">
                  <c:v>0.24662387036694666</c:v>
                </c:pt>
                <c:pt idx="7">
                  <c:v>0.24676466597318492</c:v>
                </c:pt>
                <c:pt idx="8">
                  <c:v>0.24683944617959372</c:v>
                </c:pt>
                <c:pt idx="9">
                  <c:v>0.24684942830560799</c:v>
                </c:pt>
                <c:pt idx="10">
                  <c:v>0.24679585151417302</c:v>
                </c:pt>
                <c:pt idx="11">
                  <c:v>0.24667997444563916</c:v>
                </c:pt>
                <c:pt idx="12">
                  <c:v>0.24650307293358545</c:v>
                </c:pt>
                <c:pt idx="13">
                  <c:v>0.24626643780252341</c:v>
                </c:pt>
                <c:pt idx="14">
                  <c:v>0.24597137274723321</c:v>
                </c:pt>
                <c:pt idx="15">
                  <c:v>0.24561919229329895</c:v>
                </c:pt>
                <c:pt idx="16">
                  <c:v>0.24521121983824107</c:v>
                </c:pt>
                <c:pt idx="17">
                  <c:v>0.24474878577248774</c:v>
                </c:pt>
                <c:pt idx="18">
                  <c:v>0.24423322567928676</c:v>
                </c:pt>
                <c:pt idx="19">
                  <c:v>0.24366587861253242</c:v>
                </c:pt>
                <c:pt idx="20">
                  <c:v>0.24304808545136383</c:v>
                </c:pt>
                <c:pt idx="21">
                  <c:v>0.24238118733029165</c:v>
                </c:pt>
                <c:pt idx="22">
                  <c:v>0.24166652414351347</c:v>
                </c:pt>
                <c:pt idx="23">
                  <c:v>0.24090543312200038</c:v>
                </c:pt>
                <c:pt idx="24">
                  <c:v>0.2400992474818624</c:v>
                </c:pt>
                <c:pt idx="25">
                  <c:v>0.23924929514243901</c:v>
                </c:pt>
                <c:pt idx="26">
                  <c:v>0.23835689751250877</c:v>
                </c:pt>
                <c:pt idx="27">
                  <c:v>0.23742336834296365</c:v>
                </c:pt>
                <c:pt idx="28">
                  <c:v>0.23645001264425833</c:v>
                </c:pt>
                <c:pt idx="29">
                  <c:v>0.23543812566691291</c:v>
                </c:pt>
                <c:pt idx="30">
                  <c:v>0.23438899194332416</c:v>
                </c:pt>
                <c:pt idx="31">
                  <c:v>0.23330388438912153</c:v>
                </c:pt>
                <c:pt idx="32">
                  <c:v>0.23218406346229364</c:v>
                </c:pt>
                <c:pt idx="33">
                  <c:v>0.23103077637830377</c:v>
                </c:pt>
                <c:pt idx="34">
                  <c:v>0.22984525637940956</c:v>
                </c:pt>
                <c:pt idx="35">
                  <c:v>0.22862872205640791</c:v>
                </c:pt>
                <c:pt idx="36">
                  <c:v>0.22738237672103009</c:v>
                </c:pt>
                <c:pt idx="37">
                  <c:v>0.22610740782722441</c:v>
                </c:pt>
                <c:pt idx="38">
                  <c:v>0.22480498643957719</c:v>
                </c:pt>
                <c:pt idx="39">
                  <c:v>0.22347626674714102</c:v>
                </c:pt>
                <c:pt idx="40">
                  <c:v>0.22212238562095757</c:v>
                </c:pt>
                <c:pt idx="41">
                  <c:v>0.22074446221358787</c:v>
                </c:pt>
                <c:pt idx="42">
                  <c:v>0.21934359759898459</c:v>
                </c:pt>
                <c:pt idx="43">
                  <c:v>0.21792087445107056</c:v>
                </c:pt>
                <c:pt idx="44">
                  <c:v>0.21647735675941587</c:v>
                </c:pt>
                <c:pt idx="45">
                  <c:v>0.21501408958043575</c:v>
                </c:pt>
                <c:pt idx="46">
                  <c:v>0.21353209882256377</c:v>
                </c:pt>
                <c:pt idx="47">
                  <c:v>0.21203239106388863</c:v>
                </c:pt>
                <c:pt idx="48">
                  <c:v>0.21051595340077606</c:v>
                </c:pt>
                <c:pt idx="49">
                  <c:v>0.208983753326032</c:v>
                </c:pt>
                <c:pt idx="50">
                  <c:v>0.20743673863520037</c:v>
                </c:pt>
                <c:pt idx="51">
                  <c:v>0.205875837359624</c:v>
                </c:pt>
                <c:pt idx="52">
                  <c:v>0.20430195772493284</c:v>
                </c:pt>
                <c:pt idx="53">
                  <c:v>0.20271598813366323</c:v>
                </c:pt>
                <c:pt idx="54">
                  <c:v>0.20111879717074696</c:v>
                </c:pt>
                <c:pt idx="55">
                  <c:v>0.19951123363064571</c:v>
                </c:pt>
                <c:pt idx="56">
                  <c:v>0.19789412656494634</c:v>
                </c:pt>
                <c:pt idx="57">
                  <c:v>0.19626828534926666</c:v>
                </c:pt>
                <c:pt idx="58">
                  <c:v>0.19463449976835914</c:v>
                </c:pt>
                <c:pt idx="59">
                  <c:v>0.19299354011833786</c:v>
                </c:pt>
                <c:pt idx="60">
                  <c:v>0.19134615732498855</c:v>
                </c:pt>
                <c:pt idx="61">
                  <c:v>0.18969308307715813</c:v>
                </c:pt>
                <c:pt idx="62">
                  <c:v>0.1880350299742562</c:v>
                </c:pt>
                <c:pt idx="63">
                  <c:v>0.18637269168693482</c:v>
                </c:pt>
                <c:pt idx="64">
                  <c:v>0.18470674313004856</c:v>
                </c:pt>
                <c:pt idx="65">
                  <c:v>0.18303784064702897</c:v>
                </c:pt>
                <c:pt idx="66">
                  <c:v>0.18136662220484323</c:v>
                </c:pt>
                <c:pt idx="67">
                  <c:v>0.17969370759873668</c:v>
                </c:pt>
                <c:pt idx="68">
                  <c:v>0.17801969866599368</c:v>
                </c:pt>
                <c:pt idx="69">
                  <c:v>0.17634517950797904</c:v>
                </c:pt>
                <c:pt idx="70">
                  <c:v>0.17467071671975692</c:v>
                </c:pt>
                <c:pt idx="71">
                  <c:v>0.1729968596266109</c:v>
                </c:pt>
                <c:pt idx="72">
                  <c:v>0.17132414052681808</c:v>
                </c:pt>
                <c:pt idx="73">
                  <c:v>0.16965307494006118</c:v>
                </c:pt>
                <c:pt idx="74">
                  <c:v>0.16798416186088727</c:v>
                </c:pt>
                <c:pt idx="75">
                  <c:v>0.16631788401664907</c:v>
                </c:pt>
                <c:pt idx="76">
                  <c:v>0.16465470812939348</c:v>
                </c:pt>
                <c:pt idx="77">
                  <c:v>0.16299508518118375</c:v>
                </c:pt>
                <c:pt idx="78">
                  <c:v>0.16133945068236871</c:v>
                </c:pt>
                <c:pt idx="79">
                  <c:v>0.15968822494233559</c:v>
                </c:pt>
                <c:pt idx="80">
                  <c:v>0.15804181334230616</c:v>
                </c:pt>
                <c:pt idx="81">
                  <c:v>0.15640060660975846</c:v>
                </c:pt>
                <c:pt idx="82">
                  <c:v>0.15476498109407727</c:v>
                </c:pt>
                <c:pt idx="83">
                  <c:v>0.153135299043059</c:v>
                </c:pt>
                <c:pt idx="84">
                  <c:v>0.15151190887991545</c:v>
                </c:pt>
                <c:pt idx="85">
                  <c:v>0.14989514548044039</c:v>
                </c:pt>
                <c:pt idx="86">
                  <c:v>0.14828533045002379</c:v>
                </c:pt>
                <c:pt idx="87">
                  <c:v>0.14668277240021352</c:v>
                </c:pt>
                <c:pt idx="88">
                  <c:v>0.14508776722454467</c:v>
                </c:pt>
                <c:pt idx="89">
                  <c:v>0.14350059837337201</c:v>
                </c:pt>
                <c:pt idx="90">
                  <c:v>0.14192153712745736</c:v>
                </c:pt>
                <c:pt idx="91">
                  <c:v>0.14035084287008021</c:v>
                </c:pt>
                <c:pt idx="92">
                  <c:v>0.13878876335745352</c:v>
                </c:pt>
                <c:pt idx="93">
                  <c:v>0.13723553498724189</c:v>
                </c:pt>
                <c:pt idx="94">
                  <c:v>0.1356913830649937</c:v>
                </c:pt>
                <c:pt idx="95">
                  <c:v>0.13415652206830986</c:v>
                </c:pt>
                <c:pt idx="96">
                  <c:v>0.13263115590858701</c:v>
                </c:pt>
                <c:pt idx="97">
                  <c:v>0.13111547819018404</c:v>
                </c:pt>
                <c:pt idx="98">
                  <c:v>0.12960967246687155</c:v>
                </c:pt>
                <c:pt idx="99">
                  <c:v>0.1281139124954366</c:v>
                </c:pt>
                <c:pt idx="100">
                  <c:v>0.12662836248632525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03-48AD-B23C-3A2B3B05BC75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3.4039999999999999</c:v>
                </c:pt>
                <c:pt idx="2">
                  <c:v>3.3079999999999998</c:v>
                </c:pt>
                <c:pt idx="3">
                  <c:v>3.2119999999999997</c:v>
                </c:pt>
                <c:pt idx="4">
                  <c:v>3.1159999999999997</c:v>
                </c:pt>
                <c:pt idx="5">
                  <c:v>3.0199999999999996</c:v>
                </c:pt>
                <c:pt idx="6">
                  <c:v>2.9239999999999995</c:v>
                </c:pt>
                <c:pt idx="7">
                  <c:v>2.8279999999999994</c:v>
                </c:pt>
                <c:pt idx="8">
                  <c:v>2.7319999999999993</c:v>
                </c:pt>
                <c:pt idx="9">
                  <c:v>2.6359999999999992</c:v>
                </c:pt>
                <c:pt idx="10">
                  <c:v>2.5399999999999991</c:v>
                </c:pt>
                <c:pt idx="11">
                  <c:v>2.4439999999999991</c:v>
                </c:pt>
                <c:pt idx="12">
                  <c:v>2.347999999999999</c:v>
                </c:pt>
                <c:pt idx="13">
                  <c:v>2.2519999999999989</c:v>
                </c:pt>
                <c:pt idx="14">
                  <c:v>2.1559999999999988</c:v>
                </c:pt>
                <c:pt idx="15">
                  <c:v>2.0599999999999987</c:v>
                </c:pt>
                <c:pt idx="16">
                  <c:v>1.9639999999999986</c:v>
                </c:pt>
                <c:pt idx="17">
                  <c:v>1.8679999999999986</c:v>
                </c:pt>
                <c:pt idx="18">
                  <c:v>1.7719999999999985</c:v>
                </c:pt>
                <c:pt idx="19">
                  <c:v>1.6759999999999984</c:v>
                </c:pt>
                <c:pt idx="20">
                  <c:v>1.5799999999999983</c:v>
                </c:pt>
                <c:pt idx="21">
                  <c:v>1.4839999999999982</c:v>
                </c:pt>
                <c:pt idx="22">
                  <c:v>1.3879999999999981</c:v>
                </c:pt>
                <c:pt idx="23">
                  <c:v>1.291999999999998</c:v>
                </c:pt>
                <c:pt idx="24">
                  <c:v>1.195999999999998</c:v>
                </c:pt>
                <c:pt idx="25">
                  <c:v>1.0999999999999979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0.26272836192715526</c:v>
                </c:pt>
                <c:pt idx="1">
                  <c:v>0.25707735037359136</c:v>
                </c:pt>
                <c:pt idx="2">
                  <c:v>0.24987320533516935</c:v>
                </c:pt>
                <c:pt idx="3">
                  <c:v>0.24111545877795262</c:v>
                </c:pt>
                <c:pt idx="4">
                  <c:v>0.23083562364488194</c:v>
                </c:pt>
                <c:pt idx="5">
                  <c:v>0.21910104736045194</c:v>
                </c:pt>
                <c:pt idx="6">
                  <c:v>0.20601804945060145</c:v>
                </c:pt>
                <c:pt idx="7">
                  <c:v>0.19173398595889291</c:v>
                </c:pt>
                <c:pt idx="8">
                  <c:v>0.17643784586815817</c:v>
                </c:pt>
                <c:pt idx="9">
                  <c:v>0.16035896819811923</c:v>
                </c:pt>
                <c:pt idx="10">
                  <c:v>0.14376348419395438</c:v>
                </c:pt>
                <c:pt idx="11">
                  <c:v>0.12694815003589405</c:v>
                </c:pt>
                <c:pt idx="12">
                  <c:v>0.11023135526652868</c:v>
                </c:pt>
                <c:pt idx="13">
                  <c:v>9.3941282569533935E-2</c:v>
                </c:pt>
                <c:pt idx="14">
                  <c:v>7.8401462786441473E-2</c:v>
                </c:pt>
                <c:pt idx="15">
                  <c:v>6.3914312992298911E-2</c:v>
                </c:pt>
                <c:pt idx="16">
                  <c:v>5.0743647976270914E-2</c:v>
                </c:pt>
                <c:pt idx="17">
                  <c:v>3.9097578330216091E-2</c:v>
                </c:pt>
                <c:pt idx="18">
                  <c:v>2.911358680722604E-2</c:v>
                </c:pt>
                <c:pt idx="19">
                  <c:v>2.0847815674449183E-2</c:v>
                </c:pt>
                <c:pt idx="20">
                  <c:v>1.4270585795523431E-2</c:v>
                </c:pt>
                <c:pt idx="21">
                  <c:v>9.2697827621097493E-3</c:v>
                </c:pt>
                <c:pt idx="22">
                  <c:v>5.6628962964545325E-3</c:v>
                </c:pt>
                <c:pt idx="23">
                  <c:v>3.2171791914732996E-3</c:v>
                </c:pt>
                <c:pt idx="24">
                  <c:v>1.6757408243460367E-3</c:v>
                </c:pt>
                <c:pt idx="25">
                  <c:v>7.857457543060766E-4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3-48AD-B23C-3A2B3B05BC75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5.9000000000000021</c:v>
                </c:pt>
                <c:pt idx="1">
                  <c:v>6.0920000000000023</c:v>
                </c:pt>
                <c:pt idx="2">
                  <c:v>6.2840000000000025</c:v>
                </c:pt>
                <c:pt idx="3">
                  <c:v>6.4760000000000026</c:v>
                </c:pt>
                <c:pt idx="4">
                  <c:v>6.6680000000000028</c:v>
                </c:pt>
                <c:pt idx="5">
                  <c:v>6.860000000000003</c:v>
                </c:pt>
                <c:pt idx="6">
                  <c:v>7.0520000000000032</c:v>
                </c:pt>
                <c:pt idx="7">
                  <c:v>7.2440000000000033</c:v>
                </c:pt>
                <c:pt idx="8">
                  <c:v>7.4360000000000035</c:v>
                </c:pt>
                <c:pt idx="9">
                  <c:v>7.6280000000000037</c:v>
                </c:pt>
                <c:pt idx="10">
                  <c:v>7.8200000000000038</c:v>
                </c:pt>
                <c:pt idx="11">
                  <c:v>8.012000000000004</c:v>
                </c:pt>
                <c:pt idx="12">
                  <c:v>8.2040000000000042</c:v>
                </c:pt>
                <c:pt idx="13">
                  <c:v>8.3960000000000043</c:v>
                </c:pt>
                <c:pt idx="14">
                  <c:v>8.5880000000000045</c:v>
                </c:pt>
                <c:pt idx="15">
                  <c:v>8.7800000000000047</c:v>
                </c:pt>
                <c:pt idx="16">
                  <c:v>8.9720000000000049</c:v>
                </c:pt>
                <c:pt idx="17">
                  <c:v>9.164000000000005</c:v>
                </c:pt>
                <c:pt idx="18">
                  <c:v>9.3560000000000052</c:v>
                </c:pt>
                <c:pt idx="19">
                  <c:v>9.5480000000000054</c:v>
                </c:pt>
                <c:pt idx="20">
                  <c:v>9.7400000000000055</c:v>
                </c:pt>
                <c:pt idx="21">
                  <c:v>9.9320000000000057</c:v>
                </c:pt>
                <c:pt idx="22">
                  <c:v>10.124000000000006</c:v>
                </c:pt>
                <c:pt idx="23">
                  <c:v>10.316000000000006</c:v>
                </c:pt>
                <c:pt idx="24">
                  <c:v>10.508000000000006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0.12457777948124969</c:v>
                </c:pt>
                <c:pt idx="1">
                  <c:v>0.11271464781940581</c:v>
                </c:pt>
                <c:pt idx="2">
                  <c:v>0.10164913241350294</c:v>
                </c:pt>
                <c:pt idx="3">
                  <c:v>9.1406650315416324E-2</c:v>
                </c:pt>
                <c:pt idx="4">
                  <c:v>8.1988054605615396E-2</c:v>
                </c:pt>
                <c:pt idx="5">
                  <c:v>7.3375846055533683E-2</c:v>
                </c:pt>
                <c:pt idx="6">
                  <c:v>6.5539316391537525E-2</c:v>
                </c:pt>
                <c:pt idx="7">
                  <c:v>5.8438721307347022E-2</c:v>
                </c:pt>
                <c:pt idx="8">
                  <c:v>5.2028600766178913E-2</c:v>
                </c:pt>
                <c:pt idx="9">
                  <c:v>4.6260368821421045E-2</c:v>
                </c:pt>
                <c:pt idx="10">
                  <c:v>4.10842907212269E-2</c:v>
                </c:pt>
                <c:pt idx="11">
                  <c:v>3.6450955372650723E-2</c:v>
                </c:pt>
                <c:pt idx="12">
                  <c:v>3.2312339003661643E-2</c:v>
                </c:pt>
                <c:pt idx="13">
                  <c:v>2.8622542833863607E-2</c:v>
                </c:pt>
                <c:pt idx="14">
                  <c:v>2.5338274841959899E-2</c:v>
                </c:pt>
                <c:pt idx="15">
                  <c:v>2.2419133932141764E-2</c:v>
                </c:pt>
                <c:pt idx="16">
                  <c:v>1.9827744271255089E-2</c:v>
                </c:pt>
                <c:pt idx="17">
                  <c:v>1.7529778407386842E-2</c:v>
                </c:pt>
                <c:pt idx="18">
                  <c:v>1.5493899974060693E-2</c:v>
                </c:pt>
                <c:pt idx="19">
                  <c:v>1.3691650243693603E-2</c:v>
                </c:pt>
                <c:pt idx="20">
                  <c:v>1.2097297391991363E-2</c:v>
                </c:pt>
                <c:pt idx="21">
                  <c:v>1.0687662929186858E-2</c:v>
                </c:pt>
                <c:pt idx="22">
                  <c:v>9.4419362017410732E-3</c:v>
                </c:pt>
                <c:pt idx="23">
                  <c:v>8.3414850348832205E-3</c:v>
                </c:pt>
                <c:pt idx="24">
                  <c:v>7.3696683505114552E-3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3-48AD-B23C-3A2B3B05BC75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3.4039999999999999</c:v>
                </c:pt>
                <c:pt idx="2">
                  <c:v>3.3079999999999998</c:v>
                </c:pt>
                <c:pt idx="3">
                  <c:v>3.2119999999999997</c:v>
                </c:pt>
                <c:pt idx="4">
                  <c:v>3.1159999999999997</c:v>
                </c:pt>
                <c:pt idx="5">
                  <c:v>3.0199999999999996</c:v>
                </c:pt>
                <c:pt idx="6">
                  <c:v>2.9239999999999995</c:v>
                </c:pt>
                <c:pt idx="7">
                  <c:v>2.8279999999999994</c:v>
                </c:pt>
                <c:pt idx="8">
                  <c:v>2.7319999999999993</c:v>
                </c:pt>
                <c:pt idx="9">
                  <c:v>2.6359999999999992</c:v>
                </c:pt>
                <c:pt idx="10">
                  <c:v>2.5399999999999991</c:v>
                </c:pt>
                <c:pt idx="11">
                  <c:v>2.4439999999999991</c:v>
                </c:pt>
                <c:pt idx="12">
                  <c:v>2.347999999999999</c:v>
                </c:pt>
                <c:pt idx="13">
                  <c:v>2.2519999999999989</c:v>
                </c:pt>
                <c:pt idx="14">
                  <c:v>2.1559999999999988</c:v>
                </c:pt>
                <c:pt idx="15">
                  <c:v>2.0599999999999987</c:v>
                </c:pt>
                <c:pt idx="16">
                  <c:v>1.9639999999999986</c:v>
                </c:pt>
                <c:pt idx="17">
                  <c:v>1.8679999999999986</c:v>
                </c:pt>
                <c:pt idx="18">
                  <c:v>1.7719999999999985</c:v>
                </c:pt>
                <c:pt idx="19">
                  <c:v>1.6759999999999984</c:v>
                </c:pt>
                <c:pt idx="20">
                  <c:v>1.5799999999999983</c:v>
                </c:pt>
                <c:pt idx="21">
                  <c:v>1.4839999999999982</c:v>
                </c:pt>
                <c:pt idx="22">
                  <c:v>1.3879999999999981</c:v>
                </c:pt>
                <c:pt idx="23">
                  <c:v>1.291999999999998</c:v>
                </c:pt>
                <c:pt idx="24">
                  <c:v>1.195999999999998</c:v>
                </c:pt>
                <c:pt idx="25">
                  <c:v>1.0999999999999979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0.24432798958081298</c:v>
                </c:pt>
                <c:pt idx="1">
                  <c:v>0.24133801695164522</c:v>
                </c:pt>
                <c:pt idx="2">
                  <c:v>0.23711385322453948</c:v>
                </c:pt>
                <c:pt idx="3">
                  <c:v>0.23161422775349758</c:v>
                </c:pt>
                <c:pt idx="4">
                  <c:v>0.22481576379932947</c:v>
                </c:pt>
                <c:pt idx="5">
                  <c:v>0.21671655328535044</c:v>
                </c:pt>
                <c:pt idx="6">
                  <c:v>0.2073397259371956</c:v>
                </c:pt>
                <c:pt idx="7">
                  <c:v>0.19673683618863863</c:v>
                </c:pt>
                <c:pt idx="8">
                  <c:v>0.18499084274844627</c:v>
                </c:pt>
                <c:pt idx="9">
                  <c:v>0.17221840565653587</c:v>
                </c:pt>
                <c:pt idx="10">
                  <c:v>0.15857117833537596</c:v>
                </c:pt>
                <c:pt idx="11">
                  <c:v>0.1442357339926868</c:v>
                </c:pt>
                <c:pt idx="12">
                  <c:v>0.12943174567353405</c:v>
                </c:pt>
                <c:pt idx="13">
                  <c:v>0.11440804891665433</c:v>
                </c:pt>
                <c:pt idx="14">
                  <c:v>9.9436269502730393E-2</c:v>
                </c:pt>
                <c:pt idx="15">
                  <c:v>8.4801812055032899E-2</c:v>
                </c:pt>
                <c:pt idx="16">
                  <c:v>7.0792193925580699E-2</c:v>
                </c:pt>
                <c:pt idx="17">
                  <c:v>5.7682984874740995E-2</c:v>
                </c:pt>
                <c:pt idx="18">
                  <c:v>4.5721979393113107E-2</c:v>
                </c:pt>
                <c:pt idx="19">
                  <c:v>3.5112671068334017E-2</c:v>
                </c:pt>
                <c:pt idx="20">
                  <c:v>2.5998576424665416E-2</c:v>
                </c:pt>
                <c:pt idx="21">
                  <c:v>1.8450391492110814E-2</c:v>
                </c:pt>
                <c:pt idx="22">
                  <c:v>1.2458236333834579E-2</c:v>
                </c:pt>
                <c:pt idx="23">
                  <c:v>7.9311880803794345E-3</c:v>
                </c:pt>
                <c:pt idx="24">
                  <c:v>4.7057409084992133E-3</c:v>
                </c:pt>
                <c:pt idx="25">
                  <c:v>2.5636191389572789E-3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03-48AD-B23C-3A2B3B05BC75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5.9000000000000021</c:v>
                </c:pt>
                <c:pt idx="1">
                  <c:v>6.0920000000000023</c:v>
                </c:pt>
                <c:pt idx="2">
                  <c:v>6.2840000000000025</c:v>
                </c:pt>
                <c:pt idx="3">
                  <c:v>6.4760000000000026</c:v>
                </c:pt>
                <c:pt idx="4">
                  <c:v>6.6680000000000028</c:v>
                </c:pt>
                <c:pt idx="5">
                  <c:v>6.860000000000003</c:v>
                </c:pt>
                <c:pt idx="6">
                  <c:v>7.0520000000000032</c:v>
                </c:pt>
                <c:pt idx="7">
                  <c:v>7.2440000000000033</c:v>
                </c:pt>
                <c:pt idx="8">
                  <c:v>7.4360000000000035</c:v>
                </c:pt>
                <c:pt idx="9">
                  <c:v>7.6280000000000037</c:v>
                </c:pt>
                <c:pt idx="10">
                  <c:v>7.8200000000000038</c:v>
                </c:pt>
                <c:pt idx="11">
                  <c:v>8.012000000000004</c:v>
                </c:pt>
                <c:pt idx="12">
                  <c:v>8.2040000000000042</c:v>
                </c:pt>
                <c:pt idx="13">
                  <c:v>8.3960000000000043</c:v>
                </c:pt>
                <c:pt idx="14">
                  <c:v>8.5880000000000045</c:v>
                </c:pt>
                <c:pt idx="15">
                  <c:v>8.7800000000000047</c:v>
                </c:pt>
                <c:pt idx="16">
                  <c:v>8.9720000000000049</c:v>
                </c:pt>
                <c:pt idx="17">
                  <c:v>9.164000000000005</c:v>
                </c:pt>
                <c:pt idx="18">
                  <c:v>9.3560000000000052</c:v>
                </c:pt>
                <c:pt idx="19">
                  <c:v>9.5480000000000054</c:v>
                </c:pt>
                <c:pt idx="20">
                  <c:v>9.7400000000000055</c:v>
                </c:pt>
                <c:pt idx="21">
                  <c:v>9.9320000000000057</c:v>
                </c:pt>
                <c:pt idx="22">
                  <c:v>10.124000000000006</c:v>
                </c:pt>
                <c:pt idx="23">
                  <c:v>10.316000000000006</c:v>
                </c:pt>
                <c:pt idx="24">
                  <c:v>10.508000000000006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0.12662836248632525</c:v>
                </c:pt>
                <c:pt idx="1">
                  <c:v>0.11512826910176532</c:v>
                </c:pt>
                <c:pt idx="2">
                  <c:v>0.10434882104865066</c:v>
                </c:pt>
                <c:pt idx="3">
                  <c:v>9.4320617288317518E-2</c:v>
                </c:pt>
                <c:pt idx="4">
                  <c:v>8.5051062925097648E-2</c:v>
                </c:pt>
                <c:pt idx="5">
                  <c:v>7.6529950923392029E-2</c:v>
                </c:pt>
                <c:pt idx="6">
                  <c:v>6.873412230351171E-2</c:v>
                </c:pt>
                <c:pt idx="7">
                  <c:v>6.1631283394444319E-2</c:v>
                </c:pt>
                <c:pt idx="8">
                  <c:v>5.5183076626068965E-2</c:v>
                </c:pt>
                <c:pt idx="9">
                  <c:v>4.9347506676931531E-2</c:v>
                </c:pt>
                <c:pt idx="10">
                  <c:v>4.4080821184757618E-2</c:v>
                </c:pt>
                <c:pt idx="11">
                  <c:v>3.9338937965591118E-2</c:v>
                </c:pt>
                <c:pt idx="12">
                  <c:v>3.5078501039909601E-2</c:v>
                </c:pt>
                <c:pt idx="13">
                  <c:v>3.1257637235687918E-2</c:v>
                </c:pt>
                <c:pt idx="14">
                  <c:v>2.7836474684444702E-2</c:v>
                </c:pt>
                <c:pt idx="15">
                  <c:v>2.4777474714557553E-2</c:v>
                </c:pt>
                <c:pt idx="16">
                  <c:v>2.2045619778769794E-2</c:v>
                </c:pt>
                <c:pt idx="17">
                  <c:v>1.9608492255846606E-2</c:v>
                </c:pt>
                <c:pt idx="18">
                  <c:v>1.7436272253542471E-2</c:v>
                </c:pt>
                <c:pt idx="19">
                  <c:v>1.5501676857714116E-2</c:v>
                </c:pt>
                <c:pt idx="20">
                  <c:v>1.3779858529906217E-2</c:v>
                </c:pt>
                <c:pt idx="21">
                  <c:v>1.224827644573415E-2</c:v>
                </c:pt>
                <c:pt idx="22">
                  <c:v>1.0886551377835965E-2</c:v>
                </c:pt>
                <c:pt idx="23">
                  <c:v>9.6763121531437905E-3</c:v>
                </c:pt>
                <c:pt idx="24">
                  <c:v>8.601039656342473E-3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03-48AD-B23C-3A2B3B05BC75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3.524</c:v>
                </c:pt>
                <c:pt idx="2">
                  <c:v>3.548</c:v>
                </c:pt>
                <c:pt idx="3">
                  <c:v>3.5720000000000001</c:v>
                </c:pt>
                <c:pt idx="4">
                  <c:v>3.5960000000000001</c:v>
                </c:pt>
                <c:pt idx="5">
                  <c:v>3.62</c:v>
                </c:pt>
                <c:pt idx="6">
                  <c:v>3.6440000000000001</c:v>
                </c:pt>
                <c:pt idx="7">
                  <c:v>3.6680000000000001</c:v>
                </c:pt>
                <c:pt idx="8">
                  <c:v>3.6920000000000002</c:v>
                </c:pt>
                <c:pt idx="9">
                  <c:v>3.7160000000000002</c:v>
                </c:pt>
                <c:pt idx="10">
                  <c:v>3.74</c:v>
                </c:pt>
                <c:pt idx="11">
                  <c:v>3.7640000000000002</c:v>
                </c:pt>
                <c:pt idx="12">
                  <c:v>3.7880000000000003</c:v>
                </c:pt>
                <c:pt idx="13">
                  <c:v>3.8120000000000003</c:v>
                </c:pt>
                <c:pt idx="14">
                  <c:v>3.8360000000000003</c:v>
                </c:pt>
                <c:pt idx="15">
                  <c:v>3.8600000000000003</c:v>
                </c:pt>
                <c:pt idx="16">
                  <c:v>3.8840000000000003</c:v>
                </c:pt>
                <c:pt idx="17">
                  <c:v>3.9080000000000004</c:v>
                </c:pt>
                <c:pt idx="18">
                  <c:v>3.9320000000000004</c:v>
                </c:pt>
                <c:pt idx="19">
                  <c:v>3.9560000000000004</c:v>
                </c:pt>
                <c:pt idx="20">
                  <c:v>3.9800000000000004</c:v>
                </c:pt>
                <c:pt idx="21">
                  <c:v>4.0040000000000004</c:v>
                </c:pt>
                <c:pt idx="22">
                  <c:v>4.0280000000000005</c:v>
                </c:pt>
                <c:pt idx="23">
                  <c:v>4.0520000000000005</c:v>
                </c:pt>
                <c:pt idx="24">
                  <c:v>4.0760000000000005</c:v>
                </c:pt>
                <c:pt idx="25">
                  <c:v>4.1000000000000005</c:v>
                </c:pt>
                <c:pt idx="26">
                  <c:v>4.1240000000000006</c:v>
                </c:pt>
                <c:pt idx="27">
                  <c:v>4.1480000000000006</c:v>
                </c:pt>
                <c:pt idx="28">
                  <c:v>4.1720000000000006</c:v>
                </c:pt>
                <c:pt idx="29">
                  <c:v>4.1960000000000006</c:v>
                </c:pt>
                <c:pt idx="30">
                  <c:v>4.2200000000000006</c:v>
                </c:pt>
                <c:pt idx="31">
                  <c:v>4.2440000000000007</c:v>
                </c:pt>
                <c:pt idx="32">
                  <c:v>4.2680000000000007</c:v>
                </c:pt>
                <c:pt idx="33">
                  <c:v>4.2920000000000007</c:v>
                </c:pt>
                <c:pt idx="34">
                  <c:v>4.3160000000000007</c:v>
                </c:pt>
                <c:pt idx="35">
                  <c:v>4.3400000000000007</c:v>
                </c:pt>
                <c:pt idx="36">
                  <c:v>4.3640000000000008</c:v>
                </c:pt>
                <c:pt idx="37">
                  <c:v>4.3880000000000008</c:v>
                </c:pt>
                <c:pt idx="38">
                  <c:v>4.4120000000000008</c:v>
                </c:pt>
                <c:pt idx="39">
                  <c:v>4.4360000000000008</c:v>
                </c:pt>
                <c:pt idx="40">
                  <c:v>4.4600000000000009</c:v>
                </c:pt>
                <c:pt idx="41">
                  <c:v>4.4840000000000009</c:v>
                </c:pt>
                <c:pt idx="42">
                  <c:v>4.5080000000000009</c:v>
                </c:pt>
                <c:pt idx="43">
                  <c:v>4.5320000000000009</c:v>
                </c:pt>
                <c:pt idx="44">
                  <c:v>4.5560000000000009</c:v>
                </c:pt>
                <c:pt idx="45">
                  <c:v>4.580000000000001</c:v>
                </c:pt>
                <c:pt idx="46">
                  <c:v>4.604000000000001</c:v>
                </c:pt>
                <c:pt idx="47">
                  <c:v>4.628000000000001</c:v>
                </c:pt>
                <c:pt idx="48">
                  <c:v>4.652000000000001</c:v>
                </c:pt>
                <c:pt idx="49">
                  <c:v>4.676000000000001</c:v>
                </c:pt>
                <c:pt idx="50">
                  <c:v>4.7000000000000011</c:v>
                </c:pt>
                <c:pt idx="51">
                  <c:v>4.7240000000000011</c:v>
                </c:pt>
                <c:pt idx="52">
                  <c:v>4.7480000000000011</c:v>
                </c:pt>
                <c:pt idx="53">
                  <c:v>4.7720000000000011</c:v>
                </c:pt>
                <c:pt idx="54">
                  <c:v>4.7960000000000012</c:v>
                </c:pt>
                <c:pt idx="55">
                  <c:v>4.8200000000000012</c:v>
                </c:pt>
                <c:pt idx="56">
                  <c:v>4.8440000000000012</c:v>
                </c:pt>
                <c:pt idx="57">
                  <c:v>4.8680000000000012</c:v>
                </c:pt>
                <c:pt idx="58">
                  <c:v>4.8920000000000012</c:v>
                </c:pt>
                <c:pt idx="59">
                  <c:v>4.9160000000000013</c:v>
                </c:pt>
                <c:pt idx="60">
                  <c:v>4.9400000000000013</c:v>
                </c:pt>
                <c:pt idx="61">
                  <c:v>4.9640000000000013</c:v>
                </c:pt>
                <c:pt idx="62">
                  <c:v>4.9880000000000013</c:v>
                </c:pt>
                <c:pt idx="63">
                  <c:v>5.0120000000000013</c:v>
                </c:pt>
                <c:pt idx="64">
                  <c:v>5.0360000000000014</c:v>
                </c:pt>
                <c:pt idx="65">
                  <c:v>5.0600000000000014</c:v>
                </c:pt>
                <c:pt idx="66">
                  <c:v>5.0840000000000014</c:v>
                </c:pt>
                <c:pt idx="67">
                  <c:v>5.1080000000000014</c:v>
                </c:pt>
                <c:pt idx="68">
                  <c:v>5.1320000000000014</c:v>
                </c:pt>
                <c:pt idx="69">
                  <c:v>5.1560000000000015</c:v>
                </c:pt>
                <c:pt idx="70">
                  <c:v>5.1800000000000015</c:v>
                </c:pt>
                <c:pt idx="71">
                  <c:v>5.2040000000000015</c:v>
                </c:pt>
                <c:pt idx="72">
                  <c:v>5.2280000000000015</c:v>
                </c:pt>
                <c:pt idx="73">
                  <c:v>5.2520000000000016</c:v>
                </c:pt>
                <c:pt idx="74">
                  <c:v>5.2760000000000016</c:v>
                </c:pt>
                <c:pt idx="75">
                  <c:v>5.3000000000000016</c:v>
                </c:pt>
                <c:pt idx="76">
                  <c:v>5.3240000000000016</c:v>
                </c:pt>
                <c:pt idx="77">
                  <c:v>5.3480000000000016</c:v>
                </c:pt>
                <c:pt idx="78">
                  <c:v>5.3720000000000017</c:v>
                </c:pt>
                <c:pt idx="79">
                  <c:v>5.3960000000000017</c:v>
                </c:pt>
                <c:pt idx="80">
                  <c:v>5.4200000000000017</c:v>
                </c:pt>
                <c:pt idx="81">
                  <c:v>5.4440000000000017</c:v>
                </c:pt>
                <c:pt idx="82">
                  <c:v>5.4680000000000017</c:v>
                </c:pt>
                <c:pt idx="83">
                  <c:v>5.4920000000000018</c:v>
                </c:pt>
                <c:pt idx="84">
                  <c:v>5.5160000000000018</c:v>
                </c:pt>
                <c:pt idx="85">
                  <c:v>5.5400000000000018</c:v>
                </c:pt>
                <c:pt idx="86">
                  <c:v>5.5640000000000018</c:v>
                </c:pt>
                <c:pt idx="87">
                  <c:v>5.5880000000000019</c:v>
                </c:pt>
                <c:pt idx="88">
                  <c:v>5.6120000000000019</c:v>
                </c:pt>
                <c:pt idx="89">
                  <c:v>5.6360000000000019</c:v>
                </c:pt>
                <c:pt idx="90">
                  <c:v>5.6600000000000019</c:v>
                </c:pt>
                <c:pt idx="91">
                  <c:v>5.6840000000000019</c:v>
                </c:pt>
                <c:pt idx="92">
                  <c:v>5.708000000000002</c:v>
                </c:pt>
                <c:pt idx="93">
                  <c:v>5.732000000000002</c:v>
                </c:pt>
                <c:pt idx="94">
                  <c:v>5.756000000000002</c:v>
                </c:pt>
                <c:pt idx="95">
                  <c:v>5.780000000000002</c:v>
                </c:pt>
                <c:pt idx="96">
                  <c:v>5.804000000000002</c:v>
                </c:pt>
                <c:pt idx="97">
                  <c:v>5.8280000000000021</c:v>
                </c:pt>
                <c:pt idx="98">
                  <c:v>5.8520000000000021</c:v>
                </c:pt>
                <c:pt idx="99">
                  <c:v>5.8760000000000021</c:v>
                </c:pt>
                <c:pt idx="100">
                  <c:v>5.9000000000000021</c:v>
                </c:pt>
              </c:numCache>
            </c:numRef>
          </c:xVal>
          <c:yVal>
            <c:numRef>
              <c:f>Shimko!$BG$13:$BG$113</c:f>
              <c:numCache>
                <c:formatCode>0.000E+00</c:formatCode>
                <c:ptCount val="101"/>
                <c:pt idx="0">
                  <c:v>0.24398949336825118</c:v>
                </c:pt>
                <c:pt idx="1">
                  <c:v>0.24460581602965548</c:v>
                </c:pt>
                <c:pt idx="2">
                  <c:v>0.24514912438815031</c:v>
                </c:pt>
                <c:pt idx="3">
                  <c:v>0.24562040673524346</c:v>
                </c:pt>
                <c:pt idx="4">
                  <c:v>0.24602069052601033</c:v>
                </c:pt>
                <c:pt idx="5">
                  <c:v>0.24635104444289957</c:v>
                </c:pt>
                <c:pt idx="6">
                  <c:v>0.24661256962239825</c:v>
                </c:pt>
                <c:pt idx="7">
                  <c:v>0.2468064036134647</c:v>
                </c:pt>
                <c:pt idx="8">
                  <c:v>0.24693371297447084</c:v>
                </c:pt>
                <c:pt idx="9">
                  <c:v>0.24699569019470535</c:v>
                </c:pt>
                <c:pt idx="10">
                  <c:v>0.24699355818630728</c:v>
                </c:pt>
                <c:pt idx="11">
                  <c:v>0.24692855895582694</c:v>
                </c:pt>
                <c:pt idx="12">
                  <c:v>0.24680195721437906</c:v>
                </c:pt>
                <c:pt idx="13">
                  <c:v>0.24661503635008594</c:v>
                </c:pt>
                <c:pt idx="14">
                  <c:v>0.24636909811669128</c:v>
                </c:pt>
                <c:pt idx="15">
                  <c:v>0.24606545613311953</c:v>
                </c:pt>
                <c:pt idx="16">
                  <c:v>0.24570543619657961</c:v>
                </c:pt>
                <c:pt idx="17">
                  <c:v>0.24529037904605958</c:v>
                </c:pt>
                <c:pt idx="18">
                  <c:v>0.24482163039368959</c:v>
                </c:pt>
                <c:pt idx="19">
                  <c:v>0.24430054714866481</c:v>
                </c:pt>
                <c:pt idx="20">
                  <c:v>0.24372848571807992</c:v>
                </c:pt>
                <c:pt idx="21">
                  <c:v>0.24310681155319888</c:v>
                </c:pt>
                <c:pt idx="22">
                  <c:v>0.24243689096094462</c:v>
                </c:pt>
                <c:pt idx="23">
                  <c:v>0.24172009185775822</c:v>
                </c:pt>
                <c:pt idx="24">
                  <c:v>0.24095777967964876</c:v>
                </c:pt>
                <c:pt idx="25">
                  <c:v>0.24015131938682571</c:v>
                </c:pt>
                <c:pt idx="26">
                  <c:v>0.23930207371570572</c:v>
                </c:pt>
                <c:pt idx="27">
                  <c:v>0.23841140071150727</c:v>
                </c:pt>
                <c:pt idx="28">
                  <c:v>0.23748064956256296</c:v>
                </c:pt>
                <c:pt idx="29">
                  <c:v>0.23651116730469326</c:v>
                </c:pt>
                <c:pt idx="30">
                  <c:v>0.23550429248488094</c:v>
                </c:pt>
                <c:pt idx="31">
                  <c:v>0.24133961382235766</c:v>
                </c:pt>
                <c:pt idx="32">
                  <c:v>0.23995224771935325</c:v>
                </c:pt>
                <c:pt idx="33">
                  <c:v>0.23853095616586029</c:v>
                </c:pt>
                <c:pt idx="34">
                  <c:v>0.23707737472954596</c:v>
                </c:pt>
                <c:pt idx="35">
                  <c:v>0.23559311364526439</c:v>
                </c:pt>
                <c:pt idx="36">
                  <c:v>0.2328099254780103</c:v>
                </c:pt>
                <c:pt idx="37">
                  <c:v>0.23236369242871788</c:v>
                </c:pt>
                <c:pt idx="38">
                  <c:v>0.23079216195353908</c:v>
                </c:pt>
                <c:pt idx="39">
                  <c:v>0.22919307999922156</c:v>
                </c:pt>
                <c:pt idx="40">
                  <c:v>0.22756799890947971</c:v>
                </c:pt>
                <c:pt idx="41">
                  <c:v>0.2259184268007618</c:v>
                </c:pt>
                <c:pt idx="42">
                  <c:v>0.22424583445930524</c:v>
                </c:pt>
                <c:pt idx="43">
                  <c:v>0.22255164854195936</c:v>
                </c:pt>
                <c:pt idx="44">
                  <c:v>0.22083725804482587</c:v>
                </c:pt>
                <c:pt idx="45">
                  <c:v>0.21910401264284615</c:v>
                </c:pt>
                <c:pt idx="46">
                  <c:v>0.2173532235527143</c:v>
                </c:pt>
                <c:pt idx="47">
                  <c:v>0.21558616209407921</c:v>
                </c:pt>
                <c:pt idx="48">
                  <c:v>0.21380406639309577</c:v>
                </c:pt>
                <c:pt idx="49">
                  <c:v>0.21200813484348444</c:v>
                </c:pt>
                <c:pt idx="50">
                  <c:v>0.21019953305188815</c:v>
                </c:pt>
                <c:pt idx="51">
                  <c:v>2.9531662455703644</c:v>
                </c:pt>
                <c:pt idx="52">
                  <c:v>0.20868390876381152</c:v>
                </c:pt>
                <c:pt idx="53">
                  <c:v>0.20661586434324195</c:v>
                </c:pt>
                <c:pt idx="54">
                  <c:v>0.20454313357162321</c:v>
                </c:pt>
                <c:pt idx="55">
                  <c:v>0.20246681761809973</c:v>
                </c:pt>
                <c:pt idx="56">
                  <c:v>0.20038797849975953</c:v>
                </c:pt>
                <c:pt idx="57">
                  <c:v>0.19830763596900125</c:v>
                </c:pt>
                <c:pt idx="58">
                  <c:v>0.19622677213138387</c:v>
                </c:pt>
                <c:pt idx="59">
                  <c:v>0.19414633241878801</c:v>
                </c:pt>
                <c:pt idx="60">
                  <c:v>0.19206722108551239</c:v>
                </c:pt>
                <c:pt idx="61">
                  <c:v>0.18999030866067407</c:v>
                </c:pt>
                <c:pt idx="62">
                  <c:v>0.18791643016798523</c:v>
                </c:pt>
                <c:pt idx="63">
                  <c:v>0.18584638541468895</c:v>
                </c:pt>
                <c:pt idx="64">
                  <c:v>0.18378094067878517</c:v>
                </c:pt>
                <c:pt idx="65">
                  <c:v>0.18172082891147801</c:v>
                </c:pt>
                <c:pt idx="66">
                  <c:v>0.17966675320428555</c:v>
                </c:pt>
                <c:pt idx="67">
                  <c:v>0.17761938370614486</c:v>
                </c:pt>
                <c:pt idx="68">
                  <c:v>0.1747215207252924</c:v>
                </c:pt>
                <c:pt idx="69">
                  <c:v>0.17366673161700719</c:v>
                </c:pt>
                <c:pt idx="70">
                  <c:v>0.17164292890975494</c:v>
                </c:pt>
                <c:pt idx="71">
                  <c:v>0.16962955927479625</c:v>
                </c:pt>
                <c:pt idx="72">
                  <c:v>0.16765000538762087</c:v>
                </c:pt>
                <c:pt idx="73">
                  <c:v>0.16566703590997814</c:v>
                </c:pt>
                <c:pt idx="74">
                  <c:v>0.16369557616606492</c:v>
                </c:pt>
                <c:pt idx="75">
                  <c:v>0.16173601998068315</c:v>
                </c:pt>
                <c:pt idx="76">
                  <c:v>0.15978874483947375</c:v>
                </c:pt>
                <c:pt idx="77">
                  <c:v>0.15785410759286803</c:v>
                </c:pt>
                <c:pt idx="78">
                  <c:v>0.15593245036420705</c:v>
                </c:pt>
                <c:pt idx="79">
                  <c:v>0.15402409506811127</c:v>
                </c:pt>
                <c:pt idx="80">
                  <c:v>0.15212934567753403</c:v>
                </c:pt>
                <c:pt idx="81">
                  <c:v>0.15024849145084268</c:v>
                </c:pt>
                <c:pt idx="82">
                  <c:v>0.14838180177315669</c:v>
                </c:pt>
                <c:pt idx="83">
                  <c:v>0.14652953104977873</c:v>
                </c:pt>
                <c:pt idx="84">
                  <c:v>0.14469191904650777</c:v>
                </c:pt>
                <c:pt idx="85">
                  <c:v>0.14286918677174296</c:v>
                </c:pt>
                <c:pt idx="86">
                  <c:v>0.14106154224791667</c:v>
                </c:pt>
                <c:pt idx="87">
                  <c:v>0.13926917832222308</c:v>
                </c:pt>
                <c:pt idx="88">
                  <c:v>0.13749227117082802</c:v>
                </c:pt>
                <c:pt idx="89">
                  <c:v>0.13573098654558832</c:v>
                </c:pt>
                <c:pt idx="90">
                  <c:v>0.13398547363124849</c:v>
                </c:pt>
                <c:pt idx="91">
                  <c:v>0.13225586881921753</c:v>
                </c:pt>
                <c:pt idx="92">
                  <c:v>0.13054229644139323</c:v>
                </c:pt>
                <c:pt idx="93">
                  <c:v>0.1312491352494275</c:v>
                </c:pt>
                <c:pt idx="94">
                  <c:v>0.12967256118971554</c:v>
                </c:pt>
                <c:pt idx="95">
                  <c:v>0.12810851683606736</c:v>
                </c:pt>
                <c:pt idx="96">
                  <c:v>0.1265571335054094</c:v>
                </c:pt>
                <c:pt idx="97">
                  <c:v>0.12501853064240612</c:v>
                </c:pt>
                <c:pt idx="98">
                  <c:v>0.12349281821519975</c:v>
                </c:pt>
                <c:pt idx="99">
                  <c:v>0.12198009831896169</c:v>
                </c:pt>
                <c:pt idx="100">
                  <c:v>0.12048046327698154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03-48AD-B23C-3A2B3B05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7080"/>
        <c:axId val="1"/>
      </c:scatterChart>
      <c:valAx>
        <c:axId val="18614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"/>
              <c:y val="0.8965968586387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7793594306049819E-3"/>
              <c:y val="0.45157068062827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47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153024911032027"/>
          <c:y val="0.94371727748691114"/>
          <c:w val="0.44483985765124551"/>
          <c:h val="5.7591623036649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78647686832739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16370106761557E-2"/>
          <c:y val="0.12172774869109949"/>
          <c:w val="0.87366548042704617"/>
          <c:h val="0.7604712041884818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-0.54544143211628915</c:v>
                </c:pt>
                <c:pt idx="1">
                  <c:v>-0.52844364800584964</c:v>
                </c:pt>
                <c:pt idx="2">
                  <c:v>-0.51156123435966039</c:v>
                </c:pt>
                <c:pt idx="3">
                  <c:v>-0.49479263560310494</c:v>
                </c:pt>
                <c:pt idx="4">
                  <c:v>-0.47813632741242207</c:v>
                </c:pt>
                <c:pt idx="5">
                  <c:v>-0.46159081588318018</c:v>
                </c:pt>
                <c:pt idx="6">
                  <c:v>-0.44515463672622957</c:v>
                </c:pt>
                <c:pt idx="7">
                  <c:v>-0.42882635449004325</c:v>
                </c:pt>
                <c:pt idx="8">
                  <c:v>-0.41260456180841665</c:v>
                </c:pt>
                <c:pt idx="9">
                  <c:v>-0.39648787867254365</c:v>
                </c:pt>
                <c:pt idx="10">
                  <c:v>-0.38047495172651885</c:v>
                </c:pt>
                <c:pt idx="11">
                  <c:v>-0.36456445358537831</c:v>
                </c:pt>
                <c:pt idx="12">
                  <c:v>-0.34875508217480855</c:v>
                </c:pt>
                <c:pt idx="13">
                  <c:v>-0.33304556009170816</c:v>
                </c:pt>
                <c:pt idx="14">
                  <c:v>-0.31743463398481842</c:v>
                </c:pt>
                <c:pt idx="15">
                  <c:v>-0.30192107395466539</c:v>
                </c:pt>
                <c:pt idx="16">
                  <c:v>-0.28650367297210327</c:v>
                </c:pt>
                <c:pt idx="17">
                  <c:v>-0.27118124631476431</c:v>
                </c:pt>
                <c:pt idx="18">
                  <c:v>-0.25595263102076127</c:v>
                </c:pt>
                <c:pt idx="19">
                  <c:v>-0.24081668535901402</c:v>
                </c:pt>
                <c:pt idx="20">
                  <c:v>-0.22577228831559079</c:v>
                </c:pt>
                <c:pt idx="21">
                  <c:v>-0.21081833909549472</c:v>
                </c:pt>
                <c:pt idx="22">
                  <c:v>-0.19595375663933454</c:v>
                </c:pt>
                <c:pt idx="23">
                  <c:v>-0.18117747915435156</c:v>
                </c:pt>
                <c:pt idx="24">
                  <c:v>-0.16648846365929823</c:v>
                </c:pt>
                <c:pt idx="25">
                  <c:v>-0.15188568554267132</c:v>
                </c:pt>
                <c:pt idx="26">
                  <c:v>-0.13736813813384244</c:v>
                </c:pt>
                <c:pt idx="27">
                  <c:v>-0.12293483228662846</c:v>
                </c:pt>
                <c:pt idx="28">
                  <c:v>-0.10858479597487485</c:v>
                </c:pt>
                <c:pt idx="29">
                  <c:v>-9.431707389964078E-2</c:v>
                </c:pt>
                <c:pt idx="30">
                  <c:v>-8.0130727107582095E-2</c:v>
                </c:pt>
                <c:pt idx="31">
                  <c:v>-6.6024832620159971E-2</c:v>
                </c:pt>
                <c:pt idx="32">
                  <c:v>-5.1998483073300981E-2</c:v>
                </c:pt>
                <c:pt idx="33">
                  <c:v>-3.8050786367160729E-2</c:v>
                </c:pt>
                <c:pt idx="34">
                  <c:v>-2.4180865325655315E-2</c:v>
                </c:pt>
                <c:pt idx="35">
                  <c:v>-1.0387857365428653E-2</c:v>
                </c:pt>
                <c:pt idx="36">
                  <c:v>3.3290858260481295E-3</c:v>
                </c:pt>
                <c:pt idx="37">
                  <c:v>1.6970798603552596E-2</c:v>
                </c:pt>
                <c:pt idx="38">
                  <c:v>3.0538101668648419E-2</c:v>
                </c:pt>
                <c:pt idx="39">
                  <c:v>4.4031802365959764E-2</c:v>
                </c:pt>
                <c:pt idx="40">
                  <c:v>5.7452694971454756E-2</c:v>
                </c:pt>
                <c:pt idx="41">
                  <c:v>7.0801560972993491E-2</c:v>
                </c:pt>
                <c:pt idx="42">
                  <c:v>8.4079169343384857E-2</c:v>
                </c:pt>
                <c:pt idx="43">
                  <c:v>9.7286276806198529E-2</c:v>
                </c:pt>
                <c:pt idx="44">
                  <c:v>0.11042362809455268</c:v>
                </c:pt>
                <c:pt idx="45">
                  <c:v>0.1234919562031062</c:v>
                </c:pt>
                <c:pt idx="46">
                  <c:v>0.13649198263346576</c:v>
                </c:pt>
                <c:pt idx="47">
                  <c:v>0.14942441763321015</c:v>
                </c:pt>
                <c:pt idx="48">
                  <c:v>0.16228996042873711</c:v>
                </c:pt>
                <c:pt idx="49">
                  <c:v>0.1750892994521149</c:v>
                </c:pt>
                <c:pt idx="50">
                  <c:v>0.18782311256213008</c:v>
                </c:pt>
                <c:pt idx="51">
                  <c:v>0.20049206725970534</c:v>
                </c:pt>
                <c:pt idx="52">
                  <c:v>0.21309682089785661</c:v>
                </c:pt>
                <c:pt idx="53">
                  <c:v>0.22563802088636153</c:v>
                </c:pt>
                <c:pt idx="54">
                  <c:v>0.23811630489128804</c:v>
                </c:pt>
                <c:pt idx="55">
                  <c:v>0.25053230102954982</c:v>
                </c:pt>
                <c:pt idx="56">
                  <c:v>0.26288662805862451</c:v>
                </c:pt>
                <c:pt idx="57">
                  <c:v>0.27517989556158678</c:v>
                </c:pt>
                <c:pt idx="58">
                  <c:v>0.28741270412758796</c:v>
                </c:pt>
                <c:pt idx="59">
                  <c:v>0.29958564552792466</c:v>
                </c:pt>
                <c:pt idx="60">
                  <c:v>0.31169930288781555</c:v>
                </c:pt>
                <c:pt idx="61">
                  <c:v>0.32375425085401521</c:v>
                </c:pt>
                <c:pt idx="62">
                  <c:v>0.33575105575839026</c:v>
                </c:pt>
                <c:pt idx="63">
                  <c:v>0.34769027577756523</c:v>
                </c:pt>
                <c:pt idx="64">
                  <c:v>0.35957246108875562</c:v>
                </c:pt>
                <c:pt idx="65">
                  <c:v>0.37139815402190007</c:v>
                </c:pt>
                <c:pt idx="66">
                  <c:v>0.38316788920818895</c:v>
                </c:pt>
                <c:pt idx="67">
                  <c:v>0.39488219372509792</c:v>
                </c:pt>
                <c:pt idx="68">
                  <c:v>0.40654158723801953</c:v>
                </c:pt>
                <c:pt idx="69">
                  <c:v>0.41814658213859551</c:v>
                </c:pt>
                <c:pt idx="70">
                  <c:v>0.42969768367983274</c:v>
                </c:pt>
                <c:pt idx="71">
                  <c:v>0.441195390108096</c:v>
                </c:pt>
                <c:pt idx="72">
                  <c:v>0.45264019279206896</c:v>
                </c:pt>
                <c:pt idx="73">
                  <c:v>0.464032576348757</c:v>
                </c:pt>
                <c:pt idx="74">
                  <c:v>0.47537301876661736</c:v>
                </c:pt>
                <c:pt idx="75">
                  <c:v>0.48666199152590067</c:v>
                </c:pt>
                <c:pt idx="76">
                  <c:v>0.49789995971626733</c:v>
                </c:pt>
                <c:pt idx="77">
                  <c:v>0.50908738215176319</c:v>
                </c:pt>
                <c:pt idx="78">
                  <c:v>0.52022471148321758</c:v>
                </c:pt>
                <c:pt idx="79">
                  <c:v>0.53131239430814048</c:v>
                </c:pt>
                <c:pt idx="80">
                  <c:v>0.54235087127817805</c:v>
                </c:pt>
                <c:pt idx="81">
                  <c:v>0.55334057720419316</c:v>
                </c:pt>
                <c:pt idx="82">
                  <c:v>0.56428194115903962</c:v>
                </c:pt>
                <c:pt idx="83">
                  <c:v>0.57517538657808154</c:v>
                </c:pt>
                <c:pt idx="84">
                  <c:v>0.58602133135752044</c:v>
                </c:pt>
                <c:pt idx="85">
                  <c:v>0.59682018795059355</c:v>
                </c:pt>
                <c:pt idx="86">
                  <c:v>0.6075723634616873</c:v>
                </c:pt>
                <c:pt idx="87">
                  <c:v>0.61827825973842576</c:v>
                </c:pt>
                <c:pt idx="88">
                  <c:v>0.62893827346179054</c:v>
                </c:pt>
                <c:pt idx="89">
                  <c:v>0.63955279623431194</c:v>
                </c:pt>
                <c:pt idx="90">
                  <c:v>0.65012221466639075</c:v>
                </c:pt>
                <c:pt idx="91">
                  <c:v>0.66064691046078927</c:v>
                </c:pt>
                <c:pt idx="92">
                  <c:v>0.67112726049534766</c:v>
                </c:pt>
                <c:pt idx="93">
                  <c:v>0.68156363690396204</c:v>
                </c:pt>
                <c:pt idx="94">
                  <c:v>0.69195640715586781</c:v>
                </c:pt>
                <c:pt idx="95">
                  <c:v>0.70230593413328146</c:v>
                </c:pt>
                <c:pt idx="96">
                  <c:v>0.71261257620742602</c:v>
                </c:pt>
                <c:pt idx="97">
                  <c:v>0.7228766873129906</c:v>
                </c:pt>
                <c:pt idx="98">
                  <c:v>0.7330986170210626</c:v>
                </c:pt>
                <c:pt idx="99">
                  <c:v>0.74327871061056283</c:v>
                </c:pt>
                <c:pt idx="100">
                  <c:v>0.75341730913822857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0.36969287608925783</c:v>
                </c:pt>
                <c:pt idx="1">
                  <c:v>0.37361619225401993</c:v>
                </c:pt>
                <c:pt idx="2">
                  <c:v>0.37742567783939462</c:v>
                </c:pt>
                <c:pt idx="3">
                  <c:v>0.38111964529735765</c:v>
                </c:pt>
                <c:pt idx="4">
                  <c:v>0.38469656232991573</c:v>
                </c:pt>
                <c:pt idx="5">
                  <c:v>0.38815503750362218</c:v>
                </c:pt>
                <c:pt idx="6">
                  <c:v>0.39149383815776601</c:v>
                </c:pt>
                <c:pt idx="7">
                  <c:v>0.39471186994651236</c:v>
                </c:pt>
                <c:pt idx="8">
                  <c:v>0.39780818947744001</c:v>
                </c:pt>
                <c:pt idx="9">
                  <c:v>0.40078199356678762</c:v>
                </c:pt>
                <c:pt idx="10">
                  <c:v>0.40363261668444056</c:v>
                </c:pt>
                <c:pt idx="11">
                  <c:v>0.40635953970172495</c:v>
                </c:pt>
                <c:pt idx="12">
                  <c:v>0.40896237565584215</c:v>
                </c:pt>
                <c:pt idx="13">
                  <c:v>0.41144087054860995</c:v>
                </c:pt>
                <c:pt idx="14">
                  <c:v>0.41379490203064984</c:v>
                </c:pt>
                <c:pt idx="15">
                  <c:v>0.41602447681479993</c:v>
                </c:pt>
                <c:pt idx="16">
                  <c:v>0.41812972631497058</c:v>
                </c:pt>
                <c:pt idx="17">
                  <c:v>0.42011090411905466</c:v>
                </c:pt>
                <c:pt idx="18">
                  <c:v>0.42196838041119916</c:v>
                </c:pt>
                <c:pt idx="19">
                  <c:v>0.42370264450066625</c:v>
                </c:pt>
                <c:pt idx="20">
                  <c:v>0.4253142922776344</c:v>
                </c:pt>
                <c:pt idx="21">
                  <c:v>0.4268040328255579</c:v>
                </c:pt>
                <c:pt idx="22">
                  <c:v>0.42817267963386541</c:v>
                </c:pt>
                <c:pt idx="23">
                  <c:v>0.42942114481350374</c:v>
                </c:pt>
                <c:pt idx="24">
                  <c:v>0.43055044011862537</c:v>
                </c:pt>
                <c:pt idx="25">
                  <c:v>0.4315616701284804</c:v>
                </c:pt>
                <c:pt idx="26">
                  <c:v>0.4324560297226322</c:v>
                </c:pt>
                <c:pt idx="27">
                  <c:v>0.43323480111809348</c:v>
                </c:pt>
                <c:pt idx="28">
                  <c:v>0.43389934804573915</c:v>
                </c:pt>
                <c:pt idx="29">
                  <c:v>0.43445111376583501</c:v>
                </c:pt>
                <c:pt idx="30">
                  <c:v>0.43489161708356</c:v>
                </c:pt>
                <c:pt idx="31">
                  <c:v>0.43522244507297669</c:v>
                </c:pt>
                <c:pt idx="32">
                  <c:v>0.43544525320194144</c:v>
                </c:pt>
                <c:pt idx="33">
                  <c:v>0.43556176375883121</c:v>
                </c:pt>
                <c:pt idx="34">
                  <c:v>0.43557375776129964</c:v>
                </c:pt>
                <c:pt idx="35">
                  <c:v>0.43548306931158848</c:v>
                </c:pt>
                <c:pt idx="36">
                  <c:v>0.43718334523007346</c:v>
                </c:pt>
                <c:pt idx="37">
                  <c:v>0.43468678089011747</c:v>
                </c:pt>
                <c:pt idx="38">
                  <c:v>0.43429019770854682</c:v>
                </c:pt>
                <c:pt idx="39">
                  <c:v>0.43379303034317074</c:v>
                </c:pt>
                <c:pt idx="40">
                  <c:v>0.4331973965526017</c:v>
                </c:pt>
                <c:pt idx="41">
                  <c:v>0.4325054274561756</c:v>
                </c:pt>
                <c:pt idx="42">
                  <c:v>0.43171926814606915</c:v>
                </c:pt>
                <c:pt idx="43">
                  <c:v>0.43084107170168617</c:v>
                </c:pt>
                <c:pt idx="44">
                  <c:v>0.42987299674515306</c:v>
                </c:pt>
                <c:pt idx="45">
                  <c:v>0.42881720935989098</c:v>
                </c:pt>
                <c:pt idx="46">
                  <c:v>0.4276758813168467</c:v>
                </c:pt>
                <c:pt idx="47">
                  <c:v>0.42645118348532507</c:v>
                </c:pt>
                <c:pt idx="48">
                  <c:v>0.42514528718539057</c:v>
                </c:pt>
                <c:pt idx="49">
                  <c:v>0.42376036565261238</c:v>
                </c:pt>
                <c:pt idx="50">
                  <c:v>0.42229858586786545</c:v>
                </c:pt>
                <c:pt idx="51">
                  <c:v>0.42076211171731576</c:v>
                </c:pt>
                <c:pt idx="52">
                  <c:v>0.41915310338181266</c:v>
                </c:pt>
                <c:pt idx="53">
                  <c:v>0.41747370722073257</c:v>
                </c:pt>
                <c:pt idx="54">
                  <c:v>0.4157260680955005</c:v>
                </c:pt>
                <c:pt idx="55">
                  <c:v>0.41391231530141698</c:v>
                </c:pt>
                <c:pt idx="56">
                  <c:v>0.41203456490521734</c:v>
                </c:pt>
                <c:pt idx="57">
                  <c:v>0.41009492582169199</c:v>
                </c:pt>
                <c:pt idx="58">
                  <c:v>0.40809548571995313</c:v>
                </c:pt>
                <c:pt idx="59">
                  <c:v>0.40603831871614421</c:v>
                </c:pt>
                <c:pt idx="60">
                  <c:v>0.40392548739438405</c:v>
                </c:pt>
                <c:pt idx="61">
                  <c:v>0.40175902367870348</c:v>
                </c:pt>
                <c:pt idx="62">
                  <c:v>0.39954095216408442</c:v>
                </c:pt>
                <c:pt idx="63">
                  <c:v>0.39727327324664452</c:v>
                </c:pt>
                <c:pt idx="64">
                  <c:v>0.39495796146165968</c:v>
                </c:pt>
                <c:pt idx="65">
                  <c:v>0.39259697400062771</c:v>
                </c:pt>
                <c:pt idx="66">
                  <c:v>0.39019224153848275</c:v>
                </c:pt>
                <c:pt idx="67">
                  <c:v>0.38774567931862713</c:v>
                </c:pt>
                <c:pt idx="68">
                  <c:v>0.38349105311506881</c:v>
                </c:pt>
                <c:pt idx="69">
                  <c:v>0.38297994644826905</c:v>
                </c:pt>
                <c:pt idx="70">
                  <c:v>0.38041919210937858</c:v>
                </c:pt>
                <c:pt idx="71">
                  <c:v>0.37782669037668121</c:v>
                </c:pt>
                <c:pt idx="72">
                  <c:v>0.37520408728850374</c:v>
                </c:pt>
                <c:pt idx="73">
                  <c:v>0.37255300661751278</c:v>
                </c:pt>
                <c:pt idx="74">
                  <c:v>0.36987505837079193</c:v>
                </c:pt>
                <c:pt idx="75">
                  <c:v>0.3671718268228113</c:v>
                </c:pt>
                <c:pt idx="76">
                  <c:v>0.36444487867512165</c:v>
                </c:pt>
                <c:pt idx="77">
                  <c:v>0.36169576005160775</c:v>
                </c:pt>
                <c:pt idx="78">
                  <c:v>0.35892598430299438</c:v>
                </c:pt>
                <c:pt idx="79">
                  <c:v>0.35613705187010697</c:v>
                </c:pt>
                <c:pt idx="80">
                  <c:v>0.35333042950733651</c:v>
                </c:pt>
                <c:pt idx="81">
                  <c:v>0.35050756264555694</c:v>
                </c:pt>
                <c:pt idx="82">
                  <c:v>0.3476698670166869</c:v>
                </c:pt>
                <c:pt idx="83">
                  <c:v>0.34481873440023009</c:v>
                </c:pt>
                <c:pt idx="84">
                  <c:v>0.34195552536698143</c:v>
                </c:pt>
                <c:pt idx="85">
                  <c:v>0.33908157402351036</c:v>
                </c:pt>
                <c:pt idx="86">
                  <c:v>0.33619818485848002</c:v>
                </c:pt>
                <c:pt idx="87">
                  <c:v>0.33330663533091198</c:v>
                </c:pt>
                <c:pt idx="88">
                  <c:v>0.33040817223673263</c:v>
                </c:pt>
                <c:pt idx="89">
                  <c:v>0.3275040131361871</c:v>
                </c:pt>
                <c:pt idx="90">
                  <c:v>0.32459534363354908</c:v>
                </c:pt>
                <c:pt idx="91">
                  <c:v>0.32168332694197588</c:v>
                </c:pt>
                <c:pt idx="92">
                  <c:v>0.31876908703050061</c:v>
                </c:pt>
                <c:pt idx="93">
                  <c:v>0.31585372466717454</c:v>
                </c:pt>
                <c:pt idx="94">
                  <c:v>0.3129383077977248</c:v>
                </c:pt>
                <c:pt idx="95">
                  <c:v>0.31002387625163913</c:v>
                </c:pt>
                <c:pt idx="96">
                  <c:v>0.30711144044501631</c:v>
                </c:pt>
                <c:pt idx="97">
                  <c:v>0.30420197967772095</c:v>
                </c:pt>
                <c:pt idx="98">
                  <c:v>0.3012964449460645</c:v>
                </c:pt>
                <c:pt idx="99">
                  <c:v>0.29839575784992362</c:v>
                </c:pt>
                <c:pt idx="100">
                  <c:v>0.29550081069822626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8B-478F-AE1D-5BFBFE51A3BB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8B-478F-AE1D-5BFBFE51A3BB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-0.54544143211628915</c:v>
                </c:pt>
                <c:pt idx="1">
                  <c:v>-0.61461852748456525</c:v>
                </c:pt>
                <c:pt idx="2">
                  <c:v>-0.68577473322534099</c:v>
                </c:pt>
                <c:pt idx="3">
                  <c:v>-0.75902663500578516</c:v>
                </c:pt>
                <c:pt idx="4">
                  <c:v>-0.83450143370790664</c:v>
                </c:pt>
                <c:pt idx="5">
                  <c:v>-0.91233827457149985</c:v>
                </c:pt>
                <c:pt idx="6">
                  <c:v>-0.99268979110743327</c:v>
                </c:pt>
                <c:pt idx="7">
                  <c:v>-1.0757239068205833</c:v>
                </c:pt>
                <c:pt idx="8">
                  <c:v>-1.1616259481929114</c:v>
                </c:pt>
                <c:pt idx="9">
                  <c:v>-1.2506011357698872</c:v>
                </c:pt>
                <c:pt idx="10">
                  <c:v>-1.3428775375641615</c:v>
                </c:pt>
                <c:pt idx="11">
                  <c:v>-1.4387095917196631</c:v>
                </c:pt>
                <c:pt idx="12">
                  <c:v>-1.5383823354017208</c:v>
                </c:pt>
                <c:pt idx="13">
                  <c:v>-1.6422165169374245</c:v>
                </c:pt>
                <c:pt idx="14">
                  <c:v>-1.750574822264835</c:v>
                </c:pt>
                <c:pt idx="15">
                  <c:v>-1.8638695204963891</c:v>
                </c:pt>
                <c:pt idx="16">
                  <c:v>-1.9825719353391869</c:v>
                </c:pt>
                <c:pt idx="17">
                  <c:v>-2.1072242919771225</c:v>
                </c:pt>
                <c:pt idx="18">
                  <c:v>-2.2384546922720112</c:v>
                </c:pt>
                <c:pt idx="19">
                  <c:v>-2.3769962651115857</c:v>
                </c:pt>
                <c:pt idx="20">
                  <c:v>-2.5237119716791714</c:v>
                </c:pt>
                <c:pt idx="21">
                  <c:v>-2.6796271959252334</c:v>
                </c:pt>
                <c:pt idx="22">
                  <c:v>-2.8459732498666126</c:v>
                </c:pt>
                <c:pt idx="23">
                  <c:v>-3.0242464971943432</c:v>
                </c:pt>
                <c:pt idx="24">
                  <c:v>-3.2162903475624818</c:v>
                </c:pt>
                <c:pt idx="25">
                  <c:v>-3.4244116348889091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0.36969287608925766</c:v>
                </c:pt>
                <c:pt idx="1">
                  <c:v>0.35181912648480385</c:v>
                </c:pt>
                <c:pt idx="2">
                  <c:v>0.33231601263585014</c:v>
                </c:pt>
                <c:pt idx="3">
                  <c:v>0.3113627623055169</c:v>
                </c:pt>
                <c:pt idx="4">
                  <c:v>0.28917873960077028</c:v>
                </c:pt>
                <c:pt idx="5">
                  <c:v>0.26602195209351204</c:v>
                </c:pt>
                <c:pt idx="6">
                  <c:v>0.24218582401150154</c:v>
                </c:pt>
                <c:pt idx="7">
                  <c:v>0.21799402264818379</c:v>
                </c:pt>
                <c:pt idx="8">
                  <c:v>0.1937931943155759</c:v>
                </c:pt>
                <c:pt idx="9">
                  <c:v>0.16994357053052461</c:v>
                </c:pt>
                <c:pt idx="10">
                  <c:v>0.14680754820945055</c:v>
                </c:pt>
                <c:pt idx="11">
                  <c:v>0.12473652973831691</c:v>
                </c:pt>
                <c:pt idx="12">
                  <c:v>0.10405652514942211</c:v>
                </c:pt>
                <c:pt idx="13">
                  <c:v>8.5053257374887364E-2</c:v>
                </c:pt>
                <c:pt idx="14">
                  <c:v>6.7957751594044477E-2</c:v>
                </c:pt>
                <c:pt idx="15">
                  <c:v>5.2933599230281084E-2</c:v>
                </c:pt>
                <c:pt idx="16">
                  <c:v>4.0067223490648021E-2</c:v>
                </c:pt>
                <c:pt idx="17">
                  <c:v>2.9362485124611808E-2</c:v>
                </c:pt>
                <c:pt idx="18">
                  <c:v>2.0740800350650349E-2</c:v>
                </c:pt>
                <c:pt idx="19">
                  <c:v>1.4047552127264495E-2</c:v>
                </c:pt>
                <c:pt idx="20">
                  <c:v>9.0649406978959221E-3</c:v>
                </c:pt>
                <c:pt idx="21">
                  <c:v>5.5305654591756006E-3</c:v>
                </c:pt>
                <c:pt idx="22">
                  <c:v>3.1600514539300252E-3</c:v>
                </c:pt>
                <c:pt idx="23">
                  <c:v>1.6711054060881551E-3</c:v>
                </c:pt>
                <c:pt idx="24">
                  <c:v>8.0575704090578564E-4</c:v>
                </c:pt>
                <c:pt idx="25">
                  <c:v>3.4748879708634915E-4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8B-478F-AE1D-5BFBFE51A3BB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0.75341730913822857</c:v>
                </c:pt>
                <c:pt idx="1">
                  <c:v>0.83307186166680502</c:v>
                </c:pt>
                <c:pt idx="2">
                  <c:v>0.91025450601234503</c:v>
                </c:pt>
                <c:pt idx="3">
                  <c:v>0.98511405636274163</c:v>
                </c:pt>
                <c:pt idx="4">
                  <c:v>1.057786280266811</c:v>
                </c:pt>
                <c:pt idx="5">
                  <c:v>1.1283953805077824</c:v>
                </c:pt>
                <c:pt idx="6">
                  <c:v>1.1970552723790011</c:v>
                </c:pt>
                <c:pt idx="7">
                  <c:v>1.2638706893507869</c:v>
                </c:pt>
                <c:pt idx="8">
                  <c:v>1.3289381440738446</c:v>
                </c:pt>
                <c:pt idx="9">
                  <c:v>1.3923467668542493</c:v>
                </c:pt>
                <c:pt idx="10">
                  <c:v>1.4541790398817005</c:v>
                </c:pt>
                <c:pt idx="11">
                  <c:v>1.5145114423875059</c:v>
                </c:pt>
                <c:pt idx="12">
                  <c:v>1.5734150193920307</c:v>
                </c:pt>
                <c:pt idx="13">
                  <c:v>1.6309558846505932</c:v>
                </c:pt>
                <c:pt idx="14">
                  <c:v>1.6871956667271202</c:v>
                </c:pt>
                <c:pt idx="15">
                  <c:v>1.7421919057424071</c:v>
                </c:pt>
                <c:pt idx="16">
                  <c:v>1.7959984072007227</c:v>
                </c:pt>
                <c:pt idx="17">
                  <c:v>1.8486655583490406</c:v>
                </c:pt>
                <c:pt idx="18">
                  <c:v>1.9002406117313306</c:v>
                </c:pt>
                <c:pt idx="19">
                  <c:v>1.950767939937158</c:v>
                </c:pt>
                <c:pt idx="20">
                  <c:v>2.0002892649863533</c:v>
                </c:pt>
                <c:pt idx="21">
                  <c:v>2.0488438653211021</c:v>
                </c:pt>
                <c:pt idx="22">
                  <c:v>2.096468762978458</c:v>
                </c:pt>
                <c:pt idx="23">
                  <c:v>2.1431988931778299</c:v>
                </c:pt>
                <c:pt idx="24">
                  <c:v>2.189067258269497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0.2955008106982262</c:v>
                </c:pt>
                <c:pt idx="1">
                  <c:v>0.27606181090371795</c:v>
                </c:pt>
                <c:pt idx="2">
                  <c:v>0.25680645278730491</c:v>
                </c:pt>
                <c:pt idx="3">
                  <c:v>0.23798561864225712</c:v>
                </c:pt>
                <c:pt idx="4">
                  <c:v>0.21979218796597066</c:v>
                </c:pt>
                <c:pt idx="5">
                  <c:v>0.20236868846196168</c:v>
                </c:pt>
                <c:pt idx="6">
                  <c:v>0.18581479486816826</c:v>
                </c:pt>
                <c:pt idx="7">
                  <c:v>0.17019438415152977</c:v>
                </c:pt>
                <c:pt idx="8">
                  <c:v>0.1555419742020285</c:v>
                </c:pt>
                <c:pt idx="9">
                  <c:v>0.14186846011749182</c:v>
                </c:pt>
                <c:pt idx="10">
                  <c:v>0.12916612361968394</c:v>
                </c:pt>
                <c:pt idx="11">
                  <c:v>0.11741293265105372</c:v>
                </c:pt>
                <c:pt idx="12">
                  <c:v>0.10657617458218074</c:v>
                </c:pt>
                <c:pt idx="13">
                  <c:v>9.6615481665487751E-2</c:v>
                </c:pt>
                <c:pt idx="14">
                  <c:v>8.7485314583458262E-2</c:v>
                </c:pt>
                <c:pt idx="15">
                  <c:v>7.9136971616779905E-2</c:v>
                </c:pt>
                <c:pt idx="16">
                  <c:v>7.1520188977201291E-2</c:v>
                </c:pt>
                <c:pt idx="17">
                  <c:v>6.4584393599908543E-2</c:v>
                </c:pt>
                <c:pt idx="18">
                  <c:v>5.8279664167136473E-2</c:v>
                </c:pt>
                <c:pt idx="19">
                  <c:v>5.2557450053006376E-2</c:v>
                </c:pt>
                <c:pt idx="20">
                  <c:v>4.7371091707380422E-2</c:v>
                </c:pt>
                <c:pt idx="21">
                  <c:v>4.2676180053905277E-2</c:v>
                </c:pt>
                <c:pt idx="22">
                  <c:v>3.843078694420022E-2</c:v>
                </c:pt>
                <c:pt idx="23">
                  <c:v>3.4595593693572388E-2</c:v>
                </c:pt>
                <c:pt idx="24">
                  <c:v>3.1133940261681457E-2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8B-478F-AE1D-5BFBFE51A3BB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-0.54544143211628915</c:v>
                </c:pt>
                <c:pt idx="1">
                  <c:v>-0.52844364800584964</c:v>
                </c:pt>
                <c:pt idx="2">
                  <c:v>-0.51156123435966039</c:v>
                </c:pt>
                <c:pt idx="3">
                  <c:v>-0.49479263560310494</c:v>
                </c:pt>
                <c:pt idx="4">
                  <c:v>-0.47813632741242207</c:v>
                </c:pt>
                <c:pt idx="5">
                  <c:v>-0.46159081588318018</c:v>
                </c:pt>
                <c:pt idx="6">
                  <c:v>-0.44515463672622957</c:v>
                </c:pt>
                <c:pt idx="7">
                  <c:v>-0.42882635449004325</c:v>
                </c:pt>
                <c:pt idx="8">
                  <c:v>-0.41260456180841665</c:v>
                </c:pt>
                <c:pt idx="9">
                  <c:v>-0.39648787867254365</c:v>
                </c:pt>
                <c:pt idx="10">
                  <c:v>-0.38047495172651885</c:v>
                </c:pt>
                <c:pt idx="11">
                  <c:v>-0.36456445358537831</c:v>
                </c:pt>
                <c:pt idx="12">
                  <c:v>-0.34875508217480855</c:v>
                </c:pt>
                <c:pt idx="13">
                  <c:v>-0.33304556009170816</c:v>
                </c:pt>
                <c:pt idx="14">
                  <c:v>-0.31743463398481842</c:v>
                </c:pt>
                <c:pt idx="15">
                  <c:v>-0.30192107395466539</c:v>
                </c:pt>
                <c:pt idx="16">
                  <c:v>-0.28650367297210327</c:v>
                </c:pt>
                <c:pt idx="17">
                  <c:v>-0.27118124631476431</c:v>
                </c:pt>
                <c:pt idx="18">
                  <c:v>-0.25595263102076127</c:v>
                </c:pt>
                <c:pt idx="19">
                  <c:v>-0.24081668535901402</c:v>
                </c:pt>
                <c:pt idx="20">
                  <c:v>-0.22577228831559079</c:v>
                </c:pt>
                <c:pt idx="21">
                  <c:v>-0.21081833909549472</c:v>
                </c:pt>
                <c:pt idx="22">
                  <c:v>-0.19595375663933454</c:v>
                </c:pt>
                <c:pt idx="23">
                  <c:v>-0.18117747915435156</c:v>
                </c:pt>
                <c:pt idx="24">
                  <c:v>-0.16648846365929823</c:v>
                </c:pt>
                <c:pt idx="25">
                  <c:v>-0.15188568554267132</c:v>
                </c:pt>
                <c:pt idx="26">
                  <c:v>-0.13736813813384244</c:v>
                </c:pt>
                <c:pt idx="27">
                  <c:v>-0.12293483228662846</c:v>
                </c:pt>
                <c:pt idx="28">
                  <c:v>-0.10858479597487485</c:v>
                </c:pt>
                <c:pt idx="29">
                  <c:v>-9.431707389964078E-2</c:v>
                </c:pt>
                <c:pt idx="30">
                  <c:v>-8.0130727107582095E-2</c:v>
                </c:pt>
                <c:pt idx="31">
                  <c:v>-6.6024832620159971E-2</c:v>
                </c:pt>
                <c:pt idx="32">
                  <c:v>-5.1998483073300981E-2</c:v>
                </c:pt>
                <c:pt idx="33">
                  <c:v>-3.8050786367160729E-2</c:v>
                </c:pt>
                <c:pt idx="34">
                  <c:v>-2.4180865325655315E-2</c:v>
                </c:pt>
                <c:pt idx="35">
                  <c:v>-1.0387857365428653E-2</c:v>
                </c:pt>
                <c:pt idx="36">
                  <c:v>3.3290858260481295E-3</c:v>
                </c:pt>
                <c:pt idx="37">
                  <c:v>1.6970798603552596E-2</c:v>
                </c:pt>
                <c:pt idx="38">
                  <c:v>3.0538101668648419E-2</c:v>
                </c:pt>
                <c:pt idx="39">
                  <c:v>4.4031802365959764E-2</c:v>
                </c:pt>
                <c:pt idx="40">
                  <c:v>5.7452694971454756E-2</c:v>
                </c:pt>
                <c:pt idx="41">
                  <c:v>7.0801560972993491E-2</c:v>
                </c:pt>
                <c:pt idx="42">
                  <c:v>8.4079169343384857E-2</c:v>
                </c:pt>
                <c:pt idx="43">
                  <c:v>9.7286276806198529E-2</c:v>
                </c:pt>
                <c:pt idx="44">
                  <c:v>0.11042362809455268</c:v>
                </c:pt>
                <c:pt idx="45">
                  <c:v>0.1234919562031062</c:v>
                </c:pt>
                <c:pt idx="46">
                  <c:v>0.13649198263346576</c:v>
                </c:pt>
                <c:pt idx="47">
                  <c:v>0.14942441763321015</c:v>
                </c:pt>
                <c:pt idx="48">
                  <c:v>0.16228996042873711</c:v>
                </c:pt>
                <c:pt idx="49">
                  <c:v>0.1750892994521149</c:v>
                </c:pt>
                <c:pt idx="50">
                  <c:v>0.18782311256213008</c:v>
                </c:pt>
                <c:pt idx="51">
                  <c:v>0.20049206725970534</c:v>
                </c:pt>
                <c:pt idx="52">
                  <c:v>0.21309682089785661</c:v>
                </c:pt>
                <c:pt idx="53">
                  <c:v>0.22563802088636153</c:v>
                </c:pt>
                <c:pt idx="54">
                  <c:v>0.23811630489128804</c:v>
                </c:pt>
                <c:pt idx="55">
                  <c:v>0.25053230102954982</c:v>
                </c:pt>
                <c:pt idx="56">
                  <c:v>0.26288662805862451</c:v>
                </c:pt>
                <c:pt idx="57">
                  <c:v>0.27517989556158678</c:v>
                </c:pt>
                <c:pt idx="58">
                  <c:v>0.28741270412758796</c:v>
                </c:pt>
                <c:pt idx="59">
                  <c:v>0.29958564552792466</c:v>
                </c:pt>
                <c:pt idx="60">
                  <c:v>0.31169930288781555</c:v>
                </c:pt>
                <c:pt idx="61">
                  <c:v>0.32375425085401521</c:v>
                </c:pt>
                <c:pt idx="62">
                  <c:v>0.33575105575839026</c:v>
                </c:pt>
                <c:pt idx="63">
                  <c:v>0.34769027577756523</c:v>
                </c:pt>
                <c:pt idx="64">
                  <c:v>0.35957246108875562</c:v>
                </c:pt>
                <c:pt idx="65">
                  <c:v>0.37139815402190007</c:v>
                </c:pt>
                <c:pt idx="66">
                  <c:v>0.38316788920818895</c:v>
                </c:pt>
                <c:pt idx="67">
                  <c:v>0.39488219372509792</c:v>
                </c:pt>
                <c:pt idx="68">
                  <c:v>0.40654158723801953</c:v>
                </c:pt>
                <c:pt idx="69">
                  <c:v>0.41814658213859551</c:v>
                </c:pt>
                <c:pt idx="70">
                  <c:v>0.42969768367983274</c:v>
                </c:pt>
                <c:pt idx="71">
                  <c:v>0.441195390108096</c:v>
                </c:pt>
                <c:pt idx="72">
                  <c:v>0.45264019279206896</c:v>
                </c:pt>
                <c:pt idx="73">
                  <c:v>0.464032576348757</c:v>
                </c:pt>
                <c:pt idx="74">
                  <c:v>0.47537301876661736</c:v>
                </c:pt>
                <c:pt idx="75">
                  <c:v>0.48666199152590067</c:v>
                </c:pt>
                <c:pt idx="76">
                  <c:v>0.49789995971626733</c:v>
                </c:pt>
                <c:pt idx="77">
                  <c:v>0.50908738215176319</c:v>
                </c:pt>
                <c:pt idx="78">
                  <c:v>0.52022471148321758</c:v>
                </c:pt>
                <c:pt idx="79">
                  <c:v>0.53131239430814048</c:v>
                </c:pt>
                <c:pt idx="80">
                  <c:v>0.54235087127817805</c:v>
                </c:pt>
                <c:pt idx="81">
                  <c:v>0.55334057720419316</c:v>
                </c:pt>
                <c:pt idx="82">
                  <c:v>0.56428194115903962</c:v>
                </c:pt>
                <c:pt idx="83">
                  <c:v>0.57517538657808154</c:v>
                </c:pt>
                <c:pt idx="84">
                  <c:v>0.58602133135752044</c:v>
                </c:pt>
                <c:pt idx="85">
                  <c:v>0.59682018795059355</c:v>
                </c:pt>
                <c:pt idx="86">
                  <c:v>0.6075723634616873</c:v>
                </c:pt>
                <c:pt idx="87">
                  <c:v>0.61827825973842576</c:v>
                </c:pt>
                <c:pt idx="88">
                  <c:v>0.62893827346179054</c:v>
                </c:pt>
                <c:pt idx="89">
                  <c:v>0.63955279623431194</c:v>
                </c:pt>
                <c:pt idx="90">
                  <c:v>0.65012221466639075</c:v>
                </c:pt>
                <c:pt idx="91">
                  <c:v>0.66064691046078927</c:v>
                </c:pt>
                <c:pt idx="92">
                  <c:v>0.67112726049534766</c:v>
                </c:pt>
                <c:pt idx="93">
                  <c:v>0.68156363690396204</c:v>
                </c:pt>
                <c:pt idx="94">
                  <c:v>0.69195640715586781</c:v>
                </c:pt>
                <c:pt idx="95">
                  <c:v>0.70230593413328146</c:v>
                </c:pt>
                <c:pt idx="96">
                  <c:v>0.71261257620742602</c:v>
                </c:pt>
                <c:pt idx="97">
                  <c:v>0.7228766873129906</c:v>
                </c:pt>
                <c:pt idx="98">
                  <c:v>0.7330986170210626</c:v>
                </c:pt>
                <c:pt idx="99">
                  <c:v>0.74327871061056283</c:v>
                </c:pt>
                <c:pt idx="100">
                  <c:v>0.75341730913822857</c:v>
                </c:pt>
              </c:numCache>
            </c:numRef>
          </c:xVal>
          <c:yVal>
            <c:numRef>
              <c:f>Shimko!$BM$13:$BM$113</c:f>
              <c:numCache>
                <c:formatCode>0.000</c:formatCode>
                <c:ptCount val="101"/>
                <c:pt idx="0">
                  <c:v>0.34357315451846254</c:v>
                </c:pt>
                <c:pt idx="1">
                  <c:v>0.34680290896311106</c:v>
                </c:pt>
                <c:pt idx="2">
                  <c:v>0.34994034073879987</c:v>
                </c:pt>
                <c:pt idx="3">
                  <c:v>0.35298475508466537</c:v>
                </c:pt>
                <c:pt idx="4">
                  <c:v>0.35593555207180294</c:v>
                </c:pt>
                <c:pt idx="5">
                  <c:v>0.35879223150006467</c:v>
                </c:pt>
                <c:pt idx="6">
                  <c:v>0.36155438202561324</c:v>
                </c:pt>
                <c:pt idx="7">
                  <c:v>0.36422168856950665</c:v>
                </c:pt>
                <c:pt idx="8">
                  <c:v>0.36679392307948366</c:v>
                </c:pt>
                <c:pt idx="9">
                  <c:v>0.36927094132792748</c:v>
                </c:pt>
                <c:pt idx="10">
                  <c:v>0.3716526909225456</c:v>
                </c:pt>
                <c:pt idx="11">
                  <c:v>0.37393919562005196</c:v>
                </c:pt>
                <c:pt idx="12">
                  <c:v>0.37613056174993009</c:v>
                </c:pt>
                <c:pt idx="13">
                  <c:v>0.37822697313355241</c:v>
                </c:pt>
                <c:pt idx="14">
                  <c:v>0.38022869150573613</c:v>
                </c:pt>
                <c:pt idx="15">
                  <c:v>0.38213604730549866</c:v>
                </c:pt>
                <c:pt idx="16">
                  <c:v>0.38394944073902226</c:v>
                </c:pt>
                <c:pt idx="17">
                  <c:v>0.38566934671210618</c:v>
                </c:pt>
                <c:pt idx="18">
                  <c:v>0.3872962997818945</c:v>
                </c:pt>
                <c:pt idx="19">
                  <c:v>0.38883090430309813</c:v>
                </c:pt>
                <c:pt idx="20">
                  <c:v>0.39027381623473606</c:v>
                </c:pt>
                <c:pt idx="21">
                  <c:v>0.39162575849439024</c:v>
                </c:pt>
                <c:pt idx="22">
                  <c:v>0.39288750812514517</c:v>
                </c:pt>
                <c:pt idx="23">
                  <c:v>0.39405989756504206</c:v>
                </c:pt>
                <c:pt idx="24">
                  <c:v>0.3951438080183578</c:v>
                </c:pt>
                <c:pt idx="25">
                  <c:v>0.39614017264242873</c:v>
                </c:pt>
                <c:pt idx="26">
                  <c:v>0.39704997362432121</c:v>
                </c:pt>
                <c:pt idx="27">
                  <c:v>0.39787423795578986</c:v>
                </c:pt>
                <c:pt idx="28">
                  <c:v>0.39861403021457115</c:v>
                </c:pt>
                <c:pt idx="29">
                  <c:v>0.39927046345498829</c:v>
                </c:pt>
                <c:pt idx="30">
                  <c:v>0.39984468834610615</c:v>
                </c:pt>
                <c:pt idx="31">
                  <c:v>0.4120823765226197</c:v>
                </c:pt>
                <c:pt idx="32">
                  <c:v>0.41203042481936569</c:v>
                </c:pt>
                <c:pt idx="33">
                  <c:v>0.41189309850859485</c:v>
                </c:pt>
                <c:pt idx="34">
                  <c:v>0.41167225492762788</c:v>
                </c:pt>
                <c:pt idx="35">
                  <c:v>0.41136977035141647</c:v>
                </c:pt>
                <c:pt idx="36">
                  <c:v>0.40875801977247717</c:v>
                </c:pt>
                <c:pt idx="37">
                  <c:v>0.41021821528570951</c:v>
                </c:pt>
                <c:pt idx="38">
                  <c:v>0.40967231122962694</c:v>
                </c:pt>
                <c:pt idx="39">
                  <c:v>0.40904688634817071</c:v>
                </c:pt>
                <c:pt idx="40">
                  <c:v>0.4083439280385624</c:v>
                </c:pt>
                <c:pt idx="41">
                  <c:v>0.40756540386737755</c:v>
                </c:pt>
                <c:pt idx="42">
                  <c:v>0.40671327194443607</c:v>
                </c:pt>
                <c:pt idx="43">
                  <c:v>0.40578946672299193</c:v>
                </c:pt>
                <c:pt idx="44">
                  <c:v>0.40479590872641691</c:v>
                </c:pt>
                <c:pt idx="45">
                  <c:v>0.40373449967035752</c:v>
                </c:pt>
                <c:pt idx="46">
                  <c:v>0.40260712216270866</c:v>
                </c:pt>
                <c:pt idx="47">
                  <c:v>0.40141563516773915</c:v>
                </c:pt>
                <c:pt idx="48">
                  <c:v>0.40016188462701541</c:v>
                </c:pt>
                <c:pt idx="49">
                  <c:v>0.3988476895543675</c:v>
                </c:pt>
                <c:pt idx="50">
                  <c:v>0.39747485325150017</c:v>
                </c:pt>
                <c:pt idx="51">
                  <c:v>5.6127776445934634</c:v>
                </c:pt>
                <c:pt idx="52">
                  <c:v>0.39863894590731974</c:v>
                </c:pt>
                <c:pt idx="53">
                  <c:v>0.39668351440199973</c:v>
                </c:pt>
                <c:pt idx="54">
                  <c:v>0.39467910275613738</c:v>
                </c:pt>
                <c:pt idx="55">
                  <c:v>0.39262771062647728</c:v>
                </c:pt>
                <c:pt idx="56">
                  <c:v>0.39053130389842905</c:v>
                </c:pt>
                <c:pt idx="57">
                  <c:v>0.38839180669960588</c:v>
                </c:pt>
                <c:pt idx="58">
                  <c:v>0.38621110844767215</c:v>
                </c:pt>
                <c:pt idx="59">
                  <c:v>0.38399106395812688</c:v>
                </c:pt>
                <c:pt idx="60">
                  <c:v>0.38173348272135144</c:v>
                </c:pt>
                <c:pt idx="61">
                  <c:v>0.37944014179938601</c:v>
                </c:pt>
                <c:pt idx="62">
                  <c:v>0.37711278062400655</c:v>
                </c:pt>
                <c:pt idx="63">
                  <c:v>0.37475309986601957</c:v>
                </c:pt>
                <c:pt idx="64">
                  <c:v>0.37236276315287625</c:v>
                </c:pt>
                <c:pt idx="65">
                  <c:v>0.36994339586252251</c:v>
                </c:pt>
                <c:pt idx="66">
                  <c:v>0.3674965906061029</c:v>
                </c:pt>
                <c:pt idx="67">
                  <c:v>0.36502389945051927</c:v>
                </c:pt>
                <c:pt idx="68">
                  <c:v>0.36075561675026491</c:v>
                </c:pt>
                <c:pt idx="69">
                  <c:v>0.36025464775929228</c:v>
                </c:pt>
                <c:pt idx="70">
                  <c:v>0.35771382836566629</c:v>
                </c:pt>
                <c:pt idx="71">
                  <c:v>0.35515576969936052</c:v>
                </c:pt>
                <c:pt idx="72">
                  <c:v>0.35262995639483319</c:v>
                </c:pt>
                <c:pt idx="73">
                  <c:v>0.35005869724014216</c:v>
                </c:pt>
                <c:pt idx="74">
                  <c:v>0.34747357500378939</c:v>
                </c:pt>
                <c:pt idx="75">
                  <c:v>0.34487576286250676</c:v>
                </c:pt>
                <c:pt idx="76">
                  <c:v>0.34226641420562604</c:v>
                </c:pt>
                <c:pt idx="77">
                  <c:v>0.33964665260231569</c:v>
                </c:pt>
                <c:pt idx="78">
                  <c:v>0.33701758357505018</c:v>
                </c:pt>
                <c:pt idx="79">
                  <c:v>0.33438028198792069</c:v>
                </c:pt>
                <c:pt idx="80">
                  <c:v>0.33173579601439163</c:v>
                </c:pt>
                <c:pt idx="81">
                  <c:v>0.32908515333976135</c:v>
                </c:pt>
                <c:pt idx="82">
                  <c:v>0.32642934910142579</c:v>
                </c:pt>
                <c:pt idx="83">
                  <c:v>0.32376935574240867</c:v>
                </c:pt>
                <c:pt idx="84">
                  <c:v>0.32110612304327335</c:v>
                </c:pt>
                <c:pt idx="85">
                  <c:v>0.31844056823672934</c:v>
                </c:pt>
                <c:pt idx="86">
                  <c:v>0.31577358802173794</c:v>
                </c:pt>
                <c:pt idx="87">
                  <c:v>0.31310605301496119</c:v>
                </c:pt>
                <c:pt idx="88">
                  <c:v>0.31043880364031218</c:v>
                </c:pt>
                <c:pt idx="89">
                  <c:v>0.30777266348909782</c:v>
                </c:pt>
                <c:pt idx="90">
                  <c:v>0.30510842482836914</c:v>
                </c:pt>
                <c:pt idx="91">
                  <c:v>0.30244685643081781</c:v>
                </c:pt>
                <c:pt idx="92">
                  <c:v>0.29978870464270974</c:v>
                </c:pt>
                <c:pt idx="93">
                  <c:v>0.30267927512373488</c:v>
                </c:pt>
                <c:pt idx="94">
                  <c:v>0.30029557094485004</c:v>
                </c:pt>
                <c:pt idx="95">
                  <c:v>0.29791055765005892</c:v>
                </c:pt>
                <c:pt idx="96">
                  <c:v>0.29552490483449173</c:v>
                </c:pt>
                <c:pt idx="97">
                  <c:v>0.29313925932743223</c:v>
                </c:pt>
                <c:pt idx="98">
                  <c:v>0.29075425025990104</c:v>
                </c:pt>
                <c:pt idx="99">
                  <c:v>0.28837049239780738</c:v>
                </c:pt>
                <c:pt idx="100">
                  <c:v>0.28598858125458632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8B-478F-AE1D-5BFBFE51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2328"/>
        <c:axId val="1"/>
      </c:scatterChart>
      <c:valAx>
        <c:axId val="15244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5284697508896787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1675392670157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42328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28558718861209959"/>
          <c:y val="0.95942408376963362"/>
          <c:w val="0.4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6" fmlaLink="$W$6" fmlaRange="$W$2:$W$5" noThreeD="1" sel="1" val="0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76200</xdr:rowOff>
    </xdr:from>
    <xdr:to>
      <xdr:col>7</xdr:col>
      <xdr:colOff>327660</xdr:colOff>
      <xdr:row>25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350520</xdr:colOff>
          <xdr:row>3</xdr:row>
          <xdr:rowOff>7620</xdr:rowOff>
        </xdr:from>
        <xdr:to>
          <xdr:col>15</xdr:col>
          <xdr:colOff>160020</xdr:colOff>
          <xdr:row>5</xdr:row>
          <xdr:rowOff>7620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22860</xdr:rowOff>
        </xdr:from>
        <xdr:to>
          <xdr:col>5</xdr:col>
          <xdr:colOff>556260</xdr:colOff>
          <xdr:row>4</xdr:row>
          <xdr:rowOff>60960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342900</xdr:colOff>
          <xdr:row>0</xdr:row>
          <xdr:rowOff>160020</xdr:rowOff>
        </xdr:from>
        <xdr:to>
          <xdr:col>15</xdr:col>
          <xdr:colOff>152400</xdr:colOff>
          <xdr:row>2</xdr:row>
          <xdr:rowOff>91440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ENA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0.431</cdr:x>
      <cdr:y>0.163</cdr:y>
    </cdr:from>
    <cdr:to>
      <cdr:x>0.60975</cdr:x>
      <cdr:y>0.197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691463" y="948934"/>
          <a:ext cx="1530973" cy="197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B4CB5D30-54A5-4D56-A75D-B4FA7A296A1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I4" sqref="I4"/>
    </sheetView>
  </sheetViews>
  <sheetFormatPr defaultRowHeight="13.2" x14ac:dyDescent="0.25"/>
  <cols>
    <col min="1" max="1" width="4.109375" customWidth="1"/>
    <col min="3" max="3" width="10.44140625" customWidth="1"/>
    <col min="12" max="12" width="10.109375" customWidth="1"/>
    <col min="15" max="15" width="2.33203125" customWidth="1"/>
  </cols>
  <sheetData>
    <row r="1" spans="1:33" ht="17.399999999999999" x14ac:dyDescent="0.3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4"/>
      <c r="M1" s="1"/>
      <c r="N1" s="1"/>
      <c r="O1" s="11"/>
      <c r="P1" s="1"/>
      <c r="R1" t="str">
        <f>TEXT(Contract,"mmm-yy") &amp; IF(Commodity="NG"," Natural Gas"," Nymex") &amp; " Price Distributions"</f>
        <v>Dec-01 Natural Gas Price Distributions</v>
      </c>
    </row>
    <row r="2" spans="1:33" x14ac:dyDescent="0.25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VLOOKUP(0.001,ImpVolTable,2)</f>
        <v>0.59457000000000004</v>
      </c>
      <c r="L2" s="16"/>
      <c r="M2" s="1"/>
      <c r="N2" s="1"/>
      <c r="O2" s="11"/>
      <c r="P2" s="1"/>
      <c r="Q2" s="65"/>
      <c r="R2" t="str">
        <f>INDEX(W2:W5,W6,0) &amp; "-order polynomial"</f>
        <v>Second-order polynomial</v>
      </c>
      <c r="W2" t="s">
        <v>13</v>
      </c>
    </row>
    <row r="3" spans="1:33" ht="13.8" x14ac:dyDescent="0.25">
      <c r="A3" s="1"/>
      <c r="B3" s="68" t="s">
        <v>2</v>
      </c>
      <c r="C3" s="25">
        <v>37055</v>
      </c>
      <c r="D3" s="11"/>
      <c r="E3" s="26" t="s">
        <v>11</v>
      </c>
      <c r="F3" s="11"/>
      <c r="G3" s="11"/>
      <c r="H3" s="27"/>
      <c r="I3" s="13"/>
      <c r="J3" s="15" t="s">
        <v>60</v>
      </c>
      <c r="K3" s="16">
        <v>0.59499999999999997</v>
      </c>
      <c r="L3" s="16"/>
      <c r="M3" s="1"/>
      <c r="N3" s="1"/>
      <c r="O3" s="11"/>
      <c r="P3" s="11"/>
      <c r="W3" t="s">
        <v>14</v>
      </c>
    </row>
    <row r="4" spans="1:33" x14ac:dyDescent="0.25">
      <c r="A4" s="1"/>
      <c r="B4" s="68" t="s">
        <v>3</v>
      </c>
      <c r="C4" s="25">
        <f>VLOOKUP(Contract,ExpiryTable,MATCH(Commodity,expiry!C2:E2)+2)</f>
        <v>37222</v>
      </c>
      <c r="D4" s="11"/>
      <c r="E4" s="11"/>
      <c r="F4" s="11"/>
      <c r="G4" s="11"/>
      <c r="H4" s="28"/>
      <c r="I4" s="13"/>
      <c r="J4" s="68" t="s">
        <v>58</v>
      </c>
      <c r="K4" s="72" t="s">
        <v>55</v>
      </c>
      <c r="L4" s="16"/>
      <c r="M4" s="1"/>
      <c r="N4" s="1"/>
      <c r="O4" s="11"/>
      <c r="P4" s="11"/>
      <c r="W4" t="s">
        <v>15</v>
      </c>
    </row>
    <row r="5" spans="1:33" x14ac:dyDescent="0.25">
      <c r="A5" s="1"/>
      <c r="B5" s="68" t="s">
        <v>4</v>
      </c>
      <c r="C5" s="108">
        <v>4.7249999999999996</v>
      </c>
      <c r="D5" s="11"/>
      <c r="E5" s="11"/>
      <c r="F5" s="11"/>
      <c r="G5" s="11"/>
      <c r="H5" s="29"/>
      <c r="I5" s="17"/>
      <c r="J5" s="69" t="s">
        <v>53</v>
      </c>
      <c r="K5" s="73">
        <v>37226</v>
      </c>
      <c r="L5" s="16"/>
      <c r="M5" s="11"/>
      <c r="N5" s="11"/>
      <c r="O5" s="1"/>
      <c r="P5" s="11"/>
      <c r="W5" t="s">
        <v>31</v>
      </c>
    </row>
    <row r="6" spans="1:33" x14ac:dyDescent="0.25">
      <c r="A6" s="1"/>
      <c r="B6" s="68" t="s">
        <v>5</v>
      </c>
      <c r="C6" s="30">
        <v>3.9300000000000002E-2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V6">
        <v>1</v>
      </c>
      <c r="W6">
        <v>1</v>
      </c>
      <c r="X6">
        <v>1</v>
      </c>
    </row>
    <row r="7" spans="1:33" x14ac:dyDescent="0.25">
      <c r="A7" s="1"/>
      <c r="B7" s="70" t="s">
        <v>33</v>
      </c>
      <c r="C7" s="30">
        <f>+IntRate</f>
        <v>3.9300000000000002E-2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2</v>
      </c>
    </row>
    <row r="8" spans="1:33" ht="26.4" x14ac:dyDescent="0.25">
      <c r="A8" s="1"/>
      <c r="B8" s="4" t="s">
        <v>10</v>
      </c>
      <c r="C8" s="5"/>
      <c r="D8" s="5"/>
      <c r="E8" s="5"/>
      <c r="F8" s="5"/>
      <c r="G8" s="6"/>
      <c r="H8" s="3"/>
      <c r="I8" s="18" t="s">
        <v>1</v>
      </c>
      <c r="J8" s="18" t="s">
        <v>0</v>
      </c>
      <c r="K8" s="18" t="s">
        <v>6</v>
      </c>
      <c r="L8" s="18" t="s">
        <v>4</v>
      </c>
      <c r="M8" s="19" t="s">
        <v>7</v>
      </c>
      <c r="N8" s="19" t="s">
        <v>8</v>
      </c>
      <c r="O8" s="11"/>
      <c r="P8" s="1"/>
    </row>
    <row r="9" spans="1:33" x14ac:dyDescent="0.25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20">
        <v>0.75</v>
      </c>
      <c r="J9" s="20">
        <v>4.7</v>
      </c>
      <c r="K9" s="20">
        <v>1</v>
      </c>
      <c r="L9" s="20">
        <f t="shared" ref="L9:L14" si="0">+UnderlyingPrice</f>
        <v>4.7249999999999996</v>
      </c>
      <c r="M9" s="21">
        <f t="shared" ref="M9:M26" si="1">IF(I9,(J9/UnderlyingPrice-1),"")</f>
        <v>-5.2910052910051242E-3</v>
      </c>
      <c r="N9" s="21">
        <f>IF(I9,_xll.IMPVOLAB(I9,L9,J9,IntRate,Yield,100,Expiry-Today,K9,100,0.0001),"")</f>
        <v>0.59320846959537665</v>
      </c>
      <c r="O9" s="11"/>
      <c r="P9" s="11"/>
      <c r="Q9" t="s">
        <v>114</v>
      </c>
      <c r="R9">
        <v>2.2000000000000002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51</v>
      </c>
      <c r="AD9">
        <v>2</v>
      </c>
      <c r="AE9" s="23">
        <v>3</v>
      </c>
      <c r="AF9">
        <v>4</v>
      </c>
      <c r="AG9">
        <v>5</v>
      </c>
    </row>
    <row r="10" spans="1:33" x14ac:dyDescent="0.25">
      <c r="A10" s="1"/>
      <c r="B10" s="8" t="e">
        <f t="shared" ref="B10:G10" ca="1" si="2">VLOOKUP(B9,ImpVolTable,2)-ATMImpVol</f>
        <v>#N/A</v>
      </c>
      <c r="C10" s="8">
        <f t="shared" ca="1" si="2"/>
        <v>-1.362498270000001E-2</v>
      </c>
      <c r="D10" s="8">
        <f t="shared" ca="1" si="2"/>
        <v>-8.2077787000000013E-3</v>
      </c>
      <c r="E10" s="8">
        <f t="shared" ca="1" si="2"/>
        <v>8.4678093000000176E-3</v>
      </c>
      <c r="F10" s="8">
        <f t="shared" ca="1" si="2"/>
        <v>1.9726193300000028E-2</v>
      </c>
      <c r="G10" s="8">
        <f t="shared" ca="1" si="2"/>
        <v>3.2931637300000038E-2</v>
      </c>
      <c r="H10" s="3"/>
      <c r="I10" s="20">
        <v>0.5</v>
      </c>
      <c r="J10" s="20">
        <v>5.5</v>
      </c>
      <c r="K10" s="20">
        <v>1</v>
      </c>
      <c r="L10" s="20">
        <f t="shared" si="0"/>
        <v>4.7249999999999996</v>
      </c>
      <c r="M10" s="21">
        <f t="shared" si="1"/>
        <v>0.16402116402116418</v>
      </c>
      <c r="N10" s="21">
        <f>IF(I10,_xll.IMPVOLAB(I10,L10,J10,IntRate,Yield,100,Expiry-Today,K10,100,0.0001),"")</f>
        <v>0.61347351367417968</v>
      </c>
      <c r="O10" s="11"/>
      <c r="P10" s="11"/>
      <c r="Q10" t="s">
        <v>111</v>
      </c>
      <c r="R10">
        <v>3</v>
      </c>
      <c r="W10" s="33" t="s">
        <v>21</v>
      </c>
      <c r="X10" s="34">
        <f>+VALUE(CONCATENATE(AC17,AD17))</f>
        <v>0.59457000000000004</v>
      </c>
      <c r="Y10" s="34">
        <f>+VALUE(CONCATENATE(AF18,AG18))</f>
        <v>0.59423999999999999</v>
      </c>
      <c r="Z10" s="34">
        <f>+VALUE(CONCATENATE(AI19,AJ19))</f>
        <v>0.59140999999999999</v>
      </c>
      <c r="AA10" s="34">
        <f>+VALUE(CONCATENATE(AL20,AM20))</f>
        <v>0.52171999999999996</v>
      </c>
      <c r="AC10" s="33" t="s">
        <v>21</v>
      </c>
      <c r="AD10" s="34">
        <f>+X12*2</f>
        <v>0.19470599999999999</v>
      </c>
      <c r="AE10" s="34">
        <f>+Y12*2</f>
        <v>0.2213</v>
      </c>
      <c r="AF10" s="34">
        <f>+Z12*2</f>
        <v>1.18526</v>
      </c>
      <c r="AG10" s="34">
        <f>+AA12*2</f>
        <v>0.115216</v>
      </c>
    </row>
    <row r="11" spans="1:33" x14ac:dyDescent="0.25">
      <c r="A11" s="1"/>
      <c r="B11" s="9"/>
      <c r="C11" s="10"/>
      <c r="D11" s="3"/>
      <c r="E11" s="3"/>
      <c r="F11" s="3"/>
      <c r="G11" s="3"/>
      <c r="H11" s="3"/>
      <c r="I11" s="20">
        <v>0.41</v>
      </c>
      <c r="J11" s="20">
        <v>5.9</v>
      </c>
      <c r="K11" s="20">
        <v>1</v>
      </c>
      <c r="L11" s="20">
        <f t="shared" si="0"/>
        <v>4.7249999999999996</v>
      </c>
      <c r="M11" s="21">
        <f t="shared" si="1"/>
        <v>0.24867724867724883</v>
      </c>
      <c r="N11" s="21">
        <f>IF(I11,_xll.IMPVOLAB(I11,L11,J11,IntRate,Yield,100,Expiry-Today,K11,100,0.0001),"")</f>
        <v>0.62138652422539031</v>
      </c>
      <c r="O11" s="11"/>
      <c r="P11" s="11"/>
      <c r="Q11" t="s">
        <v>115</v>
      </c>
      <c r="R11">
        <v>4</v>
      </c>
      <c r="W11" s="33" t="s">
        <v>22</v>
      </c>
      <c r="X11" s="34">
        <f>+VALUE(CONCATENATE(AA17,AB17))</f>
        <v>8.5324999999999998E-2</v>
      </c>
      <c r="Y11" s="34">
        <f>+VALUE(CONCATENATE(AD18,AE18))</f>
        <v>5.4989999999999997E-2</v>
      </c>
      <c r="Z11" s="34">
        <f>+VALUE(CONCATENATE(AG19,AH19))</f>
        <v>5.7607999999999999E-2</v>
      </c>
      <c r="AA11" s="34" t="e">
        <f>+VALUE(CONCATENATE(AJ20,AK20))</f>
        <v>#VALUE!</v>
      </c>
      <c r="AC11" s="33" t="s">
        <v>22</v>
      </c>
      <c r="AE11" s="34">
        <f>+Y13*6</f>
        <v>3.4053599999999999</v>
      </c>
      <c r="AF11" s="34">
        <f>+Z13*6</f>
        <v>2.6250599999999999</v>
      </c>
      <c r="AG11" s="34">
        <f>+AA13*6</f>
        <v>3.5557799999999999</v>
      </c>
    </row>
    <row r="12" spans="1:33" x14ac:dyDescent="0.25">
      <c r="A12" s="1"/>
      <c r="B12" s="11"/>
      <c r="C12" s="12"/>
      <c r="D12" s="12"/>
      <c r="E12" s="12"/>
      <c r="F12" s="12"/>
      <c r="G12" s="12"/>
      <c r="H12" s="12"/>
      <c r="I12" s="20">
        <v>0.19500000000000001</v>
      </c>
      <c r="J12" s="20">
        <v>3.5</v>
      </c>
      <c r="K12" s="20">
        <v>0</v>
      </c>
      <c r="L12" s="20">
        <f t="shared" si="0"/>
        <v>4.7249999999999996</v>
      </c>
      <c r="M12" s="21">
        <f t="shared" si="1"/>
        <v>-0.25925925925925919</v>
      </c>
      <c r="N12" s="21">
        <f>IF(I12,_xll.IMPVOLAB(I12,L12,J12,IntRate,Yield,100,Expiry-Today,K12,100,0.0001),"")</f>
        <v>0.57593523799501845</v>
      </c>
      <c r="O12" s="11"/>
      <c r="P12" s="11"/>
      <c r="Q12" t="s">
        <v>116</v>
      </c>
      <c r="R12">
        <v>4.5</v>
      </c>
      <c r="W12" s="33" t="s">
        <v>23</v>
      </c>
      <c r="X12" s="34">
        <f>+Y17</f>
        <v>9.7352999999999995E-2</v>
      </c>
      <c r="Y12" s="34">
        <f>+VALUE(CONCATENATE(AA18,AB18))</f>
        <v>0.11065</v>
      </c>
      <c r="Z12" s="34">
        <f>+VALUE(CONCATENATE(AD19,AE19))</f>
        <v>0.59262999999999999</v>
      </c>
      <c r="AA12" s="34">
        <f>+VALUE(CONCATENATE(AG20,AH20))</f>
        <v>5.7607999999999999E-2</v>
      </c>
      <c r="AC12" s="33" t="s">
        <v>23</v>
      </c>
      <c r="AE12" s="34"/>
      <c r="AF12" s="34">
        <f>12*Z14</f>
        <v>-86.960399999999993</v>
      </c>
      <c r="AG12" s="34">
        <f>12*AA14</f>
        <v>5.2501199999999999</v>
      </c>
    </row>
    <row r="13" spans="1:33" x14ac:dyDescent="0.25">
      <c r="A13" s="1"/>
      <c r="B13" s="9"/>
      <c r="C13" s="1"/>
      <c r="D13" s="1"/>
      <c r="E13" s="1"/>
      <c r="F13" s="1"/>
      <c r="G13" s="1"/>
      <c r="H13" s="1"/>
      <c r="I13" s="20">
        <v>0.38</v>
      </c>
      <c r="J13" s="20">
        <v>4</v>
      </c>
      <c r="K13" s="20">
        <v>0</v>
      </c>
      <c r="L13" s="20">
        <f t="shared" si="0"/>
        <v>4.7249999999999996</v>
      </c>
      <c r="M13" s="21">
        <f t="shared" si="1"/>
        <v>-0.15343915343915338</v>
      </c>
      <c r="N13" s="21">
        <f>IF(I13,_xll.IMPVOLAB(I13,L13,J13,IntRate,Yield,100,Expiry-Today,K13,100,0.0001),"")</f>
        <v>0.59091173592652568</v>
      </c>
      <c r="O13" s="11"/>
      <c r="P13" s="11"/>
      <c r="Q13" t="s">
        <v>117</v>
      </c>
      <c r="R13">
        <v>5</v>
      </c>
      <c r="W13" s="33" t="s">
        <v>24</v>
      </c>
      <c r="X13" s="34"/>
      <c r="Y13" s="34">
        <f>+Y18</f>
        <v>0.56755999999999995</v>
      </c>
      <c r="Z13" s="34">
        <f>+VALUE(CONCATENATE(AA19,AB19))</f>
        <v>0.43751000000000001</v>
      </c>
      <c r="AA13" s="34">
        <f>VALUE(CONCATENATE(AD20,AE20))</f>
        <v>0.59262999999999999</v>
      </c>
      <c r="AC13" s="33" t="s">
        <v>24</v>
      </c>
      <c r="AE13" s="34"/>
      <c r="AF13" s="34"/>
      <c r="AG13">
        <f>+AA15*20</f>
        <v>-144.934</v>
      </c>
    </row>
    <row r="14" spans="1:33" x14ac:dyDescent="0.25">
      <c r="A14" s="1"/>
      <c r="B14" s="11"/>
      <c r="C14" s="1"/>
      <c r="D14" s="1"/>
      <c r="E14" s="1"/>
      <c r="F14" s="1"/>
      <c r="G14" s="1"/>
      <c r="H14" s="1"/>
      <c r="I14" s="20">
        <v>0.72</v>
      </c>
      <c r="J14" s="20">
        <v>4.7</v>
      </c>
      <c r="K14" s="20">
        <v>0</v>
      </c>
      <c r="L14" s="20">
        <f t="shared" si="0"/>
        <v>4.7249999999999996</v>
      </c>
      <c r="M14" s="21">
        <f t="shared" si="1"/>
        <v>-5.2910052910051242E-3</v>
      </c>
      <c r="N14" s="21">
        <f>IF(I14,_xll.IMPVOLAB(I14,L14,J14,IntRate,Yield,100,Expiry-Today,K14,100,0.0001),"")</f>
        <v>0.58899280183921532</v>
      </c>
      <c r="O14" s="11"/>
      <c r="P14" s="11"/>
      <c r="Q14" t="s">
        <v>118</v>
      </c>
      <c r="R14">
        <v>5.45</v>
      </c>
      <c r="W14" s="33" t="s">
        <v>25</v>
      </c>
      <c r="X14" s="23"/>
      <c r="Z14" s="34">
        <f>+Y19</f>
        <v>-7.2466999999999997</v>
      </c>
      <c r="AA14" s="34">
        <f>+VALUE(CONCATENATE(AA20,AB20))</f>
        <v>0.43751000000000001</v>
      </c>
    </row>
    <row r="15" spans="1:33" x14ac:dyDescent="0.25">
      <c r="A15" s="1"/>
      <c r="B15" s="9"/>
      <c r="C15" s="1"/>
      <c r="D15" s="1"/>
      <c r="E15" s="1"/>
      <c r="F15" s="1"/>
      <c r="G15" s="1"/>
      <c r="H15" s="1"/>
      <c r="I15" s="20"/>
      <c r="J15" s="20"/>
      <c r="K15" s="20"/>
      <c r="L15" s="20"/>
      <c r="M15" s="21" t="str">
        <f t="shared" si="1"/>
        <v/>
      </c>
      <c r="N15" s="21" t="str">
        <f>IF(I15,_xll.IMPVOLAB(I15,L15,J15,IntRate,Yield,100,Expiry-Today,K15,100,0.0001),"")</f>
        <v/>
      </c>
      <c r="O15" s="11"/>
      <c r="P15" s="11"/>
      <c r="Q15" t="s">
        <v>119</v>
      </c>
      <c r="R15">
        <v>5.95</v>
      </c>
      <c r="W15" s="33" t="s">
        <v>32</v>
      </c>
      <c r="AA15" s="34">
        <f>+Y20</f>
        <v>-7.2466999999999997</v>
      </c>
    </row>
    <row r="16" spans="1:33" x14ac:dyDescent="0.25">
      <c r="A16" s="1"/>
      <c r="B16" s="9"/>
      <c r="C16" s="1"/>
      <c r="D16" s="1"/>
      <c r="E16" s="1"/>
      <c r="F16" s="1"/>
      <c r="G16" s="1"/>
      <c r="H16" s="1"/>
      <c r="I16" s="20"/>
      <c r="J16" s="20"/>
      <c r="K16" s="20"/>
      <c r="L16" s="20"/>
      <c r="M16" s="21" t="str">
        <f t="shared" si="1"/>
        <v/>
      </c>
      <c r="N16" s="21" t="str">
        <f>IF(I16,_xll.IMPVOLAB(I16,L16,J16,IntRate,Yield,100,Expiry-Today,K16,100,0.0001),"")</f>
        <v/>
      </c>
      <c r="O16" s="11"/>
      <c r="P16" s="1"/>
    </row>
    <row r="17" spans="1:44" x14ac:dyDescent="0.25">
      <c r="A17" s="1"/>
      <c r="B17" s="9"/>
      <c r="C17" s="1"/>
      <c r="D17" s="1"/>
      <c r="E17" s="1"/>
      <c r="F17" s="1"/>
      <c r="G17" s="1"/>
      <c r="H17" s="1"/>
      <c r="I17" s="20"/>
      <c r="J17" s="20"/>
      <c r="K17" s="20"/>
      <c r="L17" s="20"/>
      <c r="M17" s="21" t="str">
        <f t="shared" si="1"/>
        <v/>
      </c>
      <c r="N17" s="21" t="str">
        <f>IF(I17,_xll.IMPVOLAB(I17,L17,J17,IntRate,Yield,100,Expiry-Today,K17,100,0.0001),"")</f>
        <v/>
      </c>
      <c r="O17" s="11"/>
      <c r="P17" s="1"/>
      <c r="W17" s="37" t="s">
        <v>16</v>
      </c>
      <c r="X17" t="s">
        <v>17</v>
      </c>
      <c r="Y17" s="38">
        <v>9.7352999999999995E-2</v>
      </c>
      <c r="Z17">
        <v>2</v>
      </c>
      <c r="AA17" t="s">
        <v>19</v>
      </c>
      <c r="AB17" s="38">
        <v>8.5324999999999998E-2</v>
      </c>
      <c r="AC17" t="s">
        <v>19</v>
      </c>
      <c r="AD17" s="38">
        <v>0.59457000000000004</v>
      </c>
    </row>
    <row r="18" spans="1:44" x14ac:dyDescent="0.25">
      <c r="A18" s="1"/>
      <c r="B18" s="11"/>
      <c r="C18" s="1"/>
      <c r="D18" s="1"/>
      <c r="E18" s="1"/>
      <c r="F18" s="1"/>
      <c r="G18" s="1"/>
      <c r="H18" s="1"/>
      <c r="I18" s="20"/>
      <c r="J18" s="20"/>
      <c r="K18" s="20"/>
      <c r="L18" s="20"/>
      <c r="M18" s="21" t="str">
        <f t="shared" si="1"/>
        <v/>
      </c>
      <c r="N18" s="21" t="str">
        <f>IF(I18,_xll.IMPVOLAB(I18,L18,J18,IntRate,Yield,100,Expiry-Today,K18,100,0.0001),"")</f>
        <v/>
      </c>
      <c r="O18" s="1"/>
      <c r="P18" s="11"/>
      <c r="W18" s="37" t="s">
        <v>16</v>
      </c>
      <c r="X18" t="s">
        <v>17</v>
      </c>
      <c r="Y18" s="38">
        <v>0.56755999999999995</v>
      </c>
      <c r="Z18">
        <v>3</v>
      </c>
      <c r="AA18" t="s">
        <v>19</v>
      </c>
      <c r="AB18" s="38">
        <v>0.11065</v>
      </c>
      <c r="AC18">
        <v>2</v>
      </c>
      <c r="AD18" t="s">
        <v>19</v>
      </c>
      <c r="AE18" s="38">
        <v>5.4989999999999997E-2</v>
      </c>
      <c r="AF18" t="s">
        <v>19</v>
      </c>
      <c r="AG18" s="38">
        <v>0.59423999999999999</v>
      </c>
    </row>
    <row r="19" spans="1:44" x14ac:dyDescent="0.25">
      <c r="A19" s="1"/>
      <c r="B19" s="9"/>
      <c r="C19" s="1"/>
      <c r="D19" s="1"/>
      <c r="E19" s="1"/>
      <c r="F19" s="1"/>
      <c r="G19" s="1"/>
      <c r="H19" s="1"/>
      <c r="I19" s="20"/>
      <c r="J19" s="20"/>
      <c r="K19" s="20"/>
      <c r="L19" s="20"/>
      <c r="M19" s="21" t="str">
        <f t="shared" si="1"/>
        <v/>
      </c>
      <c r="N19" s="21" t="str">
        <f>IF(I19,_xll.IMPVOLAB(I19,L19,J19,IntRate,Yield,100,Expiry-Today,K19,100,0.0001),"")</f>
        <v/>
      </c>
      <c r="O19" s="1"/>
      <c r="P19" s="11"/>
      <c r="W19" s="37" t="s">
        <v>16</v>
      </c>
      <c r="X19" t="s">
        <v>17</v>
      </c>
      <c r="Y19" s="38">
        <v>-7.2466999999999997</v>
      </c>
      <c r="Z19">
        <v>4</v>
      </c>
      <c r="AA19" t="s">
        <v>19</v>
      </c>
      <c r="AB19" s="38">
        <v>0.43751000000000001</v>
      </c>
      <c r="AC19">
        <v>3</v>
      </c>
      <c r="AD19" t="s">
        <v>19</v>
      </c>
      <c r="AE19" s="38">
        <v>0.59262999999999999</v>
      </c>
      <c r="AF19">
        <v>2</v>
      </c>
      <c r="AG19" t="s">
        <v>19</v>
      </c>
      <c r="AH19" s="38">
        <v>5.7607999999999999E-2</v>
      </c>
      <c r="AI19" t="s">
        <v>19</v>
      </c>
      <c r="AJ19" s="38">
        <v>0.59140999999999999</v>
      </c>
    </row>
    <row r="20" spans="1:44" x14ac:dyDescent="0.25">
      <c r="A20" s="1"/>
      <c r="B20" s="11"/>
      <c r="C20" s="1"/>
      <c r="D20" s="1"/>
      <c r="E20" s="1"/>
      <c r="F20" s="1"/>
      <c r="G20" s="1"/>
      <c r="H20" s="1"/>
      <c r="I20" s="20"/>
      <c r="J20" s="20"/>
      <c r="K20" s="20"/>
      <c r="L20" s="20"/>
      <c r="M20" s="21" t="str">
        <f t="shared" si="1"/>
        <v/>
      </c>
      <c r="N20" s="21" t="str">
        <f>IF(I20,_xll.IMPVOLAB(I20,L20,J20,IntRate,Yield,100,Expiry-Today,K20,100,0.0001),"")</f>
        <v/>
      </c>
      <c r="O20" s="1"/>
      <c r="P20" s="11"/>
      <c r="W20" s="37" t="s">
        <v>16</v>
      </c>
      <c r="X20" t="s">
        <v>17</v>
      </c>
      <c r="Y20" s="38">
        <v>-7.2466999999999997</v>
      </c>
      <c r="Z20">
        <v>4</v>
      </c>
      <c r="AA20" t="s">
        <v>19</v>
      </c>
      <c r="AB20" s="38">
        <v>0.43751000000000001</v>
      </c>
      <c r="AC20">
        <v>3</v>
      </c>
      <c r="AD20" t="s">
        <v>19</v>
      </c>
      <c r="AE20" s="38">
        <v>0.59262999999999999</v>
      </c>
      <c r="AF20">
        <v>2</v>
      </c>
      <c r="AG20" t="s">
        <v>19</v>
      </c>
      <c r="AH20" s="38">
        <v>5.7607999999999999E-2</v>
      </c>
      <c r="AI20" t="s">
        <v>19</v>
      </c>
      <c r="AJ20" s="38">
        <v>0.59140999999999999</v>
      </c>
      <c r="AK20" s="38">
        <v>9.2386999999999997E-2</v>
      </c>
      <c r="AL20" t="s">
        <v>19</v>
      </c>
      <c r="AM20" s="38">
        <v>0.52171999999999996</v>
      </c>
    </row>
    <row r="21" spans="1:44" x14ac:dyDescent="0.25">
      <c r="A21" s="1"/>
      <c r="B21" s="9"/>
      <c r="C21" s="1"/>
      <c r="D21" s="1"/>
      <c r="E21" s="1"/>
      <c r="F21" s="1"/>
      <c r="G21" s="1"/>
      <c r="H21" s="1"/>
      <c r="I21" s="20"/>
      <c r="J21" s="20"/>
      <c r="K21" s="20"/>
      <c r="L21" s="20"/>
      <c r="M21" s="21" t="str">
        <f t="shared" si="1"/>
        <v/>
      </c>
      <c r="N21" s="21" t="str">
        <f>IF(I21,_xll.IMPVOLAB(I21,L21,J21,IntRate,Yield,100,Expiry-Today,K21,100,0.0001),"")</f>
        <v/>
      </c>
      <c r="O21" s="11"/>
      <c r="P21" s="11"/>
    </row>
    <row r="22" spans="1:44" x14ac:dyDescent="0.25">
      <c r="A22" s="1"/>
      <c r="B22" s="11"/>
      <c r="C22" s="1"/>
      <c r="D22" s="1"/>
      <c r="E22" s="1"/>
      <c r="F22" s="1"/>
      <c r="G22" s="1"/>
      <c r="H22" s="1"/>
      <c r="I22" s="20"/>
      <c r="J22" s="20"/>
      <c r="K22" s="20"/>
      <c r="L22" s="20"/>
      <c r="M22" s="21" t="str">
        <f t="shared" si="1"/>
        <v/>
      </c>
      <c r="N22" s="21" t="str">
        <f>IF(I22,_xll.IMPVOLAB(I22,L22,J22,IntRate,Yield,100,Expiry-Today,K22,100,0.0001),"")</f>
        <v/>
      </c>
      <c r="O22" s="11"/>
      <c r="P22" s="11"/>
    </row>
    <row r="23" spans="1:44" x14ac:dyDescent="0.25">
      <c r="A23" s="1"/>
      <c r="B23" s="9"/>
      <c r="C23" s="1"/>
      <c r="D23" s="1"/>
      <c r="E23" s="1"/>
      <c r="F23" s="1"/>
      <c r="G23" s="1"/>
      <c r="H23" s="1"/>
      <c r="I23" s="20"/>
      <c r="J23" s="20"/>
      <c r="K23" s="20"/>
      <c r="L23" s="20"/>
      <c r="M23" s="21" t="str">
        <f t="shared" si="1"/>
        <v/>
      </c>
      <c r="N23" s="21" t="str">
        <f>IF(I23,_xll.IMPVOLAB(I23,L23,J23,IntRate,Yield,100,Expiry-Today,K23,100,0.0001),"")</f>
        <v/>
      </c>
      <c r="O23" s="11"/>
      <c r="P23" s="1"/>
    </row>
    <row r="24" spans="1:44" x14ac:dyDescent="0.25">
      <c r="A24" s="1"/>
      <c r="B24" s="1"/>
      <c r="C24" s="1"/>
      <c r="D24" s="1"/>
      <c r="E24" s="1"/>
      <c r="F24" s="1"/>
      <c r="G24" s="1"/>
      <c r="H24" s="1"/>
      <c r="I24" s="20"/>
      <c r="J24" s="20"/>
      <c r="K24" s="20"/>
      <c r="L24" s="20"/>
      <c r="M24" s="21" t="str">
        <f t="shared" si="1"/>
        <v/>
      </c>
      <c r="N24" s="21" t="str">
        <f>IF(I24,_xll.IMPVOLAB(I24,L24,J24,IntRate,Yield,100,Expiry-Today,K24,100,0.0001),"")</f>
        <v/>
      </c>
      <c r="O24" s="1"/>
      <c r="P24" s="1"/>
    </row>
    <row r="25" spans="1:44" x14ac:dyDescent="0.25">
      <c r="A25" s="1"/>
      <c r="B25" s="11"/>
      <c r="C25" s="11"/>
      <c r="D25" s="11"/>
      <c r="E25" s="11"/>
      <c r="F25" s="11"/>
      <c r="G25" s="11"/>
      <c r="H25" s="1"/>
      <c r="I25" s="20"/>
      <c r="J25" s="20"/>
      <c r="K25" s="20"/>
      <c r="L25" s="20"/>
      <c r="M25" s="21" t="str">
        <f t="shared" si="1"/>
        <v/>
      </c>
      <c r="N25" s="21" t="str">
        <f>IF(I25,_xll.IMPVOLAB(I25,L25,J25,IntRate,Yield,100,Expiry-Today,K25,100,0.0001),"")</f>
        <v/>
      </c>
      <c r="O25" s="11"/>
      <c r="P25" s="11"/>
    </row>
    <row r="26" spans="1:44" x14ac:dyDescent="0.25">
      <c r="A26" s="1"/>
      <c r="B26" s="11"/>
      <c r="C26" s="11"/>
      <c r="D26" s="1"/>
      <c r="E26" s="1"/>
      <c r="F26" s="1"/>
      <c r="G26" s="11"/>
      <c r="H26" s="1"/>
      <c r="I26" s="20"/>
      <c r="J26" s="20"/>
      <c r="K26" s="20"/>
      <c r="L26" s="20"/>
      <c r="M26" s="21" t="str">
        <f t="shared" si="1"/>
        <v/>
      </c>
      <c r="N26" s="21" t="str">
        <f>IF(I26,_xll.IMPVOLAB(I26,L26,J26,IntRate,Yield,100,Expiry-Today,K26,100,0.0001),"")</f>
        <v/>
      </c>
      <c r="O26" s="11"/>
      <c r="P26" s="11"/>
    </row>
    <row r="27" spans="1:4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3</v>
      </c>
      <c r="AH28" t="s">
        <v>112</v>
      </c>
      <c r="AN28" t="s">
        <v>109</v>
      </c>
      <c r="AO28">
        <v>2</v>
      </c>
      <c r="AP28" s="23">
        <v>3</v>
      </c>
      <c r="AQ28" s="23">
        <v>4</v>
      </c>
      <c r="AR28">
        <v>5</v>
      </c>
    </row>
    <row r="29" spans="1:44" x14ac:dyDescent="0.25">
      <c r="A29" s="11"/>
      <c r="B29" s="11"/>
      <c r="C29" s="11" t="s">
        <v>146</v>
      </c>
      <c r="D29" s="11"/>
      <c r="E29" s="11"/>
      <c r="F29" s="11"/>
      <c r="G29" s="11"/>
      <c r="H29" s="11"/>
      <c r="I29" s="11"/>
      <c r="J29" s="11" t="s">
        <v>129</v>
      </c>
      <c r="K29" s="11" t="s">
        <v>130</v>
      </c>
      <c r="L29" s="11"/>
      <c r="M29" s="11"/>
      <c r="N29" s="11"/>
      <c r="O29" s="11"/>
      <c r="P29" s="11"/>
      <c r="W29">
        <f ca="1">ROUNDUP(MAX(MoneynessRange),2)</f>
        <v>0.25</v>
      </c>
      <c r="X29">
        <f ca="1">+(MaxMoneyness-MinMoneyness)*100</f>
        <v>51</v>
      </c>
      <c r="AF29" t="s">
        <v>59</v>
      </c>
      <c r="AH29">
        <v>37012</v>
      </c>
      <c r="AJ29" t="s">
        <v>103</v>
      </c>
      <c r="AK29" t="s">
        <v>104</v>
      </c>
      <c r="AN29" t="s">
        <v>21</v>
      </c>
      <c r="AO29" s="34">
        <f ca="1"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5">
      <c r="A30" s="11"/>
      <c r="B30" s="11"/>
      <c r="C30" s="11">
        <v>0.16402116402116418</v>
      </c>
      <c r="D30" s="11">
        <v>0.61347351367417968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6</v>
      </c>
      <c r="Z30" s="164" t="s">
        <v>29</v>
      </c>
      <c r="AA30" s="164"/>
      <c r="AF30">
        <v>-5</v>
      </c>
      <c r="AG30">
        <f t="shared" ref="AG30:AG47" si="3">+IF(+AF30+UnderlyingPrice&lt;0,-2,+AF30/UnderlyingPrice)</f>
        <v>-2</v>
      </c>
      <c r="AH30">
        <f>+HLOOKUP(AF30,'ENA VolSkew'!$B$2:$U$40,MATCH(Contract,'ENA VolSkew'!$A$3:$A$40,1)+1)</f>
        <v>4.5</v>
      </c>
      <c r="AI30" s="71">
        <f t="shared" ref="AI30:AI47" si="4">+AH30/100</f>
        <v>4.4999999999999998E-2</v>
      </c>
      <c r="AJ30" s="71">
        <f t="shared" ref="AJ30:AJ47" si="5">+AI30+ENAVol</f>
        <v>0.64</v>
      </c>
      <c r="AK30" t="str">
        <f t="shared" ref="AK30:AK46" si="6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5">
      <c r="A31" s="11"/>
      <c r="B31" s="11"/>
      <c r="C31" s="11">
        <v>-0.25925925925925919</v>
      </c>
      <c r="D31" s="11">
        <v>0.57593523799501845</v>
      </c>
      <c r="E31" s="11"/>
      <c r="F31" s="11"/>
      <c r="G31" s="11"/>
      <c r="H31" s="11"/>
      <c r="I31" s="11">
        <v>0.75</v>
      </c>
      <c r="J31" s="11"/>
      <c r="K31" s="11" t="s">
        <v>131</v>
      </c>
      <c r="L31" s="11"/>
      <c r="M31" s="11">
        <v>0.85199999999999998</v>
      </c>
      <c r="N31" s="162">
        <f>+VALUE(LEFT(K31,4))*I31</f>
        <v>75</v>
      </c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-4</v>
      </c>
      <c r="AG31">
        <f t="shared" si="3"/>
        <v>-0.84656084656084662</v>
      </c>
      <c r="AH31">
        <f>+HLOOKUP(AF31,'ENA VolSkew'!$B$2:$U$40,MATCH(Contract,'ENA VolSkew'!$A$3:$A$40,1)+1)</f>
        <v>3.5</v>
      </c>
      <c r="AI31" s="71">
        <f t="shared" si="4"/>
        <v>3.5000000000000003E-2</v>
      </c>
      <c r="AJ31" s="71">
        <f t="shared" si="5"/>
        <v>0.63</v>
      </c>
      <c r="AK31">
        <f t="shared" ca="1" si="6"/>
        <v>-9.4500000000000084E-2</v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5">
      <c r="A32" s="11"/>
      <c r="B32" s="11"/>
      <c r="C32" s="11">
        <v>-5.2910052910051242E-3</v>
      </c>
      <c r="D32" s="11">
        <v>0.58899280183921532</v>
      </c>
      <c r="E32" s="11"/>
      <c r="F32" s="11"/>
      <c r="G32" s="11"/>
      <c r="H32" s="11"/>
      <c r="I32" s="11">
        <v>0.5</v>
      </c>
      <c r="J32" s="11"/>
      <c r="K32" s="11" t="s">
        <v>132</v>
      </c>
      <c r="L32" s="11"/>
      <c r="M32" s="11">
        <v>0.55700000000000005</v>
      </c>
      <c r="N32" s="162">
        <f>+VALUE(LEFT(K32,4))*I32</f>
        <v>-150</v>
      </c>
      <c r="O32" s="11"/>
      <c r="P32" s="11"/>
      <c r="W32">
        <f t="shared" ref="W32:W44" ca="1" si="7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0.59412127034517515</v>
      </c>
      <c r="X32" s="35">
        <f t="shared" ref="X32:X44" ca="1" si="8">+W32-N9</f>
        <v>9.1280074979849246E-4</v>
      </c>
      <c r="Z32" s="36">
        <f ca="1">ROUNDUP(MIN(MoneynessRange),2)</f>
        <v>-0.26</v>
      </c>
      <c r="AA32">
        <f t="shared" ref="AA32:AA63" ca="1" si="9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0.57896656280000003</v>
      </c>
      <c r="AF32">
        <v>-3</v>
      </c>
      <c r="AG32">
        <f t="shared" si="3"/>
        <v>-0.634920634920635</v>
      </c>
      <c r="AH32">
        <f ca="1">+HLOOKUP(AF32,'ENA VolSkew'!$B$2:$U$40,MATCH(Contract,'ENA VolSkew'!$A$3:$A$40,1)+1)</f>
        <v>1.5</v>
      </c>
      <c r="AI32" s="71">
        <f t="shared" ca="1" si="4"/>
        <v>1.4999999999999999E-2</v>
      </c>
      <c r="AJ32" s="71">
        <f t="shared" ca="1" si="5"/>
        <v>0.61</v>
      </c>
      <c r="AK32">
        <f t="shared" ca="1" si="6"/>
        <v>-9.4500000000000084E-2</v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5">
      <c r="A33" s="11"/>
      <c r="B33" s="11"/>
      <c r="C33" s="11"/>
      <c r="D33" s="11"/>
      <c r="E33" s="11"/>
      <c r="F33" s="11"/>
      <c r="G33" s="11"/>
      <c r="H33" s="11"/>
      <c r="I33" s="11">
        <v>0.41</v>
      </c>
      <c r="J33" s="11"/>
      <c r="K33" s="11" t="s">
        <v>133</v>
      </c>
      <c r="L33" s="11"/>
      <c r="M33" s="11">
        <v>0.32400000000000001</v>
      </c>
      <c r="N33" s="162">
        <f>+VALUE(LEFT(K33,4))*I33</f>
        <v>82</v>
      </c>
      <c r="O33" s="11"/>
      <c r="P33" s="11"/>
      <c r="W33">
        <f t="shared" ca="1" si="7"/>
        <v>0.61118418795666429</v>
      </c>
      <c r="X33" s="35">
        <f t="shared" ca="1" si="8"/>
        <v>-2.2893257175153892E-3</v>
      </c>
      <c r="Z33" s="36">
        <f t="shared" ref="Z33:Z64" ca="1" si="10">+Z32+0.01</f>
        <v>-0.25</v>
      </c>
      <c r="AA33">
        <f t="shared" ca="1" si="9"/>
        <v>0.57932331250000002</v>
      </c>
      <c r="AF33">
        <v>-2.5</v>
      </c>
      <c r="AG33">
        <f t="shared" si="3"/>
        <v>-0.52910052910052918</v>
      </c>
      <c r="AH33">
        <f>+HLOOKUP(AF33,'ENA VolSkew'!$B$2:$U$40,MATCH(Contract,'ENA VolSkew'!$A$3:$A$40,1)+1)</f>
        <v>0.5</v>
      </c>
      <c r="AI33" s="71">
        <f t="shared" si="4"/>
        <v>5.0000000000000001E-3</v>
      </c>
      <c r="AJ33" s="71">
        <f t="shared" si="5"/>
        <v>0.6</v>
      </c>
      <c r="AK33">
        <f t="shared" si="6"/>
        <v>-4.7250000000000021E-2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62"/>
      <c r="O34" s="11"/>
      <c r="P34" s="11"/>
      <c r="W34">
        <f t="shared" ca="1" si="7"/>
        <v>0.62180873217435129</v>
      </c>
      <c r="X34" s="35">
        <f t="shared" ca="1" si="8"/>
        <v>4.2220794896097313E-4</v>
      </c>
      <c r="Z34" s="36">
        <f t="shared" ca="1" si="10"/>
        <v>-0.24</v>
      </c>
      <c r="AA34">
        <f t="shared" ca="1" si="9"/>
        <v>0.57969953280000008</v>
      </c>
      <c r="AF34">
        <v>-2</v>
      </c>
      <c r="AG34">
        <f t="shared" si="3"/>
        <v>-0.42328042328042331</v>
      </c>
      <c r="AH34">
        <f>+HLOOKUP(AF34,'ENA VolSkew'!$B$2:$U$40,MATCH(Contract,'ENA VolSkew'!$A$3:$A$40,1)+1)</f>
        <v>0</v>
      </c>
      <c r="AI34" s="71">
        <f t="shared" si="4"/>
        <v>0</v>
      </c>
      <c r="AJ34" s="71">
        <f t="shared" si="5"/>
        <v>0.59499999999999997</v>
      </c>
      <c r="AK34">
        <f t="shared" si="6"/>
        <v>-3.7800000000000035E-2</v>
      </c>
      <c r="AM34" s="71"/>
      <c r="AN34" t="s">
        <v>32</v>
      </c>
      <c r="AR34" s="34">
        <f>+AP39</f>
        <v>0.80901000000000001</v>
      </c>
    </row>
    <row r="35" spans="1:5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>
        <v>0.19500000000000001</v>
      </c>
      <c r="K35" s="11" t="s">
        <v>134</v>
      </c>
      <c r="L35" s="11"/>
      <c r="M35" s="11">
        <v>0.185</v>
      </c>
      <c r="N35" s="162">
        <f>+VALUE(LEFT(K35,4))*J35</f>
        <v>-39</v>
      </c>
      <c r="O35" s="11"/>
      <c r="P35" s="11"/>
      <c r="W35">
        <f t="shared" ca="1" si="7"/>
        <v>0.5789923209876543</v>
      </c>
      <c r="X35" s="35">
        <f t="shared" ca="1" si="8"/>
        <v>3.0570829926358511E-3</v>
      </c>
      <c r="Z35" s="36">
        <f t="shared" ca="1" si="10"/>
        <v>-0.22999999999999998</v>
      </c>
      <c r="AA35">
        <f t="shared" ca="1" si="9"/>
        <v>0.58009522370000011</v>
      </c>
      <c r="AF35">
        <v>-1.5</v>
      </c>
      <c r="AG35">
        <f t="shared" si="3"/>
        <v>-0.3174603174603175</v>
      </c>
      <c r="AH35">
        <f>+HLOOKUP(AF35,'ENA VolSkew'!$B$2:$U$40,MATCH(Contract,'ENA VolSkew'!$A$3:$A$40,1)+1)</f>
        <v>-0.4</v>
      </c>
      <c r="AI35" s="71">
        <f t="shared" si="4"/>
        <v>-4.0000000000000001E-3</v>
      </c>
      <c r="AJ35" s="71">
        <f t="shared" si="5"/>
        <v>0.59099999999999997</v>
      </c>
      <c r="AK35">
        <f t="shared" si="6"/>
        <v>-4.7250000000000035E-3</v>
      </c>
      <c r="AM35" s="71"/>
    </row>
    <row r="36" spans="1:5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>
        <v>0.38</v>
      </c>
      <c r="K36" s="11" t="s">
        <v>135</v>
      </c>
      <c r="L36" s="11"/>
      <c r="M36" s="11">
        <v>0.34599999999999997</v>
      </c>
      <c r="N36" s="162">
        <f>+VALUE(LEFT(K36,4))*J36</f>
        <v>114</v>
      </c>
      <c r="O36" s="11"/>
      <c r="P36" s="11"/>
      <c r="W36">
        <f t="shared" ca="1" si="7"/>
        <v>0.58376984177374658</v>
      </c>
      <c r="X36" s="35">
        <f t="shared" ca="1" si="8"/>
        <v>-7.1418941527791047E-3</v>
      </c>
      <c r="Z36" s="36">
        <f t="shared" ca="1" si="10"/>
        <v>-0.21999999999999997</v>
      </c>
      <c r="AA36">
        <f t="shared" ca="1" si="9"/>
        <v>0.58051038520000009</v>
      </c>
      <c r="AF36">
        <v>-0.5</v>
      </c>
      <c r="AG36">
        <f t="shared" si="3"/>
        <v>-0.10582010582010583</v>
      </c>
      <c r="AH36">
        <f>+HLOOKUP(AF36,'ENA VolSkew'!$B$2:$U$40,MATCH(Contract,'ENA VolSkew'!$A$3:$A$40,1)+1)</f>
        <v>-0.5</v>
      </c>
      <c r="AI36" s="71">
        <f t="shared" si="4"/>
        <v>-5.0000000000000001E-3</v>
      </c>
      <c r="AJ36" s="71">
        <f t="shared" si="5"/>
        <v>0.59</v>
      </c>
      <c r="AK36">
        <f t="shared" si="6"/>
        <v>4.7250000000000035E-2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>
        <v>0.72</v>
      </c>
      <c r="K37" s="11" t="s">
        <v>136</v>
      </c>
      <c r="L37" s="11"/>
      <c r="M37" s="11">
        <v>0.67100000000000004</v>
      </c>
      <c r="N37" s="162">
        <f>+VALUE(LEFT(K37,4))*J37</f>
        <v>-72</v>
      </c>
      <c r="O37" s="11"/>
      <c r="P37" s="11"/>
      <c r="W37">
        <f t="shared" ca="1" si="7"/>
        <v>0.59412127034517515</v>
      </c>
      <c r="X37" s="35">
        <f t="shared" ca="1" si="8"/>
        <v>5.1284685059598267E-3</v>
      </c>
      <c r="Z37" s="36">
        <f t="shared" ca="1" si="10"/>
        <v>-0.20999999999999996</v>
      </c>
      <c r="AA37">
        <f t="shared" ca="1" si="9"/>
        <v>0.58094501730000003</v>
      </c>
      <c r="AF37">
        <v>0</v>
      </c>
      <c r="AG37">
        <f t="shared" si="3"/>
        <v>0</v>
      </c>
      <c r="AH37">
        <f>+HLOOKUP(AF37,'ENA VolSkew'!$B$2:$U$40,MATCH(Contract,'ENA VolSkew'!$A$3:$A$40,1)+1)</f>
        <v>0</v>
      </c>
      <c r="AI37" s="71">
        <f t="shared" si="4"/>
        <v>0</v>
      </c>
      <c r="AJ37" s="71">
        <f t="shared" si="5"/>
        <v>0.59499999999999997</v>
      </c>
      <c r="AK37">
        <f t="shared" si="6"/>
        <v>8.977499999999955E-2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 t="e">
        <f t="shared" ca="1" si="7"/>
        <v>#VALUE!</v>
      </c>
      <c r="X38" s="35" t="e">
        <f t="shared" ca="1" si="8"/>
        <v>#VALUE!</v>
      </c>
      <c r="Z38" s="36">
        <f t="shared" ca="1" si="10"/>
        <v>-0.19999999999999996</v>
      </c>
      <c r="AA38">
        <f t="shared" ca="1" si="9"/>
        <v>0.58139912000000005</v>
      </c>
      <c r="AF38">
        <v>0.5</v>
      </c>
      <c r="AG38">
        <f t="shared" si="3"/>
        <v>0.10582010582010583</v>
      </c>
      <c r="AH38">
        <f>+HLOOKUP(AF38,'ENA VolSkew'!$B$2:$U$40,MATCH(Contract,'ENA VolSkew'!$A$3:$A$40,1)+1)</f>
        <v>0.95</v>
      </c>
      <c r="AI38" s="71">
        <f t="shared" si="4"/>
        <v>9.4999999999999998E-3</v>
      </c>
      <c r="AJ38" s="71">
        <f t="shared" si="5"/>
        <v>0.60449999999999993</v>
      </c>
      <c r="AK38">
        <f t="shared" si="6"/>
        <v>8.763655950000096E-2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 t="e">
        <f t="shared" ca="1" si="7"/>
        <v>#VALUE!</v>
      </c>
      <c r="X39" s="35" t="e">
        <f t="shared" ca="1" si="8"/>
        <v>#VALUE!</v>
      </c>
      <c r="Z39" s="36">
        <f t="shared" ca="1" si="10"/>
        <v>-0.18999999999999995</v>
      </c>
      <c r="AA39">
        <f t="shared" ca="1" si="9"/>
        <v>0.58187269330000002</v>
      </c>
      <c r="AF39">
        <v>1</v>
      </c>
      <c r="AG39">
        <f t="shared" si="3"/>
        <v>0.21164021164021166</v>
      </c>
      <c r="AH39">
        <f>+HLOOKUP(AF39,'ENA VolSkew'!$B$2:$U$40,MATCH(Contract,'ENA VolSkew'!$A$3:$A$40,1)+1)</f>
        <v>1.8773709999999999</v>
      </c>
      <c r="AI39" s="71">
        <f t="shared" si="4"/>
        <v>1.8773709999999999E-2</v>
      </c>
      <c r="AJ39" s="71">
        <f t="shared" si="5"/>
        <v>0.61377371000000003</v>
      </c>
      <c r="AK39">
        <f t="shared" si="6"/>
        <v>4.3718440499999255E-2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 t="e">
        <f t="shared" ca="1" si="7"/>
        <v>#VALUE!</v>
      </c>
      <c r="X40" s="35" t="e">
        <f t="shared" ca="1" si="8"/>
        <v>#VALUE!</v>
      </c>
      <c r="Z40" s="36">
        <f t="shared" ca="1" si="10"/>
        <v>-0.17999999999999994</v>
      </c>
      <c r="AA40">
        <f t="shared" ca="1" si="9"/>
        <v>0.58236573720000007</v>
      </c>
      <c r="AF40">
        <v>1.5</v>
      </c>
      <c r="AG40">
        <f t="shared" si="3"/>
        <v>0.3174603174603175</v>
      </c>
      <c r="AH40">
        <f>+HLOOKUP(AF40,'ENA VolSkew'!$B$2:$U$40,MATCH(Contract,'ENA VolSkew'!$A$3:$A$40,1)+1)</f>
        <v>2.34</v>
      </c>
      <c r="AI40" s="71">
        <f t="shared" si="4"/>
        <v>2.3399999999999997E-2</v>
      </c>
      <c r="AJ40" s="71">
        <f t="shared" si="5"/>
        <v>0.61839999999999995</v>
      </c>
      <c r="AK40">
        <f t="shared" si="6"/>
        <v>8.1270000000000495E-2</v>
      </c>
      <c r="AM40" s="71"/>
    </row>
    <row r="41" spans="1:5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 t="e">
        <f t="shared" ca="1" si="7"/>
        <v>#VALUE!</v>
      </c>
      <c r="X41" s="35" t="e">
        <f t="shared" ca="1" si="8"/>
        <v>#VALUE!</v>
      </c>
      <c r="Z41" s="36">
        <f t="shared" ca="1" si="10"/>
        <v>-0.16999999999999993</v>
      </c>
      <c r="AA41">
        <f t="shared" ca="1" si="9"/>
        <v>0.58287825169999996</v>
      </c>
      <c r="AF41">
        <v>2</v>
      </c>
      <c r="AG41">
        <f t="shared" si="3"/>
        <v>0.42328042328042331</v>
      </c>
      <c r="AH41">
        <f>+HLOOKUP(AF41,'ENA VolSkew'!$B$2:$U$40,MATCH(Contract,'ENA VolSkew'!$A$3:$A$40,1)+1)</f>
        <v>3.2</v>
      </c>
      <c r="AI41" s="71">
        <f t="shared" si="4"/>
        <v>3.2000000000000001E-2</v>
      </c>
      <c r="AJ41" s="71">
        <f t="shared" si="5"/>
        <v>0.627</v>
      </c>
      <c r="AK41">
        <f t="shared" si="6"/>
        <v>7.5600000000000028E-2</v>
      </c>
      <c r="AM41" s="71"/>
    </row>
    <row r="42" spans="1:5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 t="e">
        <f t="shared" ca="1" si="7"/>
        <v>#VALUE!</v>
      </c>
      <c r="X42" s="35" t="e">
        <f t="shared" ca="1" si="8"/>
        <v>#VALUE!</v>
      </c>
      <c r="Z42" s="36">
        <f t="shared" ca="1" si="10"/>
        <v>-0.15999999999999992</v>
      </c>
      <c r="AA42">
        <f t="shared" ca="1" si="9"/>
        <v>0.58341023680000004</v>
      </c>
      <c r="AF42">
        <v>2.5</v>
      </c>
      <c r="AG42">
        <f t="shared" si="3"/>
        <v>0.52910052910052918</v>
      </c>
      <c r="AH42">
        <f>+HLOOKUP(AF42,'ENA VolSkew'!$B$2:$U$40,MATCH(Contract,'ENA VolSkew'!$A$3:$A$40,1)+1)</f>
        <v>4</v>
      </c>
      <c r="AI42" s="71">
        <f t="shared" si="4"/>
        <v>0.04</v>
      </c>
      <c r="AJ42" s="71">
        <f t="shared" si="5"/>
        <v>0.63500000000000001</v>
      </c>
      <c r="AK42">
        <f t="shared" si="6"/>
        <v>6.2369999999999426E-2</v>
      </c>
      <c r="AM42" s="71"/>
    </row>
    <row r="43" spans="1:5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 t="e">
        <f t="shared" ca="1" si="7"/>
        <v>#VALUE!</v>
      </c>
      <c r="X43" s="35" t="e">
        <f t="shared" ca="1" si="8"/>
        <v>#VALUE!</v>
      </c>
      <c r="Z43" s="36">
        <f t="shared" ca="1" si="10"/>
        <v>-0.14999999999999991</v>
      </c>
      <c r="AA43">
        <f t="shared" ca="1" si="9"/>
        <v>0.58396169250000007</v>
      </c>
      <c r="AF43">
        <v>3</v>
      </c>
      <c r="AG43">
        <f t="shared" si="3"/>
        <v>0.634920634920635</v>
      </c>
      <c r="AH43">
        <f>+HLOOKUP(AF43,'ENA VolSkew'!$B$2:$U$40,MATCH(Contract,'ENA VolSkew'!$A$3:$A$40,1)+1)</f>
        <v>4.66</v>
      </c>
      <c r="AI43" s="71">
        <f t="shared" si="4"/>
        <v>4.6600000000000003E-2</v>
      </c>
      <c r="AJ43" s="71">
        <f t="shared" si="5"/>
        <v>0.64159999999999995</v>
      </c>
      <c r="AK43">
        <f t="shared" si="6"/>
        <v>5.3865000000000364E-2</v>
      </c>
      <c r="AM43" s="71"/>
    </row>
    <row r="44" spans="1:5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 t="e">
        <f t="shared" ca="1" si="7"/>
        <v>#VALUE!</v>
      </c>
      <c r="X44" s="35" t="e">
        <f t="shared" ca="1" si="8"/>
        <v>#VALUE!</v>
      </c>
      <c r="Z44" s="36">
        <f t="shared" ca="1" si="10"/>
        <v>-0.1399999999999999</v>
      </c>
      <c r="AA44">
        <f t="shared" ca="1" si="9"/>
        <v>0.58453261880000007</v>
      </c>
      <c r="AF44">
        <v>4</v>
      </c>
      <c r="AG44">
        <f t="shared" si="3"/>
        <v>0.84656084656084662</v>
      </c>
      <c r="AH44">
        <f>+HLOOKUP(AF44,'ENA VolSkew'!$B$2:$U$40,MATCH(Contract,'ENA VolSkew'!$A$3:$A$40,1)+1)</f>
        <v>5.8</v>
      </c>
      <c r="AI44" s="71">
        <f t="shared" si="4"/>
        <v>5.7999999999999996E-2</v>
      </c>
      <c r="AJ44" s="71">
        <f t="shared" si="5"/>
        <v>0.65300000000000002</v>
      </c>
      <c r="AK44">
        <f t="shared" si="6"/>
        <v>5.6700000000000021E-2</v>
      </c>
      <c r="AM44" s="71"/>
    </row>
    <row r="45" spans="1:5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10"/>
        <v>-0.12999999999999989</v>
      </c>
      <c r="AA45">
        <f t="shared" ca="1" si="9"/>
        <v>0.58512301570000003</v>
      </c>
      <c r="AF45">
        <v>5</v>
      </c>
      <c r="AG45">
        <f t="shared" si="3"/>
        <v>1.0582010582010584</v>
      </c>
      <c r="AH45">
        <f>+HLOOKUP(AF45,'ENA VolSkew'!$B$2:$U$40,MATCH(Contract,'ENA VolSkew'!$A$3:$A$40,1)+1)</f>
        <v>7</v>
      </c>
      <c r="AI45" s="71">
        <f t="shared" si="4"/>
        <v>7.0000000000000007E-2</v>
      </c>
      <c r="AJ45" s="71">
        <f t="shared" si="5"/>
        <v>0.66500000000000004</v>
      </c>
      <c r="AK45">
        <f t="shared" si="6"/>
        <v>4.7249999999999931E-2</v>
      </c>
      <c r="AM45" s="71"/>
    </row>
    <row r="46" spans="1:5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10"/>
        <v>-0.1199999999999999</v>
      </c>
      <c r="AA46">
        <f t="shared" ca="1" si="9"/>
        <v>0.58573288320000005</v>
      </c>
      <c r="AF46">
        <v>10</v>
      </c>
      <c r="AG46">
        <f t="shared" si="3"/>
        <v>2.1164021164021167</v>
      </c>
      <c r="AH46">
        <f>+HLOOKUP(AF46,'ENA VolSkew'!$B$2:$U$40,MATCH(Contract,'ENA VolSkew'!$A$3:$A$40,1)+1)</f>
        <v>12</v>
      </c>
      <c r="AI46" s="71">
        <f t="shared" si="4"/>
        <v>0.12</v>
      </c>
      <c r="AJ46" s="71">
        <f t="shared" si="5"/>
        <v>0.71499999999999997</v>
      </c>
      <c r="AK46">
        <f t="shared" si="6"/>
        <v>5.0399999999999986E-2</v>
      </c>
      <c r="AM46" s="71"/>
    </row>
    <row r="47" spans="1:5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10"/>
        <v>-0.1099999999999999</v>
      </c>
      <c r="AA47">
        <f t="shared" ca="1" si="9"/>
        <v>0.58636222130000004</v>
      </c>
      <c r="AF47">
        <v>40</v>
      </c>
      <c r="AG47">
        <f t="shared" si="3"/>
        <v>8.4656084656084669</v>
      </c>
      <c r="AH47">
        <f>+HLOOKUP(AF47,'ENA VolSkew'!$B$2:$U$40,MATCH(Contract,'ENA VolSkew'!$A$3:$A$40,1)+1)</f>
        <v>44</v>
      </c>
      <c r="AI47" s="71">
        <f t="shared" si="4"/>
        <v>0.44</v>
      </c>
      <c r="AJ47" s="71">
        <f t="shared" si="5"/>
        <v>1.0349999999999999</v>
      </c>
      <c r="AK47">
        <f>+IF(AG47=-2,"",(AJ50-AJ47)/(AG50-AG47))</f>
        <v>0.12225937499999998</v>
      </c>
      <c r="AM47" s="71"/>
    </row>
    <row r="48" spans="1:5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10"/>
        <v>-9.9999999999999908E-2</v>
      </c>
      <c r="AA48">
        <f t="shared" ca="1" si="9"/>
        <v>0.5870110300000001</v>
      </c>
      <c r="AM48" s="71"/>
    </row>
    <row r="49" spans="1:39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10"/>
        <v>-8.9999999999999913E-2</v>
      </c>
      <c r="AA49">
        <f t="shared" ca="1" si="9"/>
        <v>0.58767930930000001</v>
      </c>
      <c r="AM49" s="71"/>
    </row>
    <row r="50" spans="1:39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10"/>
        <v>-7.9999999999999918E-2</v>
      </c>
      <c r="AA50">
        <f t="shared" ca="1" si="9"/>
        <v>0.5883670592000001</v>
      </c>
    </row>
    <row r="51" spans="1:39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10"/>
        <v>-6.9999999999999923E-2</v>
      </c>
      <c r="AA51">
        <f t="shared" ca="1" si="9"/>
        <v>0.58907427970000004</v>
      </c>
    </row>
    <row r="52" spans="1:39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10"/>
        <v>-5.9999999999999921E-2</v>
      </c>
      <c r="AA52">
        <f t="shared" ca="1" si="9"/>
        <v>0.58980097080000005</v>
      </c>
    </row>
    <row r="53" spans="1:39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10"/>
        <v>-4.999999999999992E-2</v>
      </c>
      <c r="AA53">
        <f t="shared" ca="1" si="9"/>
        <v>0.59054713250000002</v>
      </c>
    </row>
    <row r="54" spans="1:39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10"/>
        <v>-3.9999999999999918E-2</v>
      </c>
      <c r="AA54">
        <f t="shared" ca="1" si="9"/>
        <v>0.59131276480000006</v>
      </c>
    </row>
    <row r="55" spans="1:39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10"/>
        <v>-2.9999999999999916E-2</v>
      </c>
      <c r="AA55">
        <f t="shared" ca="1" si="9"/>
        <v>0.59209786770000006</v>
      </c>
    </row>
    <row r="56" spans="1:39" x14ac:dyDescent="0.25">
      <c r="Z56" s="36">
        <f t="shared" ca="1" si="10"/>
        <v>-1.9999999999999914E-2</v>
      </c>
      <c r="AA56">
        <f t="shared" ca="1" si="9"/>
        <v>0.59290244120000013</v>
      </c>
    </row>
    <row r="57" spans="1:39" x14ac:dyDescent="0.25">
      <c r="Z57" s="36">
        <f t="shared" ca="1" si="10"/>
        <v>-9.9999999999999135E-3</v>
      </c>
      <c r="AA57">
        <f t="shared" ca="1" si="9"/>
        <v>0.59372648530000005</v>
      </c>
    </row>
    <row r="58" spans="1:39" x14ac:dyDescent="0.25">
      <c r="Z58" s="36">
        <f t="shared" ca="1" si="10"/>
        <v>8.6736173798840355E-17</v>
      </c>
      <c r="AA58">
        <f t="shared" ca="1" si="9"/>
        <v>0.59457000000000004</v>
      </c>
    </row>
    <row r="59" spans="1:39" x14ac:dyDescent="0.25">
      <c r="Z59" s="36">
        <f t="shared" ca="1" si="10"/>
        <v>1.0000000000000087E-2</v>
      </c>
      <c r="AA59">
        <f t="shared" ca="1" si="9"/>
        <v>0.59543298530000011</v>
      </c>
    </row>
    <row r="60" spans="1:39" x14ac:dyDescent="0.25">
      <c r="Z60" s="36">
        <f t="shared" ca="1" si="10"/>
        <v>2.0000000000000087E-2</v>
      </c>
      <c r="AA60">
        <f t="shared" ca="1" si="9"/>
        <v>0.59631544120000013</v>
      </c>
    </row>
    <row r="61" spans="1:39" x14ac:dyDescent="0.25">
      <c r="Z61" s="36">
        <f t="shared" ca="1" si="10"/>
        <v>3.0000000000000089E-2</v>
      </c>
      <c r="AA61">
        <f t="shared" ca="1" si="9"/>
        <v>0.5972173677</v>
      </c>
    </row>
    <row r="62" spans="1:39" x14ac:dyDescent="0.25">
      <c r="Z62" s="36">
        <f t="shared" ca="1" si="10"/>
        <v>4.0000000000000091E-2</v>
      </c>
      <c r="AA62">
        <f t="shared" ca="1" si="9"/>
        <v>0.59813876480000006</v>
      </c>
    </row>
    <row r="63" spans="1:39" x14ac:dyDescent="0.25">
      <c r="Z63" s="36">
        <f t="shared" ca="1" si="10"/>
        <v>5.0000000000000093E-2</v>
      </c>
      <c r="AA63">
        <f t="shared" ca="1" si="9"/>
        <v>0.59907963250000007</v>
      </c>
    </row>
    <row r="64" spans="1:39" x14ac:dyDescent="0.25">
      <c r="Z64" s="36">
        <f t="shared" ca="1" si="10"/>
        <v>6.0000000000000095E-2</v>
      </c>
      <c r="AA64">
        <f t="shared" ref="AA64:AA95" ca="1" si="11">OFFSET(VolSkewCoef,0,impvol_order-2)+OFFSET(VolSkewCoef,1,impvol_order-2)*Z64+OFFSET(VolSkewCoef,2,impvol_order-2)*Z64^2+IF(impvol_order&gt;2,OFFSET(VolSkewCoef,3,impvol_order-2)*Z64^3,0)+IF(impvol_order&gt;3,OFFSET(VolSkewCoef,4,impvol_order-2)*Z64^4,0)+IF(impvol_order&gt;4,OFFSET(VolSkewCoef,5,impvol_order-2)*Z64^5,0)</f>
        <v>0.60003997080000004</v>
      </c>
    </row>
    <row r="65" spans="26:27" x14ac:dyDescent="0.25">
      <c r="Z65" s="36">
        <f t="shared" ref="Z65:Z96" ca="1" si="12">+Z64+0.01</f>
        <v>7.000000000000009E-2</v>
      </c>
      <c r="AA65">
        <f t="shared" ca="1" si="11"/>
        <v>0.60101977969999998</v>
      </c>
    </row>
    <row r="66" spans="26:27" x14ac:dyDescent="0.25">
      <c r="Z66" s="36">
        <f t="shared" ca="1" si="12"/>
        <v>8.0000000000000085E-2</v>
      </c>
      <c r="AA66">
        <f t="shared" ca="1" si="11"/>
        <v>0.6020190592000001</v>
      </c>
    </row>
    <row r="67" spans="26:27" x14ac:dyDescent="0.25">
      <c r="Z67" s="36">
        <f t="shared" ca="1" si="12"/>
        <v>9.000000000000008E-2</v>
      </c>
      <c r="AA67">
        <f t="shared" ca="1" si="11"/>
        <v>0.60303780930000006</v>
      </c>
    </row>
    <row r="68" spans="26:27" x14ac:dyDescent="0.25">
      <c r="Z68" s="36">
        <f t="shared" ca="1" si="12"/>
        <v>0.10000000000000007</v>
      </c>
      <c r="AA68">
        <f t="shared" ca="1" si="11"/>
        <v>0.6040760300000001</v>
      </c>
    </row>
    <row r="69" spans="26:27" x14ac:dyDescent="0.25">
      <c r="Z69" s="36">
        <f t="shared" ca="1" si="12"/>
        <v>0.11000000000000007</v>
      </c>
      <c r="AA69">
        <f t="shared" ca="1" si="11"/>
        <v>0.60513372129999998</v>
      </c>
    </row>
    <row r="70" spans="26:27" x14ac:dyDescent="0.25">
      <c r="Z70" s="36">
        <f t="shared" ca="1" si="12"/>
        <v>0.12000000000000006</v>
      </c>
      <c r="AA70">
        <f t="shared" ca="1" si="11"/>
        <v>0.60621088320000005</v>
      </c>
    </row>
    <row r="71" spans="26:27" x14ac:dyDescent="0.25">
      <c r="Z71" s="36">
        <f t="shared" ca="1" si="12"/>
        <v>0.13000000000000006</v>
      </c>
      <c r="AA71">
        <f t="shared" ca="1" si="11"/>
        <v>0.60730751570000008</v>
      </c>
    </row>
    <row r="72" spans="26:27" x14ac:dyDescent="0.25">
      <c r="Z72" s="36">
        <f t="shared" ca="1" si="12"/>
        <v>0.14000000000000007</v>
      </c>
      <c r="AA72">
        <f t="shared" ca="1" si="11"/>
        <v>0.60842361880000007</v>
      </c>
    </row>
    <row r="73" spans="26:27" x14ac:dyDescent="0.25">
      <c r="Z73" s="36">
        <f t="shared" ca="1" si="12"/>
        <v>0.15000000000000008</v>
      </c>
      <c r="AA73">
        <f t="shared" ca="1" si="11"/>
        <v>0.60955919250000001</v>
      </c>
    </row>
    <row r="74" spans="26:27" x14ac:dyDescent="0.25">
      <c r="Z74" s="36">
        <f t="shared" ca="1" si="12"/>
        <v>0.16000000000000009</v>
      </c>
      <c r="AA74">
        <f t="shared" ca="1" si="11"/>
        <v>0.61071423680000003</v>
      </c>
    </row>
    <row r="75" spans="26:27" x14ac:dyDescent="0.25">
      <c r="Z75" s="36">
        <f t="shared" ca="1" si="12"/>
        <v>0.1700000000000001</v>
      </c>
      <c r="AA75">
        <f t="shared" ca="1" si="11"/>
        <v>0.61188875170000012</v>
      </c>
    </row>
    <row r="76" spans="26:27" x14ac:dyDescent="0.25">
      <c r="Z76" s="36">
        <f t="shared" ca="1" si="12"/>
        <v>0.1800000000000001</v>
      </c>
      <c r="AA76">
        <f t="shared" ca="1" si="11"/>
        <v>0.61308273720000006</v>
      </c>
    </row>
    <row r="77" spans="26:27" x14ac:dyDescent="0.25">
      <c r="Z77" s="36">
        <f t="shared" ca="1" si="12"/>
        <v>0.19000000000000011</v>
      </c>
      <c r="AA77">
        <f t="shared" ca="1" si="11"/>
        <v>0.61429619330000007</v>
      </c>
    </row>
    <row r="78" spans="26:27" x14ac:dyDescent="0.25">
      <c r="Z78" s="36">
        <f t="shared" ca="1" si="12"/>
        <v>0.20000000000000012</v>
      </c>
      <c r="AA78">
        <f t="shared" ca="1" si="11"/>
        <v>0.61552912000000004</v>
      </c>
    </row>
    <row r="79" spans="26:27" x14ac:dyDescent="0.25">
      <c r="Z79" s="36">
        <f t="shared" ca="1" si="12"/>
        <v>0.21000000000000013</v>
      </c>
      <c r="AA79">
        <f t="shared" ca="1" si="11"/>
        <v>0.61678151730000008</v>
      </c>
    </row>
    <row r="80" spans="26:27" x14ac:dyDescent="0.25">
      <c r="Z80" s="36">
        <f t="shared" ca="1" si="12"/>
        <v>0.22000000000000014</v>
      </c>
      <c r="AA80">
        <f t="shared" ca="1" si="11"/>
        <v>0.61805338520000008</v>
      </c>
    </row>
    <row r="81" spans="26:27" x14ac:dyDescent="0.25">
      <c r="Z81" s="36">
        <f t="shared" ca="1" si="12"/>
        <v>0.23000000000000015</v>
      </c>
      <c r="AA81">
        <f t="shared" ca="1" si="11"/>
        <v>0.61934472370000004</v>
      </c>
    </row>
    <row r="82" spans="26:27" x14ac:dyDescent="0.25">
      <c r="Z82" s="36">
        <f t="shared" ca="1" si="12"/>
        <v>0.24000000000000016</v>
      </c>
      <c r="AA82">
        <f t="shared" ca="1" si="11"/>
        <v>0.62065553280000008</v>
      </c>
    </row>
    <row r="83" spans="26:27" x14ac:dyDescent="0.25">
      <c r="Z83" s="36">
        <f t="shared" ca="1" si="12"/>
        <v>0.25000000000000017</v>
      </c>
      <c r="AA83">
        <f t="shared" ca="1" si="11"/>
        <v>0.62198581250000007</v>
      </c>
    </row>
    <row r="84" spans="26:27" x14ac:dyDescent="0.25">
      <c r="Z84" s="36">
        <f t="shared" ca="1" si="12"/>
        <v>0.26000000000000018</v>
      </c>
      <c r="AA84">
        <f t="shared" ca="1" si="11"/>
        <v>0.62333556280000013</v>
      </c>
    </row>
    <row r="85" spans="26:27" x14ac:dyDescent="0.25">
      <c r="Z85" s="36">
        <f t="shared" ca="1" si="12"/>
        <v>0.27000000000000018</v>
      </c>
      <c r="AA85">
        <f t="shared" ca="1" si="11"/>
        <v>0.62470478370000004</v>
      </c>
    </row>
    <row r="86" spans="26:27" x14ac:dyDescent="0.25">
      <c r="Z86" s="36">
        <f t="shared" ca="1" si="12"/>
        <v>0.28000000000000019</v>
      </c>
      <c r="AA86">
        <f t="shared" ca="1" si="11"/>
        <v>0.62609347520000003</v>
      </c>
    </row>
    <row r="87" spans="26:27" x14ac:dyDescent="0.25">
      <c r="Z87" s="36">
        <f t="shared" ca="1" si="12"/>
        <v>0.2900000000000002</v>
      </c>
      <c r="AA87">
        <f t="shared" ca="1" si="11"/>
        <v>0.62750163730000008</v>
      </c>
    </row>
    <row r="88" spans="26:27" x14ac:dyDescent="0.25">
      <c r="Z88" s="36">
        <f t="shared" ca="1" si="12"/>
        <v>0.30000000000000021</v>
      </c>
      <c r="AA88">
        <f t="shared" ca="1" si="11"/>
        <v>0.6289292700000001</v>
      </c>
    </row>
    <row r="89" spans="26:27" x14ac:dyDescent="0.25">
      <c r="Z89" s="36">
        <f t="shared" ca="1" si="12"/>
        <v>0.31000000000000022</v>
      </c>
      <c r="AA89">
        <f t="shared" ca="1" si="11"/>
        <v>0.63037637330000007</v>
      </c>
    </row>
    <row r="90" spans="26:27" x14ac:dyDescent="0.25">
      <c r="Z90" s="36">
        <f t="shared" ca="1" si="12"/>
        <v>0.32000000000000023</v>
      </c>
      <c r="AA90">
        <f t="shared" ca="1" si="11"/>
        <v>0.6318429472</v>
      </c>
    </row>
    <row r="91" spans="26:27" x14ac:dyDescent="0.25">
      <c r="Z91" s="36">
        <f t="shared" ca="1" si="12"/>
        <v>0.33000000000000024</v>
      </c>
      <c r="AA91">
        <f t="shared" ca="1" si="11"/>
        <v>0.63332899170000012</v>
      </c>
    </row>
    <row r="92" spans="26:27" x14ac:dyDescent="0.25">
      <c r="Z92" s="36">
        <f t="shared" ca="1" si="12"/>
        <v>0.34000000000000025</v>
      </c>
      <c r="AA92">
        <f t="shared" ca="1" si="11"/>
        <v>0.63483450680000009</v>
      </c>
    </row>
    <row r="93" spans="26:27" x14ac:dyDescent="0.25">
      <c r="Z93" s="36">
        <f t="shared" ca="1" si="12"/>
        <v>0.35000000000000026</v>
      </c>
      <c r="AA93">
        <f t="shared" ca="1" si="11"/>
        <v>0.63635949250000012</v>
      </c>
    </row>
    <row r="94" spans="26:27" x14ac:dyDescent="0.25">
      <c r="Z94" s="36">
        <f t="shared" ca="1" si="12"/>
        <v>0.36000000000000026</v>
      </c>
      <c r="AA94">
        <f t="shared" ca="1" si="11"/>
        <v>0.63790394880000001</v>
      </c>
    </row>
    <row r="95" spans="26:27" x14ac:dyDescent="0.25">
      <c r="Z95" s="36">
        <f t="shared" ca="1" si="12"/>
        <v>0.37000000000000027</v>
      </c>
      <c r="AA95">
        <f t="shared" ca="1" si="11"/>
        <v>0.63946787570000008</v>
      </c>
    </row>
    <row r="96" spans="26:27" x14ac:dyDescent="0.25">
      <c r="Z96" s="36">
        <f t="shared" ca="1" si="12"/>
        <v>0.38000000000000028</v>
      </c>
      <c r="AA96">
        <f t="shared" ref="AA96:AA127" ca="1" si="13">OFFSET(VolSkewCoef,0,impvol_order-2)+OFFSET(VolSkewCoef,1,impvol_order-2)*Z96+OFFSET(VolSkewCoef,2,impvol_order-2)*Z96^2+IF(impvol_order&gt;2,OFFSET(VolSkewCoef,3,impvol_order-2)*Z96^3,0)+IF(impvol_order&gt;3,OFFSET(VolSkewCoef,4,impvol_order-2)*Z96^4,0)+IF(impvol_order&gt;4,OFFSET(VolSkewCoef,5,impvol_order-2)*Z96^5,0)</f>
        <v>0.6410512732000001</v>
      </c>
    </row>
    <row r="97" spans="26:27" x14ac:dyDescent="0.25">
      <c r="Z97" s="36">
        <f t="shared" ref="Z97:Z128" ca="1" si="14">+Z96+0.01</f>
        <v>0.39000000000000029</v>
      </c>
      <c r="AA97">
        <f t="shared" ca="1" si="13"/>
        <v>0.64265414129999998</v>
      </c>
    </row>
    <row r="98" spans="26:27" x14ac:dyDescent="0.25">
      <c r="Z98" s="36">
        <f t="shared" ca="1" si="14"/>
        <v>0.4000000000000003</v>
      </c>
      <c r="AA98">
        <f t="shared" ca="1" si="13"/>
        <v>0.64427648000000004</v>
      </c>
    </row>
    <row r="99" spans="26:27" x14ac:dyDescent="0.25">
      <c r="Z99" s="36">
        <f t="shared" ca="1" si="14"/>
        <v>0.41000000000000031</v>
      </c>
      <c r="AA99">
        <f t="shared" ca="1" si="13"/>
        <v>0.64591828930000006</v>
      </c>
    </row>
    <row r="100" spans="26:27" x14ac:dyDescent="0.25">
      <c r="Z100" s="36">
        <f t="shared" ca="1" si="14"/>
        <v>0.42000000000000032</v>
      </c>
      <c r="AA100">
        <f t="shared" ca="1" si="13"/>
        <v>0.64757956920000015</v>
      </c>
    </row>
    <row r="101" spans="26:27" x14ac:dyDescent="0.25">
      <c r="Z101" s="36">
        <f t="shared" ca="1" si="14"/>
        <v>0.43000000000000033</v>
      </c>
      <c r="AA101">
        <f t="shared" ca="1" si="13"/>
        <v>0.6492603197000002</v>
      </c>
    </row>
    <row r="102" spans="26:27" x14ac:dyDescent="0.25">
      <c r="Z102" s="36">
        <f t="shared" ca="1" si="14"/>
        <v>0.44000000000000034</v>
      </c>
      <c r="AA102">
        <f t="shared" ca="1" si="13"/>
        <v>0.6509605408000001</v>
      </c>
    </row>
    <row r="103" spans="26:27" x14ac:dyDescent="0.25">
      <c r="Z103" s="36">
        <f t="shared" ca="1" si="14"/>
        <v>0.45000000000000034</v>
      </c>
      <c r="AA103">
        <f t="shared" ca="1" si="13"/>
        <v>0.65268023250000007</v>
      </c>
    </row>
    <row r="104" spans="26:27" x14ac:dyDescent="0.25">
      <c r="Z104" s="36">
        <f t="shared" ca="1" si="14"/>
        <v>0.46000000000000035</v>
      </c>
      <c r="AA104">
        <f t="shared" ca="1" si="13"/>
        <v>0.65441939480000011</v>
      </c>
    </row>
    <row r="105" spans="26:27" x14ac:dyDescent="0.25">
      <c r="Z105" s="36">
        <f t="shared" ca="1" si="14"/>
        <v>0.47000000000000036</v>
      </c>
      <c r="AA105">
        <f t="shared" ca="1" si="13"/>
        <v>0.65617802770000011</v>
      </c>
    </row>
    <row r="106" spans="26:27" x14ac:dyDescent="0.25">
      <c r="Z106" s="36">
        <f t="shared" ca="1" si="14"/>
        <v>0.48000000000000037</v>
      </c>
      <c r="AA106">
        <f t="shared" ca="1" si="13"/>
        <v>0.65795613120000007</v>
      </c>
    </row>
    <row r="107" spans="26:27" x14ac:dyDescent="0.25">
      <c r="Z107" s="36">
        <f t="shared" ca="1" si="14"/>
        <v>0.49000000000000038</v>
      </c>
      <c r="AA107">
        <f t="shared" ca="1" si="13"/>
        <v>0.6597537053000001</v>
      </c>
    </row>
    <row r="108" spans="26:27" x14ac:dyDescent="0.25">
      <c r="Z108" s="36">
        <f t="shared" ca="1" si="14"/>
        <v>0.50000000000000033</v>
      </c>
      <c r="AA108">
        <f t="shared" ca="1" si="13"/>
        <v>0.6615707500000001</v>
      </c>
    </row>
    <row r="109" spans="26:27" x14ac:dyDescent="0.25">
      <c r="Z109" s="36">
        <f t="shared" ca="1" si="14"/>
        <v>0.51000000000000034</v>
      </c>
      <c r="AA109">
        <f t="shared" ca="1" si="13"/>
        <v>0.66340726530000016</v>
      </c>
    </row>
    <row r="110" spans="26:27" x14ac:dyDescent="0.25">
      <c r="Z110" s="36">
        <f t="shared" ca="1" si="14"/>
        <v>0.52000000000000035</v>
      </c>
      <c r="AA110">
        <f t="shared" ca="1" si="13"/>
        <v>0.66526325120000007</v>
      </c>
    </row>
    <row r="111" spans="26:27" x14ac:dyDescent="0.25">
      <c r="Z111" s="36">
        <f t="shared" ca="1" si="14"/>
        <v>0.53000000000000036</v>
      </c>
      <c r="AA111">
        <f t="shared" ca="1" si="13"/>
        <v>0.66713870770000006</v>
      </c>
    </row>
    <row r="112" spans="26:27" x14ac:dyDescent="0.25">
      <c r="Z112" s="36">
        <f t="shared" ca="1" si="14"/>
        <v>0.54000000000000037</v>
      </c>
      <c r="AA112">
        <f t="shared" ca="1" si="13"/>
        <v>0.66903363480000011</v>
      </c>
    </row>
    <row r="113" spans="26:27" x14ac:dyDescent="0.25">
      <c r="Z113" s="36">
        <f t="shared" ca="1" si="14"/>
        <v>0.55000000000000038</v>
      </c>
      <c r="AA113">
        <f t="shared" ca="1" si="13"/>
        <v>0.67094803250000012</v>
      </c>
    </row>
    <row r="114" spans="26:27" x14ac:dyDescent="0.25">
      <c r="Z114" s="36">
        <f t="shared" ca="1" si="14"/>
        <v>0.56000000000000039</v>
      </c>
      <c r="AA114">
        <f t="shared" ca="1" si="13"/>
        <v>0.6728819008000001</v>
      </c>
    </row>
    <row r="115" spans="26:27" x14ac:dyDescent="0.25">
      <c r="Z115" s="36">
        <f t="shared" ca="1" si="14"/>
        <v>0.5700000000000004</v>
      </c>
      <c r="AA115">
        <f t="shared" ca="1" si="13"/>
        <v>0.67483523970000014</v>
      </c>
    </row>
    <row r="116" spans="26:27" x14ac:dyDescent="0.25">
      <c r="Z116" s="36">
        <f t="shared" ca="1" si="14"/>
        <v>0.5800000000000004</v>
      </c>
      <c r="AA116">
        <f t="shared" ca="1" si="13"/>
        <v>0.67680804920000015</v>
      </c>
    </row>
    <row r="117" spans="26:27" x14ac:dyDescent="0.25">
      <c r="Z117" s="36">
        <f t="shared" ca="1" si="14"/>
        <v>0.59000000000000041</v>
      </c>
      <c r="AA117">
        <f t="shared" ca="1" si="13"/>
        <v>0.67880032930000012</v>
      </c>
    </row>
    <row r="118" spans="26:27" x14ac:dyDescent="0.25">
      <c r="Z118" s="36">
        <f t="shared" ca="1" si="14"/>
        <v>0.60000000000000042</v>
      </c>
      <c r="AA118">
        <f t="shared" ca="1" si="13"/>
        <v>0.68081208000000004</v>
      </c>
    </row>
    <row r="119" spans="26:27" x14ac:dyDescent="0.25">
      <c r="Z119" s="36">
        <f t="shared" ca="1" si="14"/>
        <v>0.61000000000000043</v>
      </c>
      <c r="AA119">
        <f t="shared" ca="1" si="13"/>
        <v>0.68284330130000015</v>
      </c>
    </row>
    <row r="120" spans="26:27" x14ac:dyDescent="0.25">
      <c r="Z120" s="36">
        <f t="shared" ca="1" si="14"/>
        <v>0.62000000000000044</v>
      </c>
      <c r="AA120">
        <f t="shared" ca="1" si="13"/>
        <v>0.68489399320000011</v>
      </c>
    </row>
    <row r="121" spans="26:27" x14ac:dyDescent="0.25">
      <c r="Z121" s="36">
        <f t="shared" ca="1" si="14"/>
        <v>0.63000000000000045</v>
      </c>
      <c r="AA121">
        <f t="shared" ca="1" si="13"/>
        <v>0.68696415570000013</v>
      </c>
    </row>
    <row r="122" spans="26:27" x14ac:dyDescent="0.25">
      <c r="Z122" s="36">
        <f t="shared" ca="1" si="14"/>
        <v>0.64000000000000046</v>
      </c>
      <c r="AA122">
        <f t="shared" ca="1" si="13"/>
        <v>0.68905378880000012</v>
      </c>
    </row>
    <row r="123" spans="26:27" x14ac:dyDescent="0.25">
      <c r="Z123" s="36">
        <f t="shared" ca="1" si="14"/>
        <v>0.65000000000000047</v>
      </c>
      <c r="AA123">
        <f t="shared" ca="1" si="13"/>
        <v>0.69116289250000007</v>
      </c>
    </row>
    <row r="124" spans="26:27" x14ac:dyDescent="0.25">
      <c r="Z124" s="36">
        <f t="shared" ca="1" si="14"/>
        <v>0.66000000000000048</v>
      </c>
      <c r="AA124">
        <f t="shared" ca="1" si="13"/>
        <v>0.6932914668000002</v>
      </c>
    </row>
    <row r="125" spans="26:27" x14ac:dyDescent="0.25">
      <c r="Z125" s="36">
        <f t="shared" ca="1" si="14"/>
        <v>0.67000000000000048</v>
      </c>
      <c r="AA125">
        <f t="shared" ca="1" si="13"/>
        <v>0.69543951170000018</v>
      </c>
    </row>
    <row r="126" spans="26:27" x14ac:dyDescent="0.25">
      <c r="Z126" s="36">
        <f t="shared" ca="1" si="14"/>
        <v>0.68000000000000049</v>
      </c>
      <c r="AA126">
        <f t="shared" ca="1" si="13"/>
        <v>0.69760702720000012</v>
      </c>
    </row>
    <row r="127" spans="26:27" x14ac:dyDescent="0.25">
      <c r="Z127" s="36">
        <f t="shared" ca="1" si="14"/>
        <v>0.6900000000000005</v>
      </c>
      <c r="AA127">
        <f t="shared" ca="1" si="13"/>
        <v>0.69979401330000013</v>
      </c>
    </row>
    <row r="128" spans="26:27" x14ac:dyDescent="0.25">
      <c r="Z128" s="36">
        <f t="shared" ca="1" si="14"/>
        <v>0.70000000000000051</v>
      </c>
      <c r="AA128">
        <f t="shared" ref="AA128:AA159" ca="1" si="15">OFFSET(VolSkewCoef,0,impvol_order-2)+OFFSET(VolSkewCoef,1,impvol_order-2)*Z128+OFFSET(VolSkewCoef,2,impvol_order-2)*Z128^2+IF(impvol_order&gt;2,OFFSET(VolSkewCoef,3,impvol_order-2)*Z128^3,0)+IF(impvol_order&gt;3,OFFSET(VolSkewCoef,4,impvol_order-2)*Z128^4,0)+IF(impvol_order&gt;4,OFFSET(VolSkewCoef,5,impvol_order-2)*Z128^5,0)</f>
        <v>0.70200047000000021</v>
      </c>
    </row>
    <row r="129" spans="26:27" x14ac:dyDescent="0.25">
      <c r="Z129" s="36">
        <f t="shared" ref="Z129:Z160" ca="1" si="16">+Z128+0.01</f>
        <v>0.71000000000000052</v>
      </c>
      <c r="AA129">
        <f t="shared" ca="1" si="15"/>
        <v>0.70422639730000014</v>
      </c>
    </row>
    <row r="130" spans="26:27" x14ac:dyDescent="0.25">
      <c r="Z130" s="36">
        <f t="shared" ca="1" si="16"/>
        <v>0.72000000000000053</v>
      </c>
      <c r="AA130">
        <f t="shared" ca="1" si="15"/>
        <v>0.70647179520000014</v>
      </c>
    </row>
    <row r="131" spans="26:27" x14ac:dyDescent="0.25">
      <c r="Z131" s="36">
        <f t="shared" ca="1" si="16"/>
        <v>0.73000000000000054</v>
      </c>
      <c r="AA131">
        <f t="shared" ca="1" si="15"/>
        <v>0.7087366637000001</v>
      </c>
    </row>
    <row r="132" spans="26:27" x14ac:dyDescent="0.25">
      <c r="Z132" s="36">
        <f t="shared" ca="1" si="16"/>
        <v>0.74000000000000055</v>
      </c>
      <c r="AA132">
        <f t="shared" ca="1" si="15"/>
        <v>0.71102100280000013</v>
      </c>
    </row>
    <row r="133" spans="26:27" x14ac:dyDescent="0.25">
      <c r="Z133" s="36">
        <f t="shared" ca="1" si="16"/>
        <v>0.75000000000000056</v>
      </c>
      <c r="AA133">
        <f t="shared" ca="1" si="15"/>
        <v>0.71332481250000024</v>
      </c>
    </row>
    <row r="134" spans="26:27" x14ac:dyDescent="0.25">
      <c r="Z134" s="36">
        <f t="shared" ca="1" si="16"/>
        <v>0.76000000000000056</v>
      </c>
      <c r="AA134">
        <f t="shared" ca="1" si="15"/>
        <v>0.71564809280000019</v>
      </c>
    </row>
    <row r="135" spans="26:27" x14ac:dyDescent="0.25">
      <c r="Z135" s="36">
        <f t="shared" ca="1" si="16"/>
        <v>0.77000000000000057</v>
      </c>
      <c r="AA135">
        <f t="shared" ca="1" si="15"/>
        <v>0.7179908437000001</v>
      </c>
    </row>
    <row r="136" spans="26:27" x14ac:dyDescent="0.25">
      <c r="Z136" s="36">
        <f t="shared" ca="1" si="16"/>
        <v>0.78000000000000058</v>
      </c>
      <c r="AA136">
        <f t="shared" ca="1" si="15"/>
        <v>0.7203530652000002</v>
      </c>
    </row>
    <row r="137" spans="26:27" x14ac:dyDescent="0.25">
      <c r="Z137" s="36">
        <f t="shared" ca="1" si="16"/>
        <v>0.79000000000000059</v>
      </c>
      <c r="AA137">
        <f t="shared" ca="1" si="15"/>
        <v>0.72273475730000025</v>
      </c>
    </row>
    <row r="138" spans="26:27" x14ac:dyDescent="0.25">
      <c r="Z138" s="36">
        <f t="shared" ca="1" si="16"/>
        <v>0.8000000000000006</v>
      </c>
      <c r="AA138">
        <f t="shared" ca="1" si="15"/>
        <v>0.72513592000000016</v>
      </c>
    </row>
    <row r="139" spans="26:27" x14ac:dyDescent="0.25">
      <c r="Z139" s="36">
        <f t="shared" ca="1" si="16"/>
        <v>0.81000000000000061</v>
      </c>
      <c r="AA139">
        <f t="shared" ca="1" si="15"/>
        <v>0.72755655330000013</v>
      </c>
    </row>
    <row r="140" spans="26:27" x14ac:dyDescent="0.25">
      <c r="Z140" s="36">
        <f t="shared" ca="1" si="16"/>
        <v>0.82000000000000062</v>
      </c>
      <c r="AA140">
        <f t="shared" ca="1" si="15"/>
        <v>0.72999665720000018</v>
      </c>
    </row>
    <row r="141" spans="26:27" x14ac:dyDescent="0.25">
      <c r="Z141" s="36">
        <f t="shared" ca="1" si="16"/>
        <v>0.83000000000000063</v>
      </c>
      <c r="AA141">
        <f t="shared" ca="1" si="15"/>
        <v>0.73245623170000018</v>
      </c>
    </row>
    <row r="142" spans="26:27" x14ac:dyDescent="0.25">
      <c r="Z142" s="36">
        <f t="shared" ca="1" si="16"/>
        <v>0.84000000000000064</v>
      </c>
      <c r="AA142">
        <f t="shared" ca="1" si="15"/>
        <v>0.73493527680000026</v>
      </c>
    </row>
    <row r="143" spans="26:27" x14ac:dyDescent="0.25">
      <c r="Z143" s="36">
        <f t="shared" ca="1" si="16"/>
        <v>0.85000000000000064</v>
      </c>
      <c r="AA143">
        <f t="shared" ca="1" si="15"/>
        <v>0.73743379250000018</v>
      </c>
    </row>
    <row r="144" spans="26:27" x14ac:dyDescent="0.25">
      <c r="Z144" s="36">
        <f t="shared" ca="1" si="16"/>
        <v>0.86000000000000065</v>
      </c>
      <c r="AA144">
        <f t="shared" ca="1" si="15"/>
        <v>0.73995177880000018</v>
      </c>
    </row>
    <row r="145" spans="26:27" x14ac:dyDescent="0.25">
      <c r="Z145" s="36">
        <f t="shared" ca="1" si="16"/>
        <v>0.87000000000000066</v>
      </c>
      <c r="AA145">
        <f t="shared" ca="1" si="15"/>
        <v>0.74248923570000025</v>
      </c>
    </row>
    <row r="146" spans="26:27" x14ac:dyDescent="0.25">
      <c r="Z146" s="36">
        <f t="shared" ca="1" si="16"/>
        <v>0.88000000000000067</v>
      </c>
      <c r="AA146">
        <f t="shared" ca="1" si="15"/>
        <v>0.74504616320000028</v>
      </c>
    </row>
    <row r="147" spans="26:27" x14ac:dyDescent="0.25">
      <c r="Z147" s="36">
        <f t="shared" ca="1" si="16"/>
        <v>0.89000000000000068</v>
      </c>
      <c r="AA147">
        <f t="shared" ca="1" si="15"/>
        <v>0.74762256130000015</v>
      </c>
    </row>
    <row r="148" spans="26:27" x14ac:dyDescent="0.25">
      <c r="Z148" s="36">
        <f t="shared" ca="1" si="16"/>
        <v>0.90000000000000069</v>
      </c>
      <c r="AA148">
        <f t="shared" ca="1" si="15"/>
        <v>0.75021843000000021</v>
      </c>
    </row>
    <row r="149" spans="26:27" x14ac:dyDescent="0.25">
      <c r="Z149" s="36">
        <f t="shared" ca="1" si="16"/>
        <v>0.9100000000000007</v>
      </c>
      <c r="AA149">
        <f t="shared" ca="1" si="15"/>
        <v>0.75283376930000023</v>
      </c>
    </row>
    <row r="150" spans="26:27" x14ac:dyDescent="0.25">
      <c r="Z150" s="36">
        <f t="shared" ca="1" si="16"/>
        <v>0.92000000000000071</v>
      </c>
      <c r="AA150">
        <f t="shared" ca="1" si="15"/>
        <v>0.75546857920000021</v>
      </c>
    </row>
    <row r="151" spans="26:27" x14ac:dyDescent="0.25">
      <c r="Z151" s="36">
        <f t="shared" ca="1" si="16"/>
        <v>0.93000000000000071</v>
      </c>
      <c r="AA151">
        <f t="shared" ca="1" si="15"/>
        <v>0.75812285970000015</v>
      </c>
    </row>
    <row r="152" spans="26:27" x14ac:dyDescent="0.25">
      <c r="Z152" s="36">
        <f t="shared" ca="1" si="16"/>
        <v>0.94000000000000072</v>
      </c>
      <c r="AA152">
        <f t="shared" ca="1" si="15"/>
        <v>0.76079661080000016</v>
      </c>
    </row>
    <row r="153" spans="26:27" x14ac:dyDescent="0.25">
      <c r="Z153" s="36">
        <f t="shared" ca="1" si="16"/>
        <v>0.95000000000000073</v>
      </c>
      <c r="AA153">
        <f t="shared" ca="1" si="15"/>
        <v>0.76348983250000024</v>
      </c>
    </row>
    <row r="154" spans="26:27" x14ac:dyDescent="0.25">
      <c r="Z154" s="36">
        <f t="shared" ca="1" si="16"/>
        <v>0.96000000000000074</v>
      </c>
      <c r="AA154">
        <f t="shared" ca="1" si="15"/>
        <v>0.76620252480000028</v>
      </c>
    </row>
    <row r="155" spans="26:27" x14ac:dyDescent="0.25">
      <c r="Z155" s="36">
        <f t="shared" ca="1" si="16"/>
        <v>0.97000000000000075</v>
      </c>
      <c r="AA155">
        <f t="shared" ca="1" si="15"/>
        <v>0.76893468770000017</v>
      </c>
    </row>
    <row r="156" spans="26:27" x14ac:dyDescent="0.25">
      <c r="Z156" s="36">
        <f t="shared" ca="1" si="16"/>
        <v>0.98000000000000076</v>
      </c>
      <c r="AA156">
        <f t="shared" ca="1" si="15"/>
        <v>0.77168632120000025</v>
      </c>
    </row>
    <row r="157" spans="26:27" x14ac:dyDescent="0.25">
      <c r="Z157" s="36">
        <f t="shared" ca="1" si="16"/>
        <v>0.99000000000000077</v>
      </c>
      <c r="AA157">
        <f t="shared" ca="1" si="15"/>
        <v>0.77445742530000028</v>
      </c>
    </row>
    <row r="158" spans="26:27" x14ac:dyDescent="0.25">
      <c r="Z158" s="36">
        <f t="shared" ca="1" si="16"/>
        <v>1.0000000000000007</v>
      </c>
      <c r="AA158">
        <f t="shared" ca="1" si="15"/>
        <v>0.77724800000000027</v>
      </c>
    </row>
    <row r="159" spans="26:27" x14ac:dyDescent="0.25">
      <c r="Z159" s="36">
        <f t="shared" ca="1" si="16"/>
        <v>1.0100000000000007</v>
      </c>
      <c r="AA159">
        <f t="shared" ca="1" si="15"/>
        <v>0.78005804530000022</v>
      </c>
    </row>
    <row r="160" spans="26:27" x14ac:dyDescent="0.25">
      <c r="Z160" s="36">
        <f t="shared" ca="1" si="16"/>
        <v>1.0200000000000007</v>
      </c>
      <c r="AA160">
        <f t="shared" ref="AA160:AA191" ca="1" si="17">OFFSET(VolSkewCoef,0,impvol_order-2)+OFFSET(VolSkewCoef,1,impvol_order-2)*Z160+OFFSET(VolSkewCoef,2,impvol_order-2)*Z160^2+IF(impvol_order&gt;2,OFFSET(VolSkewCoef,3,impvol_order-2)*Z160^3,0)+IF(impvol_order&gt;3,OFFSET(VolSkewCoef,4,impvol_order-2)*Z160^4,0)+IF(impvol_order&gt;4,OFFSET(VolSkewCoef,5,impvol_order-2)*Z160^5,0)</f>
        <v>0.78288756120000025</v>
      </c>
    </row>
    <row r="161" spans="26:27" x14ac:dyDescent="0.25">
      <c r="Z161" s="36">
        <f t="shared" ref="Z161:Z192" ca="1" si="18">+Z160+0.01</f>
        <v>1.0300000000000007</v>
      </c>
      <c r="AA161">
        <f t="shared" ca="1" si="17"/>
        <v>0.78573654770000023</v>
      </c>
    </row>
    <row r="162" spans="26:27" x14ac:dyDescent="0.25">
      <c r="Z162" s="36">
        <f t="shared" ca="1" si="18"/>
        <v>1.0400000000000007</v>
      </c>
      <c r="AA162">
        <f t="shared" ca="1" si="17"/>
        <v>0.78860500480000029</v>
      </c>
    </row>
    <row r="163" spans="26:27" x14ac:dyDescent="0.25">
      <c r="Z163" s="36">
        <f t="shared" ca="1" si="18"/>
        <v>1.0500000000000007</v>
      </c>
      <c r="AA163">
        <f t="shared" ca="1" si="17"/>
        <v>0.79149293250000019</v>
      </c>
    </row>
    <row r="164" spans="26:27" x14ac:dyDescent="0.25">
      <c r="Z164" s="36">
        <f t="shared" ca="1" si="18"/>
        <v>1.0600000000000007</v>
      </c>
      <c r="AA164">
        <f t="shared" ca="1" si="17"/>
        <v>0.79440033080000028</v>
      </c>
    </row>
    <row r="165" spans="26:27" x14ac:dyDescent="0.25">
      <c r="Z165" s="36">
        <f t="shared" ca="1" si="18"/>
        <v>1.0700000000000007</v>
      </c>
      <c r="AA165">
        <f t="shared" ca="1" si="17"/>
        <v>0.79732719970000021</v>
      </c>
    </row>
    <row r="166" spans="26:27" x14ac:dyDescent="0.25">
      <c r="Z166" s="36">
        <f t="shared" ca="1" si="18"/>
        <v>1.0800000000000007</v>
      </c>
      <c r="AA166">
        <f t="shared" ca="1" si="17"/>
        <v>0.80027353920000033</v>
      </c>
    </row>
    <row r="167" spans="26:27" x14ac:dyDescent="0.25">
      <c r="Z167" s="36">
        <f t="shared" ca="1" si="18"/>
        <v>1.0900000000000007</v>
      </c>
      <c r="AA167">
        <f t="shared" ca="1" si="17"/>
        <v>0.80323934930000029</v>
      </c>
    </row>
    <row r="168" spans="26:27" x14ac:dyDescent="0.25">
      <c r="Z168" s="36">
        <f t="shared" ca="1" si="18"/>
        <v>1.1000000000000008</v>
      </c>
      <c r="AA168">
        <f t="shared" ca="1" si="17"/>
        <v>0.80622463000000022</v>
      </c>
    </row>
    <row r="169" spans="26:27" x14ac:dyDescent="0.25">
      <c r="Z169" s="36">
        <f t="shared" ca="1" si="18"/>
        <v>1.1100000000000008</v>
      </c>
      <c r="AA169">
        <f t="shared" ca="1" si="17"/>
        <v>0.80922938130000022</v>
      </c>
    </row>
    <row r="170" spans="26:27" x14ac:dyDescent="0.25">
      <c r="Z170" s="36">
        <f t="shared" ca="1" si="18"/>
        <v>1.1200000000000008</v>
      </c>
      <c r="AA170">
        <f t="shared" ca="1" si="17"/>
        <v>0.81225360320000028</v>
      </c>
    </row>
    <row r="171" spans="26:27" x14ac:dyDescent="0.25">
      <c r="Z171" s="36">
        <f t="shared" ca="1" si="18"/>
        <v>1.1300000000000008</v>
      </c>
      <c r="AA171">
        <f t="shared" ca="1" si="17"/>
        <v>0.8152972957000002</v>
      </c>
    </row>
    <row r="172" spans="26:27" x14ac:dyDescent="0.25">
      <c r="Z172" s="36">
        <f t="shared" ca="1" si="18"/>
        <v>1.1400000000000008</v>
      </c>
      <c r="AA172">
        <f t="shared" ca="1" si="17"/>
        <v>0.81836045880000019</v>
      </c>
    </row>
    <row r="173" spans="26:27" x14ac:dyDescent="0.25">
      <c r="Z173" s="36">
        <f t="shared" ca="1" si="18"/>
        <v>1.1500000000000008</v>
      </c>
      <c r="AA173">
        <f t="shared" ca="1" si="17"/>
        <v>0.82144309250000025</v>
      </c>
    </row>
    <row r="174" spans="26:27" x14ac:dyDescent="0.25">
      <c r="Z174" s="36">
        <f t="shared" ca="1" si="18"/>
        <v>1.1600000000000008</v>
      </c>
      <c r="AA174">
        <f t="shared" ca="1" si="17"/>
        <v>0.82454519680000038</v>
      </c>
    </row>
    <row r="175" spans="26:27" x14ac:dyDescent="0.25">
      <c r="Z175" s="36">
        <f t="shared" ca="1" si="18"/>
        <v>1.1700000000000008</v>
      </c>
      <c r="AA175">
        <f t="shared" ca="1" si="17"/>
        <v>0.82766677170000036</v>
      </c>
    </row>
    <row r="176" spans="26:27" x14ac:dyDescent="0.25">
      <c r="Z176" s="36">
        <f t="shared" ca="1" si="18"/>
        <v>1.1800000000000008</v>
      </c>
      <c r="AA176">
        <f t="shared" ca="1" si="17"/>
        <v>0.83080781720000019</v>
      </c>
    </row>
    <row r="177" spans="26:27" x14ac:dyDescent="0.25">
      <c r="Z177" s="36">
        <f t="shared" ca="1" si="18"/>
        <v>1.1900000000000008</v>
      </c>
      <c r="AA177">
        <f t="shared" ca="1" si="17"/>
        <v>0.83396833330000031</v>
      </c>
    </row>
    <row r="178" spans="26:27" x14ac:dyDescent="0.25">
      <c r="Z178" s="36">
        <f t="shared" ca="1" si="18"/>
        <v>1.2000000000000008</v>
      </c>
      <c r="AA178">
        <f t="shared" ca="1" si="17"/>
        <v>0.83714832000000028</v>
      </c>
    </row>
    <row r="179" spans="26:27" x14ac:dyDescent="0.25">
      <c r="Z179" s="36">
        <f t="shared" ca="1" si="18"/>
        <v>1.2100000000000009</v>
      </c>
      <c r="AA179">
        <f t="shared" ca="1" si="17"/>
        <v>0.84034777730000021</v>
      </c>
    </row>
    <row r="180" spans="26:27" x14ac:dyDescent="0.25">
      <c r="Z180" s="36">
        <f t="shared" ca="1" si="18"/>
        <v>1.2200000000000009</v>
      </c>
      <c r="AA180">
        <f t="shared" ca="1" si="17"/>
        <v>0.84356670520000032</v>
      </c>
    </row>
    <row r="181" spans="26:27" x14ac:dyDescent="0.25">
      <c r="Z181" s="36">
        <f t="shared" ca="1" si="18"/>
        <v>1.2300000000000009</v>
      </c>
      <c r="AA181">
        <f t="shared" ca="1" si="17"/>
        <v>0.84680510370000028</v>
      </c>
    </row>
    <row r="182" spans="26:27" x14ac:dyDescent="0.25">
      <c r="Z182" s="36">
        <f t="shared" ca="1" si="18"/>
        <v>1.2400000000000009</v>
      </c>
      <c r="AA182">
        <f t="shared" ca="1" si="17"/>
        <v>0.85006297280000032</v>
      </c>
    </row>
    <row r="183" spans="26:27" x14ac:dyDescent="0.25">
      <c r="Z183" s="36">
        <f t="shared" ca="1" si="18"/>
        <v>1.2500000000000009</v>
      </c>
      <c r="AA183">
        <f t="shared" ca="1" si="17"/>
        <v>0.85334031250000031</v>
      </c>
    </row>
    <row r="184" spans="26:27" x14ac:dyDescent="0.25">
      <c r="Z184" s="36">
        <f t="shared" ca="1" si="18"/>
        <v>1.2600000000000009</v>
      </c>
      <c r="AA184">
        <f t="shared" ca="1" si="17"/>
        <v>0.85663712280000026</v>
      </c>
    </row>
    <row r="185" spans="26:27" x14ac:dyDescent="0.25">
      <c r="Z185" s="36">
        <f t="shared" ca="1" si="18"/>
        <v>1.2700000000000009</v>
      </c>
      <c r="AA185">
        <f t="shared" ca="1" si="17"/>
        <v>0.85995340370000029</v>
      </c>
    </row>
    <row r="186" spans="26:27" x14ac:dyDescent="0.25">
      <c r="Z186" s="36">
        <f t="shared" ca="1" si="18"/>
        <v>1.2800000000000009</v>
      </c>
      <c r="AA186">
        <f t="shared" ca="1" si="17"/>
        <v>0.86328915520000038</v>
      </c>
    </row>
    <row r="187" spans="26:27" x14ac:dyDescent="0.25">
      <c r="Z187" s="36">
        <f t="shared" ca="1" si="18"/>
        <v>1.2900000000000009</v>
      </c>
      <c r="AA187">
        <f t="shared" ca="1" si="17"/>
        <v>0.86664437730000032</v>
      </c>
    </row>
    <row r="188" spans="26:27" x14ac:dyDescent="0.25">
      <c r="Z188" s="36">
        <f t="shared" ca="1" si="18"/>
        <v>1.3000000000000009</v>
      </c>
      <c r="AA188">
        <f t="shared" ca="1" si="17"/>
        <v>0.87001907000000034</v>
      </c>
    </row>
    <row r="189" spans="26:27" x14ac:dyDescent="0.25">
      <c r="Z189" s="36">
        <f t="shared" ca="1" si="18"/>
        <v>1.3100000000000009</v>
      </c>
      <c r="AA189">
        <f t="shared" ca="1" si="17"/>
        <v>0.87341323330000031</v>
      </c>
    </row>
    <row r="190" spans="26:27" x14ac:dyDescent="0.25">
      <c r="Z190" s="36">
        <f t="shared" ca="1" si="18"/>
        <v>1.320000000000001</v>
      </c>
      <c r="AA190">
        <f t="shared" ca="1" si="17"/>
        <v>0.87682686720000036</v>
      </c>
    </row>
    <row r="191" spans="26:27" x14ac:dyDescent="0.25">
      <c r="Z191" s="36">
        <f t="shared" ca="1" si="18"/>
        <v>1.330000000000001</v>
      </c>
      <c r="AA191">
        <f t="shared" ca="1" si="17"/>
        <v>0.88025997170000037</v>
      </c>
    </row>
    <row r="192" spans="26:27" x14ac:dyDescent="0.25">
      <c r="Z192" s="36">
        <f t="shared" ca="1" si="18"/>
        <v>1.340000000000001</v>
      </c>
      <c r="AA192">
        <f t="shared" ref="AA192:AA223" ca="1" si="19">OFFSET(VolSkewCoef,0,impvol_order-2)+OFFSET(VolSkewCoef,1,impvol_order-2)*Z192+OFFSET(VolSkewCoef,2,impvol_order-2)*Z192^2+IF(impvol_order&gt;2,OFFSET(VolSkewCoef,3,impvol_order-2)*Z192^3,0)+IF(impvol_order&gt;3,OFFSET(VolSkewCoef,4,impvol_order-2)*Z192^4,0)+IF(impvol_order&gt;4,OFFSET(VolSkewCoef,5,impvol_order-2)*Z192^5,0)</f>
        <v>0.88371254680000033</v>
      </c>
    </row>
    <row r="193" spans="26:27" x14ac:dyDescent="0.25">
      <c r="Z193" s="36">
        <f t="shared" ref="Z193:Z200" ca="1" si="20">+Z192+0.01</f>
        <v>1.350000000000001</v>
      </c>
      <c r="AA193">
        <f t="shared" ca="1" si="19"/>
        <v>0.88718459250000037</v>
      </c>
    </row>
    <row r="194" spans="26:27" x14ac:dyDescent="0.25">
      <c r="Z194" s="36">
        <f t="shared" ca="1" si="20"/>
        <v>1.360000000000001</v>
      </c>
      <c r="AA194">
        <f t="shared" ca="1" si="19"/>
        <v>0.89067610880000037</v>
      </c>
    </row>
    <row r="195" spans="26:27" x14ac:dyDescent="0.25">
      <c r="Z195" s="36">
        <f t="shared" ca="1" si="20"/>
        <v>1.370000000000001</v>
      </c>
      <c r="AA195">
        <f t="shared" ca="1" si="19"/>
        <v>0.89418709570000043</v>
      </c>
    </row>
    <row r="196" spans="26:27" x14ac:dyDescent="0.25">
      <c r="Z196" s="36">
        <f t="shared" ca="1" si="20"/>
        <v>1.380000000000001</v>
      </c>
      <c r="AA196">
        <f t="shared" ca="1" si="19"/>
        <v>0.89771755320000035</v>
      </c>
    </row>
    <row r="197" spans="26:27" x14ac:dyDescent="0.25">
      <c r="Z197" s="36">
        <f t="shared" ca="1" si="20"/>
        <v>1.390000000000001</v>
      </c>
      <c r="AA197">
        <f t="shared" ca="1" si="19"/>
        <v>0.90126748130000034</v>
      </c>
    </row>
    <row r="198" spans="26:27" x14ac:dyDescent="0.25">
      <c r="Z198" s="36">
        <f t="shared" ca="1" si="20"/>
        <v>1.400000000000001</v>
      </c>
      <c r="AA198">
        <f t="shared" ca="1" si="19"/>
        <v>0.9048368800000004</v>
      </c>
    </row>
    <row r="199" spans="26:27" x14ac:dyDescent="0.25">
      <c r="Z199" s="36">
        <f t="shared" ca="1" si="20"/>
        <v>1.410000000000001</v>
      </c>
      <c r="AA199">
        <f t="shared" ca="1" si="19"/>
        <v>0.90842574930000042</v>
      </c>
    </row>
    <row r="200" spans="26:27" x14ac:dyDescent="0.25">
      <c r="Z200" s="36">
        <f t="shared" ca="1" si="20"/>
        <v>1.420000000000001</v>
      </c>
      <c r="AA200">
        <f t="shared" ca="1" si="19"/>
        <v>0.91203408920000051</v>
      </c>
    </row>
  </sheetData>
  <mergeCells count="1">
    <mergeCell ref="Z30:AA30"/>
  </mergeCells>
  <phoneticPr fontId="14" type="noConversion"/>
  <pageMargins left="0.71" right="0.61" top="1" bottom="1" header="0.5" footer="0.5"/>
  <pageSetup scale="9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12</xdr:col>
                    <xdr:colOff>350520</xdr:colOff>
                    <xdr:row>3</xdr:row>
                    <xdr:rowOff>7620</xdr:rowOff>
                  </from>
                  <to>
                    <xdr:col>15</xdr:col>
                    <xdr:colOff>160020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22860</xdr:rowOff>
                  </from>
                  <to>
                    <xdr:col>5</xdr:col>
                    <xdr:colOff>556260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Button 7">
              <controlPr defaultSize="0" print="0" autoFill="0" autoPict="0" macro="[0]!FetchData">
                <anchor moveWithCells="1" sizeWithCells="1">
                  <from>
                    <xdr:col>12</xdr:col>
                    <xdr:colOff>342900</xdr:colOff>
                    <xdr:row>0</xdr:row>
                    <xdr:rowOff>160020</xdr:rowOff>
                  </from>
                  <to>
                    <xdr:col>15</xdr:col>
                    <xdr:colOff>152400</xdr:colOff>
                    <xdr:row>2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3" sqref="H3"/>
    </sheetView>
  </sheetViews>
  <sheetFormatPr defaultRowHeight="13.2" x14ac:dyDescent="0.25"/>
  <sheetData>
    <row r="1" spans="1:8" x14ac:dyDescent="0.25">
      <c r="A1" t="s">
        <v>145</v>
      </c>
    </row>
    <row r="2" spans="1:8" x14ac:dyDescent="0.25">
      <c r="A2" s="163" t="s">
        <v>137</v>
      </c>
      <c r="B2" s="163" t="s">
        <v>138</v>
      </c>
      <c r="C2" s="163" t="s">
        <v>139</v>
      </c>
      <c r="D2" s="163" t="s">
        <v>140</v>
      </c>
      <c r="E2" s="163" t="s">
        <v>141</v>
      </c>
      <c r="F2" s="163" t="s">
        <v>142</v>
      </c>
      <c r="G2" s="163" t="s">
        <v>143</v>
      </c>
      <c r="H2" s="163" t="s">
        <v>144</v>
      </c>
    </row>
    <row r="3" spans="1:8" x14ac:dyDescent="0.25">
      <c r="A3" s="163">
        <v>0</v>
      </c>
      <c r="B3" s="163">
        <f t="shared" ref="B3:B34" si="0">MAX(0,A3-4.7)*100</f>
        <v>0</v>
      </c>
      <c r="C3" s="163">
        <f t="shared" ref="C3:C34" si="1">-MAX(0,$A3-5.5)*300</f>
        <v>0</v>
      </c>
      <c r="D3" s="163">
        <f t="shared" ref="D3:D34" si="2">MAX(0,$A3-5.9)*200</f>
        <v>0</v>
      </c>
      <c r="E3" s="163">
        <f t="shared" ref="E3:E34" si="3">-MAX(0,3.5-$A3)*200</f>
        <v>-700</v>
      </c>
      <c r="F3" s="163">
        <f t="shared" ref="F3:F34" si="4">MAX(0,4-$A3)*300</f>
        <v>1200</v>
      </c>
      <c r="G3" s="163">
        <f t="shared" ref="G3:G34" si="5">-MAX(0,4.7-$A3)*100</f>
        <v>-470</v>
      </c>
      <c r="H3" s="163">
        <f>SUM(B3:G3)/100</f>
        <v>0.3</v>
      </c>
    </row>
    <row r="4" spans="1:8" x14ac:dyDescent="0.25">
      <c r="A4" s="163">
        <v>0.1</v>
      </c>
      <c r="B4" s="163">
        <f t="shared" si="0"/>
        <v>0</v>
      </c>
      <c r="C4" s="163">
        <f t="shared" si="1"/>
        <v>0</v>
      </c>
      <c r="D4" s="163">
        <f t="shared" si="2"/>
        <v>0</v>
      </c>
      <c r="E4" s="163">
        <f t="shared" si="3"/>
        <v>-680</v>
      </c>
      <c r="F4" s="163">
        <f t="shared" si="4"/>
        <v>1170</v>
      </c>
      <c r="G4" s="163">
        <f t="shared" si="5"/>
        <v>-460.00000000000006</v>
      </c>
      <c r="H4" s="163">
        <f t="shared" ref="H4:H67" si="6">SUM(B4:G4)/100</f>
        <v>0.29999999999999943</v>
      </c>
    </row>
    <row r="5" spans="1:8" x14ac:dyDescent="0.25">
      <c r="A5" s="163">
        <v>0.2</v>
      </c>
      <c r="B5" s="163">
        <f t="shared" si="0"/>
        <v>0</v>
      </c>
      <c r="C5" s="163">
        <f t="shared" si="1"/>
        <v>0</v>
      </c>
      <c r="D5" s="163">
        <f t="shared" si="2"/>
        <v>0</v>
      </c>
      <c r="E5" s="163">
        <f t="shared" si="3"/>
        <v>-660</v>
      </c>
      <c r="F5" s="163">
        <f t="shared" si="4"/>
        <v>1140</v>
      </c>
      <c r="G5" s="163">
        <f t="shared" si="5"/>
        <v>-450</v>
      </c>
      <c r="H5" s="163">
        <f t="shared" si="6"/>
        <v>0.3</v>
      </c>
    </row>
    <row r="6" spans="1:8" x14ac:dyDescent="0.25">
      <c r="A6" s="163">
        <v>0.3</v>
      </c>
      <c r="B6" s="163">
        <f t="shared" si="0"/>
        <v>0</v>
      </c>
      <c r="C6" s="163">
        <f t="shared" si="1"/>
        <v>0</v>
      </c>
      <c r="D6" s="163">
        <f t="shared" si="2"/>
        <v>0</v>
      </c>
      <c r="E6" s="163">
        <f t="shared" si="3"/>
        <v>-640</v>
      </c>
      <c r="F6" s="163">
        <f t="shared" si="4"/>
        <v>1110</v>
      </c>
      <c r="G6" s="163">
        <f t="shared" si="5"/>
        <v>-440.00000000000006</v>
      </c>
      <c r="H6" s="163">
        <f t="shared" si="6"/>
        <v>0.29999999999999943</v>
      </c>
    </row>
    <row r="7" spans="1:8" x14ac:dyDescent="0.25">
      <c r="A7" s="163">
        <v>0.4</v>
      </c>
      <c r="B7" s="163">
        <f t="shared" si="0"/>
        <v>0</v>
      </c>
      <c r="C7" s="163">
        <f t="shared" si="1"/>
        <v>0</v>
      </c>
      <c r="D7" s="163">
        <f t="shared" si="2"/>
        <v>0</v>
      </c>
      <c r="E7" s="163">
        <f t="shared" si="3"/>
        <v>-620</v>
      </c>
      <c r="F7" s="163">
        <f t="shared" si="4"/>
        <v>1080</v>
      </c>
      <c r="G7" s="163">
        <f t="shared" si="5"/>
        <v>-430</v>
      </c>
      <c r="H7" s="163">
        <f t="shared" si="6"/>
        <v>0.3</v>
      </c>
    </row>
    <row r="8" spans="1:8" x14ac:dyDescent="0.25">
      <c r="A8" s="163">
        <v>0.5</v>
      </c>
      <c r="B8" s="163">
        <f t="shared" si="0"/>
        <v>0</v>
      </c>
      <c r="C8" s="163">
        <f t="shared" si="1"/>
        <v>0</v>
      </c>
      <c r="D8" s="163">
        <f t="shared" si="2"/>
        <v>0</v>
      </c>
      <c r="E8" s="163">
        <f t="shared" si="3"/>
        <v>-600</v>
      </c>
      <c r="F8" s="163">
        <f t="shared" si="4"/>
        <v>1050</v>
      </c>
      <c r="G8" s="163">
        <f t="shared" si="5"/>
        <v>-420</v>
      </c>
      <c r="H8" s="163">
        <f t="shared" si="6"/>
        <v>0.3</v>
      </c>
    </row>
    <row r="9" spans="1:8" x14ac:dyDescent="0.25">
      <c r="A9" s="163">
        <v>0.6</v>
      </c>
      <c r="B9" s="163">
        <f t="shared" si="0"/>
        <v>0</v>
      </c>
      <c r="C9" s="163">
        <f t="shared" si="1"/>
        <v>0</v>
      </c>
      <c r="D9" s="163">
        <f t="shared" si="2"/>
        <v>0</v>
      </c>
      <c r="E9" s="163">
        <f t="shared" si="3"/>
        <v>-580</v>
      </c>
      <c r="F9" s="163">
        <f t="shared" si="4"/>
        <v>1020</v>
      </c>
      <c r="G9" s="163">
        <f t="shared" si="5"/>
        <v>-410.00000000000006</v>
      </c>
      <c r="H9" s="163">
        <f t="shared" si="6"/>
        <v>0.29999999999999943</v>
      </c>
    </row>
    <row r="10" spans="1:8" x14ac:dyDescent="0.25">
      <c r="A10" s="163">
        <v>0.7</v>
      </c>
      <c r="B10" s="163">
        <f t="shared" si="0"/>
        <v>0</v>
      </c>
      <c r="C10" s="163">
        <f t="shared" si="1"/>
        <v>0</v>
      </c>
      <c r="D10" s="163">
        <f t="shared" si="2"/>
        <v>0</v>
      </c>
      <c r="E10" s="163">
        <f t="shared" si="3"/>
        <v>-560</v>
      </c>
      <c r="F10" s="163">
        <f t="shared" si="4"/>
        <v>990</v>
      </c>
      <c r="G10" s="163">
        <f t="shared" si="5"/>
        <v>-400</v>
      </c>
      <c r="H10" s="163">
        <f t="shared" si="6"/>
        <v>0.3</v>
      </c>
    </row>
    <row r="11" spans="1:8" x14ac:dyDescent="0.25">
      <c r="A11" s="163">
        <v>0.8</v>
      </c>
      <c r="B11" s="163">
        <f t="shared" si="0"/>
        <v>0</v>
      </c>
      <c r="C11" s="163">
        <f t="shared" si="1"/>
        <v>0</v>
      </c>
      <c r="D11" s="163">
        <f t="shared" si="2"/>
        <v>0</v>
      </c>
      <c r="E11" s="163">
        <f t="shared" si="3"/>
        <v>-540</v>
      </c>
      <c r="F11" s="163">
        <f t="shared" si="4"/>
        <v>960</v>
      </c>
      <c r="G11" s="163">
        <f t="shared" si="5"/>
        <v>-390.00000000000006</v>
      </c>
      <c r="H11" s="163">
        <f t="shared" si="6"/>
        <v>0.29999999999999943</v>
      </c>
    </row>
    <row r="12" spans="1:8" x14ac:dyDescent="0.25">
      <c r="A12" s="163">
        <v>0.9</v>
      </c>
      <c r="B12" s="163">
        <f t="shared" si="0"/>
        <v>0</v>
      </c>
      <c r="C12" s="163">
        <f t="shared" si="1"/>
        <v>0</v>
      </c>
      <c r="D12" s="163">
        <f t="shared" si="2"/>
        <v>0</v>
      </c>
      <c r="E12" s="163">
        <f t="shared" si="3"/>
        <v>-520</v>
      </c>
      <c r="F12" s="163">
        <f t="shared" si="4"/>
        <v>930</v>
      </c>
      <c r="G12" s="163">
        <f t="shared" si="5"/>
        <v>-380</v>
      </c>
      <c r="H12" s="163">
        <f t="shared" si="6"/>
        <v>0.3</v>
      </c>
    </row>
    <row r="13" spans="1:8" x14ac:dyDescent="0.25">
      <c r="A13" s="163">
        <v>1</v>
      </c>
      <c r="B13" s="163">
        <f t="shared" si="0"/>
        <v>0</v>
      </c>
      <c r="C13" s="163">
        <f t="shared" si="1"/>
        <v>0</v>
      </c>
      <c r="D13" s="163">
        <f t="shared" si="2"/>
        <v>0</v>
      </c>
      <c r="E13" s="163">
        <f t="shared" si="3"/>
        <v>-500</v>
      </c>
      <c r="F13" s="163">
        <f t="shared" si="4"/>
        <v>900</v>
      </c>
      <c r="G13" s="163">
        <f t="shared" si="5"/>
        <v>-370</v>
      </c>
      <c r="H13" s="163">
        <f t="shared" si="6"/>
        <v>0.3</v>
      </c>
    </row>
    <row r="14" spans="1:8" x14ac:dyDescent="0.25">
      <c r="A14" s="163">
        <v>1.1000000000000001</v>
      </c>
      <c r="B14" s="163">
        <f t="shared" si="0"/>
        <v>0</v>
      </c>
      <c r="C14" s="163">
        <f t="shared" si="1"/>
        <v>0</v>
      </c>
      <c r="D14" s="163">
        <f t="shared" si="2"/>
        <v>0</v>
      </c>
      <c r="E14" s="163">
        <f t="shared" si="3"/>
        <v>-480</v>
      </c>
      <c r="F14" s="163">
        <f t="shared" si="4"/>
        <v>870</v>
      </c>
      <c r="G14" s="163">
        <f t="shared" si="5"/>
        <v>-360</v>
      </c>
      <c r="H14" s="163">
        <f t="shared" si="6"/>
        <v>0.3</v>
      </c>
    </row>
    <row r="15" spans="1:8" x14ac:dyDescent="0.25">
      <c r="A15" s="163">
        <v>1.2</v>
      </c>
      <c r="B15" s="163">
        <f t="shared" si="0"/>
        <v>0</v>
      </c>
      <c r="C15" s="163">
        <f t="shared" si="1"/>
        <v>0</v>
      </c>
      <c r="D15" s="163">
        <f t="shared" si="2"/>
        <v>0</v>
      </c>
      <c r="E15" s="163">
        <f t="shared" si="3"/>
        <v>-459.99999999999994</v>
      </c>
      <c r="F15" s="163">
        <f t="shared" si="4"/>
        <v>840</v>
      </c>
      <c r="G15" s="163">
        <f t="shared" si="5"/>
        <v>-350</v>
      </c>
      <c r="H15" s="163">
        <f t="shared" si="6"/>
        <v>0.30000000000000054</v>
      </c>
    </row>
    <row r="16" spans="1:8" x14ac:dyDescent="0.25">
      <c r="A16" s="163">
        <v>1.3</v>
      </c>
      <c r="B16" s="163">
        <f t="shared" si="0"/>
        <v>0</v>
      </c>
      <c r="C16" s="163">
        <f t="shared" si="1"/>
        <v>0</v>
      </c>
      <c r="D16" s="163">
        <f t="shared" si="2"/>
        <v>0</v>
      </c>
      <c r="E16" s="163">
        <f t="shared" si="3"/>
        <v>-440.00000000000006</v>
      </c>
      <c r="F16" s="163">
        <f t="shared" si="4"/>
        <v>810</v>
      </c>
      <c r="G16" s="163">
        <f t="shared" si="5"/>
        <v>-340.00000000000006</v>
      </c>
      <c r="H16" s="163">
        <f t="shared" si="6"/>
        <v>0.29999999999999888</v>
      </c>
    </row>
    <row r="17" spans="1:8" x14ac:dyDescent="0.25">
      <c r="A17" s="163">
        <v>1.4</v>
      </c>
      <c r="B17" s="163">
        <f t="shared" si="0"/>
        <v>0</v>
      </c>
      <c r="C17" s="163">
        <f t="shared" si="1"/>
        <v>0</v>
      </c>
      <c r="D17" s="163">
        <f t="shared" si="2"/>
        <v>0</v>
      </c>
      <c r="E17" s="163">
        <f t="shared" si="3"/>
        <v>-420</v>
      </c>
      <c r="F17" s="163">
        <f t="shared" si="4"/>
        <v>780</v>
      </c>
      <c r="G17" s="163">
        <f t="shared" si="5"/>
        <v>-330</v>
      </c>
      <c r="H17" s="163">
        <f t="shared" si="6"/>
        <v>0.3</v>
      </c>
    </row>
    <row r="18" spans="1:8" x14ac:dyDescent="0.25">
      <c r="A18" s="163">
        <v>1.5</v>
      </c>
      <c r="B18" s="163">
        <f t="shared" si="0"/>
        <v>0</v>
      </c>
      <c r="C18" s="163">
        <f t="shared" si="1"/>
        <v>0</v>
      </c>
      <c r="D18" s="163">
        <f t="shared" si="2"/>
        <v>0</v>
      </c>
      <c r="E18" s="163">
        <f t="shared" si="3"/>
        <v>-400</v>
      </c>
      <c r="F18" s="163">
        <f t="shared" si="4"/>
        <v>750</v>
      </c>
      <c r="G18" s="163">
        <f t="shared" si="5"/>
        <v>-320</v>
      </c>
      <c r="H18" s="163">
        <f t="shared" si="6"/>
        <v>0.3</v>
      </c>
    </row>
    <row r="19" spans="1:8" x14ac:dyDescent="0.25">
      <c r="A19" s="163">
        <v>1.6</v>
      </c>
      <c r="B19" s="163">
        <f t="shared" si="0"/>
        <v>0</v>
      </c>
      <c r="C19" s="163">
        <f t="shared" si="1"/>
        <v>0</v>
      </c>
      <c r="D19" s="163">
        <f t="shared" si="2"/>
        <v>0</v>
      </c>
      <c r="E19" s="163">
        <f t="shared" si="3"/>
        <v>-380</v>
      </c>
      <c r="F19" s="163">
        <f t="shared" si="4"/>
        <v>720</v>
      </c>
      <c r="G19" s="163">
        <f t="shared" si="5"/>
        <v>-310</v>
      </c>
      <c r="H19" s="163">
        <f t="shared" si="6"/>
        <v>0.3</v>
      </c>
    </row>
    <row r="20" spans="1:8" x14ac:dyDescent="0.25">
      <c r="A20" s="163">
        <v>1.7</v>
      </c>
      <c r="B20" s="163">
        <f t="shared" si="0"/>
        <v>0</v>
      </c>
      <c r="C20" s="163">
        <f t="shared" si="1"/>
        <v>0</v>
      </c>
      <c r="D20" s="163">
        <f t="shared" si="2"/>
        <v>0</v>
      </c>
      <c r="E20" s="163">
        <f t="shared" si="3"/>
        <v>-360</v>
      </c>
      <c r="F20" s="163">
        <f t="shared" si="4"/>
        <v>690</v>
      </c>
      <c r="G20" s="163">
        <f t="shared" si="5"/>
        <v>-300</v>
      </c>
      <c r="H20" s="163">
        <f t="shared" si="6"/>
        <v>0.3</v>
      </c>
    </row>
    <row r="21" spans="1:8" x14ac:dyDescent="0.25">
      <c r="A21" s="163">
        <v>1.8</v>
      </c>
      <c r="B21" s="163">
        <f t="shared" si="0"/>
        <v>0</v>
      </c>
      <c r="C21" s="163">
        <f t="shared" si="1"/>
        <v>0</v>
      </c>
      <c r="D21" s="163">
        <f t="shared" si="2"/>
        <v>0</v>
      </c>
      <c r="E21" s="163">
        <f t="shared" si="3"/>
        <v>-340</v>
      </c>
      <c r="F21" s="163">
        <f t="shared" si="4"/>
        <v>660</v>
      </c>
      <c r="G21" s="163">
        <f t="shared" si="5"/>
        <v>-290.00000000000006</v>
      </c>
      <c r="H21" s="163">
        <f t="shared" si="6"/>
        <v>0.29999999999999943</v>
      </c>
    </row>
    <row r="22" spans="1:8" x14ac:dyDescent="0.25">
      <c r="A22" s="163">
        <v>1.9</v>
      </c>
      <c r="B22" s="163">
        <f t="shared" si="0"/>
        <v>0</v>
      </c>
      <c r="C22" s="163">
        <f t="shared" si="1"/>
        <v>0</v>
      </c>
      <c r="D22" s="163">
        <f t="shared" si="2"/>
        <v>0</v>
      </c>
      <c r="E22" s="163">
        <f t="shared" si="3"/>
        <v>-320</v>
      </c>
      <c r="F22" s="163">
        <f t="shared" si="4"/>
        <v>630</v>
      </c>
      <c r="G22" s="163">
        <f t="shared" si="5"/>
        <v>-280</v>
      </c>
      <c r="H22" s="163">
        <f t="shared" si="6"/>
        <v>0.3</v>
      </c>
    </row>
    <row r="23" spans="1:8" x14ac:dyDescent="0.25">
      <c r="A23" s="163">
        <v>2</v>
      </c>
      <c r="B23" s="163">
        <f t="shared" si="0"/>
        <v>0</v>
      </c>
      <c r="C23" s="163">
        <f t="shared" si="1"/>
        <v>0</v>
      </c>
      <c r="D23" s="163">
        <f t="shared" si="2"/>
        <v>0</v>
      </c>
      <c r="E23" s="163">
        <f t="shared" si="3"/>
        <v>-300</v>
      </c>
      <c r="F23" s="163">
        <f t="shared" si="4"/>
        <v>600</v>
      </c>
      <c r="G23" s="163">
        <f t="shared" si="5"/>
        <v>-270</v>
      </c>
      <c r="H23" s="163">
        <f t="shared" si="6"/>
        <v>0.3</v>
      </c>
    </row>
    <row r="24" spans="1:8" x14ac:dyDescent="0.25">
      <c r="A24" s="163">
        <v>2.1</v>
      </c>
      <c r="B24" s="163">
        <f t="shared" si="0"/>
        <v>0</v>
      </c>
      <c r="C24" s="163">
        <f t="shared" si="1"/>
        <v>0</v>
      </c>
      <c r="D24" s="163">
        <f t="shared" si="2"/>
        <v>0</v>
      </c>
      <c r="E24" s="163">
        <f t="shared" si="3"/>
        <v>-280</v>
      </c>
      <c r="F24" s="163">
        <f t="shared" si="4"/>
        <v>570</v>
      </c>
      <c r="G24" s="163">
        <f t="shared" si="5"/>
        <v>-260</v>
      </c>
      <c r="H24" s="163">
        <f t="shared" si="6"/>
        <v>0.3</v>
      </c>
    </row>
    <row r="25" spans="1:8" x14ac:dyDescent="0.25">
      <c r="A25" s="163">
        <v>2.2000000000000002</v>
      </c>
      <c r="B25" s="163">
        <f t="shared" si="0"/>
        <v>0</v>
      </c>
      <c r="C25" s="163">
        <f t="shared" si="1"/>
        <v>0</v>
      </c>
      <c r="D25" s="163">
        <f t="shared" si="2"/>
        <v>0</v>
      </c>
      <c r="E25" s="163">
        <f t="shared" si="3"/>
        <v>-259.99999999999994</v>
      </c>
      <c r="F25" s="163">
        <f t="shared" si="4"/>
        <v>540</v>
      </c>
      <c r="G25" s="163">
        <f t="shared" si="5"/>
        <v>-250</v>
      </c>
      <c r="H25" s="163">
        <f t="shared" si="6"/>
        <v>0.30000000000000054</v>
      </c>
    </row>
    <row r="26" spans="1:8" x14ac:dyDescent="0.25">
      <c r="A26" s="163">
        <v>2.2999999999999998</v>
      </c>
      <c r="B26" s="163">
        <f t="shared" si="0"/>
        <v>0</v>
      </c>
      <c r="C26" s="163">
        <f t="shared" si="1"/>
        <v>0</v>
      </c>
      <c r="D26" s="163">
        <f t="shared" si="2"/>
        <v>0</v>
      </c>
      <c r="E26" s="163">
        <f t="shared" si="3"/>
        <v>-240.00000000000003</v>
      </c>
      <c r="F26" s="163">
        <f t="shared" si="4"/>
        <v>510.00000000000006</v>
      </c>
      <c r="G26" s="163">
        <f t="shared" si="5"/>
        <v>-240.00000000000003</v>
      </c>
      <c r="H26" s="163">
        <f t="shared" si="6"/>
        <v>0.29999999999999971</v>
      </c>
    </row>
    <row r="27" spans="1:8" x14ac:dyDescent="0.25">
      <c r="A27" s="163">
        <v>2.4</v>
      </c>
      <c r="B27" s="163">
        <f t="shared" si="0"/>
        <v>0</v>
      </c>
      <c r="C27" s="163">
        <f t="shared" si="1"/>
        <v>0</v>
      </c>
      <c r="D27" s="163">
        <f t="shared" si="2"/>
        <v>0</v>
      </c>
      <c r="E27" s="163">
        <f t="shared" si="3"/>
        <v>-220.00000000000003</v>
      </c>
      <c r="F27" s="163">
        <f t="shared" si="4"/>
        <v>480</v>
      </c>
      <c r="G27" s="163">
        <f t="shared" si="5"/>
        <v>-230.00000000000003</v>
      </c>
      <c r="H27" s="163">
        <f t="shared" si="6"/>
        <v>0.29999999999999971</v>
      </c>
    </row>
    <row r="28" spans="1:8" x14ac:dyDescent="0.25">
      <c r="A28" s="163">
        <v>2.5</v>
      </c>
      <c r="B28" s="163">
        <f t="shared" si="0"/>
        <v>0</v>
      </c>
      <c r="C28" s="163">
        <f t="shared" si="1"/>
        <v>0</v>
      </c>
      <c r="D28" s="163">
        <f t="shared" si="2"/>
        <v>0</v>
      </c>
      <c r="E28" s="163">
        <f t="shared" si="3"/>
        <v>-200</v>
      </c>
      <c r="F28" s="163">
        <f t="shared" si="4"/>
        <v>450</v>
      </c>
      <c r="G28" s="163">
        <f t="shared" si="5"/>
        <v>-220.00000000000003</v>
      </c>
      <c r="H28" s="163">
        <f t="shared" si="6"/>
        <v>0.29999999999999971</v>
      </c>
    </row>
    <row r="29" spans="1:8" x14ac:dyDescent="0.25">
      <c r="A29" s="163">
        <v>2.6</v>
      </c>
      <c r="B29" s="163">
        <f t="shared" si="0"/>
        <v>0</v>
      </c>
      <c r="C29" s="163">
        <f t="shared" si="1"/>
        <v>0</v>
      </c>
      <c r="D29" s="163">
        <f t="shared" si="2"/>
        <v>0</v>
      </c>
      <c r="E29" s="163">
        <f t="shared" si="3"/>
        <v>-179.99999999999997</v>
      </c>
      <c r="F29" s="163">
        <f t="shared" si="4"/>
        <v>420</v>
      </c>
      <c r="G29" s="163">
        <f t="shared" si="5"/>
        <v>-210</v>
      </c>
      <c r="H29" s="163">
        <f t="shared" si="6"/>
        <v>0.30000000000000027</v>
      </c>
    </row>
    <row r="30" spans="1:8" x14ac:dyDescent="0.25">
      <c r="A30" s="163">
        <v>2.7</v>
      </c>
      <c r="B30" s="163">
        <f t="shared" si="0"/>
        <v>0</v>
      </c>
      <c r="C30" s="163">
        <f t="shared" si="1"/>
        <v>0</v>
      </c>
      <c r="D30" s="163">
        <f t="shared" si="2"/>
        <v>0</v>
      </c>
      <c r="E30" s="163">
        <f t="shared" si="3"/>
        <v>-159.99999999999997</v>
      </c>
      <c r="F30" s="163">
        <f t="shared" si="4"/>
        <v>389.99999999999994</v>
      </c>
      <c r="G30" s="163">
        <f t="shared" si="5"/>
        <v>-200</v>
      </c>
      <c r="H30" s="163">
        <f t="shared" si="6"/>
        <v>0.29999999999999971</v>
      </c>
    </row>
    <row r="31" spans="1:8" x14ac:dyDescent="0.25">
      <c r="A31" s="163">
        <v>2.8</v>
      </c>
      <c r="B31" s="163">
        <f t="shared" si="0"/>
        <v>0</v>
      </c>
      <c r="C31" s="163">
        <f t="shared" si="1"/>
        <v>0</v>
      </c>
      <c r="D31" s="163">
        <f t="shared" si="2"/>
        <v>0</v>
      </c>
      <c r="E31" s="163">
        <f t="shared" si="3"/>
        <v>-140.00000000000003</v>
      </c>
      <c r="F31" s="163">
        <f t="shared" si="4"/>
        <v>360.00000000000006</v>
      </c>
      <c r="G31" s="163">
        <f t="shared" si="5"/>
        <v>-190.00000000000003</v>
      </c>
      <c r="H31" s="163">
        <f t="shared" si="6"/>
        <v>0.3</v>
      </c>
    </row>
    <row r="32" spans="1:8" x14ac:dyDescent="0.25">
      <c r="A32" s="163">
        <v>2.9</v>
      </c>
      <c r="B32" s="163">
        <f t="shared" si="0"/>
        <v>0</v>
      </c>
      <c r="C32" s="163">
        <f t="shared" si="1"/>
        <v>0</v>
      </c>
      <c r="D32" s="163">
        <f t="shared" si="2"/>
        <v>0</v>
      </c>
      <c r="E32" s="163">
        <f t="shared" si="3"/>
        <v>-120.00000000000001</v>
      </c>
      <c r="F32" s="163">
        <f t="shared" si="4"/>
        <v>330</v>
      </c>
      <c r="G32" s="163">
        <f t="shared" si="5"/>
        <v>-180.00000000000003</v>
      </c>
      <c r="H32" s="163">
        <f t="shared" si="6"/>
        <v>0.29999999999999971</v>
      </c>
    </row>
    <row r="33" spans="1:8" x14ac:dyDescent="0.25">
      <c r="A33" s="163">
        <v>3</v>
      </c>
      <c r="B33" s="163">
        <f t="shared" si="0"/>
        <v>0</v>
      </c>
      <c r="C33" s="163">
        <f t="shared" si="1"/>
        <v>0</v>
      </c>
      <c r="D33" s="163">
        <f t="shared" si="2"/>
        <v>0</v>
      </c>
      <c r="E33" s="163">
        <f t="shared" si="3"/>
        <v>-100</v>
      </c>
      <c r="F33" s="163">
        <f t="shared" si="4"/>
        <v>300</v>
      </c>
      <c r="G33" s="163">
        <f t="shared" si="5"/>
        <v>-170.00000000000003</v>
      </c>
      <c r="H33" s="163">
        <f t="shared" si="6"/>
        <v>0.29999999999999971</v>
      </c>
    </row>
    <row r="34" spans="1:8" x14ac:dyDescent="0.25">
      <c r="A34" s="163">
        <v>3.1</v>
      </c>
      <c r="B34" s="163">
        <f t="shared" si="0"/>
        <v>0</v>
      </c>
      <c r="C34" s="163">
        <f t="shared" si="1"/>
        <v>0</v>
      </c>
      <c r="D34" s="163">
        <f t="shared" si="2"/>
        <v>0</v>
      </c>
      <c r="E34" s="163">
        <f t="shared" si="3"/>
        <v>-79.999999999999986</v>
      </c>
      <c r="F34" s="163">
        <f t="shared" si="4"/>
        <v>270</v>
      </c>
      <c r="G34" s="163">
        <f t="shared" si="5"/>
        <v>-160</v>
      </c>
      <c r="H34" s="163">
        <f t="shared" si="6"/>
        <v>0.3</v>
      </c>
    </row>
    <row r="35" spans="1:8" x14ac:dyDescent="0.25">
      <c r="A35" s="163">
        <v>3.2</v>
      </c>
      <c r="B35" s="163">
        <f t="shared" ref="B35:B66" si="7">MAX(0,A35-4.7)*100</f>
        <v>0</v>
      </c>
      <c r="C35" s="163">
        <f t="shared" ref="C35:C66" si="8">-MAX(0,$A35-5.5)*300</f>
        <v>0</v>
      </c>
      <c r="D35" s="163">
        <f t="shared" ref="D35:D66" si="9">MAX(0,$A35-5.9)*200</f>
        <v>0</v>
      </c>
      <c r="E35" s="163">
        <f t="shared" ref="E35:E66" si="10">-MAX(0,3.5-$A35)*200</f>
        <v>-59.999999999999964</v>
      </c>
      <c r="F35" s="163">
        <f t="shared" ref="F35:F66" si="11">MAX(0,4-$A35)*300</f>
        <v>239.99999999999994</v>
      </c>
      <c r="G35" s="163">
        <f t="shared" ref="G35:G66" si="12">-MAX(0,4.7-$A35)*100</f>
        <v>-150</v>
      </c>
      <c r="H35" s="163">
        <f t="shared" si="6"/>
        <v>0.29999999999999971</v>
      </c>
    </row>
    <row r="36" spans="1:8" x14ac:dyDescent="0.25">
      <c r="A36" s="163">
        <v>3.3</v>
      </c>
      <c r="B36" s="163">
        <f t="shared" si="7"/>
        <v>0</v>
      </c>
      <c r="C36" s="163">
        <f t="shared" si="8"/>
        <v>0</v>
      </c>
      <c r="D36" s="163">
        <f t="shared" si="9"/>
        <v>0</v>
      </c>
      <c r="E36" s="163">
        <f t="shared" si="10"/>
        <v>-40.000000000000036</v>
      </c>
      <c r="F36" s="163">
        <f t="shared" si="11"/>
        <v>210.00000000000006</v>
      </c>
      <c r="G36" s="163">
        <f t="shared" si="12"/>
        <v>-140.00000000000003</v>
      </c>
      <c r="H36" s="163">
        <f t="shared" si="6"/>
        <v>0.3</v>
      </c>
    </row>
    <row r="37" spans="1:8" x14ac:dyDescent="0.25">
      <c r="A37" s="163">
        <v>3.4</v>
      </c>
      <c r="B37" s="163">
        <f t="shared" si="7"/>
        <v>0</v>
      </c>
      <c r="C37" s="163">
        <f t="shared" si="8"/>
        <v>0</v>
      </c>
      <c r="D37" s="163">
        <f t="shared" si="9"/>
        <v>0</v>
      </c>
      <c r="E37" s="163">
        <f t="shared" si="10"/>
        <v>-20.000000000000018</v>
      </c>
      <c r="F37" s="163">
        <f t="shared" si="11"/>
        <v>180.00000000000003</v>
      </c>
      <c r="G37" s="163">
        <f t="shared" si="12"/>
        <v>-130.00000000000003</v>
      </c>
      <c r="H37" s="163">
        <f t="shared" si="6"/>
        <v>0.29999999999999971</v>
      </c>
    </row>
    <row r="38" spans="1:8" x14ac:dyDescent="0.25">
      <c r="A38" s="163">
        <v>3.5</v>
      </c>
      <c r="B38" s="163">
        <f t="shared" si="7"/>
        <v>0</v>
      </c>
      <c r="C38" s="163">
        <f t="shared" si="8"/>
        <v>0</v>
      </c>
      <c r="D38" s="163">
        <f t="shared" si="9"/>
        <v>0</v>
      </c>
      <c r="E38" s="163">
        <f t="shared" si="10"/>
        <v>0</v>
      </c>
      <c r="F38" s="163">
        <f t="shared" si="11"/>
        <v>150</v>
      </c>
      <c r="G38" s="163">
        <f t="shared" si="12"/>
        <v>-120.00000000000001</v>
      </c>
      <c r="H38" s="163">
        <f t="shared" si="6"/>
        <v>0.29999999999999988</v>
      </c>
    </row>
    <row r="39" spans="1:8" x14ac:dyDescent="0.25">
      <c r="A39" s="163">
        <v>3.6</v>
      </c>
      <c r="B39" s="163">
        <f t="shared" si="7"/>
        <v>0</v>
      </c>
      <c r="C39" s="163">
        <f t="shared" si="8"/>
        <v>0</v>
      </c>
      <c r="D39" s="163">
        <f t="shared" si="9"/>
        <v>0</v>
      </c>
      <c r="E39" s="163">
        <f t="shared" si="10"/>
        <v>0</v>
      </c>
      <c r="F39" s="163">
        <f t="shared" si="11"/>
        <v>119.99999999999997</v>
      </c>
      <c r="G39" s="163">
        <f t="shared" si="12"/>
        <v>-110.00000000000001</v>
      </c>
      <c r="H39" s="163">
        <f t="shared" si="6"/>
        <v>9.9999999999999575E-2</v>
      </c>
    </row>
    <row r="40" spans="1:8" x14ac:dyDescent="0.25">
      <c r="A40" s="163">
        <v>3.7</v>
      </c>
      <c r="B40" s="163">
        <f t="shared" si="7"/>
        <v>0</v>
      </c>
      <c r="C40" s="163">
        <f t="shared" si="8"/>
        <v>0</v>
      </c>
      <c r="D40" s="163">
        <f t="shared" si="9"/>
        <v>0</v>
      </c>
      <c r="E40" s="163">
        <f t="shared" si="10"/>
        <v>0</v>
      </c>
      <c r="F40" s="163">
        <f t="shared" si="11"/>
        <v>89.999999999999943</v>
      </c>
      <c r="G40" s="163">
        <f t="shared" si="12"/>
        <v>-100</v>
      </c>
      <c r="H40" s="163">
        <f t="shared" si="6"/>
        <v>-0.10000000000000057</v>
      </c>
    </row>
    <row r="41" spans="1:8" x14ac:dyDescent="0.25">
      <c r="A41" s="163">
        <v>3.8</v>
      </c>
      <c r="B41" s="163">
        <f t="shared" si="7"/>
        <v>0</v>
      </c>
      <c r="C41" s="163">
        <f t="shared" si="8"/>
        <v>0</v>
      </c>
      <c r="D41" s="163">
        <f t="shared" si="9"/>
        <v>0</v>
      </c>
      <c r="E41" s="163">
        <f t="shared" si="10"/>
        <v>0</v>
      </c>
      <c r="F41" s="163">
        <f t="shared" si="11"/>
        <v>60.000000000000057</v>
      </c>
      <c r="G41" s="163">
        <f t="shared" si="12"/>
        <v>-90.000000000000028</v>
      </c>
      <c r="H41" s="163">
        <f t="shared" si="6"/>
        <v>-0.29999999999999971</v>
      </c>
    </row>
    <row r="42" spans="1:8" x14ac:dyDescent="0.25">
      <c r="A42" s="163">
        <v>3.9</v>
      </c>
      <c r="B42" s="163">
        <f t="shared" si="7"/>
        <v>0</v>
      </c>
      <c r="C42" s="163">
        <f t="shared" si="8"/>
        <v>0</v>
      </c>
      <c r="D42" s="163">
        <f t="shared" si="9"/>
        <v>0</v>
      </c>
      <c r="E42" s="163">
        <f t="shared" si="10"/>
        <v>0</v>
      </c>
      <c r="F42" s="163">
        <f t="shared" si="11"/>
        <v>30.000000000000028</v>
      </c>
      <c r="G42" s="163">
        <f t="shared" si="12"/>
        <v>-80.000000000000028</v>
      </c>
      <c r="H42" s="163">
        <f t="shared" si="6"/>
        <v>-0.5</v>
      </c>
    </row>
    <row r="43" spans="1:8" x14ac:dyDescent="0.25">
      <c r="A43" s="163">
        <v>4</v>
      </c>
      <c r="B43" s="163">
        <f t="shared" si="7"/>
        <v>0</v>
      </c>
      <c r="C43" s="163">
        <f t="shared" si="8"/>
        <v>0</v>
      </c>
      <c r="D43" s="163">
        <f t="shared" si="9"/>
        <v>0</v>
      </c>
      <c r="E43" s="163">
        <f t="shared" si="10"/>
        <v>0</v>
      </c>
      <c r="F43" s="163">
        <f t="shared" si="11"/>
        <v>0</v>
      </c>
      <c r="G43" s="163">
        <f t="shared" si="12"/>
        <v>-70.000000000000014</v>
      </c>
      <c r="H43" s="163">
        <f t="shared" si="6"/>
        <v>-0.70000000000000018</v>
      </c>
    </row>
    <row r="44" spans="1:8" x14ac:dyDescent="0.25">
      <c r="A44" s="163">
        <v>4.0999999999999996</v>
      </c>
      <c r="B44" s="163">
        <f t="shared" si="7"/>
        <v>0</v>
      </c>
      <c r="C44" s="163">
        <f t="shared" si="8"/>
        <v>0</v>
      </c>
      <c r="D44" s="163">
        <f t="shared" si="9"/>
        <v>0</v>
      </c>
      <c r="E44" s="163">
        <f t="shared" si="10"/>
        <v>0</v>
      </c>
      <c r="F44" s="163">
        <f t="shared" si="11"/>
        <v>0</v>
      </c>
      <c r="G44" s="163">
        <f t="shared" si="12"/>
        <v>-60.000000000000057</v>
      </c>
      <c r="H44" s="163">
        <f t="shared" si="6"/>
        <v>-0.60000000000000053</v>
      </c>
    </row>
    <row r="45" spans="1:8" x14ac:dyDescent="0.25">
      <c r="A45" s="163">
        <v>4.2</v>
      </c>
      <c r="B45" s="163">
        <f t="shared" si="7"/>
        <v>0</v>
      </c>
      <c r="C45" s="163">
        <f t="shared" si="8"/>
        <v>0</v>
      </c>
      <c r="D45" s="163">
        <f t="shared" si="9"/>
        <v>0</v>
      </c>
      <c r="E45" s="163">
        <f t="shared" si="10"/>
        <v>0</v>
      </c>
      <c r="F45" s="163">
        <f t="shared" si="11"/>
        <v>0</v>
      </c>
      <c r="G45" s="163">
        <f t="shared" si="12"/>
        <v>-50</v>
      </c>
      <c r="H45" s="163">
        <f t="shared" si="6"/>
        <v>-0.5</v>
      </c>
    </row>
    <row r="46" spans="1:8" x14ac:dyDescent="0.25">
      <c r="A46" s="163">
        <v>4.3</v>
      </c>
      <c r="B46" s="163">
        <f t="shared" si="7"/>
        <v>0</v>
      </c>
      <c r="C46" s="163">
        <f t="shared" si="8"/>
        <v>0</v>
      </c>
      <c r="D46" s="163">
        <f t="shared" si="9"/>
        <v>0</v>
      </c>
      <c r="E46" s="163">
        <f t="shared" si="10"/>
        <v>0</v>
      </c>
      <c r="F46" s="163">
        <f t="shared" si="11"/>
        <v>0</v>
      </c>
      <c r="G46" s="163">
        <f t="shared" si="12"/>
        <v>-40.000000000000036</v>
      </c>
      <c r="H46" s="163">
        <f t="shared" si="6"/>
        <v>-0.40000000000000036</v>
      </c>
    </row>
    <row r="47" spans="1:8" x14ac:dyDescent="0.25">
      <c r="A47" s="163">
        <v>4.4000000000000004</v>
      </c>
      <c r="B47" s="163">
        <f t="shared" si="7"/>
        <v>0</v>
      </c>
      <c r="C47" s="163">
        <f t="shared" si="8"/>
        <v>0</v>
      </c>
      <c r="D47" s="163">
        <f t="shared" si="9"/>
        <v>0</v>
      </c>
      <c r="E47" s="163">
        <f t="shared" si="10"/>
        <v>0</v>
      </c>
      <c r="F47" s="163">
        <f t="shared" si="11"/>
        <v>0</v>
      </c>
      <c r="G47" s="163">
        <f t="shared" si="12"/>
        <v>-29.999999999999982</v>
      </c>
      <c r="H47" s="163">
        <f t="shared" si="6"/>
        <v>-0.29999999999999982</v>
      </c>
    </row>
    <row r="48" spans="1:8" x14ac:dyDescent="0.25">
      <c r="A48" s="163">
        <v>4.5</v>
      </c>
      <c r="B48" s="163">
        <f t="shared" si="7"/>
        <v>0</v>
      </c>
      <c r="C48" s="163">
        <f t="shared" si="8"/>
        <v>0</v>
      </c>
      <c r="D48" s="163">
        <f t="shared" si="9"/>
        <v>0</v>
      </c>
      <c r="E48" s="163">
        <f t="shared" si="10"/>
        <v>0</v>
      </c>
      <c r="F48" s="163">
        <f t="shared" si="11"/>
        <v>0</v>
      </c>
      <c r="G48" s="163">
        <f t="shared" si="12"/>
        <v>-20.000000000000018</v>
      </c>
      <c r="H48" s="163">
        <f t="shared" si="6"/>
        <v>-0.20000000000000018</v>
      </c>
    </row>
    <row r="49" spans="1:8" x14ac:dyDescent="0.25">
      <c r="A49" s="163">
        <v>4.5999999999999996</v>
      </c>
      <c r="B49" s="163">
        <f t="shared" si="7"/>
        <v>0</v>
      </c>
      <c r="C49" s="163">
        <f t="shared" si="8"/>
        <v>0</v>
      </c>
      <c r="D49" s="163">
        <f t="shared" si="9"/>
        <v>0</v>
      </c>
      <c r="E49" s="163">
        <f t="shared" si="10"/>
        <v>0</v>
      </c>
      <c r="F49" s="163">
        <f t="shared" si="11"/>
        <v>0</v>
      </c>
      <c r="G49" s="163">
        <f t="shared" si="12"/>
        <v>-10.000000000000053</v>
      </c>
      <c r="H49" s="163">
        <f t="shared" si="6"/>
        <v>-0.10000000000000053</v>
      </c>
    </row>
    <row r="50" spans="1:8" x14ac:dyDescent="0.25">
      <c r="A50" s="163">
        <v>4.7</v>
      </c>
      <c r="B50" s="163">
        <f t="shared" si="7"/>
        <v>0</v>
      </c>
      <c r="C50" s="163">
        <f t="shared" si="8"/>
        <v>0</v>
      </c>
      <c r="D50" s="163">
        <f t="shared" si="9"/>
        <v>0</v>
      </c>
      <c r="E50" s="163">
        <f t="shared" si="10"/>
        <v>0</v>
      </c>
      <c r="F50" s="163">
        <f t="shared" si="11"/>
        <v>0</v>
      </c>
      <c r="G50" s="163">
        <f t="shared" si="12"/>
        <v>0</v>
      </c>
      <c r="H50" s="163">
        <f t="shared" si="6"/>
        <v>0</v>
      </c>
    </row>
    <row r="51" spans="1:8" x14ac:dyDescent="0.25">
      <c r="A51" s="163">
        <v>4.8</v>
      </c>
      <c r="B51" s="163">
        <f t="shared" si="7"/>
        <v>9.9999999999999645</v>
      </c>
      <c r="C51" s="163">
        <f t="shared" si="8"/>
        <v>0</v>
      </c>
      <c r="D51" s="163">
        <f t="shared" si="9"/>
        <v>0</v>
      </c>
      <c r="E51" s="163">
        <f t="shared" si="10"/>
        <v>0</v>
      </c>
      <c r="F51" s="163">
        <f t="shared" si="11"/>
        <v>0</v>
      </c>
      <c r="G51" s="163">
        <f t="shared" si="12"/>
        <v>0</v>
      </c>
      <c r="H51" s="163">
        <f t="shared" si="6"/>
        <v>9.9999999999999645E-2</v>
      </c>
    </row>
    <row r="52" spans="1:8" x14ac:dyDescent="0.25">
      <c r="A52" s="163">
        <v>4.9000000000000004</v>
      </c>
      <c r="B52" s="163">
        <f t="shared" si="7"/>
        <v>20.000000000000018</v>
      </c>
      <c r="C52" s="163">
        <f t="shared" si="8"/>
        <v>0</v>
      </c>
      <c r="D52" s="163">
        <f t="shared" si="9"/>
        <v>0</v>
      </c>
      <c r="E52" s="163">
        <f t="shared" si="10"/>
        <v>0</v>
      </c>
      <c r="F52" s="163">
        <f t="shared" si="11"/>
        <v>0</v>
      </c>
      <c r="G52" s="163">
        <f t="shared" si="12"/>
        <v>0</v>
      </c>
      <c r="H52" s="163">
        <f t="shared" si="6"/>
        <v>0.20000000000000018</v>
      </c>
    </row>
    <row r="53" spans="1:8" x14ac:dyDescent="0.25">
      <c r="A53" s="163">
        <v>5</v>
      </c>
      <c r="B53" s="163">
        <f t="shared" si="7"/>
        <v>29.999999999999982</v>
      </c>
      <c r="C53" s="163">
        <f t="shared" si="8"/>
        <v>0</v>
      </c>
      <c r="D53" s="163">
        <f t="shared" si="9"/>
        <v>0</v>
      </c>
      <c r="E53" s="163">
        <f t="shared" si="10"/>
        <v>0</v>
      </c>
      <c r="F53" s="163">
        <f t="shared" si="11"/>
        <v>0</v>
      </c>
      <c r="G53" s="163">
        <f t="shared" si="12"/>
        <v>0</v>
      </c>
      <c r="H53" s="163">
        <f t="shared" si="6"/>
        <v>0.29999999999999982</v>
      </c>
    </row>
    <row r="54" spans="1:8" x14ac:dyDescent="0.25">
      <c r="A54" s="163">
        <v>5.0999999999999996</v>
      </c>
      <c r="B54" s="163">
        <f t="shared" si="7"/>
        <v>39.999999999999943</v>
      </c>
      <c r="C54" s="163">
        <f t="shared" si="8"/>
        <v>0</v>
      </c>
      <c r="D54" s="163">
        <f t="shared" si="9"/>
        <v>0</v>
      </c>
      <c r="E54" s="163">
        <f t="shared" si="10"/>
        <v>0</v>
      </c>
      <c r="F54" s="163">
        <f t="shared" si="11"/>
        <v>0</v>
      </c>
      <c r="G54" s="163">
        <f t="shared" si="12"/>
        <v>0</v>
      </c>
      <c r="H54" s="163">
        <f t="shared" si="6"/>
        <v>0.39999999999999941</v>
      </c>
    </row>
    <row r="55" spans="1:8" x14ac:dyDescent="0.25">
      <c r="A55" s="163">
        <v>5.2</v>
      </c>
      <c r="B55" s="163">
        <f t="shared" si="7"/>
        <v>50</v>
      </c>
      <c r="C55" s="163">
        <f t="shared" si="8"/>
        <v>0</v>
      </c>
      <c r="D55" s="163">
        <f t="shared" si="9"/>
        <v>0</v>
      </c>
      <c r="E55" s="163">
        <f t="shared" si="10"/>
        <v>0</v>
      </c>
      <c r="F55" s="163">
        <f t="shared" si="11"/>
        <v>0</v>
      </c>
      <c r="G55" s="163">
        <f t="shared" si="12"/>
        <v>0</v>
      </c>
      <c r="H55" s="163">
        <f t="shared" si="6"/>
        <v>0.5</v>
      </c>
    </row>
    <row r="56" spans="1:8" x14ac:dyDescent="0.25">
      <c r="A56" s="163">
        <v>5.3</v>
      </c>
      <c r="B56" s="163">
        <f t="shared" si="7"/>
        <v>59.999999999999964</v>
      </c>
      <c r="C56" s="163">
        <f t="shared" si="8"/>
        <v>0</v>
      </c>
      <c r="D56" s="163">
        <f t="shared" si="9"/>
        <v>0</v>
      </c>
      <c r="E56" s="163">
        <f t="shared" si="10"/>
        <v>0</v>
      </c>
      <c r="F56" s="163">
        <f t="shared" si="11"/>
        <v>0</v>
      </c>
      <c r="G56" s="163">
        <f t="shared" si="12"/>
        <v>0</v>
      </c>
      <c r="H56" s="163">
        <f t="shared" si="6"/>
        <v>0.59999999999999964</v>
      </c>
    </row>
    <row r="57" spans="1:8" x14ac:dyDescent="0.25">
      <c r="A57" s="163">
        <v>5.4</v>
      </c>
      <c r="B57" s="163">
        <f t="shared" si="7"/>
        <v>70.000000000000014</v>
      </c>
      <c r="C57" s="163">
        <f t="shared" si="8"/>
        <v>0</v>
      </c>
      <c r="D57" s="163">
        <f t="shared" si="9"/>
        <v>0</v>
      </c>
      <c r="E57" s="163">
        <f t="shared" si="10"/>
        <v>0</v>
      </c>
      <c r="F57" s="163">
        <f t="shared" si="11"/>
        <v>0</v>
      </c>
      <c r="G57" s="163">
        <f t="shared" si="12"/>
        <v>0</v>
      </c>
      <c r="H57" s="163">
        <f t="shared" si="6"/>
        <v>0.70000000000000018</v>
      </c>
    </row>
    <row r="58" spans="1:8" x14ac:dyDescent="0.25">
      <c r="A58" s="163">
        <v>5.5</v>
      </c>
      <c r="B58" s="163">
        <f t="shared" si="7"/>
        <v>79.999999999999986</v>
      </c>
      <c r="C58" s="163">
        <f t="shared" si="8"/>
        <v>0</v>
      </c>
      <c r="D58" s="163">
        <f t="shared" si="9"/>
        <v>0</v>
      </c>
      <c r="E58" s="163">
        <f t="shared" si="10"/>
        <v>0</v>
      </c>
      <c r="F58" s="163">
        <f t="shared" si="11"/>
        <v>0</v>
      </c>
      <c r="G58" s="163">
        <f t="shared" si="12"/>
        <v>0</v>
      </c>
      <c r="H58" s="163">
        <f t="shared" si="6"/>
        <v>0.79999999999999982</v>
      </c>
    </row>
    <row r="59" spans="1:8" x14ac:dyDescent="0.25">
      <c r="A59" s="163">
        <v>5.6</v>
      </c>
      <c r="B59" s="163">
        <f t="shared" si="7"/>
        <v>89.999999999999943</v>
      </c>
      <c r="C59" s="163">
        <f t="shared" si="8"/>
        <v>-29.999999999999893</v>
      </c>
      <c r="D59" s="163">
        <f t="shared" si="9"/>
        <v>0</v>
      </c>
      <c r="E59" s="163">
        <f t="shared" si="10"/>
        <v>0</v>
      </c>
      <c r="F59" s="163">
        <f t="shared" si="11"/>
        <v>0</v>
      </c>
      <c r="G59" s="163">
        <f t="shared" si="12"/>
        <v>0</v>
      </c>
      <c r="H59" s="163">
        <f t="shared" si="6"/>
        <v>0.60000000000000053</v>
      </c>
    </row>
    <row r="60" spans="1:8" x14ac:dyDescent="0.25">
      <c r="A60" s="163">
        <v>5.7</v>
      </c>
      <c r="B60" s="163">
        <f t="shared" si="7"/>
        <v>100</v>
      </c>
      <c r="C60" s="163">
        <f t="shared" si="8"/>
        <v>-60.000000000000057</v>
      </c>
      <c r="D60" s="163">
        <f t="shared" si="9"/>
        <v>0</v>
      </c>
      <c r="E60" s="163">
        <f t="shared" si="10"/>
        <v>0</v>
      </c>
      <c r="F60" s="163">
        <f t="shared" si="11"/>
        <v>0</v>
      </c>
      <c r="G60" s="163">
        <f t="shared" si="12"/>
        <v>0</v>
      </c>
      <c r="H60" s="163">
        <f t="shared" si="6"/>
        <v>0.39999999999999941</v>
      </c>
    </row>
    <row r="61" spans="1:8" x14ac:dyDescent="0.25">
      <c r="A61" s="163">
        <v>5.8</v>
      </c>
      <c r="B61" s="163">
        <f t="shared" si="7"/>
        <v>109.99999999999997</v>
      </c>
      <c r="C61" s="163">
        <f t="shared" si="8"/>
        <v>-89.999999999999943</v>
      </c>
      <c r="D61" s="163">
        <f t="shared" si="9"/>
        <v>0</v>
      </c>
      <c r="E61" s="163">
        <f t="shared" si="10"/>
        <v>0</v>
      </c>
      <c r="F61" s="163">
        <f t="shared" si="11"/>
        <v>0</v>
      </c>
      <c r="G61" s="163">
        <f t="shared" si="12"/>
        <v>0</v>
      </c>
      <c r="H61" s="163">
        <f t="shared" si="6"/>
        <v>0.20000000000000029</v>
      </c>
    </row>
    <row r="62" spans="1:8" x14ac:dyDescent="0.25">
      <c r="A62" s="163">
        <v>5.9</v>
      </c>
      <c r="B62" s="163">
        <f t="shared" si="7"/>
        <v>120.00000000000001</v>
      </c>
      <c r="C62" s="163">
        <f t="shared" si="8"/>
        <v>-120.00000000000011</v>
      </c>
      <c r="D62" s="163">
        <f t="shared" si="9"/>
        <v>0</v>
      </c>
      <c r="E62" s="163">
        <f t="shared" si="10"/>
        <v>0</v>
      </c>
      <c r="F62" s="163">
        <f t="shared" si="11"/>
        <v>0</v>
      </c>
      <c r="G62" s="163">
        <f t="shared" si="12"/>
        <v>0</v>
      </c>
      <c r="H62" s="163">
        <f t="shared" si="6"/>
        <v>-9.9475983006414035E-16</v>
      </c>
    </row>
    <row r="63" spans="1:8" x14ac:dyDescent="0.25">
      <c r="A63" s="163">
        <v>6</v>
      </c>
      <c r="B63" s="163">
        <f t="shared" si="7"/>
        <v>129.99999999999997</v>
      </c>
      <c r="C63" s="163">
        <f t="shared" si="8"/>
        <v>-150</v>
      </c>
      <c r="D63" s="163">
        <f t="shared" si="9"/>
        <v>19.999999999999929</v>
      </c>
      <c r="E63" s="163">
        <f t="shared" si="10"/>
        <v>0</v>
      </c>
      <c r="F63" s="163">
        <f t="shared" si="11"/>
        <v>0</v>
      </c>
      <c r="G63" s="163">
        <f t="shared" si="12"/>
        <v>0</v>
      </c>
      <c r="H63" s="163">
        <f t="shared" si="6"/>
        <v>-9.9475983006414035E-16</v>
      </c>
    </row>
    <row r="64" spans="1:8" x14ac:dyDescent="0.25">
      <c r="A64" s="163">
        <v>6.1</v>
      </c>
      <c r="B64" s="163">
        <f t="shared" si="7"/>
        <v>139.99999999999994</v>
      </c>
      <c r="C64" s="163">
        <f t="shared" si="8"/>
        <v>-179.99999999999989</v>
      </c>
      <c r="D64" s="163">
        <f t="shared" si="9"/>
        <v>39.999999999999858</v>
      </c>
      <c r="E64" s="163">
        <f t="shared" si="10"/>
        <v>0</v>
      </c>
      <c r="F64" s="163">
        <f t="shared" si="11"/>
        <v>0</v>
      </c>
      <c r="G64" s="163">
        <f t="shared" si="12"/>
        <v>0</v>
      </c>
      <c r="H64" s="163">
        <f t="shared" si="6"/>
        <v>-8.5265128291212019E-16</v>
      </c>
    </row>
    <row r="65" spans="1:8" x14ac:dyDescent="0.25">
      <c r="A65" s="163">
        <v>6.2</v>
      </c>
      <c r="B65" s="163">
        <f t="shared" si="7"/>
        <v>150</v>
      </c>
      <c r="C65" s="163">
        <f t="shared" si="8"/>
        <v>-210.00000000000006</v>
      </c>
      <c r="D65" s="163">
        <f t="shared" si="9"/>
        <v>59.999999999999964</v>
      </c>
      <c r="E65" s="163">
        <f t="shared" si="10"/>
        <v>0</v>
      </c>
      <c r="F65" s="163">
        <f t="shared" si="11"/>
        <v>0</v>
      </c>
      <c r="G65" s="163">
        <f t="shared" si="12"/>
        <v>0</v>
      </c>
      <c r="H65" s="163">
        <f t="shared" si="6"/>
        <v>-9.2370555648813027E-16</v>
      </c>
    </row>
    <row r="66" spans="1:8" x14ac:dyDescent="0.25">
      <c r="A66" s="163">
        <v>6.3</v>
      </c>
      <c r="B66" s="163">
        <f t="shared" si="7"/>
        <v>159.99999999999997</v>
      </c>
      <c r="C66" s="163">
        <f t="shared" si="8"/>
        <v>-239.99999999999994</v>
      </c>
      <c r="D66" s="163">
        <f t="shared" si="9"/>
        <v>79.999999999999886</v>
      </c>
      <c r="E66" s="163">
        <f t="shared" si="10"/>
        <v>0</v>
      </c>
      <c r="F66" s="163">
        <f t="shared" si="11"/>
        <v>0</v>
      </c>
      <c r="G66" s="163">
        <f t="shared" si="12"/>
        <v>0</v>
      </c>
      <c r="H66" s="163">
        <f t="shared" si="6"/>
        <v>-8.5265128291212019E-16</v>
      </c>
    </row>
    <row r="67" spans="1:8" x14ac:dyDescent="0.25">
      <c r="A67" s="163">
        <v>6.4</v>
      </c>
      <c r="B67" s="163">
        <f t="shared" ref="B67:B98" si="13">MAX(0,A67-4.7)*100</f>
        <v>170.00000000000003</v>
      </c>
      <c r="C67" s="163">
        <f t="shared" ref="C67:C98" si="14">-MAX(0,$A67-5.5)*300</f>
        <v>-270.00000000000011</v>
      </c>
      <c r="D67" s="163">
        <f t="shared" ref="D67:D98" si="15">MAX(0,$A67-5.9)*200</f>
        <v>100</v>
      </c>
      <c r="E67" s="163">
        <f t="shared" ref="E67:E98" si="16">-MAX(0,3.5-$A67)*200</f>
        <v>0</v>
      </c>
      <c r="F67" s="163">
        <f t="shared" ref="F67:F98" si="17">MAX(0,4-$A67)*300</f>
        <v>0</v>
      </c>
      <c r="G67" s="163">
        <f t="shared" ref="G67:G98" si="18">-MAX(0,4.7-$A67)*100</f>
        <v>0</v>
      </c>
      <c r="H67" s="163">
        <f t="shared" si="6"/>
        <v>-8.5265128291212019E-16</v>
      </c>
    </row>
    <row r="68" spans="1:8" x14ac:dyDescent="0.25">
      <c r="A68" s="163">
        <v>6.5</v>
      </c>
      <c r="B68" s="163">
        <f t="shared" si="13"/>
        <v>179.99999999999997</v>
      </c>
      <c r="C68" s="163">
        <f t="shared" si="14"/>
        <v>-300</v>
      </c>
      <c r="D68" s="163">
        <f t="shared" si="15"/>
        <v>119.99999999999993</v>
      </c>
      <c r="E68" s="163">
        <f t="shared" si="16"/>
        <v>0</v>
      </c>
      <c r="F68" s="163">
        <f t="shared" si="17"/>
        <v>0</v>
      </c>
      <c r="G68" s="163">
        <f t="shared" si="18"/>
        <v>0</v>
      </c>
      <c r="H68" s="163">
        <f t="shared" ref="H68:H122" si="19">SUM(B68:G68)/100</f>
        <v>-9.9475983006414035E-16</v>
      </c>
    </row>
    <row r="69" spans="1:8" x14ac:dyDescent="0.25">
      <c r="A69" s="163">
        <v>6.6</v>
      </c>
      <c r="B69" s="163">
        <f t="shared" si="13"/>
        <v>189.99999999999994</v>
      </c>
      <c r="C69" s="163">
        <f t="shared" si="14"/>
        <v>-329.99999999999989</v>
      </c>
      <c r="D69" s="163">
        <f t="shared" si="15"/>
        <v>139.99999999999986</v>
      </c>
      <c r="E69" s="163">
        <f t="shared" si="16"/>
        <v>0</v>
      </c>
      <c r="F69" s="163">
        <f t="shared" si="17"/>
        <v>0</v>
      </c>
      <c r="G69" s="163">
        <f t="shared" si="18"/>
        <v>0</v>
      </c>
      <c r="H69" s="163">
        <f t="shared" si="19"/>
        <v>-8.5265128291212019E-16</v>
      </c>
    </row>
    <row r="70" spans="1:8" x14ac:dyDescent="0.25">
      <c r="A70" s="163">
        <v>6.7</v>
      </c>
      <c r="B70" s="163">
        <f t="shared" si="13"/>
        <v>200</v>
      </c>
      <c r="C70" s="163">
        <f t="shared" si="14"/>
        <v>-360.00000000000006</v>
      </c>
      <c r="D70" s="163">
        <f t="shared" si="15"/>
        <v>159.99999999999997</v>
      </c>
      <c r="E70" s="163">
        <f t="shared" si="16"/>
        <v>0</v>
      </c>
      <c r="F70" s="163">
        <f t="shared" si="17"/>
        <v>0</v>
      </c>
      <c r="G70" s="163">
        <f t="shared" si="18"/>
        <v>0</v>
      </c>
      <c r="H70" s="163">
        <f t="shared" si="19"/>
        <v>-8.5265128291212019E-16</v>
      </c>
    </row>
    <row r="71" spans="1:8" x14ac:dyDescent="0.25">
      <c r="A71" s="163">
        <v>6.8</v>
      </c>
      <c r="B71" s="163">
        <f t="shared" si="13"/>
        <v>209.99999999999997</v>
      </c>
      <c r="C71" s="163">
        <f t="shared" si="14"/>
        <v>-389.99999999999994</v>
      </c>
      <c r="D71" s="163">
        <f t="shared" si="15"/>
        <v>179.99999999999989</v>
      </c>
      <c r="E71" s="163">
        <f t="shared" si="16"/>
        <v>0</v>
      </c>
      <c r="F71" s="163">
        <f t="shared" si="17"/>
        <v>0</v>
      </c>
      <c r="G71" s="163">
        <f t="shared" si="18"/>
        <v>0</v>
      </c>
      <c r="H71" s="163">
        <f t="shared" si="19"/>
        <v>-8.5265128291212019E-16</v>
      </c>
    </row>
    <row r="72" spans="1:8" x14ac:dyDescent="0.25">
      <c r="A72" s="163">
        <v>6.9</v>
      </c>
      <c r="B72" s="163">
        <f t="shared" si="13"/>
        <v>220.00000000000003</v>
      </c>
      <c r="C72" s="163">
        <f t="shared" si="14"/>
        <v>-420.00000000000011</v>
      </c>
      <c r="D72" s="163">
        <f t="shared" si="15"/>
        <v>200</v>
      </c>
      <c r="E72" s="163">
        <f t="shared" si="16"/>
        <v>0</v>
      </c>
      <c r="F72" s="163">
        <f t="shared" si="17"/>
        <v>0</v>
      </c>
      <c r="G72" s="163">
        <f t="shared" si="18"/>
        <v>0</v>
      </c>
      <c r="H72" s="163">
        <f t="shared" si="19"/>
        <v>-8.5265128291212019E-16</v>
      </c>
    </row>
    <row r="73" spans="1:8" x14ac:dyDescent="0.25">
      <c r="A73" s="163">
        <v>7</v>
      </c>
      <c r="B73" s="163">
        <f t="shared" si="13"/>
        <v>229.99999999999997</v>
      </c>
      <c r="C73" s="163">
        <f t="shared" si="14"/>
        <v>-450</v>
      </c>
      <c r="D73" s="163">
        <f t="shared" si="15"/>
        <v>219.99999999999994</v>
      </c>
      <c r="E73" s="163">
        <f t="shared" si="16"/>
        <v>0</v>
      </c>
      <c r="F73" s="163">
        <f t="shared" si="17"/>
        <v>0</v>
      </c>
      <c r="G73" s="163">
        <f t="shared" si="18"/>
        <v>0</v>
      </c>
      <c r="H73" s="163">
        <f t="shared" si="19"/>
        <v>-8.5265128291212019E-16</v>
      </c>
    </row>
    <row r="74" spans="1:8" x14ac:dyDescent="0.25">
      <c r="A74" s="163">
        <v>7.1</v>
      </c>
      <c r="B74" s="163">
        <f t="shared" si="13"/>
        <v>239.99999999999994</v>
      </c>
      <c r="C74" s="163">
        <f t="shared" si="14"/>
        <v>-479.99999999999989</v>
      </c>
      <c r="D74" s="163">
        <f t="shared" si="15"/>
        <v>239.99999999999986</v>
      </c>
      <c r="E74" s="163">
        <f t="shared" si="16"/>
        <v>0</v>
      </c>
      <c r="F74" s="163">
        <f t="shared" si="17"/>
        <v>0</v>
      </c>
      <c r="G74" s="163">
        <f t="shared" si="18"/>
        <v>0</v>
      </c>
      <c r="H74" s="163">
        <f t="shared" si="19"/>
        <v>-8.5265128291212019E-16</v>
      </c>
    </row>
    <row r="75" spans="1:8" x14ac:dyDescent="0.25">
      <c r="A75" s="163">
        <v>7.2</v>
      </c>
      <c r="B75" s="163">
        <f t="shared" si="13"/>
        <v>250</v>
      </c>
      <c r="C75" s="163">
        <f t="shared" si="14"/>
        <v>-510.00000000000006</v>
      </c>
      <c r="D75" s="163">
        <f t="shared" si="15"/>
        <v>259.99999999999994</v>
      </c>
      <c r="E75" s="163">
        <f t="shared" si="16"/>
        <v>0</v>
      </c>
      <c r="F75" s="163">
        <f t="shared" si="17"/>
        <v>0</v>
      </c>
      <c r="G75" s="163">
        <f t="shared" si="18"/>
        <v>0</v>
      </c>
      <c r="H75" s="163">
        <f t="shared" si="19"/>
        <v>-1.1368683772161603E-15</v>
      </c>
    </row>
    <row r="76" spans="1:8" x14ac:dyDescent="0.25">
      <c r="A76" s="163">
        <v>7.3</v>
      </c>
      <c r="B76" s="163">
        <f t="shared" si="13"/>
        <v>259.99999999999994</v>
      </c>
      <c r="C76" s="163">
        <f t="shared" si="14"/>
        <v>-540</v>
      </c>
      <c r="D76" s="163">
        <f t="shared" si="15"/>
        <v>279.99999999999989</v>
      </c>
      <c r="E76" s="163">
        <f t="shared" si="16"/>
        <v>0</v>
      </c>
      <c r="F76" s="163">
        <f t="shared" si="17"/>
        <v>0</v>
      </c>
      <c r="G76" s="163">
        <f t="shared" si="18"/>
        <v>0</v>
      </c>
      <c r="H76" s="163">
        <f t="shared" si="19"/>
        <v>-1.7053025658242404E-15</v>
      </c>
    </row>
    <row r="77" spans="1:8" x14ac:dyDescent="0.25">
      <c r="A77" s="163">
        <v>7.4</v>
      </c>
      <c r="B77" s="163">
        <f t="shared" si="13"/>
        <v>270</v>
      </c>
      <c r="C77" s="163">
        <f t="shared" si="14"/>
        <v>-570.00000000000011</v>
      </c>
      <c r="D77" s="163">
        <f t="shared" si="15"/>
        <v>300</v>
      </c>
      <c r="E77" s="163">
        <f t="shared" si="16"/>
        <v>0</v>
      </c>
      <c r="F77" s="163">
        <f t="shared" si="17"/>
        <v>0</v>
      </c>
      <c r="G77" s="163">
        <f t="shared" si="18"/>
        <v>0</v>
      </c>
      <c r="H77" s="163">
        <f t="shared" si="19"/>
        <v>-1.1368683772161603E-15</v>
      </c>
    </row>
    <row r="78" spans="1:8" x14ac:dyDescent="0.25">
      <c r="A78" s="163">
        <v>7.5</v>
      </c>
      <c r="B78" s="163">
        <f t="shared" si="13"/>
        <v>280</v>
      </c>
      <c r="C78" s="163">
        <f t="shared" si="14"/>
        <v>-600</v>
      </c>
      <c r="D78" s="163">
        <f t="shared" si="15"/>
        <v>319.99999999999994</v>
      </c>
      <c r="E78" s="163">
        <f t="shared" si="16"/>
        <v>0</v>
      </c>
      <c r="F78" s="163">
        <f t="shared" si="17"/>
        <v>0</v>
      </c>
      <c r="G78" s="163">
        <f t="shared" si="18"/>
        <v>0</v>
      </c>
      <c r="H78" s="163">
        <f t="shared" si="19"/>
        <v>-5.6843418860808016E-16</v>
      </c>
    </row>
    <row r="79" spans="1:8" x14ac:dyDescent="0.25">
      <c r="A79" s="163">
        <v>7.6</v>
      </c>
      <c r="B79" s="163">
        <f t="shared" si="13"/>
        <v>289.99999999999994</v>
      </c>
      <c r="C79" s="163">
        <f t="shared" si="14"/>
        <v>-629.99999999999989</v>
      </c>
      <c r="D79" s="163">
        <f t="shared" si="15"/>
        <v>339.99999999999989</v>
      </c>
      <c r="E79" s="163">
        <f t="shared" si="16"/>
        <v>0</v>
      </c>
      <c r="F79" s="163">
        <f t="shared" si="17"/>
        <v>0</v>
      </c>
      <c r="G79" s="163">
        <f t="shared" si="18"/>
        <v>0</v>
      </c>
      <c r="H79" s="163">
        <f t="shared" si="19"/>
        <v>-5.6843418860808016E-16</v>
      </c>
    </row>
    <row r="80" spans="1:8" x14ac:dyDescent="0.25">
      <c r="A80" s="163">
        <v>7.7</v>
      </c>
      <c r="B80" s="163">
        <f t="shared" si="13"/>
        <v>300</v>
      </c>
      <c r="C80" s="163">
        <f t="shared" si="14"/>
        <v>-660</v>
      </c>
      <c r="D80" s="163">
        <f t="shared" si="15"/>
        <v>359.99999999999994</v>
      </c>
      <c r="E80" s="163">
        <f t="shared" si="16"/>
        <v>0</v>
      </c>
      <c r="F80" s="163">
        <f t="shared" si="17"/>
        <v>0</v>
      </c>
      <c r="G80" s="163">
        <f t="shared" si="18"/>
        <v>0</v>
      </c>
      <c r="H80" s="163">
        <f t="shared" si="19"/>
        <v>-5.6843418860808016E-16</v>
      </c>
    </row>
    <row r="81" spans="1:8" x14ac:dyDescent="0.25">
      <c r="A81" s="163">
        <v>7.8</v>
      </c>
      <c r="B81" s="163">
        <f t="shared" si="13"/>
        <v>309.99999999999994</v>
      </c>
      <c r="C81" s="163">
        <f t="shared" si="14"/>
        <v>-690</v>
      </c>
      <c r="D81" s="163">
        <f t="shared" si="15"/>
        <v>379.99999999999989</v>
      </c>
      <c r="E81" s="163">
        <f t="shared" si="16"/>
        <v>0</v>
      </c>
      <c r="F81" s="163">
        <f t="shared" si="17"/>
        <v>0</v>
      </c>
      <c r="G81" s="163">
        <f t="shared" si="18"/>
        <v>0</v>
      </c>
      <c r="H81" s="163">
        <f t="shared" si="19"/>
        <v>-1.7053025658242404E-15</v>
      </c>
    </row>
    <row r="82" spans="1:8" x14ac:dyDescent="0.25">
      <c r="A82" s="163">
        <v>7.9</v>
      </c>
      <c r="B82" s="163">
        <f t="shared" si="13"/>
        <v>320</v>
      </c>
      <c r="C82" s="163">
        <f t="shared" si="14"/>
        <v>-720.00000000000011</v>
      </c>
      <c r="D82" s="163">
        <f t="shared" si="15"/>
        <v>400</v>
      </c>
      <c r="E82" s="163">
        <f t="shared" si="16"/>
        <v>0</v>
      </c>
      <c r="F82" s="163">
        <f t="shared" si="17"/>
        <v>0</v>
      </c>
      <c r="G82" s="163">
        <f t="shared" si="18"/>
        <v>0</v>
      </c>
      <c r="H82" s="163">
        <f t="shared" si="19"/>
        <v>-1.1368683772161603E-15</v>
      </c>
    </row>
    <row r="83" spans="1:8" x14ac:dyDescent="0.25">
      <c r="A83" s="163">
        <v>8</v>
      </c>
      <c r="B83" s="163">
        <f t="shared" si="13"/>
        <v>330</v>
      </c>
      <c r="C83" s="163">
        <f t="shared" si="14"/>
        <v>-750</v>
      </c>
      <c r="D83" s="163">
        <f t="shared" si="15"/>
        <v>419.99999999999994</v>
      </c>
      <c r="E83" s="163">
        <f t="shared" si="16"/>
        <v>0</v>
      </c>
      <c r="F83" s="163">
        <f t="shared" si="17"/>
        <v>0</v>
      </c>
      <c r="G83" s="163">
        <f t="shared" si="18"/>
        <v>0</v>
      </c>
      <c r="H83" s="163">
        <f t="shared" si="19"/>
        <v>-5.6843418860808016E-16</v>
      </c>
    </row>
    <row r="84" spans="1:8" x14ac:dyDescent="0.25">
      <c r="A84" s="163">
        <v>8.1</v>
      </c>
      <c r="B84" s="163">
        <f t="shared" si="13"/>
        <v>339.99999999999994</v>
      </c>
      <c r="C84" s="163">
        <f t="shared" si="14"/>
        <v>-779.99999999999989</v>
      </c>
      <c r="D84" s="163">
        <f t="shared" si="15"/>
        <v>439.99999999999989</v>
      </c>
      <c r="E84" s="163">
        <f t="shared" si="16"/>
        <v>0</v>
      </c>
      <c r="F84" s="163">
        <f t="shared" si="17"/>
        <v>0</v>
      </c>
      <c r="G84" s="163">
        <f t="shared" si="18"/>
        <v>0</v>
      </c>
      <c r="H84" s="163">
        <f t="shared" si="19"/>
        <v>-5.6843418860808016E-16</v>
      </c>
    </row>
    <row r="85" spans="1:8" x14ac:dyDescent="0.25">
      <c r="A85" s="163">
        <v>8.1999999999999993</v>
      </c>
      <c r="B85" s="163">
        <f t="shared" si="13"/>
        <v>349.99999999999989</v>
      </c>
      <c r="C85" s="163">
        <f t="shared" si="14"/>
        <v>-809.99999999999977</v>
      </c>
      <c r="D85" s="163">
        <f t="shared" si="15"/>
        <v>459.99999999999977</v>
      </c>
      <c r="E85" s="163">
        <f t="shared" si="16"/>
        <v>0</v>
      </c>
      <c r="F85" s="163">
        <f t="shared" si="17"/>
        <v>0</v>
      </c>
      <c r="G85" s="163">
        <f t="shared" si="18"/>
        <v>0</v>
      </c>
      <c r="H85" s="163">
        <f t="shared" si="19"/>
        <v>-1.1368683772161603E-15</v>
      </c>
    </row>
    <row r="86" spans="1:8" x14ac:dyDescent="0.25">
      <c r="A86" s="163">
        <v>8.3000000000000007</v>
      </c>
      <c r="B86" s="163">
        <f t="shared" si="13"/>
        <v>360.00000000000006</v>
      </c>
      <c r="C86" s="163">
        <f t="shared" si="14"/>
        <v>-840.00000000000023</v>
      </c>
      <c r="D86" s="163">
        <f t="shared" si="15"/>
        <v>480.00000000000006</v>
      </c>
      <c r="E86" s="163">
        <f t="shared" si="16"/>
        <v>0</v>
      </c>
      <c r="F86" s="163">
        <f t="shared" si="17"/>
        <v>0</v>
      </c>
      <c r="G86" s="163">
        <f t="shared" si="18"/>
        <v>0</v>
      </c>
      <c r="H86" s="163">
        <f t="shared" si="19"/>
        <v>-1.1368683772161603E-15</v>
      </c>
    </row>
    <row r="87" spans="1:8" x14ac:dyDescent="0.25">
      <c r="A87" s="163">
        <v>8.4000000000000092</v>
      </c>
      <c r="B87" s="163">
        <f t="shared" si="13"/>
        <v>370.00000000000091</v>
      </c>
      <c r="C87" s="163">
        <f t="shared" si="14"/>
        <v>-870.00000000000273</v>
      </c>
      <c r="D87" s="163">
        <f t="shared" si="15"/>
        <v>500.00000000000176</v>
      </c>
      <c r="E87" s="163">
        <f t="shared" si="16"/>
        <v>0</v>
      </c>
      <c r="F87" s="163">
        <f t="shared" si="17"/>
        <v>0</v>
      </c>
      <c r="G87" s="163">
        <f t="shared" si="18"/>
        <v>0</v>
      </c>
      <c r="H87" s="163">
        <f t="shared" si="19"/>
        <v>-5.6843418860808016E-16</v>
      </c>
    </row>
    <row r="88" spans="1:8" x14ac:dyDescent="0.25">
      <c r="A88" s="163">
        <v>8.5</v>
      </c>
      <c r="B88" s="163">
        <f t="shared" si="13"/>
        <v>380</v>
      </c>
      <c r="C88" s="163">
        <f t="shared" si="14"/>
        <v>-900</v>
      </c>
      <c r="D88" s="163">
        <f t="shared" si="15"/>
        <v>519.99999999999989</v>
      </c>
      <c r="E88" s="163">
        <f t="shared" si="16"/>
        <v>0</v>
      </c>
      <c r="F88" s="163">
        <f t="shared" si="17"/>
        <v>0</v>
      </c>
      <c r="G88" s="163">
        <f t="shared" si="18"/>
        <v>0</v>
      </c>
      <c r="H88" s="163">
        <f t="shared" si="19"/>
        <v>-1.1368683772161603E-15</v>
      </c>
    </row>
    <row r="89" spans="1:8" x14ac:dyDescent="0.25">
      <c r="A89" s="163">
        <v>8.6</v>
      </c>
      <c r="B89" s="163">
        <f t="shared" si="13"/>
        <v>389.99999999999994</v>
      </c>
      <c r="C89" s="163">
        <f t="shared" si="14"/>
        <v>-929.99999999999989</v>
      </c>
      <c r="D89" s="163">
        <f t="shared" si="15"/>
        <v>539.99999999999989</v>
      </c>
      <c r="E89" s="163">
        <f t="shared" si="16"/>
        <v>0</v>
      </c>
      <c r="F89" s="163">
        <f t="shared" si="17"/>
        <v>0</v>
      </c>
      <c r="G89" s="163">
        <f t="shared" si="18"/>
        <v>0</v>
      </c>
      <c r="H89" s="163">
        <f t="shared" si="19"/>
        <v>-1.1368683772161603E-15</v>
      </c>
    </row>
    <row r="90" spans="1:8" x14ac:dyDescent="0.25">
      <c r="A90" s="163">
        <v>8.7000000000000099</v>
      </c>
      <c r="B90" s="163">
        <f t="shared" si="13"/>
        <v>400.00000000000097</v>
      </c>
      <c r="C90" s="163">
        <f t="shared" si="14"/>
        <v>-960.00000000000296</v>
      </c>
      <c r="D90" s="163">
        <f t="shared" si="15"/>
        <v>560.00000000000193</v>
      </c>
      <c r="E90" s="163">
        <f t="shared" si="16"/>
        <v>0</v>
      </c>
      <c r="F90" s="163">
        <f t="shared" si="17"/>
        <v>0</v>
      </c>
      <c r="G90" s="163">
        <f t="shared" si="18"/>
        <v>0</v>
      </c>
      <c r="H90" s="163">
        <f t="shared" si="19"/>
        <v>-1.1368683772161603E-15</v>
      </c>
    </row>
    <row r="91" spans="1:8" x14ac:dyDescent="0.25">
      <c r="A91" s="163">
        <v>8.8000000000000096</v>
      </c>
      <c r="B91" s="163">
        <f t="shared" si="13"/>
        <v>410.00000000000097</v>
      </c>
      <c r="C91" s="163">
        <f t="shared" si="14"/>
        <v>-990.00000000000284</v>
      </c>
      <c r="D91" s="163">
        <f t="shared" si="15"/>
        <v>580.00000000000182</v>
      </c>
      <c r="E91" s="163">
        <f t="shared" si="16"/>
        <v>0</v>
      </c>
      <c r="F91" s="163">
        <f t="shared" si="17"/>
        <v>0</v>
      </c>
      <c r="G91" s="163">
        <f t="shared" si="18"/>
        <v>0</v>
      </c>
      <c r="H91" s="163">
        <f t="shared" si="19"/>
        <v>0</v>
      </c>
    </row>
    <row r="92" spans="1:8" x14ac:dyDescent="0.25">
      <c r="A92" s="163">
        <v>8.9000000000000092</v>
      </c>
      <c r="B92" s="163">
        <f t="shared" si="13"/>
        <v>420.00000000000091</v>
      </c>
      <c r="C92" s="163">
        <f t="shared" si="14"/>
        <v>-1020.0000000000027</v>
      </c>
      <c r="D92" s="163">
        <f t="shared" si="15"/>
        <v>600.00000000000182</v>
      </c>
      <c r="E92" s="163">
        <f t="shared" si="16"/>
        <v>0</v>
      </c>
      <c r="F92" s="163">
        <f t="shared" si="17"/>
        <v>0</v>
      </c>
      <c r="G92" s="163">
        <f t="shared" si="18"/>
        <v>0</v>
      </c>
      <c r="H92" s="163">
        <f t="shared" si="19"/>
        <v>0</v>
      </c>
    </row>
    <row r="93" spans="1:8" x14ac:dyDescent="0.25">
      <c r="A93" s="163">
        <v>9</v>
      </c>
      <c r="B93" s="163">
        <f t="shared" si="13"/>
        <v>430</v>
      </c>
      <c r="C93" s="163">
        <f t="shared" si="14"/>
        <v>-1050</v>
      </c>
      <c r="D93" s="163">
        <f t="shared" si="15"/>
        <v>619.99999999999989</v>
      </c>
      <c r="E93" s="163">
        <f t="shared" si="16"/>
        <v>0</v>
      </c>
      <c r="F93" s="163">
        <f t="shared" si="17"/>
        <v>0</v>
      </c>
      <c r="G93" s="163">
        <f t="shared" si="18"/>
        <v>0</v>
      </c>
      <c r="H93" s="163">
        <f t="shared" si="19"/>
        <v>-1.1368683772161603E-15</v>
      </c>
    </row>
    <row r="94" spans="1:8" x14ac:dyDescent="0.25">
      <c r="A94" s="163">
        <v>9.1000000000000103</v>
      </c>
      <c r="B94" s="163">
        <f t="shared" si="13"/>
        <v>440.00000000000102</v>
      </c>
      <c r="C94" s="163">
        <f t="shared" si="14"/>
        <v>-1080.0000000000032</v>
      </c>
      <c r="D94" s="163">
        <f t="shared" si="15"/>
        <v>640.00000000000205</v>
      </c>
      <c r="E94" s="163">
        <f t="shared" si="16"/>
        <v>0</v>
      </c>
      <c r="F94" s="163">
        <f t="shared" si="17"/>
        <v>0</v>
      </c>
      <c r="G94" s="163">
        <f t="shared" si="18"/>
        <v>0</v>
      </c>
      <c r="H94" s="163">
        <f t="shared" si="19"/>
        <v>-1.1368683772161603E-15</v>
      </c>
    </row>
    <row r="95" spans="1:8" x14ac:dyDescent="0.25">
      <c r="A95" s="163">
        <v>9.2000000000000099</v>
      </c>
      <c r="B95" s="163">
        <f t="shared" si="13"/>
        <v>450.00000000000097</v>
      </c>
      <c r="C95" s="163">
        <f t="shared" si="14"/>
        <v>-1110.000000000003</v>
      </c>
      <c r="D95" s="163">
        <f t="shared" si="15"/>
        <v>660.00000000000193</v>
      </c>
      <c r="E95" s="163">
        <f t="shared" si="16"/>
        <v>0</v>
      </c>
      <c r="F95" s="163">
        <f t="shared" si="17"/>
        <v>0</v>
      </c>
      <c r="G95" s="163">
        <f t="shared" si="18"/>
        <v>0</v>
      </c>
      <c r="H95" s="163">
        <f t="shared" si="19"/>
        <v>-1.1368683772161603E-15</v>
      </c>
    </row>
    <row r="96" spans="1:8" x14ac:dyDescent="0.25">
      <c r="A96" s="163">
        <v>9.3000000000000096</v>
      </c>
      <c r="B96" s="163">
        <f t="shared" si="13"/>
        <v>460.00000000000097</v>
      </c>
      <c r="C96" s="163">
        <f t="shared" si="14"/>
        <v>-1140.000000000003</v>
      </c>
      <c r="D96" s="163">
        <f t="shared" si="15"/>
        <v>680.00000000000182</v>
      </c>
      <c r="E96" s="163">
        <f t="shared" si="16"/>
        <v>0</v>
      </c>
      <c r="F96" s="163">
        <f t="shared" si="17"/>
        <v>0</v>
      </c>
      <c r="G96" s="163">
        <f t="shared" si="18"/>
        <v>0</v>
      </c>
      <c r="H96" s="163">
        <f t="shared" si="19"/>
        <v>-2.2737367544323206E-15</v>
      </c>
    </row>
    <row r="97" spans="1:8" x14ac:dyDescent="0.25">
      <c r="A97" s="163">
        <v>9.4000000000000092</v>
      </c>
      <c r="B97" s="163">
        <f t="shared" si="13"/>
        <v>470.00000000000091</v>
      </c>
      <c r="C97" s="163">
        <f t="shared" si="14"/>
        <v>-1170.0000000000027</v>
      </c>
      <c r="D97" s="163">
        <f t="shared" si="15"/>
        <v>700.00000000000182</v>
      </c>
      <c r="E97" s="163">
        <f t="shared" si="16"/>
        <v>0</v>
      </c>
      <c r="F97" s="163">
        <f t="shared" si="17"/>
        <v>0</v>
      </c>
      <c r="G97" s="163">
        <f t="shared" si="18"/>
        <v>0</v>
      </c>
      <c r="H97" s="163">
        <f t="shared" si="19"/>
        <v>0</v>
      </c>
    </row>
    <row r="98" spans="1:8" x14ac:dyDescent="0.25">
      <c r="A98" s="163">
        <v>9.5000000000000107</v>
      </c>
      <c r="B98" s="163">
        <f t="shared" si="13"/>
        <v>480.00000000000102</v>
      </c>
      <c r="C98" s="163">
        <f t="shared" si="14"/>
        <v>-1200.0000000000032</v>
      </c>
      <c r="D98" s="163">
        <f t="shared" si="15"/>
        <v>720.00000000000205</v>
      </c>
      <c r="E98" s="163">
        <f t="shared" si="16"/>
        <v>0</v>
      </c>
      <c r="F98" s="163">
        <f t="shared" si="17"/>
        <v>0</v>
      </c>
      <c r="G98" s="163">
        <f t="shared" si="18"/>
        <v>0</v>
      </c>
      <c r="H98" s="163">
        <f t="shared" si="19"/>
        <v>-1.1368683772161603E-15</v>
      </c>
    </row>
    <row r="99" spans="1:8" x14ac:dyDescent="0.25">
      <c r="A99" s="163">
        <v>9.6000000000000103</v>
      </c>
      <c r="B99" s="163">
        <f t="shared" ref="B99:B130" si="20">MAX(0,A99-4.7)*100</f>
        <v>490.00000000000102</v>
      </c>
      <c r="C99" s="163">
        <f t="shared" ref="C99:C122" si="21">-MAX(0,$A99-5.5)*300</f>
        <v>-1230.0000000000032</v>
      </c>
      <c r="D99" s="163">
        <f t="shared" ref="D99:D122" si="22">MAX(0,$A99-5.9)*200</f>
        <v>740.00000000000205</v>
      </c>
      <c r="E99" s="163">
        <f t="shared" ref="E99:E122" si="23">-MAX(0,3.5-$A99)*200</f>
        <v>0</v>
      </c>
      <c r="F99" s="163">
        <f t="shared" ref="F99:F122" si="24">MAX(0,4-$A99)*300</f>
        <v>0</v>
      </c>
      <c r="G99" s="163">
        <f t="shared" ref="G99:G122" si="25">-MAX(0,4.7-$A99)*100</f>
        <v>0</v>
      </c>
      <c r="H99" s="163">
        <f t="shared" si="19"/>
        <v>-1.1368683772161603E-15</v>
      </c>
    </row>
    <row r="100" spans="1:8" x14ac:dyDescent="0.25">
      <c r="A100" s="163">
        <v>9.7000000000000099</v>
      </c>
      <c r="B100" s="163">
        <f t="shared" si="20"/>
        <v>500.00000000000097</v>
      </c>
      <c r="C100" s="163">
        <f t="shared" si="21"/>
        <v>-1260.000000000003</v>
      </c>
      <c r="D100" s="163">
        <f t="shared" si="22"/>
        <v>760.00000000000193</v>
      </c>
      <c r="E100" s="163">
        <f t="shared" si="23"/>
        <v>0</v>
      </c>
      <c r="F100" s="163">
        <f t="shared" si="24"/>
        <v>0</v>
      </c>
      <c r="G100" s="163">
        <f t="shared" si="25"/>
        <v>0</v>
      </c>
      <c r="H100" s="163">
        <f t="shared" si="19"/>
        <v>-1.1368683772161603E-15</v>
      </c>
    </row>
    <row r="101" spans="1:8" x14ac:dyDescent="0.25">
      <c r="A101" s="163">
        <v>9.8000000000000096</v>
      </c>
      <c r="B101" s="163">
        <f t="shared" si="20"/>
        <v>510.00000000000097</v>
      </c>
      <c r="C101" s="163">
        <f t="shared" si="21"/>
        <v>-1290.000000000003</v>
      </c>
      <c r="D101" s="163">
        <f t="shared" si="22"/>
        <v>780.00000000000182</v>
      </c>
      <c r="E101" s="163">
        <f t="shared" si="23"/>
        <v>0</v>
      </c>
      <c r="F101" s="163">
        <f t="shared" si="24"/>
        <v>0</v>
      </c>
      <c r="G101" s="163">
        <f t="shared" si="25"/>
        <v>0</v>
      </c>
      <c r="H101" s="163">
        <f t="shared" si="19"/>
        <v>-2.2737367544323206E-15</v>
      </c>
    </row>
    <row r="102" spans="1:8" x14ac:dyDescent="0.25">
      <c r="A102" s="163">
        <v>9.9000000000000092</v>
      </c>
      <c r="B102" s="163">
        <f t="shared" si="20"/>
        <v>520.00000000000091</v>
      </c>
      <c r="C102" s="163">
        <f t="shared" si="21"/>
        <v>-1320.0000000000027</v>
      </c>
      <c r="D102" s="163">
        <f t="shared" si="22"/>
        <v>800.00000000000182</v>
      </c>
      <c r="E102" s="163">
        <f t="shared" si="23"/>
        <v>0</v>
      </c>
      <c r="F102" s="163">
        <f t="shared" si="24"/>
        <v>0</v>
      </c>
      <c r="G102" s="163">
        <f t="shared" si="25"/>
        <v>0</v>
      </c>
      <c r="H102" s="163">
        <f t="shared" si="19"/>
        <v>0</v>
      </c>
    </row>
    <row r="103" spans="1:8" x14ac:dyDescent="0.25">
      <c r="A103" s="163">
        <v>10</v>
      </c>
      <c r="B103" s="163">
        <f t="shared" si="20"/>
        <v>530</v>
      </c>
      <c r="C103" s="163">
        <f t="shared" si="21"/>
        <v>-1350</v>
      </c>
      <c r="D103" s="163">
        <f t="shared" si="22"/>
        <v>819.99999999999989</v>
      </c>
      <c r="E103" s="163">
        <f t="shared" si="23"/>
        <v>0</v>
      </c>
      <c r="F103" s="163">
        <f t="shared" si="24"/>
        <v>0</v>
      </c>
      <c r="G103" s="163">
        <f t="shared" si="25"/>
        <v>0</v>
      </c>
      <c r="H103" s="163">
        <f t="shared" si="19"/>
        <v>-1.1368683772161603E-15</v>
      </c>
    </row>
    <row r="104" spans="1:8" x14ac:dyDescent="0.25">
      <c r="A104" s="163">
        <v>10.1</v>
      </c>
      <c r="B104" s="163">
        <f t="shared" si="20"/>
        <v>540</v>
      </c>
      <c r="C104" s="163">
        <f t="shared" si="21"/>
        <v>-1380</v>
      </c>
      <c r="D104" s="163">
        <f t="shared" si="22"/>
        <v>839.99999999999989</v>
      </c>
      <c r="E104" s="163">
        <f t="shared" si="23"/>
        <v>0</v>
      </c>
      <c r="F104" s="163">
        <f t="shared" si="24"/>
        <v>0</v>
      </c>
      <c r="G104" s="163">
        <f t="shared" si="25"/>
        <v>0</v>
      </c>
      <c r="H104" s="163">
        <f t="shared" si="19"/>
        <v>-1.1368683772161603E-15</v>
      </c>
    </row>
    <row r="105" spans="1:8" x14ac:dyDescent="0.25">
      <c r="A105" s="163">
        <v>10.199999999999999</v>
      </c>
      <c r="B105" s="163">
        <f t="shared" si="20"/>
        <v>549.99999999999989</v>
      </c>
      <c r="C105" s="163">
        <f t="shared" si="21"/>
        <v>-1409.9999999999998</v>
      </c>
      <c r="D105" s="163">
        <f t="shared" si="22"/>
        <v>859.99999999999977</v>
      </c>
      <c r="E105" s="163">
        <f t="shared" si="23"/>
        <v>0</v>
      </c>
      <c r="F105" s="163">
        <f t="shared" si="24"/>
        <v>0</v>
      </c>
      <c r="G105" s="163">
        <f t="shared" si="25"/>
        <v>0</v>
      </c>
      <c r="H105" s="163">
        <f t="shared" si="19"/>
        <v>-1.1368683772161603E-15</v>
      </c>
    </row>
    <row r="106" spans="1:8" x14ac:dyDescent="0.25">
      <c r="A106" s="163">
        <v>10.3</v>
      </c>
      <c r="B106" s="163">
        <f t="shared" si="20"/>
        <v>560</v>
      </c>
      <c r="C106" s="163">
        <f t="shared" si="21"/>
        <v>-1440.0000000000002</v>
      </c>
      <c r="D106" s="163">
        <f t="shared" si="22"/>
        <v>880.00000000000011</v>
      </c>
      <c r="E106" s="163">
        <f t="shared" si="23"/>
        <v>0</v>
      </c>
      <c r="F106" s="163">
        <f t="shared" si="24"/>
        <v>0</v>
      </c>
      <c r="G106" s="163">
        <f t="shared" si="25"/>
        <v>0</v>
      </c>
      <c r="H106" s="163">
        <f t="shared" si="19"/>
        <v>-1.1368683772161603E-15</v>
      </c>
    </row>
    <row r="107" spans="1:8" x14ac:dyDescent="0.25">
      <c r="A107" s="163">
        <v>10.4</v>
      </c>
      <c r="B107" s="163">
        <f t="shared" si="20"/>
        <v>570</v>
      </c>
      <c r="C107" s="163">
        <f t="shared" si="21"/>
        <v>-1470</v>
      </c>
      <c r="D107" s="163">
        <f t="shared" si="22"/>
        <v>900</v>
      </c>
      <c r="E107" s="163">
        <f t="shared" si="23"/>
        <v>0</v>
      </c>
      <c r="F107" s="163">
        <f t="shared" si="24"/>
        <v>0</v>
      </c>
      <c r="G107" s="163">
        <f t="shared" si="25"/>
        <v>0</v>
      </c>
      <c r="H107" s="163">
        <f t="shared" si="19"/>
        <v>0</v>
      </c>
    </row>
    <row r="108" spans="1:8" x14ac:dyDescent="0.25">
      <c r="A108" s="163">
        <v>10.5</v>
      </c>
      <c r="B108" s="163">
        <f t="shared" si="20"/>
        <v>580</v>
      </c>
      <c r="C108" s="163">
        <f t="shared" si="21"/>
        <v>-1500</v>
      </c>
      <c r="D108" s="163">
        <f t="shared" si="22"/>
        <v>919.99999999999989</v>
      </c>
      <c r="E108" s="163">
        <f t="shared" si="23"/>
        <v>0</v>
      </c>
      <c r="F108" s="163">
        <f t="shared" si="24"/>
        <v>0</v>
      </c>
      <c r="G108" s="163">
        <f t="shared" si="25"/>
        <v>0</v>
      </c>
      <c r="H108" s="163">
        <f t="shared" si="19"/>
        <v>-1.1368683772161603E-15</v>
      </c>
    </row>
    <row r="109" spans="1:8" x14ac:dyDescent="0.25">
      <c r="A109" s="163">
        <v>10.6</v>
      </c>
      <c r="B109" s="163">
        <f t="shared" si="20"/>
        <v>590</v>
      </c>
      <c r="C109" s="163">
        <f t="shared" si="21"/>
        <v>-1530</v>
      </c>
      <c r="D109" s="163">
        <f t="shared" si="22"/>
        <v>939.99999999999989</v>
      </c>
      <c r="E109" s="163">
        <f t="shared" si="23"/>
        <v>0</v>
      </c>
      <c r="F109" s="163">
        <f t="shared" si="24"/>
        <v>0</v>
      </c>
      <c r="G109" s="163">
        <f t="shared" si="25"/>
        <v>0</v>
      </c>
      <c r="H109" s="163">
        <f t="shared" si="19"/>
        <v>-1.1368683772161603E-15</v>
      </c>
    </row>
    <row r="110" spans="1:8" x14ac:dyDescent="0.25">
      <c r="A110" s="163">
        <v>10.7</v>
      </c>
      <c r="B110" s="163">
        <f t="shared" si="20"/>
        <v>599.99999999999989</v>
      </c>
      <c r="C110" s="163">
        <f t="shared" si="21"/>
        <v>-1559.9999999999998</v>
      </c>
      <c r="D110" s="163">
        <f t="shared" si="22"/>
        <v>959.99999999999977</v>
      </c>
      <c r="E110" s="163">
        <f t="shared" si="23"/>
        <v>0</v>
      </c>
      <c r="F110" s="163">
        <f t="shared" si="24"/>
        <v>0</v>
      </c>
      <c r="G110" s="163">
        <f t="shared" si="25"/>
        <v>0</v>
      </c>
      <c r="H110" s="163">
        <f t="shared" si="19"/>
        <v>-1.1368683772161603E-15</v>
      </c>
    </row>
    <row r="111" spans="1:8" x14ac:dyDescent="0.25">
      <c r="A111" s="163">
        <v>10.8</v>
      </c>
      <c r="B111" s="163">
        <f t="shared" si="20"/>
        <v>610</v>
      </c>
      <c r="C111" s="163">
        <f t="shared" si="21"/>
        <v>-1590.0000000000002</v>
      </c>
      <c r="D111" s="163">
        <f t="shared" si="22"/>
        <v>980.00000000000011</v>
      </c>
      <c r="E111" s="163">
        <f t="shared" si="23"/>
        <v>0</v>
      </c>
      <c r="F111" s="163">
        <f t="shared" si="24"/>
        <v>0</v>
      </c>
      <c r="G111" s="163">
        <f t="shared" si="25"/>
        <v>0</v>
      </c>
      <c r="H111" s="163">
        <f t="shared" si="19"/>
        <v>-1.1368683772161603E-15</v>
      </c>
    </row>
    <row r="112" spans="1:8" x14ac:dyDescent="0.25">
      <c r="A112" s="163">
        <v>10.9</v>
      </c>
      <c r="B112" s="163">
        <f t="shared" si="20"/>
        <v>620</v>
      </c>
      <c r="C112" s="163">
        <f t="shared" si="21"/>
        <v>-1620</v>
      </c>
      <c r="D112" s="163">
        <f t="shared" si="22"/>
        <v>1000</v>
      </c>
      <c r="E112" s="163">
        <f t="shared" si="23"/>
        <v>0</v>
      </c>
      <c r="F112" s="163">
        <f t="shared" si="24"/>
        <v>0</v>
      </c>
      <c r="G112" s="163">
        <f t="shared" si="25"/>
        <v>0</v>
      </c>
      <c r="H112" s="163">
        <f t="shared" si="19"/>
        <v>0</v>
      </c>
    </row>
    <row r="113" spans="1:8" x14ac:dyDescent="0.25">
      <c r="A113" s="163">
        <v>11</v>
      </c>
      <c r="B113" s="163">
        <f t="shared" si="20"/>
        <v>630</v>
      </c>
      <c r="C113" s="163">
        <f t="shared" si="21"/>
        <v>-1650</v>
      </c>
      <c r="D113" s="163">
        <f t="shared" si="22"/>
        <v>1019.9999999999999</v>
      </c>
      <c r="E113" s="163">
        <f t="shared" si="23"/>
        <v>0</v>
      </c>
      <c r="F113" s="163">
        <f t="shared" si="24"/>
        <v>0</v>
      </c>
      <c r="G113" s="163">
        <f t="shared" si="25"/>
        <v>0</v>
      </c>
      <c r="H113" s="163">
        <f t="shared" si="19"/>
        <v>-1.1368683772161603E-15</v>
      </c>
    </row>
    <row r="114" spans="1:8" x14ac:dyDescent="0.25">
      <c r="A114" s="163">
        <v>11.1</v>
      </c>
      <c r="B114" s="163">
        <f t="shared" si="20"/>
        <v>640</v>
      </c>
      <c r="C114" s="163">
        <f t="shared" si="21"/>
        <v>-1680</v>
      </c>
      <c r="D114" s="163">
        <f t="shared" si="22"/>
        <v>1039.9999999999998</v>
      </c>
      <c r="E114" s="163">
        <f t="shared" si="23"/>
        <v>0</v>
      </c>
      <c r="F114" s="163">
        <f t="shared" si="24"/>
        <v>0</v>
      </c>
      <c r="G114" s="163">
        <f t="shared" si="25"/>
        <v>0</v>
      </c>
      <c r="H114" s="163">
        <f t="shared" si="19"/>
        <v>-2.2737367544323206E-15</v>
      </c>
    </row>
    <row r="115" spans="1:8" x14ac:dyDescent="0.25">
      <c r="A115" s="163">
        <v>11.2</v>
      </c>
      <c r="B115" s="163">
        <f t="shared" si="20"/>
        <v>649.99999999999989</v>
      </c>
      <c r="C115" s="163">
        <f t="shared" si="21"/>
        <v>-1709.9999999999998</v>
      </c>
      <c r="D115" s="163">
        <f t="shared" si="22"/>
        <v>1059.9999999999998</v>
      </c>
      <c r="E115" s="163">
        <f t="shared" si="23"/>
        <v>0</v>
      </c>
      <c r="F115" s="163">
        <f t="shared" si="24"/>
        <v>0</v>
      </c>
      <c r="G115" s="163">
        <f t="shared" si="25"/>
        <v>0</v>
      </c>
      <c r="H115" s="163">
        <f t="shared" si="19"/>
        <v>-2.2737367544323206E-15</v>
      </c>
    </row>
    <row r="116" spans="1:8" x14ac:dyDescent="0.25">
      <c r="A116" s="163">
        <v>11.3</v>
      </c>
      <c r="B116" s="163">
        <f t="shared" si="20"/>
        <v>660</v>
      </c>
      <c r="C116" s="163">
        <f t="shared" si="21"/>
        <v>-1740.0000000000002</v>
      </c>
      <c r="D116" s="163">
        <f t="shared" si="22"/>
        <v>1080</v>
      </c>
      <c r="E116" s="163">
        <f t="shared" si="23"/>
        <v>0</v>
      </c>
      <c r="F116" s="163">
        <f t="shared" si="24"/>
        <v>0</v>
      </c>
      <c r="G116" s="163">
        <f t="shared" si="25"/>
        <v>0</v>
      </c>
      <c r="H116" s="163">
        <f t="shared" si="19"/>
        <v>-2.2737367544323206E-15</v>
      </c>
    </row>
    <row r="117" spans="1:8" x14ac:dyDescent="0.25">
      <c r="A117" s="163">
        <v>11.4</v>
      </c>
      <c r="B117" s="163">
        <f t="shared" si="20"/>
        <v>670</v>
      </c>
      <c r="C117" s="163">
        <f t="shared" si="21"/>
        <v>-1770</v>
      </c>
      <c r="D117" s="163">
        <f t="shared" si="22"/>
        <v>1100</v>
      </c>
      <c r="E117" s="163">
        <f t="shared" si="23"/>
        <v>0</v>
      </c>
      <c r="F117" s="163">
        <f t="shared" si="24"/>
        <v>0</v>
      </c>
      <c r="G117" s="163">
        <f t="shared" si="25"/>
        <v>0</v>
      </c>
      <c r="H117" s="163">
        <f t="shared" si="19"/>
        <v>0</v>
      </c>
    </row>
    <row r="118" spans="1:8" x14ac:dyDescent="0.25">
      <c r="A118" s="163">
        <v>11.5</v>
      </c>
      <c r="B118" s="163">
        <f t="shared" si="20"/>
        <v>680</v>
      </c>
      <c r="C118" s="163">
        <f t="shared" si="21"/>
        <v>-1800</v>
      </c>
      <c r="D118" s="163">
        <f t="shared" si="22"/>
        <v>1120</v>
      </c>
      <c r="E118" s="163">
        <f t="shared" si="23"/>
        <v>0</v>
      </c>
      <c r="F118" s="163">
        <f t="shared" si="24"/>
        <v>0</v>
      </c>
      <c r="G118" s="163">
        <f t="shared" si="25"/>
        <v>0</v>
      </c>
      <c r="H118" s="163">
        <f t="shared" si="19"/>
        <v>0</v>
      </c>
    </row>
    <row r="119" spans="1:8" x14ac:dyDescent="0.25">
      <c r="A119" s="163">
        <v>11.6</v>
      </c>
      <c r="B119" s="163">
        <f t="shared" si="20"/>
        <v>690</v>
      </c>
      <c r="C119" s="163">
        <f t="shared" si="21"/>
        <v>-1830</v>
      </c>
      <c r="D119" s="163">
        <f t="shared" si="22"/>
        <v>1139.9999999999998</v>
      </c>
      <c r="E119" s="163">
        <f t="shared" si="23"/>
        <v>0</v>
      </c>
      <c r="F119" s="163">
        <f t="shared" si="24"/>
        <v>0</v>
      </c>
      <c r="G119" s="163">
        <f t="shared" si="25"/>
        <v>0</v>
      </c>
      <c r="H119" s="163">
        <f t="shared" si="19"/>
        <v>-2.2737367544323206E-15</v>
      </c>
    </row>
    <row r="120" spans="1:8" x14ac:dyDescent="0.25">
      <c r="A120" s="163">
        <v>11.7</v>
      </c>
      <c r="B120" s="163">
        <f t="shared" si="20"/>
        <v>699.99999999999989</v>
      </c>
      <c r="C120" s="163">
        <f t="shared" si="21"/>
        <v>-1859.9999999999998</v>
      </c>
      <c r="D120" s="163">
        <f t="shared" si="22"/>
        <v>1159.9999999999998</v>
      </c>
      <c r="E120" s="163">
        <f t="shared" si="23"/>
        <v>0</v>
      </c>
      <c r="F120" s="163">
        <f t="shared" si="24"/>
        <v>0</v>
      </c>
      <c r="G120" s="163">
        <f t="shared" si="25"/>
        <v>0</v>
      </c>
      <c r="H120" s="163">
        <f t="shared" si="19"/>
        <v>-2.2737367544323206E-15</v>
      </c>
    </row>
    <row r="121" spans="1:8" x14ac:dyDescent="0.25">
      <c r="A121" s="163">
        <v>11.8</v>
      </c>
      <c r="B121" s="163">
        <f t="shared" si="20"/>
        <v>710</v>
      </c>
      <c r="C121" s="163">
        <f t="shared" si="21"/>
        <v>-1890.0000000000002</v>
      </c>
      <c r="D121" s="163">
        <f t="shared" si="22"/>
        <v>1180</v>
      </c>
      <c r="E121" s="163">
        <f t="shared" si="23"/>
        <v>0</v>
      </c>
      <c r="F121" s="163">
        <f t="shared" si="24"/>
        <v>0</v>
      </c>
      <c r="G121" s="163">
        <f t="shared" si="25"/>
        <v>0</v>
      </c>
      <c r="H121" s="163">
        <f t="shared" si="19"/>
        <v>-2.2737367544323206E-15</v>
      </c>
    </row>
    <row r="122" spans="1:8" x14ac:dyDescent="0.25">
      <c r="A122" s="163">
        <v>11.9</v>
      </c>
      <c r="B122" s="163">
        <f t="shared" si="20"/>
        <v>720</v>
      </c>
      <c r="C122" s="163">
        <f t="shared" si="21"/>
        <v>-1920</v>
      </c>
      <c r="D122" s="163">
        <f t="shared" si="22"/>
        <v>1200</v>
      </c>
      <c r="E122" s="163">
        <f t="shared" si="23"/>
        <v>0</v>
      </c>
      <c r="F122" s="163">
        <f t="shared" si="24"/>
        <v>0</v>
      </c>
      <c r="G122" s="163">
        <f t="shared" si="25"/>
        <v>0</v>
      </c>
      <c r="H122" s="163">
        <f t="shared" si="19"/>
        <v>0</v>
      </c>
    </row>
  </sheetData>
  <phoneticPr fontId="1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P217"/>
  <sheetViews>
    <sheetView topLeftCell="A81" workbookViewId="0">
      <selection activeCell="C116" sqref="C116"/>
    </sheetView>
  </sheetViews>
  <sheetFormatPr defaultColWidth="8" defaultRowHeight="10.199999999999999" x14ac:dyDescent="0.2"/>
  <cols>
    <col min="1" max="2" width="8" style="39" customWidth="1"/>
    <col min="3" max="3" width="10" style="39" customWidth="1"/>
    <col min="4" max="4" width="8" style="39" customWidth="1"/>
    <col min="5" max="10" width="9.109375" style="39" customWidth="1"/>
    <col min="11" max="11" width="4.5546875" style="39" customWidth="1"/>
    <col min="12" max="13" width="8" style="39" customWidth="1"/>
    <col min="14" max="14" width="3" style="39" customWidth="1"/>
    <col min="15" max="16" width="8" style="39" customWidth="1"/>
    <col min="17" max="17" width="3.5546875" style="39" customWidth="1"/>
    <col min="18" max="19" width="8" style="39" customWidth="1"/>
    <col min="20" max="20" width="1.5546875" style="39" customWidth="1"/>
    <col min="21" max="21" width="8" style="39" customWidth="1"/>
    <col min="22" max="22" width="3.109375" style="39" customWidth="1"/>
    <col min="23" max="23" width="10" style="39" customWidth="1"/>
    <col min="24" max="24" width="11.6640625" style="39" customWidth="1"/>
    <col min="25" max="25" width="2.5546875" style="39" customWidth="1"/>
    <col min="26" max="35" width="10" style="39" customWidth="1"/>
    <col min="36" max="36" width="2.6640625" style="39" customWidth="1"/>
    <col min="37" max="37" width="9.6640625" style="39" customWidth="1"/>
    <col min="38" max="38" width="2.6640625" style="39" customWidth="1"/>
    <col min="39" max="40" width="10" style="39" customWidth="1"/>
    <col min="41" max="41" width="8" style="39" customWidth="1"/>
    <col min="42" max="42" width="9.88671875" style="39" customWidth="1"/>
    <col min="43" max="44" width="8" style="39" customWidth="1"/>
    <col min="45" max="45" width="22.5546875" style="39" bestFit="1" customWidth="1"/>
    <col min="46" max="47" width="8" style="39" customWidth="1"/>
    <col min="48" max="48" width="8.109375" style="39" customWidth="1"/>
    <col min="49" max="50" width="8" style="39" customWidth="1"/>
    <col min="51" max="51" width="7.5546875" style="39" customWidth="1"/>
    <col min="52" max="53" width="8" style="39" customWidth="1"/>
    <col min="54" max="56" width="10.44140625" style="39" bestFit="1" customWidth="1"/>
    <col min="57" max="57" width="8" style="39" customWidth="1"/>
    <col min="58" max="58" width="8.6640625" style="39" customWidth="1"/>
    <col min="59" max="63" width="8" style="39" customWidth="1"/>
    <col min="64" max="64" width="2.6640625" style="39" customWidth="1"/>
    <col min="65" max="16384" width="8" style="39"/>
  </cols>
  <sheetData>
    <row r="1" spans="2:68" x14ac:dyDescent="0.2">
      <c r="AP1" s="64" t="s">
        <v>89</v>
      </c>
    </row>
    <row r="2" spans="2:68" ht="24.6" x14ac:dyDescent="0.4">
      <c r="B2" s="40" t="s">
        <v>34</v>
      </c>
    </row>
    <row r="3" spans="2:68" x14ac:dyDescent="0.2">
      <c r="AQ3" s="74" t="s">
        <v>62</v>
      </c>
      <c r="AR3" s="74" t="s">
        <v>61</v>
      </c>
      <c r="AS3" s="74" t="s">
        <v>63</v>
      </c>
    </row>
    <row r="4" spans="2:68" x14ac:dyDescent="0.2">
      <c r="C4" s="39" t="s">
        <v>4</v>
      </c>
      <c r="D4" s="61">
        <f>UnderlyingPrice</f>
        <v>4.7249999999999996</v>
      </c>
      <c r="E4" s="61"/>
      <c r="F4" s="61"/>
      <c r="G4" s="61"/>
      <c r="H4" s="61"/>
      <c r="I4" s="61"/>
      <c r="J4" s="61"/>
      <c r="AP4" s="75" t="s">
        <v>64</v>
      </c>
      <c r="AQ4" s="76">
        <f>SQRT(2*PI())</f>
        <v>2.5066282746310002</v>
      </c>
      <c r="AR4" s="76">
        <f>SQRT(2*PI())</f>
        <v>2.5066282746310002</v>
      </c>
      <c r="AS4" s="77" t="s">
        <v>65</v>
      </c>
    </row>
    <row r="5" spans="2:68" x14ac:dyDescent="0.2">
      <c r="D5" s="42"/>
      <c r="E5" s="42"/>
      <c r="F5" s="42"/>
      <c r="G5" s="42"/>
      <c r="H5" s="42"/>
      <c r="I5" s="42"/>
      <c r="J5" s="42"/>
      <c r="AP5" s="75" t="s">
        <v>66</v>
      </c>
      <c r="AQ5" s="78">
        <f ca="1">D13</f>
        <v>3.5</v>
      </c>
      <c r="AR5" s="78">
        <f ca="1">D113</f>
        <v>5.9000000000000021</v>
      </c>
      <c r="AS5" s="77" t="s">
        <v>67</v>
      </c>
    </row>
    <row r="6" spans="2:68" x14ac:dyDescent="0.2">
      <c r="C6" s="39" t="s">
        <v>35</v>
      </c>
      <c r="D6" s="41">
        <f>Expiry-Today</f>
        <v>167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68</v>
      </c>
      <c r="AQ6" s="80">
        <f ca="1">I13</f>
        <v>0.5789923209876543</v>
      </c>
      <c r="AR6" s="80">
        <f ca="1">I113</f>
        <v>0.6218087321743514</v>
      </c>
      <c r="AS6" s="77" t="s">
        <v>69</v>
      </c>
    </row>
    <row r="7" spans="2:68" x14ac:dyDescent="0.2">
      <c r="C7" s="39" t="s">
        <v>36</v>
      </c>
      <c r="D7" s="43">
        <f>IntRate</f>
        <v>3.9300000000000002E-2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0.59865818724955766</v>
      </c>
      <c r="AA7" s="44"/>
      <c r="AE7" s="44">
        <f ca="1">SUM(AE13:AE179)*(ROUNDUP(MAX(StrikeRange),1)-ROUNDDOWN(MIN(StrikeRange),1))/100</f>
        <v>0.59024847080365583</v>
      </c>
      <c r="AF7" s="44"/>
      <c r="AG7" s="44"/>
      <c r="AH7" s="44"/>
      <c r="AI7" s="44"/>
      <c r="AJ7" s="44"/>
      <c r="AK7" s="44"/>
      <c r="AL7" s="44"/>
      <c r="AM7" s="44"/>
      <c r="AP7" s="75" t="s">
        <v>70</v>
      </c>
      <c r="AQ7" s="76">
        <f ca="1">T/365.25</f>
        <v>0.45722108145106094</v>
      </c>
      <c r="AR7" s="76">
        <f>T/365.25</f>
        <v>0.45722108145106094</v>
      </c>
      <c r="AS7" s="77" t="s">
        <v>71</v>
      </c>
    </row>
    <row r="8" spans="2:68" x14ac:dyDescent="0.2">
      <c r="C8" s="39" t="s">
        <v>33</v>
      </c>
      <c r="D8" s="45">
        <f>Yield</f>
        <v>3.9300000000000002E-2</v>
      </c>
      <c r="E8" s="45"/>
      <c r="F8" s="45"/>
      <c r="G8" s="45"/>
      <c r="H8" s="45"/>
      <c r="I8" s="45"/>
      <c r="J8" s="45"/>
      <c r="O8" s="39" t="s">
        <v>38</v>
      </c>
      <c r="P8" s="46">
        <v>5.0000000000000001E-4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72</v>
      </c>
      <c r="AQ8" s="80">
        <f ca="1">AQ6*SQRT(AQ7)</f>
        <v>0.39150375074623101</v>
      </c>
      <c r="AR8" s="80">
        <f ca="1">AR6*SQRT(AR7)</f>
        <v>0.42045540513862534</v>
      </c>
      <c r="AS8" s="81" t="s">
        <v>73</v>
      </c>
      <c r="AX8" s="64" t="s">
        <v>122</v>
      </c>
    </row>
    <row r="9" spans="2:68" ht="12.6" x14ac:dyDescent="0.3">
      <c r="C9" s="39" t="s">
        <v>39</v>
      </c>
      <c r="D9" s="47">
        <f>EXP(-IntRate*T/365.25)</f>
        <v>0.98219168755474862</v>
      </c>
      <c r="E9" s="47"/>
      <c r="F9" s="47"/>
      <c r="G9" s="47"/>
      <c r="H9" s="47"/>
      <c r="I9" s="47"/>
      <c r="J9" s="47"/>
      <c r="AP9" s="75" t="s">
        <v>74</v>
      </c>
      <c r="AQ9" s="76">
        <f ca="1">((LN(AQ5/$D$4)+0.5*AQ8^2)/AQ8)*Gamma2</f>
        <v>-0.61225045175471959</v>
      </c>
      <c r="AR9" s="76">
        <f ca="1">((LN(AR5/$D$4)+0.5*AR8^2)/AR8)*Gamma2</f>
        <v>0.7920634413209946</v>
      </c>
      <c r="AS9" s="81" t="s">
        <v>75</v>
      </c>
      <c r="AW9" s="64" t="s">
        <v>123</v>
      </c>
      <c r="AX9" s="39" t="s">
        <v>120</v>
      </c>
    </row>
    <row r="10" spans="2:68" ht="11.4" x14ac:dyDescent="0.2">
      <c r="L10" s="48" t="s">
        <v>1</v>
      </c>
      <c r="M10" s="48"/>
      <c r="O10" s="103" t="s">
        <v>99</v>
      </c>
      <c r="P10" s="48"/>
      <c r="R10" s="103" t="s">
        <v>100</v>
      </c>
      <c r="S10" s="48"/>
      <c r="AP10" s="75" t="s">
        <v>76</v>
      </c>
      <c r="AQ10" s="76">
        <f ca="1">AQ9^2</f>
        <v>0.37485061567385825</v>
      </c>
      <c r="AR10" s="76">
        <f ca="1">AR9^2</f>
        <v>0.62736449507725667</v>
      </c>
      <c r="AS10" s="82"/>
      <c r="AW10" s="64" t="s">
        <v>124</v>
      </c>
      <c r="AX10" s="39" t="s">
        <v>121</v>
      </c>
    </row>
    <row r="11" spans="2:68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91</v>
      </c>
      <c r="AL11" s="50"/>
      <c r="AM11" s="165" t="s">
        <v>92</v>
      </c>
      <c r="AN11" s="165"/>
      <c r="AP11" s="75" t="s">
        <v>77</v>
      </c>
      <c r="AQ11" s="76">
        <f ca="1">W13</f>
        <v>0.26272836192715537</v>
      </c>
      <c r="AR11" s="76">
        <f ca="1">W113</f>
        <v>0.12457777948124971</v>
      </c>
      <c r="AS11" s="77" t="s">
        <v>78</v>
      </c>
      <c r="BI11" s="50"/>
      <c r="BJ11" s="50"/>
      <c r="BK11" s="50"/>
      <c r="BL11" s="50"/>
      <c r="BM11" s="90" t="s">
        <v>91</v>
      </c>
      <c r="BO11" s="64" t="s">
        <v>113</v>
      </c>
    </row>
    <row r="12" spans="2:68" x14ac:dyDescent="0.2">
      <c r="D12" s="51" t="s">
        <v>0</v>
      </c>
      <c r="E12" s="51" t="s">
        <v>43</v>
      </c>
      <c r="F12" s="91" t="s">
        <v>125</v>
      </c>
      <c r="G12" s="91" t="s">
        <v>50</v>
      </c>
      <c r="H12" s="91" t="s">
        <v>49</v>
      </c>
      <c r="I12" s="51" t="s">
        <v>44</v>
      </c>
      <c r="J12" s="91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66</v>
      </c>
      <c r="AH12" s="91" t="s">
        <v>101</v>
      </c>
      <c r="AI12" s="91" t="s">
        <v>102</v>
      </c>
      <c r="AJ12" s="92"/>
      <c r="AK12" s="91" t="s">
        <v>93</v>
      </c>
      <c r="AL12" s="92"/>
      <c r="AM12" s="91" t="s">
        <v>66</v>
      </c>
      <c r="AN12" s="91" t="s">
        <v>93</v>
      </c>
      <c r="AP12" s="75" t="s">
        <v>79</v>
      </c>
      <c r="AQ12" s="76">
        <f ca="1">NORMSDIST(AQ9)</f>
        <v>0.27018597614308892</v>
      </c>
      <c r="AR12" s="76">
        <f ca="1">NORMSDIST(AR9)</f>
        <v>0.78583822356740485</v>
      </c>
      <c r="AS12" s="77" t="s">
        <v>80</v>
      </c>
      <c r="AX12" s="97" t="s">
        <v>105</v>
      </c>
      <c r="AY12" s="97" t="s">
        <v>106</v>
      </c>
      <c r="AZ12" s="97" t="s">
        <v>107</v>
      </c>
      <c r="BB12" s="97" t="s">
        <v>126</v>
      </c>
      <c r="BC12" s="97" t="s">
        <v>127</v>
      </c>
      <c r="BD12" s="97" t="s">
        <v>128</v>
      </c>
      <c r="BF12" s="97" t="s">
        <v>108</v>
      </c>
      <c r="BG12" s="50" t="s">
        <v>42</v>
      </c>
      <c r="BI12" s="91" t="s">
        <v>66</v>
      </c>
      <c r="BJ12" s="91" t="s">
        <v>101</v>
      </c>
      <c r="BK12" s="91" t="s">
        <v>102</v>
      </c>
      <c r="BL12" s="92"/>
      <c r="BM12" s="91" t="s">
        <v>93</v>
      </c>
      <c r="BO12" s="64" t="s">
        <v>110</v>
      </c>
    </row>
    <row r="13" spans="2:68" x14ac:dyDescent="0.2">
      <c r="C13" s="56">
        <v>0</v>
      </c>
      <c r="D13" s="63">
        <f ca="1">+ROUNDDOWN(MIN(StrikeRange),1)</f>
        <v>3.5</v>
      </c>
      <c r="E13" s="45">
        <f ca="1">+D13/UnderlyingPrice-1</f>
        <v>-0.25925925925925919</v>
      </c>
      <c r="F13" s="45">
        <f ca="1">+D13*(1+$P$8)/UnderlyingPrice-1</f>
        <v>-0.25888888888888884</v>
      </c>
      <c r="G13" s="45">
        <f ca="1">+D13*(1-$P$8)/UnderlyingPrice-1</f>
        <v>-0.25962962962962954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0.57900524014444454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0.5789923209876543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0.57897942853950624</v>
      </c>
      <c r="L13" s="58">
        <f ca="1">_xll.EURO(UnderlyingPrice,$D13,IntRate,Yield,$I13,$D$6,L$12,0)</f>
        <v>1.400290818003322</v>
      </c>
      <c r="M13" s="58">
        <f ca="1">_xll.EURO(UnderlyingPrice,$D13,IntRate,Yield,$I13,$D$6,M$12,0)</f>
        <v>0.19710600074875462</v>
      </c>
      <c r="O13" s="58">
        <f ca="1">_xll.EURO(UnderlyingPrice,$D13*(1+$P$8),IntRate,Yield,$H13,Expiry-Today,O$12,0)</f>
        <v>1.3990708213694059</v>
      </c>
      <c r="P13" s="58">
        <f ca="1">_xll.EURO(UnderlyingPrice,$D13*(1+$P$8),IntRate,Yield,$H13,Expiry-Today,P$12,0)</f>
        <v>0.19760483956805996</v>
      </c>
      <c r="R13" s="58">
        <f ca="1">_xll.EURO(UnderlyingPrice,$D13*(1-$P$8),IntRate,Yield,$J13,Expiry-Today,R$12,0)</f>
        <v>1.4015116049141785</v>
      </c>
      <c r="S13" s="58">
        <f ca="1">_xll.EURO(UnderlyingPrice,$D13*(1-$P$8),IntRate,Yield,$J13,Expiry-Today,S$12,0)</f>
        <v>0.19660795220639138</v>
      </c>
      <c r="U13" s="59">
        <f ca="1">(O13+R13-2*L13)/($P$8*$D13)^2</f>
        <v>0.25804961316972752</v>
      </c>
      <c r="V13" s="59"/>
      <c r="W13" s="62">
        <f t="shared" ref="W13:W44" ca="1" si="3">U13/$D$9</f>
        <v>0.26272836192715537</v>
      </c>
      <c r="X13" s="63"/>
      <c r="Z13" s="59">
        <f ca="1">(1/(D13*SQRT(2*PI()*T/365.25*ATMImpVol^2)))</f>
        <v>0.28351491164139159</v>
      </c>
      <c r="AA13" s="59">
        <f ca="1">LN(D13/UnderlyingPrice)+0.5*T/365.25*ATMImpVol^2</f>
        <v>-0.21928768351358233</v>
      </c>
      <c r="AB13" s="59">
        <f t="shared" ref="AB13:AB76" ca="1" si="4">-(AA13^2)</f>
        <v>-4.8087088140753048E-2</v>
      </c>
      <c r="AC13" s="59">
        <f ca="1">AB13/(2*T/365.25*ATMImpVol^2)</f>
        <v>-0.14875317793453419</v>
      </c>
      <c r="AD13" s="60">
        <f t="shared" ref="AD13:AD76" ca="1" si="5">EXP(AC13)</f>
        <v>0.86178179541348143</v>
      </c>
      <c r="AE13" s="60">
        <f ca="1">AD13*Z13</f>
        <v>0.24432798958081298</v>
      </c>
      <c r="AF13" s="60"/>
      <c r="AG13" s="96">
        <f ca="1">(LN($D13/UnderlyingPrice)+0.5*ATMImpVol^2*(T/365.25))/(ATMImpVol*SQRT(T/365.25))</f>
        <v>-0.54544143211628915</v>
      </c>
      <c r="AH13" s="96">
        <f ca="1">(LN(($D13*(1+$P$8))/UnderlyingPrice)+0.5*ATMImpVol^2*(T/365.25))/(ATMImpVol*SQRT(T/365.25))</f>
        <v>-0.54419807656513042</v>
      </c>
      <c r="AI13" s="96">
        <f ca="1">(LN($D13*(1-$P$8)/UnderlyingPrice)+0.5*ATMImpVol^2*(T/365.25))/(ATMImpVol*SQRT(T/365.25))</f>
        <v>-0.54668540950070754</v>
      </c>
      <c r="AJ13" s="96"/>
      <c r="AK13" s="96">
        <f ca="1">W13/(AH13-AI13)*(D13*2*$P$8)</f>
        <v>0.36969287608925783</v>
      </c>
      <c r="AL13" s="96"/>
      <c r="AM13" s="94">
        <v>-3.1</v>
      </c>
      <c r="AN13" s="95">
        <f t="shared" ref="AN13:AN75" ca="1" si="6">NORMDIST(AM13,0,1,FALSE)</f>
        <v>3.2668190561999178E-3</v>
      </c>
      <c r="AP13" s="83" t="s">
        <v>81</v>
      </c>
      <c r="AQ13" s="76">
        <f ca="1">AQ11*AQ5*AQ4*AQ8*EXP(AQ10/2)</f>
        <v>1.0884253311981431</v>
      </c>
      <c r="AR13" s="76">
        <f ca="1">AR11*AR5*AR4*AR8*EXP(AR10/2)</f>
        <v>1.0600660856348731</v>
      </c>
      <c r="AS13" s="81" t="s">
        <v>82</v>
      </c>
      <c r="AX13" s="106">
        <f ca="1">VLOOKUP(E13,ENAVolTable,4)+VLOOKUP(E13,ENAVolTable,5)*(E13-VLOOKUP(E13,ENAVolTable,1))</f>
        <v>0.59072499999999994</v>
      </c>
      <c r="AY13" s="106">
        <f ca="1">VLOOKUP(F13,ENAVolTable,4)+VLOOKUP(F13,ENAVolTable,5)*(F13-VLOOKUP(F13,ENAVolTable,1))</f>
        <v>0.59072324999999992</v>
      </c>
      <c r="AZ13" s="106">
        <f ca="1">VLOOKUP(G13,ENAVolTable,4)+VLOOKUP(G13,ENAVolTable,5)*(G13-VLOOKUP(G13,ENAVolTable,1))</f>
        <v>0.59072674999999997</v>
      </c>
      <c r="BB13" s="109">
        <f ca="1">_xll.EURO(UnderlyingPrice,$D13,IntRate,Yield,AX13,$D$6,1,0)</f>
        <v>1.4095859677604632</v>
      </c>
      <c r="BC13" s="109">
        <f ca="1">_xll.EURO(UnderlyingPrice,$D13*(1+$P$8),IntRate,Yield,AY13,$D$6,1,0)</f>
        <v>1.4083656225945744</v>
      </c>
      <c r="BD13" s="109">
        <f ca="1">_xll.EURO(UnderlyingPrice,$D13*(1-$P$8),IntRate,Yield,AZ13,$D$6,1,0)</f>
        <v>1.4108070468374869</v>
      </c>
      <c r="BF13" s="59">
        <f ca="1">(BC13+BD13-2*BB13)/($P$8*$D13)^2</f>
        <v>0.23964445223699077</v>
      </c>
      <c r="BG13" s="62">
        <f ca="1">+BF13/$D$9</f>
        <v>0.24398949336825118</v>
      </c>
      <c r="BI13" s="96">
        <f ca="1">(LN($D13/UnderlyingPrice)+0.5*ENAVol^2*(T/365.25))/(ENAVol*SQRT(T/365.25))</f>
        <v>-0.54475659467864035</v>
      </c>
      <c r="BJ13" s="96">
        <f ca="1">(LN(($D13*(1+$P$8))/UnderlyingPrice)+0.5*ENAVol^2*(T/365.25))/(ENAVol*SQRT(T/365.25))</f>
        <v>-0.54351413768695556</v>
      </c>
      <c r="BK13" s="96">
        <f ca="1">(LN($D13*(1-$P$8)/UnderlyingPrice)+0.5*ENAVol^2*(T/365.25))/(ENAVol*SQRT(T/365.25))</f>
        <v>-0.54599967305419272</v>
      </c>
      <c r="BL13" s="96"/>
      <c r="BM13" s="96">
        <f ca="1">BG13/(BJ13-BK13)*(D13*2*$P$8)</f>
        <v>0.34357315451846254</v>
      </c>
      <c r="BO13" s="58">
        <f ca="1">+BB13-L13</f>
        <v>9.2951497571411856E-3</v>
      </c>
      <c r="BP13" s="46">
        <f ca="1">+BO13/BB13</f>
        <v>6.5942411245120663E-3</v>
      </c>
    </row>
    <row r="14" spans="2:68" x14ac:dyDescent="0.2">
      <c r="C14" s="56">
        <v>1</v>
      </c>
      <c r="D14" s="63">
        <f ca="1">D13+(ROUNDUP(MAX(StrikeRange),1)-ROUNDDOWN(MIN(StrikeRange),1))/100</f>
        <v>3.524</v>
      </c>
      <c r="E14" s="45">
        <f t="shared" ref="E14:E77" ca="1" si="7">+D14/UnderlyingPrice-1</f>
        <v>-0.25417989417989417</v>
      </c>
      <c r="F14" s="45">
        <f t="shared" ref="F14:F65" ca="1" si="8">+D14*(1+$P$8)/UnderlyingPrice-1</f>
        <v>-0.2538069841269841</v>
      </c>
      <c r="G14" s="45">
        <f t="shared" ref="G14:G65" ca="1" si="9">+D14*(1-$P$8)/UnderlyingPrice-1</f>
        <v>-0.25455280423280413</v>
      </c>
      <c r="H14" s="45">
        <f t="shared" ca="1" si="0"/>
        <v>0.57918520319172639</v>
      </c>
      <c r="I14" s="45">
        <f t="shared" ca="1" si="1"/>
        <v>0.57917182655258259</v>
      </c>
      <c r="J14" s="45">
        <f t="shared" ca="1" si="2"/>
        <v>0.57915847698962653</v>
      </c>
      <c r="K14" s="58"/>
      <c r="L14" s="58">
        <f ca="1">_xll.EURO(UnderlyingPrice,$D14,IntRate,Yield,$I14,$D$6,L$12,0)</f>
        <v>1.3836284289346783</v>
      </c>
      <c r="M14" s="58">
        <f ca="1">_xll.EURO(UnderlyingPrice,$D14,IntRate,Yield,$I14,$D$6,M$12,0)</f>
        <v>0.20401621218142585</v>
      </c>
      <c r="O14" s="58">
        <f ca="1">_xll.EURO(UnderlyingPrice,$D14*(1+$P$8),IntRate,Yield,$H14,Expiry-Today,O$12,0)</f>
        <v>1.3824110039054172</v>
      </c>
      <c r="P14" s="58">
        <f ca="1">_xll.EURO(UnderlyingPrice,$D14*(1+$P$8),IntRate,Yield,$H14,Expiry-Today,P$12,0)</f>
        <v>0.20452940890563576</v>
      </c>
      <c r="R14" s="58">
        <f ca="1">_xll.EURO(UnderlyingPrice,$D14*(1-$P$8),IntRate,Yield,$J14,Expiry-Today,R$12,0)</f>
        <v>1.3848466581041388</v>
      </c>
      <c r="S14" s="58">
        <f ca="1">_xll.EURO(UnderlyingPrice,$D14*(1-$P$8),IntRate,Yield,$J14,Expiry-Today,S$12,0)</f>
        <v>0.2035038195974147</v>
      </c>
      <c r="U14" s="59">
        <f t="shared" ref="U14:U45" ca="1" si="10">(O14+R14-2*L14)/($P$8*D14)^2</f>
        <v>0.2590120475383057</v>
      </c>
      <c r="V14" s="59"/>
      <c r="W14" s="62">
        <f t="shared" ca="1" si="3"/>
        <v>0.26370824638430679</v>
      </c>
      <c r="X14" s="63"/>
      <c r="Z14" s="59">
        <f t="shared" ref="Z14:Z77" ca="1" si="11">(1/(D14*SQRT(2*PI()*T/365.25*ATMImpVol^2)))</f>
        <v>0.28158404958708017</v>
      </c>
      <c r="AA14" s="59">
        <f t="shared" ref="AA14:AA77" ca="1" si="12">LN(D14/UnderlyingPrice)+0.5*T/365.25*ATMImpVol^2</f>
        <v>-0.21245394393501735</v>
      </c>
      <c r="AB14" s="59">
        <f t="shared" ca="1" si="4"/>
        <v>-4.5136678293543495E-2</v>
      </c>
      <c r="AC14" s="59">
        <f t="shared" ref="AC14:AC77" ca="1" si="13">AB14/(2*T/365.25*ATMImpVol^2)</f>
        <v>-0.13962634455886513</v>
      </c>
      <c r="AD14" s="60">
        <f t="shared" ca="1" si="5"/>
        <v>0.86968313653051565</v>
      </c>
      <c r="AE14" s="60">
        <f t="shared" ref="AE14:AE77" ca="1" si="14">AD14*Z14</f>
        <v>0.24488889944185613</v>
      </c>
      <c r="AF14" s="60"/>
      <c r="AG14" s="96">
        <f t="shared" ref="AG14:AG77" ca="1" si="15">(LN($D14/UnderlyingPrice)+0.5*ATMImpVol^2*(T/365.25))/(ATMImpVol*SQRT(T/365.25))</f>
        <v>-0.52844364800584964</v>
      </c>
      <c r="AH14" s="96">
        <f t="shared" ref="AH14:AH77" ca="1" si="16">(LN(($D14*(1+$P$8))/UnderlyingPrice)+0.5*ATMImpVol^2*(T/365.25))/(ATMImpVol*SQRT(T/365.25))</f>
        <v>-0.5272002924546908</v>
      </c>
      <c r="AI14" s="96">
        <f t="shared" ref="AI14:AI77" ca="1" si="17">(LN($D14*(1-$P$8)/UnderlyingPrice)+0.5*ATMImpVol^2*(T/365.25))/(ATMImpVol*SQRT(T/365.25))</f>
        <v>-0.52968762539026781</v>
      </c>
      <c r="AJ14" s="96"/>
      <c r="AK14" s="96">
        <f t="shared" ref="AK14:AK77" ca="1" si="18">W14/(AH14-AI14)*(D14*2*$P$8)</f>
        <v>0.37361619225401993</v>
      </c>
      <c r="AL14" s="96"/>
      <c r="AM14" s="94">
        <v>-3</v>
      </c>
      <c r="AN14" s="95">
        <f t="shared" ca="1" si="6"/>
        <v>4.4318484119380067E-3</v>
      </c>
      <c r="AP14" s="75" t="s">
        <v>83</v>
      </c>
      <c r="AQ14" s="84">
        <v>1.0726342113270733</v>
      </c>
      <c r="AR14" s="85"/>
      <c r="AS14" s="77" t="s">
        <v>84</v>
      </c>
      <c r="AX14" s="106">
        <f t="shared" ref="AX14:AX77" ca="1" si="19">VLOOKUP(E14,ENAVolTable,4)+VLOOKUP(E14,ENAVolTable,5)*(E14-VLOOKUP(E14,ENAVolTable,1))</f>
        <v>0.59070099999999992</v>
      </c>
      <c r="AY14" s="106">
        <f t="shared" ref="AY14:AY77" ca="1" si="20">VLOOKUP(F14,ENAVolTable,4)+VLOOKUP(F14,ENAVolTable,5)*(F14-VLOOKUP(F14,ENAVolTable,1))</f>
        <v>0.59069923800000002</v>
      </c>
      <c r="AZ14" s="106">
        <f t="shared" ref="AZ14:AZ77" ca="1" si="21">VLOOKUP(G14,ENAVolTable,4)+VLOOKUP(G14,ENAVolTable,5)*(G14-VLOOKUP(G14,ENAVolTable,1))</f>
        <v>0.59070276199999994</v>
      </c>
      <c r="BB14" s="109">
        <f ca="1">_xll.EURO(UnderlyingPrice,$D14,IntRate,Yield,AX14,$D$6,1,0)</f>
        <v>1.3929138500824445</v>
      </c>
      <c r="BC14" s="109">
        <f ca="1">_xll.EURO(UnderlyingPrice,$D14*(1+$P$8),IntRate,Yield,AY14,$D$6,1,0)</f>
        <v>1.3916952874460082</v>
      </c>
      <c r="BD14" s="109">
        <f ca="1">_xll.EURO(UnderlyingPrice,$D14*(1-$P$8),IntRate,Yield,AZ14,$D$6,1,0)</f>
        <v>1.3941331586089785</v>
      </c>
      <c r="BF14" s="59">
        <f t="shared" ref="BF14:BF77" ca="1" si="22">(BC14+BD14-2*BB14)/($P$8*$D14)^2</f>
        <v>0.2402497992318737</v>
      </c>
      <c r="BG14" s="62">
        <f t="shared" ref="BG14:BG77" ca="1" si="23">+BF14/$D$9</f>
        <v>0.24460581602965548</v>
      </c>
      <c r="BI14" s="96">
        <f t="shared" ref="BI14:BI77" ca="1" si="24">(LN($D14/UnderlyingPrice)+0.5*ENAVol^2*(T/365.25))/(ENAVol*SQRT(T/365.25))</f>
        <v>-0.5277710946810874</v>
      </c>
      <c r="BJ14" s="96">
        <f t="shared" ref="BJ14:BJ77" ca="1" si="25">(LN(($D14*(1+$P$8))/UnderlyingPrice)+0.5*ENAVol^2*(T/365.25))/(ENAVol*SQRT(T/365.25))</f>
        <v>-0.5265286376894025</v>
      </c>
      <c r="BK14" s="96">
        <f t="shared" ref="BK14:BK77" ca="1" si="26">(LN($D14*(1-$P$8)/UnderlyingPrice)+0.5*ENAVol^2*(T/365.25))/(ENAVol*SQRT(T/365.25))</f>
        <v>-0.52901417305663956</v>
      </c>
      <c r="BL14" s="96"/>
      <c r="BM14" s="96">
        <f t="shared" ref="BM14:BM77" ca="1" si="27">BG14/(BJ14-BK14)*(D14*2*$P$8)</f>
        <v>0.34680290896311106</v>
      </c>
      <c r="BO14" s="58">
        <f t="shared" ref="BO14:BO77" ca="1" si="28">+BB14-L14</f>
        <v>9.2854211477662041E-3</v>
      </c>
      <c r="BP14" s="46">
        <f t="shared" ref="BP14:BP77" ca="1" si="29">+BO14/BB14</f>
        <v>6.6661848090724448E-3</v>
      </c>
    </row>
    <row r="15" spans="2:68" x14ac:dyDescent="0.2">
      <c r="C15" s="56">
        <v>2</v>
      </c>
      <c r="D15" s="63">
        <f t="shared" ref="D15:D78" ca="1" si="30">D14+(ROUNDUP(MAX(StrikeRange),1)-ROUNDDOWN(MIN(StrikeRange),1))/100</f>
        <v>3.548</v>
      </c>
      <c r="E15" s="45">
        <f t="shared" ca="1" si="7"/>
        <v>-0.24910052910052904</v>
      </c>
      <c r="F15" s="45">
        <f t="shared" ca="1" si="8"/>
        <v>-0.24872507936507937</v>
      </c>
      <c r="G15" s="45">
        <f t="shared" ca="1" si="9"/>
        <v>-0.24947597883597872</v>
      </c>
      <c r="H15" s="45">
        <f t="shared" ca="1" si="0"/>
        <v>0.5793701946686578</v>
      </c>
      <c r="I15" s="45">
        <f t="shared" ca="1" si="1"/>
        <v>0.57935635552249942</v>
      </c>
      <c r="J15" s="45">
        <f t="shared" ca="1" si="2"/>
        <v>0.57934254382258632</v>
      </c>
      <c r="K15" s="58"/>
      <c r="L15" s="58">
        <f ca="1">_xll.EURO(UnderlyingPrice,$D15,IntRate,Yield,$I15,$D$6,L$12,0)</f>
        <v>1.3671152264417481</v>
      </c>
      <c r="M15" s="58">
        <f ca="1">_xll.EURO(UnderlyingPrice,$D15,IntRate,Yield,$I15,$D$6,M$12,0)</f>
        <v>0.21107561018980947</v>
      </c>
      <c r="O15" s="58">
        <f ca="1">_xll.EURO(UnderlyingPrice,$D15*(1+$P$8),IntRate,Yield,$H15,Expiry-Today,O$12,0)</f>
        <v>1.3659005608979671</v>
      </c>
      <c r="P15" s="58">
        <f ca="1">_xll.EURO(UnderlyingPrice,$D15*(1+$P$8),IntRate,Yield,$H15,Expiry-Today,P$12,0)</f>
        <v>0.2116033526997505</v>
      </c>
      <c r="R15" s="58">
        <f ca="1">_xll.EURO(UnderlyingPrice,$D15*(1-$P$8),IntRate,Yield,$J15,Expiry-Today,R$12,0)</f>
        <v>1.3683307098573372</v>
      </c>
      <c r="S15" s="58">
        <f ca="1">_xll.EURO(UnderlyingPrice,$D15*(1-$P$8),IntRate,Yield,$J15,Expiry-Today,S$12,0)</f>
        <v>0.21054868555167605</v>
      </c>
      <c r="U15" s="59">
        <f t="shared" ca="1" si="10"/>
        <v>0.25988308132897986</v>
      </c>
      <c r="V15" s="59"/>
      <c r="W15" s="62">
        <f t="shared" ca="1" si="3"/>
        <v>0.26459507306153379</v>
      </c>
      <c r="X15" s="63"/>
      <c r="Z15" s="59">
        <f t="shared" ca="1" si="11"/>
        <v>0.27967930968006499</v>
      </c>
      <c r="AA15" s="59">
        <f t="shared" ca="1" si="12"/>
        <v>-0.20566658756161729</v>
      </c>
      <c r="AB15" s="59">
        <f t="shared" ca="1" si="4"/>
        <v>-4.229874523924039E-2</v>
      </c>
      <c r="AC15" s="59">
        <f t="shared" ca="1" si="13"/>
        <v>-0.13084744824978961</v>
      </c>
      <c r="AD15" s="60">
        <f t="shared" ca="1" si="5"/>
        <v>0.87735160570568371</v>
      </c>
      <c r="AE15" s="60">
        <f t="shared" ca="1" si="14"/>
        <v>0.24537709143046219</v>
      </c>
      <c r="AF15" s="60"/>
      <c r="AG15" s="96">
        <f t="shared" ca="1" si="15"/>
        <v>-0.51156123435966039</v>
      </c>
      <c r="AH15" s="96">
        <f t="shared" ca="1" si="16"/>
        <v>-0.51031787880850177</v>
      </c>
      <c r="AI15" s="96">
        <f t="shared" ca="1" si="17"/>
        <v>-0.51280521174407856</v>
      </c>
      <c r="AJ15" s="96"/>
      <c r="AK15" s="96">
        <f t="shared" ca="1" si="18"/>
        <v>0.37742567783939462</v>
      </c>
      <c r="AL15" s="96"/>
      <c r="AM15" s="94">
        <v>-2.9</v>
      </c>
      <c r="AN15" s="95">
        <f t="shared" ca="1" si="6"/>
        <v>5.9525324197758529E-3</v>
      </c>
      <c r="AP15" s="75" t="s">
        <v>85</v>
      </c>
      <c r="AQ15" s="76">
        <f ca="1">(SUM(W13:W113)-(W13+W113)/2)*(ROUNDUP(MAX(StrikeRange),1)-ROUNDDOWN(MIN(StrikeRange),1))/100</f>
        <v>0.51418396801986876</v>
      </c>
      <c r="AR15" s="85"/>
      <c r="AS15" s="77" t="s">
        <v>86</v>
      </c>
      <c r="AX15" s="106">
        <f t="shared" ca="1" si="19"/>
        <v>0.59067700000000001</v>
      </c>
      <c r="AY15" s="106">
        <f t="shared" ca="1" si="20"/>
        <v>0.590675226</v>
      </c>
      <c r="AZ15" s="106">
        <f t="shared" ca="1" si="21"/>
        <v>0.59067877400000002</v>
      </c>
      <c r="BB15" s="109">
        <f ca="1">_xll.EURO(UnderlyingPrice,$D15,IntRate,Yield,AX15,$D$6,1,0)</f>
        <v>1.3763801128648168</v>
      </c>
      <c r="BC15" s="109">
        <f ca="1">_xll.EURO(UnderlyingPrice,$D15*(1+$P$8),IntRate,Yield,AY15,$D$6,1,0)</f>
        <v>1.3751634951613831</v>
      </c>
      <c r="BD15" s="109">
        <f ca="1">_xll.EURO(UnderlyingPrice,$D15*(1-$P$8),IntRate,Yield,AZ15,$D$6,1,0)</f>
        <v>1.377597488332011</v>
      </c>
      <c r="BF15" s="59">
        <f t="shared" ca="1" si="22"/>
        <v>0.24078343218536633</v>
      </c>
      <c r="BG15" s="62">
        <f t="shared" ca="1" si="23"/>
        <v>0.24514912438815031</v>
      </c>
      <c r="BI15" s="96">
        <f t="shared" ca="1" si="24"/>
        <v>-0.5109008817708105</v>
      </c>
      <c r="BJ15" s="96">
        <f t="shared" ca="1" si="25"/>
        <v>-0.50965842477912582</v>
      </c>
      <c r="BK15" s="96">
        <f t="shared" ca="1" si="26"/>
        <v>-0.51214396014636254</v>
      </c>
      <c r="BL15" s="96"/>
      <c r="BM15" s="96">
        <f t="shared" ca="1" si="27"/>
        <v>0.34994034073879987</v>
      </c>
      <c r="BO15" s="58">
        <f t="shared" ca="1" si="28"/>
        <v>9.2648864230686634E-3</v>
      </c>
      <c r="BP15" s="46">
        <f t="shared" ca="1" si="29"/>
        <v>6.731342843790877E-3</v>
      </c>
    </row>
    <row r="16" spans="2:68" x14ac:dyDescent="0.2">
      <c r="C16" s="56">
        <v>3</v>
      </c>
      <c r="D16" s="63">
        <f t="shared" ca="1" si="30"/>
        <v>3.5720000000000001</v>
      </c>
      <c r="E16" s="45">
        <f t="shared" ca="1" si="7"/>
        <v>-0.24402116402116392</v>
      </c>
      <c r="F16" s="45">
        <f t="shared" ca="1" si="8"/>
        <v>-0.24364317460317464</v>
      </c>
      <c r="G16" s="45">
        <f t="shared" ca="1" si="9"/>
        <v>-0.2443991534391533</v>
      </c>
      <c r="H16" s="45">
        <f t="shared" ca="1" si="0"/>
        <v>0.57956021457523865</v>
      </c>
      <c r="I16" s="45">
        <f t="shared" ca="1" si="1"/>
        <v>0.57954590789740501</v>
      </c>
      <c r="J16" s="45">
        <f t="shared" ca="1" si="2"/>
        <v>0.57953162903838562</v>
      </c>
      <c r="L16" s="58">
        <f ca="1">_xll.EURO(UnderlyingPrice,$D16,IntRate,Yield,$I16,$D$6,L$12,0)</f>
        <v>1.3507517122730004</v>
      </c>
      <c r="M16" s="58">
        <f ca="1">_xll.EURO(UnderlyingPrice,$D16,IntRate,Yield,$I16,$D$6,M$12,0)</f>
        <v>0.21828469652237581</v>
      </c>
      <c r="O16" s="58">
        <f ca="1">_xll.EURO(UnderlyingPrice,$D16*(1+$P$8),IntRate,Yield,$H16,Expiry-Today,O$12,0)</f>
        <v>1.34953999097986</v>
      </c>
      <c r="P16" s="58">
        <f ca="1">_xll.EURO(UnderlyingPrice,$D16*(1+$P$8),IntRate,Yield,$H16,Expiry-Today,P$12,0)</f>
        <v>0.21882716958320736</v>
      </c>
      <c r="R16" s="58">
        <f ca="1">_xll.EURO(UnderlyingPrice,$D16*(1-$P$8),IntRate,Yield,$J16,Expiry-Today,R$12,0)</f>
        <v>1.3519642650292201</v>
      </c>
      <c r="S16" s="58">
        <f ca="1">_xll.EURO(UnderlyingPrice,$D16*(1-$P$8),IntRate,Yield,$J16,Expiry-Today,S$12,0)</f>
        <v>0.21774305492462331</v>
      </c>
      <c r="U16" s="59">
        <f t="shared" ca="1" si="10"/>
        <v>0.26066340269912636</v>
      </c>
      <c r="V16" s="59"/>
      <c r="W16" s="62">
        <f t="shared" ca="1" si="3"/>
        <v>0.26538954259333075</v>
      </c>
      <c r="X16" s="63"/>
      <c r="Z16" s="59">
        <f t="shared" ca="1" si="11"/>
        <v>0.27780016538210262</v>
      </c>
      <c r="AA16" s="59">
        <f t="shared" ca="1" si="12"/>
        <v>-0.19892498899469765</v>
      </c>
      <c r="AB16" s="59">
        <f t="shared" ca="1" si="4"/>
        <v>-3.9571151246540585E-2</v>
      </c>
      <c r="AC16" s="59">
        <f t="shared" ca="1" si="13"/>
        <v>-0.12240987612353348</v>
      </c>
      <c r="AD16" s="60">
        <f t="shared" ca="1" si="5"/>
        <v>0.88478564166220697</v>
      </c>
      <c r="AE16" s="60">
        <f t="shared" ca="1" si="14"/>
        <v>0.24579359758147087</v>
      </c>
      <c r="AF16" s="60"/>
      <c r="AG16" s="96">
        <f t="shared" ca="1" si="15"/>
        <v>-0.49479263560310494</v>
      </c>
      <c r="AH16" s="96">
        <f t="shared" ca="1" si="16"/>
        <v>-0.49354928005194681</v>
      </c>
      <c r="AI16" s="96">
        <f t="shared" ca="1" si="17"/>
        <v>-0.49603661298752338</v>
      </c>
      <c r="AJ16" s="96"/>
      <c r="AK16" s="96">
        <f t="shared" ca="1" si="18"/>
        <v>0.38111964529735765</v>
      </c>
      <c r="AL16" s="96"/>
      <c r="AM16" s="94">
        <v>-2.8</v>
      </c>
      <c r="AN16" s="95">
        <f t="shared" ca="1" si="6"/>
        <v>7.9154515829799668E-3</v>
      </c>
      <c r="AP16" s="75" t="s">
        <v>87</v>
      </c>
      <c r="AQ16" s="76">
        <f ca="1">1-AQ15</f>
        <v>0.48581603198013124</v>
      </c>
      <c r="AR16" s="76"/>
      <c r="AS16" s="82"/>
      <c r="AV16" s="105"/>
      <c r="AX16" s="106">
        <f t="shared" ca="1" si="19"/>
        <v>0.59065299999999998</v>
      </c>
      <c r="AY16" s="106">
        <f t="shared" ca="1" si="20"/>
        <v>0.59065121399999998</v>
      </c>
      <c r="AZ16" s="106">
        <f t="shared" ca="1" si="21"/>
        <v>0.59065478599999999</v>
      </c>
      <c r="BA16" s="107"/>
      <c r="BB16" s="109">
        <f ca="1">_xll.EURO(UnderlyingPrice,$D16,IntRate,Yield,AX16,$D$6,1,0)</f>
        <v>1.35998506352687</v>
      </c>
      <c r="BC16" s="109">
        <f ca="1">_xll.EURO(UnderlyingPrice,$D16*(1+$P$8),IntRate,Yield,AY16,$D$6,1,0)</f>
        <v>1.3587705505958785</v>
      </c>
      <c r="BD16" s="109">
        <f ca="1">_xll.EURO(UnderlyingPrice,$D16*(1-$P$8),IntRate,Yield,AZ16,$D$6,1,0)</f>
        <v>1.3612003459844138</v>
      </c>
      <c r="BF16" s="59">
        <f t="shared" ca="1" si="22"/>
        <v>0.24124632178917252</v>
      </c>
      <c r="BG16" s="62">
        <f t="shared" ca="1" si="23"/>
        <v>0.24562040673524346</v>
      </c>
      <c r="BI16" s="96">
        <f t="shared" ca="1" si="24"/>
        <v>-0.49414440149739003</v>
      </c>
      <c r="BJ16" s="96">
        <f t="shared" ca="1" si="25"/>
        <v>-0.49290194450570585</v>
      </c>
      <c r="BK16" s="96">
        <f t="shared" ca="1" si="26"/>
        <v>-0.49538747987294246</v>
      </c>
      <c r="BL16" s="96"/>
      <c r="BM16" s="96">
        <f t="shared" ca="1" si="27"/>
        <v>0.35298475508466537</v>
      </c>
      <c r="BO16" s="58">
        <f t="shared" ca="1" si="28"/>
        <v>9.2333512538695928E-3</v>
      </c>
      <c r="BP16" s="46">
        <f t="shared" ca="1" si="29"/>
        <v>6.7893034280278068E-3</v>
      </c>
    </row>
    <row r="17" spans="3:68" x14ac:dyDescent="0.2">
      <c r="C17" s="56">
        <v>4</v>
      </c>
      <c r="D17" s="63">
        <f t="shared" ca="1" si="30"/>
        <v>3.5960000000000001</v>
      </c>
      <c r="E17" s="45">
        <f t="shared" ca="1" si="7"/>
        <v>-0.2389417989417989</v>
      </c>
      <c r="F17" s="45">
        <f t="shared" ca="1" si="8"/>
        <v>-0.2385612698412698</v>
      </c>
      <c r="G17" s="45">
        <f t="shared" ca="1" si="9"/>
        <v>-0.239322328042328</v>
      </c>
      <c r="H17" s="45">
        <f t="shared" ca="1" si="0"/>
        <v>0.57975526291146906</v>
      </c>
      <c r="I17" s="45">
        <f t="shared" ca="1" si="1"/>
        <v>0.57974048367729913</v>
      </c>
      <c r="J17" s="45">
        <f t="shared" ca="1" si="2"/>
        <v>0.57972573263702454</v>
      </c>
      <c r="L17" s="58">
        <f ca="1">_xll.EURO(UnderlyingPrice,$D17,IntRate,Yield,$I17,$D$6,L$12,0)</f>
        <v>1.3345383359310397</v>
      </c>
      <c r="M17" s="58">
        <f ca="1">_xll.EURO(UnderlyingPrice,$D17,IntRate,Yield,$I17,$D$6,M$12,0)</f>
        <v>0.22564392068172923</v>
      </c>
      <c r="O17" s="58">
        <f ca="1">_xll.EURO(UnderlyingPrice,$D17*(1+$P$8),IntRate,Yield,$H17,Expiry-Today,O$12,0)</f>
        <v>1.3333297404648055</v>
      </c>
      <c r="P17" s="58">
        <f ca="1">_xll.EURO(UnderlyingPrice,$D17*(1+$P$8),IntRate,Yield,$H17,Expiry-Today,P$12,0)</f>
        <v>0.22620130586971754</v>
      </c>
      <c r="R17" s="58">
        <f ca="1">_xll.EURO(UnderlyingPrice,$D17*(1-$P$8),IntRate,Yield,$J17,Expiry-Today,R$12,0)</f>
        <v>1.3357477763028416</v>
      </c>
      <c r="S17" s="58">
        <f ca="1">_xll.EURO(UnderlyingPrice,$D17*(1-$P$8),IntRate,Yield,$J17,Expiry-Today,S$12,0)</f>
        <v>0.2250873803993072</v>
      </c>
      <c r="U17" s="59">
        <f t="shared" ca="1" si="10"/>
        <v>0.26135378690813216</v>
      </c>
      <c r="V17" s="59"/>
      <c r="W17" s="62">
        <f t="shared" ca="1" si="3"/>
        <v>0.26609244429546647</v>
      </c>
      <c r="X17" s="63"/>
      <c r="Z17" s="59">
        <f t="shared" ca="1" si="11"/>
        <v>0.27594610421158805</v>
      </c>
      <c r="AA17" s="59">
        <f t="shared" ca="1" si="12"/>
        <v>-0.19222853539957649</v>
      </c>
      <c r="AB17" s="59">
        <f t="shared" ca="1" si="4"/>
        <v>-3.695180982186623E-2</v>
      </c>
      <c r="AC17" s="59">
        <f t="shared" ca="1" si="13"/>
        <v>-0.11430717379571939</v>
      </c>
      <c r="AD17" s="60">
        <f t="shared" ca="1" si="5"/>
        <v>0.89198391970985946</v>
      </c>
      <c r="AE17" s="60">
        <f t="shared" ca="1" si="14"/>
        <v>0.24613948766331767</v>
      </c>
      <c r="AF17" s="60"/>
      <c r="AG17" s="96">
        <f t="shared" ca="1" si="15"/>
        <v>-0.47813632741242207</v>
      </c>
      <c r="AH17" s="96">
        <f t="shared" ca="1" si="16"/>
        <v>-0.4768929718612635</v>
      </c>
      <c r="AI17" s="96">
        <f t="shared" ca="1" si="17"/>
        <v>-0.47938030479684063</v>
      </c>
      <c r="AJ17" s="96"/>
      <c r="AK17" s="96">
        <f t="shared" ca="1" si="18"/>
        <v>0.38469656232991573</v>
      </c>
      <c r="AL17" s="96"/>
      <c r="AM17" s="94">
        <v>-2.7</v>
      </c>
      <c r="AN17" s="95">
        <f t="shared" ca="1" si="6"/>
        <v>1.042093481442259E-2</v>
      </c>
      <c r="AP17" s="86" t="s">
        <v>88</v>
      </c>
      <c r="AQ17" s="87">
        <f ca="1">(Alpha1/Gamma2*AQ12)+(Alpha2/Gamma2*(1-AR12))</f>
        <v>0.4858160322515106</v>
      </c>
      <c r="AR17" s="85"/>
      <c r="AS17" s="82"/>
      <c r="AV17" s="105"/>
      <c r="AX17" s="106">
        <f t="shared" ca="1" si="19"/>
        <v>0.59062899999999996</v>
      </c>
      <c r="AY17" s="106">
        <f t="shared" ca="1" si="20"/>
        <v>0.59062720199999996</v>
      </c>
      <c r="AZ17" s="106">
        <f t="shared" ca="1" si="21"/>
        <v>0.59063079799999996</v>
      </c>
      <c r="BB17" s="109">
        <f ca="1">_xll.EURO(UnderlyingPrice,$D17,IntRate,Yield,AX17,$D$6,1,0)</f>
        <v>1.3437289687413889</v>
      </c>
      <c r="BC17" s="109">
        <f ca="1">_xll.EURO(UnderlyingPrice,$D17*(1+$P$8),IntRate,Yield,AY17,$D$6,1,0)</f>
        <v>1.3425167178189241</v>
      </c>
      <c r="BD17" s="109">
        <f ca="1">_xll.EURO(UnderlyingPrice,$D17*(1-$P$8),IntRate,Yield,AZ17,$D$6,1,0)</f>
        <v>1.3449420008369222</v>
      </c>
      <c r="BF17" s="59">
        <f t="shared" ca="1" si="22"/>
        <v>0.24163947720112663</v>
      </c>
      <c r="BG17" s="62">
        <f t="shared" ca="1" si="23"/>
        <v>0.24602069052601033</v>
      </c>
      <c r="BI17" s="96">
        <f t="shared" ca="1" si="24"/>
        <v>-0.47750013063867686</v>
      </c>
      <c r="BJ17" s="96">
        <f t="shared" ca="1" si="25"/>
        <v>-0.47625767364699229</v>
      </c>
      <c r="BK17" s="96">
        <f t="shared" ca="1" si="26"/>
        <v>-0.4787432090142294</v>
      </c>
      <c r="BL17" s="96"/>
      <c r="BM17" s="96">
        <f t="shared" ca="1" si="27"/>
        <v>0.35593555207180294</v>
      </c>
      <c r="BO17" s="58">
        <f t="shared" ca="1" si="28"/>
        <v>9.190632810349264E-3</v>
      </c>
      <c r="BP17" s="46">
        <f t="shared" ca="1" si="29"/>
        <v>6.839647744557982E-3</v>
      </c>
    </row>
    <row r="18" spans="3:68" x14ac:dyDescent="0.2">
      <c r="C18" s="56">
        <v>5</v>
      </c>
      <c r="D18" s="63">
        <f t="shared" ca="1" si="30"/>
        <v>3.62</v>
      </c>
      <c r="E18" s="45">
        <f t="shared" ca="1" si="7"/>
        <v>-0.23386243386243377</v>
      </c>
      <c r="F18" s="45">
        <f t="shared" ca="1" si="8"/>
        <v>-0.23347936507936506</v>
      </c>
      <c r="G18" s="45">
        <f t="shared" ca="1" si="9"/>
        <v>-0.23424550264550259</v>
      </c>
      <c r="H18" s="45">
        <f t="shared" ca="1" si="0"/>
        <v>0.57995533967734902</v>
      </c>
      <c r="I18" s="45">
        <f t="shared" ca="1" si="1"/>
        <v>0.5799400828621819</v>
      </c>
      <c r="J18" s="45">
        <f t="shared" ca="1" si="2"/>
        <v>0.57992485461850296</v>
      </c>
      <c r="L18" s="58">
        <f ca="1">_xll.EURO(UnderlyingPrice,$D18,IntRate,Yield,$I18,$D$6,L$12,0)</f>
        <v>1.3184754951176525</v>
      </c>
      <c r="M18" s="58">
        <f ca="1">_xll.EURO(UnderlyingPrice,$D18,IntRate,Yield,$I18,$D$6,M$12,0)</f>
        <v>0.233153680369655</v>
      </c>
      <c r="O18" s="58">
        <f ca="1">_xll.EURO(UnderlyingPrice,$D18*(1+$P$8),IntRate,Yield,$H18,Expiry-Today,O$12,0)</f>
        <v>1.3172702037970816</v>
      </c>
      <c r="P18" s="58">
        <f ca="1">_xll.EURO(UnderlyingPrice,$D18*(1+$P$8),IntRate,Yield,$H18,Expiry-Today,P$12,0)</f>
        <v>0.23372615600355939</v>
      </c>
      <c r="R18" s="58">
        <f ca="1">_xll.EURO(UnderlyingPrice,$D18*(1-$P$8),IntRate,Yield,$J18,Expiry-Today,R$12,0)</f>
        <v>1.3196816446292732</v>
      </c>
      <c r="S18" s="58">
        <f ca="1">_xll.EURO(UnderlyingPrice,$D18*(1-$P$8),IntRate,Yield,$J18,Expiry-Today,S$12,0)</f>
        <v>0.23258206292680228</v>
      </c>
      <c r="U18" s="59">
        <f t="shared" ca="1" si="10"/>
        <v>0.26195508372136911</v>
      </c>
      <c r="V18" s="59"/>
      <c r="W18" s="62">
        <f t="shared" ca="1" si="3"/>
        <v>0.26670464334057742</v>
      </c>
      <c r="X18" s="63"/>
      <c r="Z18" s="59">
        <f t="shared" ca="1" si="11"/>
        <v>0.27411662727758856</v>
      </c>
      <c r="AA18" s="59">
        <f t="shared" ca="1" si="12"/>
        <v>-0.1855766261712706</v>
      </c>
      <c r="AB18" s="59">
        <f t="shared" ca="1" si="4"/>
        <v>-3.4438684181111519E-2</v>
      </c>
      <c r="AC18" s="59">
        <f t="shared" ca="1" si="13"/>
        <v>-0.10653304065384994</v>
      </c>
      <c r="AD18" s="60">
        <f t="shared" ca="1" si="5"/>
        <v>0.8989453459285387</v>
      </c>
      <c r="AE18" s="60">
        <f t="shared" ca="1" si="14"/>
        <v>0.24641586633281615</v>
      </c>
      <c r="AF18" s="60"/>
      <c r="AG18" s="96">
        <f t="shared" ca="1" si="15"/>
        <v>-0.46159081588318018</v>
      </c>
      <c r="AH18" s="96">
        <f t="shared" ca="1" si="16"/>
        <v>-0.46034746033202173</v>
      </c>
      <c r="AI18" s="96">
        <f t="shared" ca="1" si="17"/>
        <v>-0.46283479326759874</v>
      </c>
      <c r="AJ18" s="96"/>
      <c r="AK18" s="96">
        <f t="shared" ca="1" si="18"/>
        <v>0.38815503750362218</v>
      </c>
      <c r="AL18" s="96"/>
      <c r="AM18" s="94">
        <v>-2.6</v>
      </c>
      <c r="AN18" s="95">
        <f t="shared" ca="1" si="6"/>
        <v>1.3582969233685611E-2</v>
      </c>
      <c r="AX18" s="106">
        <f t="shared" ca="1" si="19"/>
        <v>0.59060499999999994</v>
      </c>
      <c r="AY18" s="106">
        <f t="shared" ca="1" si="20"/>
        <v>0.59060318999999994</v>
      </c>
      <c r="AZ18" s="106">
        <f t="shared" ca="1" si="21"/>
        <v>0.59060680999999993</v>
      </c>
      <c r="BB18" s="109">
        <f ca="1">_xll.EURO(UnderlyingPrice,$D18,IntRate,Yield,AX18,$D$6,1,0)</f>
        <v>1.3276120550164574</v>
      </c>
      <c r="BC18" s="109">
        <f ca="1">_xll.EURO(UnderlyingPrice,$D18*(1+$P$8),IntRate,Yield,AY18,$D$6,1,0)</f>
        <v>1.3264022206991428</v>
      </c>
      <c r="BD18" s="109">
        <f ca="1">_xll.EURO(UnderlyingPrice,$D18*(1-$P$8),IntRate,Yield,AZ18,$D$6,1,0)</f>
        <v>1.3288226820318623</v>
      </c>
      <c r="BF18" s="59">
        <f t="shared" ca="1" si="22"/>
        <v>0.24196394807224642</v>
      </c>
      <c r="BG18" s="62">
        <f t="shared" ca="1" si="23"/>
        <v>0.24635104444289957</v>
      </c>
      <c r="BI18" s="96">
        <f t="shared" ca="1" si="24"/>
        <v>-0.46096657636986788</v>
      </c>
      <c r="BJ18" s="96">
        <f t="shared" ca="1" si="25"/>
        <v>-0.45972411937818342</v>
      </c>
      <c r="BK18" s="96">
        <f t="shared" ca="1" si="26"/>
        <v>-0.46220965474542042</v>
      </c>
      <c r="BL18" s="96"/>
      <c r="BM18" s="96">
        <f t="shared" ca="1" si="27"/>
        <v>0.35879223150006467</v>
      </c>
      <c r="BO18" s="58">
        <f t="shared" ca="1" si="28"/>
        <v>9.1365598988049079E-3</v>
      </c>
      <c r="BP18" s="46">
        <f t="shared" ca="1" si="29"/>
        <v>6.8819500879657566E-3</v>
      </c>
    </row>
    <row r="19" spans="3:68" x14ac:dyDescent="0.2">
      <c r="C19" s="56">
        <v>6</v>
      </c>
      <c r="D19" s="63">
        <f t="shared" ca="1" si="30"/>
        <v>3.6440000000000001</v>
      </c>
      <c r="E19" s="45">
        <f t="shared" ca="1" si="7"/>
        <v>-0.22878306878306864</v>
      </c>
      <c r="F19" s="45">
        <f t="shared" ca="1" si="8"/>
        <v>-0.22839746031746033</v>
      </c>
      <c r="G19" s="45">
        <f t="shared" ca="1" si="9"/>
        <v>-0.22916867724867707</v>
      </c>
      <c r="H19" s="45">
        <f t="shared" ca="1" si="0"/>
        <v>0.58016044487287832</v>
      </c>
      <c r="I19" s="45">
        <f t="shared" ca="1" si="1"/>
        <v>0.58014470545205343</v>
      </c>
      <c r="J19" s="45">
        <f t="shared" ca="1" si="2"/>
        <v>0.58012899498282078</v>
      </c>
      <c r="L19" s="58">
        <f ca="1">_xll.EURO(UnderlyingPrice,$D19,IntRate,Yield,$I19,$D$6,L$12,0)</f>
        <v>1.3025635362251733</v>
      </c>
      <c r="M19" s="58">
        <f ca="1">_xll.EURO(UnderlyingPrice,$D19,IntRate,Yield,$I19,$D$6,M$12,0)</f>
        <v>0.24081432197849051</v>
      </c>
      <c r="O19" s="58">
        <f ca="1">_xll.EURO(UnderlyingPrice,$D19*(1+$P$8),IntRate,Yield,$H19,Expiry-Today,O$12,0)</f>
        <v>1.3013617240475353</v>
      </c>
      <c r="P19" s="58">
        <f ca="1">_xll.EURO(UnderlyingPrice,$D19*(1+$P$8),IntRate,Yield,$H19,Expiry-Today,P$12,0)</f>
        <v>0.24140206305557721</v>
      </c>
      <c r="R19" s="58">
        <f ca="1">_xll.EURO(UnderlyingPrice,$D19*(1-$P$8),IntRate,Yield,$J19,Expiry-Today,R$12,0)</f>
        <v>1.3037662197143849</v>
      </c>
      <c r="S19" s="58">
        <f ca="1">_xll.EURO(UnderlyingPrice,$D19*(1-$P$8),IntRate,Yield,$J19,Expiry-Today,S$12,0)</f>
        <v>0.24022745221297803</v>
      </c>
      <c r="U19" s="59">
        <f t="shared" ca="1" si="10"/>
        <v>0.26246822696320826</v>
      </c>
      <c r="V19" s="59"/>
      <c r="W19" s="62">
        <f t="shared" ca="1" si="3"/>
        <v>0.26722709048438975</v>
      </c>
      <c r="X19" s="63"/>
      <c r="Z19" s="59">
        <f t="shared" ca="1" si="11"/>
        <v>0.27231124883229157</v>
      </c>
      <c r="AA19" s="59">
        <f t="shared" ca="1" si="12"/>
        <v>-0.17896867261123836</v>
      </c>
      <c r="AB19" s="59">
        <f t="shared" ca="1" si="4"/>
        <v>-3.2029785776228621E-2</v>
      </c>
      <c r="AC19" s="59">
        <f t="shared" ca="1" si="13"/>
        <v>-9.9081325299430686E-2</v>
      </c>
      <c r="AD19" s="60">
        <f t="shared" ca="1" si="5"/>
        <v>0.90566905122173269</v>
      </c>
      <c r="AE19" s="60">
        <f t="shared" ca="1" si="14"/>
        <v>0.24662387036694666</v>
      </c>
      <c r="AF19" s="60"/>
      <c r="AG19" s="96">
        <f t="shared" ca="1" si="15"/>
        <v>-0.44515463672622957</v>
      </c>
      <c r="AH19" s="96">
        <f t="shared" ca="1" si="16"/>
        <v>-0.44391128117507128</v>
      </c>
      <c r="AI19" s="96">
        <f t="shared" ca="1" si="17"/>
        <v>-0.44639861411064791</v>
      </c>
      <c r="AJ19" s="96"/>
      <c r="AK19" s="96">
        <f t="shared" ca="1" si="18"/>
        <v>0.39149383815776601</v>
      </c>
      <c r="AL19" s="96"/>
      <c r="AM19" s="94">
        <v>-2.5</v>
      </c>
      <c r="AN19" s="95">
        <f t="shared" ca="1" si="6"/>
        <v>1.7528300493568537E-2</v>
      </c>
      <c r="AX19" s="106">
        <f t="shared" ca="1" si="19"/>
        <v>0.59058100000000002</v>
      </c>
      <c r="AY19" s="106">
        <f t="shared" ca="1" si="20"/>
        <v>0.59057917799999993</v>
      </c>
      <c r="AZ19" s="106">
        <f t="shared" ca="1" si="21"/>
        <v>0.59058282200000001</v>
      </c>
      <c r="BB19" s="109">
        <f ca="1">_xll.EURO(UnderlyingPrice,$D19,IntRate,Yield,AX19,$D$6,1,0)</f>
        <v>1.3116345092990431</v>
      </c>
      <c r="BC19" s="109">
        <f ca="1">_xll.EURO(UnderlyingPrice,$D19*(1+$P$8),IntRate,Yield,AY19,$D$6,1,0)</f>
        <v>1.310427243511</v>
      </c>
      <c r="BD19" s="109">
        <f ca="1">_xll.EURO(UnderlyingPrice,$D19*(1-$P$8),IntRate,Yield,AZ19,$D$6,1,0)</f>
        <v>1.3128425791836533</v>
      </c>
      <c r="BF19" s="59">
        <f t="shared" ca="1" si="22"/>
        <v>0.24222081592963626</v>
      </c>
      <c r="BG19" s="62">
        <f t="shared" ca="1" si="23"/>
        <v>0.24661256962239825</v>
      </c>
      <c r="BI19" s="96">
        <f t="shared" ca="1" si="24"/>
        <v>-0.44454227546003916</v>
      </c>
      <c r="BJ19" s="96">
        <f t="shared" ca="1" si="25"/>
        <v>-0.44329981846835481</v>
      </c>
      <c r="BK19" s="96">
        <f t="shared" ca="1" si="26"/>
        <v>-0.44578535383559137</v>
      </c>
      <c r="BL19" s="96"/>
      <c r="BM19" s="96">
        <f t="shared" ca="1" si="27"/>
        <v>0.36155438202561324</v>
      </c>
      <c r="BO19" s="58">
        <f t="shared" ca="1" si="28"/>
        <v>9.0709730738698369E-3</v>
      </c>
      <c r="BP19" s="46">
        <f t="shared" ca="1" si="29"/>
        <v>6.9157779926951593E-3</v>
      </c>
    </row>
    <row r="20" spans="3:68" x14ac:dyDescent="0.2">
      <c r="C20" s="56">
        <v>7</v>
      </c>
      <c r="D20" s="63">
        <f t="shared" ca="1" si="30"/>
        <v>3.6680000000000001</v>
      </c>
      <c r="E20" s="45">
        <f t="shared" ca="1" si="7"/>
        <v>-0.22370370370370363</v>
      </c>
      <c r="F20" s="45">
        <f t="shared" ca="1" si="8"/>
        <v>-0.22331555555555549</v>
      </c>
      <c r="G20" s="45">
        <f t="shared" ca="1" si="9"/>
        <v>-0.22409185185185165</v>
      </c>
      <c r="H20" s="45">
        <f t="shared" ca="1" si="0"/>
        <v>0.58037057849805729</v>
      </c>
      <c r="I20" s="45">
        <f t="shared" ca="1" si="1"/>
        <v>0.58035435144691361</v>
      </c>
      <c r="J20" s="45">
        <f t="shared" ca="1" si="2"/>
        <v>0.58033815372997821</v>
      </c>
      <c r="L20" s="58">
        <f ca="1">_xll.EURO(UnderlyingPrice,$D20,IntRate,Yield,$I20,$D$6,L$12,0)</f>
        <v>1.2868027548721828</v>
      </c>
      <c r="M20" s="58">
        <f ca="1">_xll.EURO(UnderlyingPrice,$D20,IntRate,Yield,$I20,$D$6,M$12,0)</f>
        <v>0.24862614112681392</v>
      </c>
      <c r="O20" s="58">
        <f ca="1">_xll.EURO(UnderlyingPrice,$D20*(1+$P$8),IntRate,Yield,$H20,Expiry-Today,O$12,0)</f>
        <v>1.2856045934538574</v>
      </c>
      <c r="P20" s="58">
        <f ca="1">_xll.EURO(UnderlyingPrice,$D20*(1+$P$8),IntRate,Yield,$H20,Expiry-Today,P$12,0)</f>
        <v>0.2492293192634637</v>
      </c>
      <c r="R20" s="58">
        <f ca="1">_xll.EURO(UnderlyingPrice,$D20*(1-$P$8),IntRate,Yield,$J20,Expiry-Today,R$12,0)</f>
        <v>1.288001800549933</v>
      </c>
      <c r="S20" s="58">
        <f ca="1">_xll.EURO(UnderlyingPrice,$D20*(1-$P$8),IntRate,Yield,$J20,Expiry-Today,S$12,0)</f>
        <v>0.2480238472495897</v>
      </c>
      <c r="U20" s="59">
        <f t="shared" ca="1" si="10"/>
        <v>0.2628942181410846</v>
      </c>
      <c r="V20" s="59"/>
      <c r="W20" s="62">
        <f t="shared" ca="1" si="3"/>
        <v>0.26766080539286841</v>
      </c>
      <c r="X20" s="63"/>
      <c r="Z20" s="59">
        <f t="shared" ca="1" si="11"/>
        <v>0.27052949584102248</v>
      </c>
      <c r="AA20" s="59">
        <f t="shared" ca="1" si="12"/>
        <v>-0.17240409761473188</v>
      </c>
      <c r="AB20" s="59">
        <f t="shared" ca="1" si="4"/>
        <v>-2.9723172874350001E-2</v>
      </c>
      <c r="AC20" s="59">
        <f t="shared" ca="1" si="13"/>
        <v>-9.1946021152610094E-2</v>
      </c>
      <c r="AD20" s="60">
        <f t="shared" ca="1" si="5"/>
        <v>0.91215438525859283</v>
      </c>
      <c r="AE20" s="60">
        <f t="shared" ca="1" si="14"/>
        <v>0.24676466597318492</v>
      </c>
      <c r="AF20" s="60"/>
      <c r="AG20" s="96">
        <f t="shared" ca="1" si="15"/>
        <v>-0.42882635449004325</v>
      </c>
      <c r="AH20" s="96">
        <f t="shared" ca="1" si="16"/>
        <v>-0.42758299893888468</v>
      </c>
      <c r="AI20" s="96">
        <f t="shared" ca="1" si="17"/>
        <v>-0.43007033187446142</v>
      </c>
      <c r="AJ20" s="96"/>
      <c r="AK20" s="96">
        <f t="shared" ca="1" si="18"/>
        <v>0.39471186994651236</v>
      </c>
      <c r="AL20" s="96"/>
      <c r="AM20" s="94">
        <v>-2.4</v>
      </c>
      <c r="AN20" s="95">
        <f t="shared" ca="1" si="6"/>
        <v>2.2394530294842896E-2</v>
      </c>
      <c r="AP20" s="64" t="s">
        <v>90</v>
      </c>
      <c r="AX20" s="106">
        <f t="shared" ca="1" si="19"/>
        <v>0.590557</v>
      </c>
      <c r="AY20" s="106">
        <f t="shared" ca="1" si="20"/>
        <v>0.59055516600000002</v>
      </c>
      <c r="AZ20" s="106">
        <f t="shared" ca="1" si="21"/>
        <v>0.59055883399999998</v>
      </c>
      <c r="BB20" s="109">
        <f ca="1">_xll.EURO(UnderlyingPrice,$D20,IntRate,Yield,AX20,$D$6,1,0)</f>
        <v>1.2957964795988204</v>
      </c>
      <c r="BC20" s="109">
        <f ca="1">_xll.EURO(UnderlyingPrice,$D20*(1+$P$8),IntRate,Yield,AY20,$D$6,1,0)</f>
        <v>1.2945919315616661</v>
      </c>
      <c r="BD20" s="109">
        <f ca="1">_xll.EURO(UnderlyingPrice,$D20*(1-$P$8),IntRate,Yield,AZ20,$D$6,1,0)</f>
        <v>1.2970018429996144</v>
      </c>
      <c r="BF20" s="59">
        <f t="shared" ca="1" si="22"/>
        <v>0.24241119806442729</v>
      </c>
      <c r="BG20" s="62">
        <f t="shared" ca="1" si="23"/>
        <v>0.2468064036134647</v>
      </c>
      <c r="BI20" s="96">
        <f t="shared" ca="1" si="24"/>
        <v>-0.42822579349504869</v>
      </c>
      <c r="BJ20" s="96">
        <f t="shared" ca="1" si="25"/>
        <v>-0.42698333650336412</v>
      </c>
      <c r="BK20" s="96">
        <f t="shared" ca="1" si="26"/>
        <v>-0.42946887187060084</v>
      </c>
      <c r="BL20" s="96"/>
      <c r="BM20" s="96">
        <f t="shared" ca="1" si="27"/>
        <v>0.36422168856950665</v>
      </c>
      <c r="BO20" s="58">
        <f t="shared" ca="1" si="28"/>
        <v>8.9937247266376197E-3</v>
      </c>
      <c r="BP20" s="46">
        <f t="shared" ca="1" si="29"/>
        <v>6.9406923604408031E-3</v>
      </c>
    </row>
    <row r="21" spans="3:68" x14ac:dyDescent="0.2">
      <c r="C21" s="56">
        <v>8</v>
      </c>
      <c r="D21" s="63">
        <f t="shared" ca="1" si="30"/>
        <v>3.6920000000000002</v>
      </c>
      <c r="E21" s="45">
        <f t="shared" ca="1" si="7"/>
        <v>-0.2186243386243385</v>
      </c>
      <c r="F21" s="45">
        <f t="shared" ca="1" si="8"/>
        <v>-0.21823365079365065</v>
      </c>
      <c r="G21" s="45">
        <f t="shared" ca="1" si="9"/>
        <v>-0.21901502645502635</v>
      </c>
      <c r="H21" s="45">
        <f t="shared" ca="1" si="0"/>
        <v>0.5805857405528857</v>
      </c>
      <c r="I21" s="45">
        <f t="shared" ca="1" si="1"/>
        <v>0.58056902084676254</v>
      </c>
      <c r="J21" s="45">
        <f t="shared" ca="1" si="2"/>
        <v>0.58055233085997526</v>
      </c>
      <c r="L21" s="58">
        <f ca="1">_xll.EURO(UnderlyingPrice,$D21,IntRate,Yield,$I21,$D$6,L$12,0)</f>
        <v>1.2711933964814763</v>
      </c>
      <c r="M21" s="58">
        <f ca="1">_xll.EURO(UnderlyingPrice,$D21,IntRate,Yield,$I21,$D$6,M$12,0)</f>
        <v>0.25658938323742186</v>
      </c>
      <c r="O21" s="58">
        <f ca="1">_xll.EURO(UnderlyingPrice,$D21*(1+$P$8),IntRate,Yield,$H21,Expiry-Today,O$12,0)</f>
        <v>1.2699990540031396</v>
      </c>
      <c r="P21" s="58">
        <f ca="1">_xll.EURO(UnderlyingPrice,$D21*(1+$P$8),IntRate,Yield,$H21,Expiry-Today,P$12,0)</f>
        <v>0.25720816661431078</v>
      </c>
      <c r="R21" s="58">
        <f ca="1">_xll.EURO(UnderlyingPrice,$D21*(1-$P$8),IntRate,Yield,$J21,Expiry-Today,R$12,0)</f>
        <v>1.2723886359869785</v>
      </c>
      <c r="S21" s="58">
        <f ca="1">_xll.EURO(UnderlyingPrice,$D21*(1-$P$8),IntRate,Yield,$J21,Expiry-Today,S$12,0)</f>
        <v>0.25597149688769805</v>
      </c>
      <c r="U21" s="59">
        <f t="shared" ca="1" si="10"/>
        <v>0.26323413260854783</v>
      </c>
      <c r="V21" s="59"/>
      <c r="W21" s="62">
        <f t="shared" ca="1" si="3"/>
        <v>0.26800688291701191</v>
      </c>
      <c r="X21" s="63"/>
      <c r="Z21" s="59">
        <f t="shared" ca="1" si="11"/>
        <v>0.26877090756903321</v>
      </c>
      <c r="AA21" s="59">
        <f t="shared" ca="1" si="12"/>
        <v>-0.16588233536834451</v>
      </c>
      <c r="AB21" s="59">
        <f t="shared" ca="1" si="4"/>
        <v>-2.7516949187255921E-2</v>
      </c>
      <c r="AC21" s="59">
        <f t="shared" ca="1" si="13"/>
        <v>-8.5121262212557738E-2</v>
      </c>
      <c r="AD21" s="60">
        <f t="shared" ca="1" si="5"/>
        <v>0.91840091032245952</v>
      </c>
      <c r="AE21" s="60">
        <f t="shared" ca="1" si="14"/>
        <v>0.24683944617959372</v>
      </c>
      <c r="AF21" s="60"/>
      <c r="AG21" s="96">
        <f t="shared" ca="1" si="15"/>
        <v>-0.41260456180841665</v>
      </c>
      <c r="AH21" s="96">
        <f t="shared" ca="1" si="16"/>
        <v>-0.41136120625725797</v>
      </c>
      <c r="AI21" s="96">
        <f t="shared" ca="1" si="17"/>
        <v>-0.41384853919283526</v>
      </c>
      <c r="AJ21" s="96"/>
      <c r="AK21" s="96">
        <f t="shared" ca="1" si="18"/>
        <v>0.39780818947744001</v>
      </c>
      <c r="AL21" s="96"/>
      <c r="AM21" s="94">
        <v>-2.2999999999999998</v>
      </c>
      <c r="AN21" s="95">
        <f t="shared" ca="1" si="6"/>
        <v>2.8327037741601183E-2</v>
      </c>
      <c r="AX21" s="106">
        <f t="shared" ca="1" si="19"/>
        <v>0.59053299999999997</v>
      </c>
      <c r="AY21" s="106">
        <f t="shared" ca="1" si="20"/>
        <v>0.590531154</v>
      </c>
      <c r="AZ21" s="106">
        <f t="shared" ca="1" si="21"/>
        <v>0.59053484599999995</v>
      </c>
      <c r="BB21" s="109">
        <f ca="1">_xll.EURO(UnderlyingPrice,$D21,IntRate,Yield,AX21,$D$6,1,0)</f>
        <v>1.2800980756307379</v>
      </c>
      <c r="BC21" s="109">
        <f ca="1">_xll.EURO(UnderlyingPrice,$D21*(1+$P$8),IntRate,Yield,AY21,$D$6,1,0)</f>
        <v>1.2788963918365437</v>
      </c>
      <c r="BD21" s="109">
        <f ca="1">_xll.EURO(UnderlyingPrice,$D21*(1-$P$8),IntRate,Yield,AZ21,$D$6,1,0)</f>
        <v>1.2813005859195585</v>
      </c>
      <c r="BF21" s="59">
        <f t="shared" ca="1" si="22"/>
        <v>0.24253624026055542</v>
      </c>
      <c r="BG21" s="62">
        <f t="shared" ca="1" si="23"/>
        <v>0.24693371297447084</v>
      </c>
      <c r="BI21" s="96">
        <f t="shared" ca="1" si="24"/>
        <v>-0.4120157241257803</v>
      </c>
      <c r="BJ21" s="96">
        <f t="shared" ca="1" si="25"/>
        <v>-0.41077326713409557</v>
      </c>
      <c r="BK21" s="96">
        <f t="shared" ca="1" si="26"/>
        <v>-0.41325880250133279</v>
      </c>
      <c r="BL21" s="96"/>
      <c r="BM21" s="96">
        <f t="shared" ca="1" si="27"/>
        <v>0.36679392307948366</v>
      </c>
      <c r="BO21" s="58">
        <f t="shared" ca="1" si="28"/>
        <v>8.9046791492615185E-3</v>
      </c>
      <c r="BP21" s="46">
        <f t="shared" ca="1" si="29"/>
        <v>6.9562475866342894E-3</v>
      </c>
    </row>
    <row r="22" spans="3:68" x14ac:dyDescent="0.2">
      <c r="C22" s="56">
        <v>9</v>
      </c>
      <c r="D22" s="63">
        <f t="shared" ca="1" si="30"/>
        <v>3.7160000000000002</v>
      </c>
      <c r="E22" s="45">
        <f t="shared" ca="1" si="7"/>
        <v>-0.21354497354497348</v>
      </c>
      <c r="F22" s="45">
        <f t="shared" ca="1" si="8"/>
        <v>-0.21315174603174591</v>
      </c>
      <c r="G22" s="45">
        <f t="shared" ca="1" si="9"/>
        <v>-0.21393820105820094</v>
      </c>
      <c r="H22" s="45">
        <f t="shared" ca="1" si="0"/>
        <v>0.58080593103736367</v>
      </c>
      <c r="I22" s="45">
        <f t="shared" ca="1" si="1"/>
        <v>0.5807887136515999</v>
      </c>
      <c r="J22" s="45">
        <f t="shared" ca="1" si="2"/>
        <v>0.58077152637281171</v>
      </c>
      <c r="L22" s="58">
        <f ca="1">_xll.EURO(UnderlyingPrice,$D22,IntRate,Yield,$I22,$D$6,L$12,0)</f>
        <v>1.2557356568983074</v>
      </c>
      <c r="M22" s="58">
        <f ca="1">_xll.EURO(UnderlyingPrice,$D22,IntRate,Yield,$I22,$D$6,M$12,0)</f>
        <v>0.26470424415556681</v>
      </c>
      <c r="O22" s="58">
        <f ca="1">_xll.EURO(UnderlyingPrice,$D22*(1+$P$8),IntRate,Yield,$H22,Expiry-Today,O$12,0)</f>
        <v>1.2545452980546457</v>
      </c>
      <c r="P22" s="58">
        <f ca="1">_xll.EURO(UnderlyingPrice,$D22*(1+$P$8),IntRate,Yield,$H22,Expiry-Today,P$12,0)</f>
        <v>0.26533879746738143</v>
      </c>
      <c r="R22" s="58">
        <f ca="1">_xll.EURO(UnderlyingPrice,$D22*(1-$P$8),IntRate,Yield,$J22,Expiry-Today,R$12,0)</f>
        <v>1.2569269253495894</v>
      </c>
      <c r="S22" s="58">
        <f ca="1">_xll.EURO(UnderlyingPrice,$D22*(1-$P$8),IntRate,Yield,$J22,Expiry-Today,S$12,0)</f>
        <v>0.2640706004513721</v>
      </c>
      <c r="U22" s="59">
        <f t="shared" ca="1" si="10"/>
        <v>0.26348911011652887</v>
      </c>
      <c r="V22" s="59"/>
      <c r="W22" s="62">
        <f t="shared" ca="1" si="3"/>
        <v>0.26826648347280141</v>
      </c>
      <c r="X22" s="63"/>
      <c r="Z22" s="59">
        <f t="shared" ca="1" si="11"/>
        <v>0.26703503518430316</v>
      </c>
      <c r="AA22" s="59">
        <f t="shared" ca="1" si="12"/>
        <v>-0.15940283105735825</v>
      </c>
      <c r="AB22" s="59">
        <f t="shared" ca="1" si="4"/>
        <v>-2.5409262549100697E-2</v>
      </c>
      <c r="AC22" s="59">
        <f t="shared" ca="1" si="13"/>
        <v>-7.8601318967126826E-2</v>
      </c>
      <c r="AD22" s="60">
        <f t="shared" ca="1" si="5"/>
        <v>0.92440839508282724</v>
      </c>
      <c r="AE22" s="60">
        <f t="shared" ca="1" si="14"/>
        <v>0.24684942830560799</v>
      </c>
      <c r="AF22" s="60"/>
      <c r="AG22" s="96">
        <f t="shared" ca="1" si="15"/>
        <v>-0.39648787867254365</v>
      </c>
      <c r="AH22" s="96">
        <f t="shared" ca="1" si="16"/>
        <v>-0.39524452312138481</v>
      </c>
      <c r="AI22" s="96">
        <f t="shared" ca="1" si="17"/>
        <v>-0.39773185605696193</v>
      </c>
      <c r="AJ22" s="96"/>
      <c r="AK22" s="96">
        <f t="shared" ca="1" si="18"/>
        <v>0.40078199356678762</v>
      </c>
      <c r="AL22" s="96"/>
      <c r="AM22" s="94">
        <v>-2.2000000000000002</v>
      </c>
      <c r="AN22" s="95">
        <f t="shared" ca="1" si="6"/>
        <v>3.5474592846231418E-2</v>
      </c>
      <c r="AP22" s="56"/>
      <c r="AQ22" s="74" t="s">
        <v>61</v>
      </c>
      <c r="AR22" s="74" t="s">
        <v>62</v>
      </c>
      <c r="AX22" s="106">
        <f t="shared" ca="1" si="19"/>
        <v>0.59050899999999995</v>
      </c>
      <c r="AY22" s="106">
        <f t="shared" ca="1" si="20"/>
        <v>0.59050714199999998</v>
      </c>
      <c r="AZ22" s="106">
        <f t="shared" ca="1" si="21"/>
        <v>0.59051085799999992</v>
      </c>
      <c r="BB22" s="109">
        <f ca="1">_xll.EURO(UnderlyingPrice,$D22,IntRate,Yield,AX22,$D$6,1,0)</f>
        <v>1.2645393694748845</v>
      </c>
      <c r="BC22" s="109">
        <f ca="1">_xll.EURO(UnderlyingPrice,$D22*(1+$P$8),IntRate,Yield,AY22,$D$6,1,0)</f>
        <v>1.2633406936620459</v>
      </c>
      <c r="BD22" s="109">
        <f ca="1">_xll.EURO(UnderlyingPrice,$D22*(1-$P$8),IntRate,Yield,AZ22,$D$6,1,0)</f>
        <v>1.2657388827727458</v>
      </c>
      <c r="BF22" s="59">
        <f t="shared" ca="1" si="22"/>
        <v>0.24259711377108753</v>
      </c>
      <c r="BG22" s="62">
        <f t="shared" ca="1" si="23"/>
        <v>0.24699569019470535</v>
      </c>
      <c r="BI22" s="96">
        <f t="shared" ca="1" si="24"/>
        <v>-0.39591068834074494</v>
      </c>
      <c r="BJ22" s="96">
        <f t="shared" ca="1" si="25"/>
        <v>-0.39466823134906004</v>
      </c>
      <c r="BK22" s="96">
        <f t="shared" ca="1" si="26"/>
        <v>-0.39715376671629721</v>
      </c>
      <c r="BL22" s="96"/>
      <c r="BM22" s="96">
        <f t="shared" ca="1" si="27"/>
        <v>0.36927094132792748</v>
      </c>
      <c r="BO22" s="58">
        <f t="shared" ca="1" si="28"/>
        <v>8.803712576577194E-3</v>
      </c>
      <c r="BP22" s="46">
        <f t="shared" ca="1" si="29"/>
        <v>6.9619916857416968E-3</v>
      </c>
    </row>
    <row r="23" spans="3:68" x14ac:dyDescent="0.2">
      <c r="C23" s="56">
        <v>10</v>
      </c>
      <c r="D23" s="63">
        <f t="shared" ca="1" si="30"/>
        <v>3.74</v>
      </c>
      <c r="E23" s="45">
        <f t="shared" ca="1" si="7"/>
        <v>-0.20846560846560835</v>
      </c>
      <c r="F23" s="45">
        <f t="shared" ca="1" si="8"/>
        <v>-0.20806984126984118</v>
      </c>
      <c r="G23" s="45">
        <f t="shared" ca="1" si="9"/>
        <v>-0.20886137566137553</v>
      </c>
      <c r="H23" s="45">
        <f t="shared" ca="1" si="0"/>
        <v>0.58103114995149097</v>
      </c>
      <c r="I23" s="45">
        <f t="shared" ca="1" si="1"/>
        <v>0.58101342986142601</v>
      </c>
      <c r="J23" s="45">
        <f t="shared" ca="1" si="2"/>
        <v>0.58099574026848766</v>
      </c>
      <c r="L23" s="58">
        <f ca="1">_xll.EURO(UnderlyingPrice,$D23,IntRate,Yield,$I23,$D$6,L$12,0)</f>
        <v>1.2404296830468664</v>
      </c>
      <c r="M23" s="58">
        <f ca="1">_xll.EURO(UnderlyingPrice,$D23,IntRate,Yield,$I23,$D$6,M$12,0)</f>
        <v>0.27297087080543914</v>
      </c>
      <c r="O23" s="58">
        <f ca="1">_xll.EURO(UnderlyingPrice,$D23*(1+$P$8),IntRate,Yield,$H23,Expiry-Today,O$12,0)</f>
        <v>1.2392434690007854</v>
      </c>
      <c r="P23" s="58">
        <f ca="1">_xll.EURO(UnderlyingPrice,$D23*(1+$P$8),IntRate,Yield,$H23,Expiry-Today,P$12,0)</f>
        <v>0.27362135521508568</v>
      </c>
      <c r="R23" s="58">
        <f ca="1">_xll.EURO(UnderlyingPrice,$D23*(1-$P$8),IntRate,Yield,$J23,Expiry-Today,R$12,0)</f>
        <v>1.2416168190868291</v>
      </c>
      <c r="S23" s="58">
        <f ca="1">_xll.EURO(UnderlyingPrice,$D23*(1-$P$8),IntRate,Yield,$J23,Expiry-Today,S$12,0)</f>
        <v>0.27232130838967528</v>
      </c>
      <c r="U23" s="59">
        <f t="shared" ca="1" si="10"/>
        <v>0.26366035107845054</v>
      </c>
      <c r="V23" s="59"/>
      <c r="W23" s="62">
        <f t="shared" ca="1" si="3"/>
        <v>0.2684408292385938</v>
      </c>
      <c r="X23" s="63"/>
      <c r="Z23" s="59">
        <f t="shared" ca="1" si="11"/>
        <v>0.26532144137563385</v>
      </c>
      <c r="AA23" s="59">
        <f t="shared" ca="1" si="12"/>
        <v>-0.1529650405825097</v>
      </c>
      <c r="AB23" s="59">
        <f t="shared" ca="1" si="4"/>
        <v>-2.3398303640408839E-2</v>
      </c>
      <c r="AC23" s="59">
        <f t="shared" ca="1" si="13"/>
        <v>-7.23805944456484E-2</v>
      </c>
      <c r="AD23" s="60">
        <f t="shared" ca="1" si="5"/>
        <v>0.93017680830689864</v>
      </c>
      <c r="AE23" s="60">
        <f t="shared" ca="1" si="14"/>
        <v>0.24679585151417302</v>
      </c>
      <c r="AF23" s="60"/>
      <c r="AG23" s="96">
        <f t="shared" ca="1" si="15"/>
        <v>-0.38047495172651885</v>
      </c>
      <c r="AH23" s="96">
        <f t="shared" ca="1" si="16"/>
        <v>-0.37923159617536023</v>
      </c>
      <c r="AI23" s="96">
        <f t="shared" ca="1" si="17"/>
        <v>-0.38171892911093724</v>
      </c>
      <c r="AJ23" s="96"/>
      <c r="AK23" s="96">
        <f t="shared" ca="1" si="18"/>
        <v>0.40363261668444056</v>
      </c>
      <c r="AL23" s="96"/>
      <c r="AM23" s="94">
        <v>-2.1</v>
      </c>
      <c r="AN23" s="95">
        <f t="shared" ca="1" si="6"/>
        <v>4.3983595980427184E-2</v>
      </c>
      <c r="AP23" s="74" t="s">
        <v>96</v>
      </c>
      <c r="AQ23" s="98">
        <f ca="1">2*PI()</f>
        <v>6.2831853071795862</v>
      </c>
      <c r="AR23" s="76">
        <f>2*PI()</f>
        <v>6.2831853071795862</v>
      </c>
      <c r="AX23" s="106">
        <f t="shared" ca="1" si="19"/>
        <v>0.59048499999999993</v>
      </c>
      <c r="AY23" s="106">
        <f t="shared" ca="1" si="20"/>
        <v>0.59048312999999997</v>
      </c>
      <c r="AZ23" s="106">
        <f t="shared" ca="1" si="21"/>
        <v>0.59048687</v>
      </c>
      <c r="BB23" s="109">
        <f ca="1">_xll.EURO(UnderlyingPrice,$D23,IntRate,Yield,AX23,$D$6,1,0)</f>
        <v>1.2491203962522248</v>
      </c>
      <c r="BC23" s="109">
        <f ca="1">_xll.EURO(UnderlyingPrice,$D23*(1+$P$8),IntRate,Yield,AY23,$D$6,1,0)</f>
        <v>1.247924869384196</v>
      </c>
      <c r="BD23" s="109">
        <f ca="1">_xll.EURO(UnderlyingPrice,$D23*(1-$P$8),IntRate,Yield,AZ23,$D$6,1,0)</f>
        <v>1.2503167714507781</v>
      </c>
      <c r="BF23" s="59">
        <f t="shared" ca="1" si="22"/>
        <v>0.24259501973016115</v>
      </c>
      <c r="BG23" s="62">
        <f t="shared" ca="1" si="23"/>
        <v>0.24699355818630728</v>
      </c>
      <c r="BI23" s="96">
        <f t="shared" ca="1" si="24"/>
        <v>-0.3799093337620929</v>
      </c>
      <c r="BJ23" s="96">
        <f t="shared" ca="1" si="25"/>
        <v>-0.37866687677040822</v>
      </c>
      <c r="BK23" s="96">
        <f t="shared" ca="1" si="26"/>
        <v>-0.38115241213764522</v>
      </c>
      <c r="BL23" s="96"/>
      <c r="BM23" s="96">
        <f t="shared" ca="1" si="27"/>
        <v>0.3716526909225456</v>
      </c>
      <c r="BO23" s="58">
        <f t="shared" ca="1" si="28"/>
        <v>8.6907132053584135E-3</v>
      </c>
      <c r="BP23" s="46">
        <f t="shared" ca="1" si="29"/>
        <v>6.957466415113734E-3</v>
      </c>
    </row>
    <row r="24" spans="3:68" x14ac:dyDescent="0.2">
      <c r="C24" s="56">
        <v>11</v>
      </c>
      <c r="D24" s="63">
        <f t="shared" ca="1" si="30"/>
        <v>3.7640000000000002</v>
      </c>
      <c r="E24" s="45">
        <f t="shared" ca="1" si="7"/>
        <v>-0.20338624338624323</v>
      </c>
      <c r="F24" s="45">
        <f t="shared" ca="1" si="8"/>
        <v>-0.20298793650793645</v>
      </c>
      <c r="G24" s="45">
        <f t="shared" ca="1" si="9"/>
        <v>-0.20378455026455011</v>
      </c>
      <c r="H24" s="45">
        <f t="shared" ca="1" si="0"/>
        <v>0.58126139729526793</v>
      </c>
      <c r="I24" s="45">
        <f t="shared" ca="1" si="1"/>
        <v>0.58124316947624088</v>
      </c>
      <c r="J24" s="45">
        <f t="shared" ca="1" si="2"/>
        <v>0.58122497254700323</v>
      </c>
      <c r="L24" s="58">
        <f ca="1">_xll.EURO(UnderlyingPrice,$D24,IntRate,Yield,$I24,$D$6,L$12,0)</f>
        <v>1.2252755736229699</v>
      </c>
      <c r="M24" s="58">
        <f ca="1">_xll.EURO(UnderlyingPrice,$D24,IntRate,Yield,$I24,$D$6,M$12,0)</f>
        <v>0.2813893618828569</v>
      </c>
      <c r="O24" s="58">
        <f ca="1">_xll.EURO(UnderlyingPrice,$D24*(1+$P$8),IntRate,Yield,$H24,Expiry-Today,O$12,0)</f>
        <v>1.2240936619642699</v>
      </c>
      <c r="P24" s="58">
        <f ca="1">_xll.EURO(UnderlyingPrice,$D24*(1+$P$8),IntRate,Yield,$H24,Expiry-Today,P$12,0)</f>
        <v>0.28205593498013504</v>
      </c>
      <c r="R24" s="58">
        <f ca="1">_xll.EURO(UnderlyingPrice,$D24*(1-$P$8),IntRate,Yield,$J24,Expiry-Today,R$12,0)</f>
        <v>1.2264584194610091</v>
      </c>
      <c r="S24" s="58">
        <f ca="1">_xll.EURO(UnderlyingPrice,$D24*(1-$P$8),IntRate,Yield,$J24,Expiry-Today,S$12,0)</f>
        <v>0.28072372296491865</v>
      </c>
      <c r="U24" s="59">
        <f t="shared" ca="1" si="10"/>
        <v>0.2637491203137427</v>
      </c>
      <c r="V24" s="59"/>
      <c r="W24" s="62">
        <f t="shared" ca="1" si="3"/>
        <v>0.26853120796651109</v>
      </c>
      <c r="X24" s="63"/>
      <c r="Z24" s="59">
        <f t="shared" ca="1" si="11"/>
        <v>0.26362969998535352</v>
      </c>
      <c r="AA24" s="59">
        <f t="shared" ca="1" si="12"/>
        <v>-0.14656843028581701</v>
      </c>
      <c r="AB24" s="59">
        <f t="shared" ca="1" si="4"/>
        <v>-2.1482304756448401E-2</v>
      </c>
      <c r="AC24" s="59">
        <f t="shared" ca="1" si="13"/>
        <v>-6.6453620409002712E-2</v>
      </c>
      <c r="AD24" s="60">
        <f t="shared" ca="1" si="5"/>
        <v>0.93570631252603165</v>
      </c>
      <c r="AE24" s="60">
        <f t="shared" ca="1" si="14"/>
        <v>0.24667997444563916</v>
      </c>
      <c r="AF24" s="60"/>
      <c r="AG24" s="96">
        <f t="shared" ca="1" si="15"/>
        <v>-0.36456445358537831</v>
      </c>
      <c r="AH24" s="96">
        <f t="shared" ca="1" si="16"/>
        <v>-0.36332109803421997</v>
      </c>
      <c r="AI24" s="96">
        <f t="shared" ca="1" si="17"/>
        <v>-0.36580843096979682</v>
      </c>
      <c r="AJ24" s="96"/>
      <c r="AK24" s="96">
        <f t="shared" ca="1" si="18"/>
        <v>0.40635953970172495</v>
      </c>
      <c r="AL24" s="96"/>
      <c r="AM24" s="94">
        <v>-2</v>
      </c>
      <c r="AN24" s="95">
        <f t="shared" ca="1" si="6"/>
        <v>5.3990966513188049E-2</v>
      </c>
      <c r="AP24" s="74" t="s">
        <v>77</v>
      </c>
      <c r="AQ24" s="98">
        <f ca="1">AG13</f>
        <v>-0.54544143211628915</v>
      </c>
      <c r="AR24" s="76">
        <f ca="1">AG113</f>
        <v>0.75341730913822857</v>
      </c>
      <c r="AX24" s="106">
        <f t="shared" ca="1" si="19"/>
        <v>0.59046100000000001</v>
      </c>
      <c r="AY24" s="106">
        <f t="shared" ca="1" si="20"/>
        <v>0.59045911799999995</v>
      </c>
      <c r="AZ24" s="106">
        <f t="shared" ca="1" si="21"/>
        <v>0.59046288199999997</v>
      </c>
      <c r="BB24" s="109">
        <f ca="1">_xll.EURO(UnderlyingPrice,$D24,IntRate,Yield,AX24,$D$6,1,0)</f>
        <v>1.23384115481486</v>
      </c>
      <c r="BC24" s="109">
        <f ca="1">_xll.EURO(UnderlyingPrice,$D24*(1+$P$8),IntRate,Yield,AY24,$D$6,1,0)</f>
        <v>1.2326489150616706</v>
      </c>
      <c r="BD24" s="109">
        <f ca="1">_xll.EURO(UnderlyingPrice,$D24*(1-$P$8),IntRate,Yield,AZ24,$D$6,1,0)</f>
        <v>1.2350342535950496</v>
      </c>
      <c r="BF24" s="59">
        <f t="shared" ca="1" si="22"/>
        <v>0.2425311780262859</v>
      </c>
      <c r="BG24" s="62">
        <f t="shared" ca="1" si="23"/>
        <v>0.24692855895582694</v>
      </c>
      <c r="BI24" s="96">
        <f t="shared" ca="1" si="24"/>
        <v>-0.36401033396414684</v>
      </c>
      <c r="BJ24" s="96">
        <f t="shared" ca="1" si="25"/>
        <v>-0.36276787697246243</v>
      </c>
      <c r="BK24" s="96">
        <f t="shared" ca="1" si="26"/>
        <v>-0.36525341233969927</v>
      </c>
      <c r="BL24" s="96"/>
      <c r="BM24" s="96">
        <f t="shared" ca="1" si="27"/>
        <v>0.37393919562005196</v>
      </c>
      <c r="BO24" s="58">
        <f t="shared" ca="1" si="28"/>
        <v>8.5655811918901037E-3</v>
      </c>
      <c r="BP24" s="46">
        <f t="shared" ca="1" si="29"/>
        <v>6.9422073971713025E-3</v>
      </c>
    </row>
    <row r="25" spans="3:68" x14ac:dyDescent="0.2">
      <c r="C25" s="56">
        <v>12</v>
      </c>
      <c r="D25" s="63">
        <f t="shared" ca="1" si="30"/>
        <v>3.7880000000000003</v>
      </c>
      <c r="E25" s="45">
        <f t="shared" ca="1" si="7"/>
        <v>-0.19830687830687821</v>
      </c>
      <c r="F25" s="45">
        <f t="shared" ca="1" si="8"/>
        <v>-0.19790603174603172</v>
      </c>
      <c r="G25" s="45">
        <f t="shared" ca="1" si="9"/>
        <v>-0.1987077248677247</v>
      </c>
      <c r="H25" s="45">
        <f t="shared" ca="1" si="0"/>
        <v>0.58149667306869435</v>
      </c>
      <c r="I25" s="45">
        <f t="shared" ca="1" si="1"/>
        <v>0.5814779324960444</v>
      </c>
      <c r="J25" s="45">
        <f t="shared" ca="1" si="2"/>
        <v>0.5814592232083583</v>
      </c>
      <c r="L25" s="58">
        <f ca="1">_xll.EURO(UnderlyingPrice,$D25,IntRate,Yield,$I25,$D$6,L$12,0)</f>
        <v>1.2102733798209773</v>
      </c>
      <c r="M25" s="58">
        <f ca="1">_xll.EURO(UnderlyingPrice,$D25,IntRate,Yield,$I25,$D$6,M$12,0)</f>
        <v>0.28995976858217865</v>
      </c>
      <c r="O25" s="58">
        <f ca="1">_xll.EURO(UnderlyingPrice,$D25*(1+$P$8),IntRate,Yield,$H25,Expiry-Today,O$12,0)</f>
        <v>1.2090959245294122</v>
      </c>
      <c r="P25" s="58">
        <f ca="1">_xll.EURO(UnderlyingPrice,$D25*(1+$P$8),IntRate,Yield,$H25,Expiry-Today,P$12,0)</f>
        <v>0.29064258434684165</v>
      </c>
      <c r="R25" s="58">
        <f ca="1">_xll.EURO(UnderlyingPrice,$D25*(1-$P$8),IntRate,Yield,$J25,Expiry-Today,R$12,0)</f>
        <v>1.2114517812702004</v>
      </c>
      <c r="S25" s="58">
        <f ca="1">_xll.EURO(UnderlyingPrice,$D25*(1-$P$8),IntRate,Yield,$J25,Expiry-Today,S$12,0)</f>
        <v>0.28927789897517275</v>
      </c>
      <c r="U25" s="59">
        <f t="shared" ca="1" si="10"/>
        <v>0.26375673582653486</v>
      </c>
      <c r="V25" s="59"/>
      <c r="W25" s="62">
        <f t="shared" ca="1" si="3"/>
        <v>0.26853896155767731</v>
      </c>
      <c r="X25" s="63"/>
      <c r="Z25" s="59">
        <f t="shared" ca="1" si="11"/>
        <v>0.26195939565598486</v>
      </c>
      <c r="AA25" s="59">
        <f t="shared" ca="1" si="12"/>
        <v>-0.14021247668511846</v>
      </c>
      <c r="AB25" s="59">
        <f t="shared" ca="1" si="4"/>
        <v>-1.965953861817489E-2</v>
      </c>
      <c r="AC25" s="59">
        <f t="shared" ca="1" si="13"/>
        <v>-6.0815053671378724E-2</v>
      </c>
      <c r="AD25" s="60">
        <f t="shared" ca="1" si="5"/>
        <v>0.94099725767157727</v>
      </c>
      <c r="AE25" s="60">
        <f t="shared" ca="1" si="14"/>
        <v>0.24650307293358545</v>
      </c>
      <c r="AF25" s="60"/>
      <c r="AG25" s="96">
        <f t="shared" ca="1" si="15"/>
        <v>-0.34875508217480855</v>
      </c>
      <c r="AH25" s="96">
        <f t="shared" ca="1" si="16"/>
        <v>-0.34751172662365015</v>
      </c>
      <c r="AI25" s="96">
        <f t="shared" ca="1" si="17"/>
        <v>-0.34999905955922689</v>
      </c>
      <c r="AJ25" s="96"/>
      <c r="AK25" s="96">
        <f t="shared" ca="1" si="18"/>
        <v>0.40896237565584215</v>
      </c>
      <c r="AL25" s="96"/>
      <c r="AM25" s="94">
        <v>-1.9</v>
      </c>
      <c r="AN25" s="95">
        <f t="shared" ca="1" si="6"/>
        <v>6.5615814774676581E-2</v>
      </c>
      <c r="AP25" s="74" t="s">
        <v>97</v>
      </c>
      <c r="AQ25" s="98">
        <f ca="1">NORMSDIST(AG13/Gamma)</f>
        <v>0.38743000132633298</v>
      </c>
      <c r="AR25" s="76">
        <f ca="1">NORMSDIST(AG113/Gamma)</f>
        <v>0.65360958231210997</v>
      </c>
      <c r="AX25" s="106">
        <f t="shared" ca="1" si="19"/>
        <v>0.59043699999999999</v>
      </c>
      <c r="AY25" s="106">
        <f t="shared" ca="1" si="20"/>
        <v>0.59043510599999993</v>
      </c>
      <c r="AZ25" s="106">
        <f t="shared" ca="1" si="21"/>
        <v>0.59043889399999994</v>
      </c>
      <c r="BB25" s="109">
        <f ca="1">_xll.EURO(UnderlyingPrice,$D25,IntRate,Yield,AX25,$D$6,1,0)</f>
        <v>1.2187016084494595</v>
      </c>
      <c r="BC25" s="109">
        <f ca="1">_xll.EURO(UnderlyingPrice,$D25*(1+$P$8),IntRate,Yield,AY25,$D$6,1,0)</f>
        <v>1.2175127911719725</v>
      </c>
      <c r="BD25" s="109">
        <f ca="1">_xll.EURO(UnderlyingPrice,$D25*(1-$P$8),IntRate,Yield,AZ25,$D$6,1,0)</f>
        <v>1.2198912952974568</v>
      </c>
      <c r="BF25" s="59">
        <f t="shared" ca="1" si="22"/>
        <v>0.24240683084820583</v>
      </c>
      <c r="BG25" s="62">
        <f t="shared" ca="1" si="23"/>
        <v>0.24680195721437906</v>
      </c>
      <c r="BI25" s="96">
        <f t="shared" ca="1" si="24"/>
        <v>-0.34821238781358804</v>
      </c>
      <c r="BJ25" s="96">
        <f t="shared" ca="1" si="25"/>
        <v>-0.34696993082190358</v>
      </c>
      <c r="BK25" s="96">
        <f t="shared" ca="1" si="26"/>
        <v>-0.34945546618914031</v>
      </c>
      <c r="BL25" s="96"/>
      <c r="BM25" s="96">
        <f t="shared" ca="1" si="27"/>
        <v>0.37613056174993009</v>
      </c>
      <c r="BO25" s="58">
        <f t="shared" ca="1" si="28"/>
        <v>8.4282286284822483E-3</v>
      </c>
      <c r="BP25" s="46">
        <f t="shared" ca="1" si="29"/>
        <v>6.9157442396464786E-3</v>
      </c>
    </row>
    <row r="26" spans="3:68" ht="11.4" x14ac:dyDescent="0.2">
      <c r="C26" s="56">
        <v>13</v>
      </c>
      <c r="D26" s="63">
        <f t="shared" ca="1" si="30"/>
        <v>3.8120000000000003</v>
      </c>
      <c r="E26" s="45">
        <f t="shared" ca="1" si="7"/>
        <v>-0.19322751322751308</v>
      </c>
      <c r="F26" s="45">
        <f t="shared" ca="1" si="8"/>
        <v>-0.19282412698412688</v>
      </c>
      <c r="G26" s="45">
        <f t="shared" ca="1" si="9"/>
        <v>-0.1936308994708994</v>
      </c>
      <c r="H26" s="45">
        <f t="shared" ca="1" si="0"/>
        <v>0.58173697727177032</v>
      </c>
      <c r="I26" s="45">
        <f t="shared" ca="1" si="1"/>
        <v>0.58171771892083657</v>
      </c>
      <c r="J26" s="45">
        <f t="shared" ca="1" si="2"/>
        <v>0.58169849225255288</v>
      </c>
      <c r="L26" s="58">
        <f ca="1">_xll.EURO(UnderlyingPrice,$D26,IntRate,Yield,$I26,$D$6,L$12,0)</f>
        <v>1.1954231060929148</v>
      </c>
      <c r="M26" s="58">
        <f ca="1">_xll.EURO(UnderlyingPrice,$D26,IntRate,Yield,$I26,$D$6,M$12,0)</f>
        <v>0.29868209535543011</v>
      </c>
      <c r="O26" s="58">
        <f ca="1">_xll.EURO(UnderlyingPrice,$D26*(1+$P$8),IntRate,Yield,$H26,Expiry-Today,O$12,0)</f>
        <v>1.1942502575055962</v>
      </c>
      <c r="P26" s="58">
        <f ca="1">_xll.EURO(UnderlyingPrice,$D26*(1+$P$8),IntRate,Yield,$H26,Expiry-Today,P$12,0)</f>
        <v>0.2993813041245903</v>
      </c>
      <c r="R26" s="58">
        <f ca="1">_xll.EURO(UnderlyingPrice,$D26*(1-$P$8),IntRate,Yield,$J26,Expiry-Today,R$12,0)</f>
        <v>1.1965969126030234</v>
      </c>
      <c r="S26" s="58">
        <f ca="1">_xll.EURO(UnderlyingPrice,$D26*(1-$P$8),IntRate,Yield,$J26,Expiry-Today,S$12,0)</f>
        <v>0.29798384450905946</v>
      </c>
      <c r="U26" s="59">
        <f t="shared" ca="1" si="10"/>
        <v>0.26368456764334891</v>
      </c>
      <c r="V26" s="59"/>
      <c r="W26" s="62">
        <f t="shared" ca="1" si="3"/>
        <v>0.26846548487883715</v>
      </c>
      <c r="X26" s="63"/>
      <c r="Z26" s="59">
        <f t="shared" ca="1" si="11"/>
        <v>0.26031012349025984</v>
      </c>
      <c r="AA26" s="59">
        <f t="shared" ca="1" si="12"/>
        <v>-0.13389666621699456</v>
      </c>
      <c r="AB26" s="59">
        <f t="shared" ca="1" si="4"/>
        <v>-1.7928317224025252E-2</v>
      </c>
      <c r="AC26" s="59">
        <f t="shared" ca="1" si="13"/>
        <v>-5.5459672548399779E-2</v>
      </c>
      <c r="AD26" s="60">
        <f t="shared" ca="1" si="5"/>
        <v>0.94605017469379404</v>
      </c>
      <c r="AE26" s="60">
        <f t="shared" ca="1" si="14"/>
        <v>0.24626643780252341</v>
      </c>
      <c r="AF26" s="60"/>
      <c r="AG26" s="96">
        <f t="shared" ca="1" si="15"/>
        <v>-0.33304556009170816</v>
      </c>
      <c r="AH26" s="96">
        <f t="shared" ca="1" si="16"/>
        <v>-0.33180220454054959</v>
      </c>
      <c r="AI26" s="96">
        <f t="shared" ca="1" si="17"/>
        <v>-0.33428953747612683</v>
      </c>
      <c r="AJ26" s="96"/>
      <c r="AK26" s="96">
        <f t="shared" ca="1" si="18"/>
        <v>0.41144087054860995</v>
      </c>
      <c r="AL26" s="96"/>
      <c r="AM26" s="94">
        <v>-1.8</v>
      </c>
      <c r="AN26" s="95">
        <f t="shared" ca="1" si="6"/>
        <v>7.8950158300894135E-2</v>
      </c>
      <c r="AP26" s="74" t="s">
        <v>98</v>
      </c>
      <c r="AQ26" s="98">
        <f ca="1">EXP(((Gamma*AG13)^2)/2)</f>
        <v>1.7176399141321315</v>
      </c>
      <c r="AR26" s="76">
        <f ca="1">EXP(((Gamma*AG113)^2)/2)</f>
        <v>2.8070293260839807</v>
      </c>
      <c r="AX26" s="106">
        <f t="shared" ca="1" si="19"/>
        <v>0.59041299999999997</v>
      </c>
      <c r="AY26" s="106">
        <f t="shared" ca="1" si="20"/>
        <v>0.59041109399999991</v>
      </c>
      <c r="AZ26" s="106">
        <f t="shared" ca="1" si="21"/>
        <v>0.59041490600000002</v>
      </c>
      <c r="BB26" s="109">
        <f ca="1">_xll.EURO(UnderlyingPrice,$D26,IntRate,Yield,AX26,$D$6,1,0)</f>
        <v>1.2037016855925988</v>
      </c>
      <c r="BC26" s="109">
        <f ca="1">_xll.EURO(UnderlyingPrice,$D26*(1+$P$8),IntRate,Yield,AY26,$D$6,1,0)</f>
        <v>1.2025164233294294</v>
      </c>
      <c r="BD26" s="109">
        <f ca="1">_xll.EURO(UnderlyingPrice,$D26*(1-$P$8),IntRate,Yield,AZ26,$D$6,1,0)</f>
        <v>1.2048878278130699</v>
      </c>
      <c r="BF26" s="59">
        <f t="shared" ca="1" si="22"/>
        <v>0.24222323872906659</v>
      </c>
      <c r="BG26" s="62">
        <f t="shared" ca="1" si="23"/>
        <v>0.24661503635008594</v>
      </c>
      <c r="BI26" s="96">
        <f t="shared" ca="1" si="24"/>
        <v>-0.33251421883048049</v>
      </c>
      <c r="BJ26" s="96">
        <f t="shared" ca="1" si="25"/>
        <v>-0.33127176183879586</v>
      </c>
      <c r="BK26" s="96">
        <f t="shared" ca="1" si="26"/>
        <v>-0.33375729720603309</v>
      </c>
      <c r="BL26" s="96"/>
      <c r="BM26" s="96">
        <f t="shared" ca="1" si="27"/>
        <v>0.37822697313355241</v>
      </c>
      <c r="BO26" s="58">
        <f t="shared" ca="1" si="28"/>
        <v>8.2785794996840245E-3</v>
      </c>
      <c r="BP26" s="46">
        <f t="shared" ca="1" si="29"/>
        <v>6.8776006536938319E-3</v>
      </c>
    </row>
    <row r="27" spans="3:68" x14ac:dyDescent="0.2">
      <c r="C27" s="56">
        <v>14</v>
      </c>
      <c r="D27" s="63">
        <f t="shared" ca="1" si="30"/>
        <v>3.8360000000000003</v>
      </c>
      <c r="E27" s="45">
        <f t="shared" ca="1" si="7"/>
        <v>-0.18814814814814806</v>
      </c>
      <c r="F27" s="45">
        <f t="shared" ca="1" si="8"/>
        <v>-0.18774222222222214</v>
      </c>
      <c r="G27" s="45">
        <f t="shared" ca="1" si="9"/>
        <v>-0.18855407407407387</v>
      </c>
      <c r="H27" s="45">
        <f t="shared" ca="1" si="0"/>
        <v>0.58198230990449562</v>
      </c>
      <c r="I27" s="45">
        <f t="shared" ca="1" si="1"/>
        <v>0.58196252875061738</v>
      </c>
      <c r="J27" s="45">
        <f t="shared" ca="1" si="2"/>
        <v>0.58194277967958707</v>
      </c>
      <c r="L27" s="58">
        <f ca="1">_xll.EURO(UnderlyingPrice,$D27,IntRate,Yield,$I27,$D$6,L$12,0)</f>
        <v>1.1807247109378474</v>
      </c>
      <c r="M27" s="58">
        <f ca="1">_xll.EURO(UnderlyingPrice,$D27,IntRate,Yield,$I27,$D$6,M$12,0)</f>
        <v>0.30755630070167661</v>
      </c>
      <c r="O27" s="58">
        <f ca="1">_xll.EURO(UnderlyingPrice,$D27*(1+$P$8),IntRate,Yield,$H27,Expiry-Today,O$12,0)</f>
        <v>1.1795566157209265</v>
      </c>
      <c r="P27" s="58">
        <f ca="1">_xll.EURO(UnderlyingPrice,$D27*(1+$P$8),IntRate,Yield,$H27,Expiry-Today,P$12,0)</f>
        <v>0.30827204914148476</v>
      </c>
      <c r="R27" s="58">
        <f ca="1">_xll.EURO(UnderlyingPrice,$D27*(1-$P$8),IntRate,Yield,$J27,Expiry-Today,R$12,0)</f>
        <v>1.1818937756237489</v>
      </c>
      <c r="S27" s="58">
        <f ca="1">_xll.EURO(UnderlyingPrice,$D27*(1-$P$8),IntRate,Yield,$J27,Expiry-Today,S$12,0)</f>
        <v>0.30684152173084844</v>
      </c>
      <c r="U27" s="59">
        <f t="shared" ca="1" si="10"/>
        <v>0.26353403534742581</v>
      </c>
      <c r="V27" s="59"/>
      <c r="W27" s="62">
        <f t="shared" ca="1" si="3"/>
        <v>0.26831222325197707</v>
      </c>
      <c r="X27" s="63"/>
      <c r="Z27" s="59">
        <f t="shared" ca="1" si="11"/>
        <v>0.25868148872389746</v>
      </c>
      <c r="AA27" s="59">
        <f t="shared" ca="1" si="12"/>
        <v>-0.12762049498775851</v>
      </c>
      <c r="AB27" s="59">
        <f t="shared" ca="1" si="4"/>
        <v>-1.6286990740920496E-2</v>
      </c>
      <c r="AC27" s="59">
        <f t="shared" ca="1" si="13"/>
        <v>-5.0382373426537799E-2</v>
      </c>
      <c r="AD27" s="60">
        <f t="shared" ca="1" si="5"/>
        <v>0.95086576917674104</v>
      </c>
      <c r="AE27" s="60">
        <f t="shared" ca="1" si="14"/>
        <v>0.24597137274723321</v>
      </c>
      <c r="AF27" s="60"/>
      <c r="AG27" s="96">
        <f t="shared" ca="1" si="15"/>
        <v>-0.31743463398481842</v>
      </c>
      <c r="AH27" s="96">
        <f t="shared" ca="1" si="16"/>
        <v>-0.31619127843365979</v>
      </c>
      <c r="AI27" s="96">
        <f t="shared" ca="1" si="17"/>
        <v>-0.31867861136923653</v>
      </c>
      <c r="AJ27" s="96"/>
      <c r="AK27" s="96">
        <f t="shared" ca="1" si="18"/>
        <v>0.41379490203064984</v>
      </c>
      <c r="AL27" s="96"/>
      <c r="AM27" s="94">
        <v>-1.7</v>
      </c>
      <c r="AN27" s="95">
        <f t="shared" ca="1" si="6"/>
        <v>9.4049077376886933E-2</v>
      </c>
      <c r="AP27" s="74" t="s">
        <v>81</v>
      </c>
      <c r="AQ27" s="98">
        <f ca="1">AK13*SQRT(2*PI())*EXP(((Gamma*AG13)^2)/2)</f>
        <v>1.5917070492058405</v>
      </c>
      <c r="AR27" s="76">
        <f ca="1">AK113*SQRT(2*PI())*EXP(((Gamma*AG113)^2)/2)</f>
        <v>2.079196621317887</v>
      </c>
      <c r="AX27" s="106">
        <f t="shared" ca="1" si="19"/>
        <v>0.59038899999999994</v>
      </c>
      <c r="AY27" s="106">
        <f t="shared" ca="1" si="20"/>
        <v>0.59038708200000001</v>
      </c>
      <c r="AZ27" s="106">
        <f t="shared" ca="1" si="21"/>
        <v>0.59039091799999999</v>
      </c>
      <c r="BB27" s="109">
        <f ca="1">_xll.EURO(UnderlyingPrice,$D27,IntRate,Yield,AX27,$D$6,1,0)</f>
        <v>1.1888412805567392</v>
      </c>
      <c r="BC27" s="109">
        <f ca="1">_xll.EURO(UnderlyingPrice,$D27*(1+$P$8),IntRate,Yield,AY27,$D$6,1,0)</f>
        <v>1.187659703013789</v>
      </c>
      <c r="BD27" s="109">
        <f ca="1">_xll.EURO(UnderlyingPrice,$D27*(1-$P$8),IntRate,Yield,AZ27,$D$6,1,0)</f>
        <v>1.1900237482835041</v>
      </c>
      <c r="BF27" s="59">
        <f t="shared" ca="1" si="22"/>
        <v>0.24198168024057445</v>
      </c>
      <c r="BG27" s="62">
        <f t="shared" ca="1" si="23"/>
        <v>0.24636909811669128</v>
      </c>
      <c r="BI27" s="96">
        <f t="shared" ca="1" si="24"/>
        <v>-0.31691457456934863</v>
      </c>
      <c r="BJ27" s="96">
        <f t="shared" ca="1" si="25"/>
        <v>-0.315672117577664</v>
      </c>
      <c r="BK27" s="96">
        <f t="shared" ca="1" si="26"/>
        <v>-0.31815765294490067</v>
      </c>
      <c r="BL27" s="96"/>
      <c r="BM27" s="96">
        <f t="shared" ca="1" si="27"/>
        <v>0.38022869150573613</v>
      </c>
      <c r="BO27" s="58">
        <f t="shared" ca="1" si="28"/>
        <v>8.1165696188918446E-3</v>
      </c>
      <c r="BP27" s="46">
        <f t="shared" ca="1" si="29"/>
        <v>6.8272945696256629E-3</v>
      </c>
    </row>
    <row r="28" spans="3:68" x14ac:dyDescent="0.2">
      <c r="C28" s="56">
        <v>15</v>
      </c>
      <c r="D28" s="63">
        <f t="shared" ca="1" si="30"/>
        <v>3.8600000000000003</v>
      </c>
      <c r="E28" s="45">
        <f t="shared" ca="1" si="7"/>
        <v>-0.18306878306878294</v>
      </c>
      <c r="F28" s="45">
        <f t="shared" ca="1" si="8"/>
        <v>-0.18266031746031741</v>
      </c>
      <c r="G28" s="45">
        <f t="shared" ca="1" si="9"/>
        <v>-0.18347724867724846</v>
      </c>
      <c r="H28" s="45">
        <f t="shared" ca="1" si="0"/>
        <v>0.58223267096687059</v>
      </c>
      <c r="I28" s="45">
        <f t="shared" ca="1" si="1"/>
        <v>0.58221236198538673</v>
      </c>
      <c r="J28" s="45">
        <f t="shared" ca="1" si="2"/>
        <v>0.58219208548946078</v>
      </c>
      <c r="L28" s="58">
        <f ca="1">_xll.EURO(UnderlyingPrice,$D28,IntRate,Yield,$I28,$D$6,L$12,0)</f>
        <v>1.1661781077195266</v>
      </c>
      <c r="M28" s="58">
        <f ca="1">_xll.EURO(UnderlyingPrice,$D28,IntRate,Yield,$I28,$D$6,M$12,0)</f>
        <v>0.3165822979846693</v>
      </c>
      <c r="O28" s="58">
        <f ca="1">_xll.EURO(UnderlyingPrice,$D28*(1+$P$8),IntRate,Yield,$H28,Expiry-Today,O$12,0)</f>
        <v>1.1650149088440811</v>
      </c>
      <c r="P28" s="58">
        <f ca="1">_xll.EURO(UnderlyingPrice,$D28*(1+$P$8),IntRate,Yield,$H28,Expiry-Today,P$12,0)</f>
        <v>0.31731472906620395</v>
      </c>
      <c r="R28" s="58">
        <f ca="1">_xll.EURO(UnderlyingPrice,$D28*(1-$P$8),IntRate,Yield,$J28,Expiry-Today,R$12,0)</f>
        <v>1.1673422873857446</v>
      </c>
      <c r="S28" s="58">
        <f ca="1">_xll.EURO(UnderlyingPrice,$D28*(1-$P$8),IntRate,Yield,$J28,Expiry-Today,S$12,0)</f>
        <v>0.31585084769390726</v>
      </c>
      <c r="U28" s="59">
        <f t="shared" ca="1" si="10"/>
        <v>0.26330660490156194</v>
      </c>
      <c r="V28" s="59"/>
      <c r="W28" s="62">
        <f t="shared" ca="1" si="3"/>
        <v>0.26808066921955587</v>
      </c>
      <c r="X28" s="63"/>
      <c r="Z28" s="59">
        <f t="shared" ca="1" si="11"/>
        <v>0.25707310641058823</v>
      </c>
      <c r="AA28" s="59">
        <f t="shared" ca="1" si="12"/>
        <v>-0.12138346853221074</v>
      </c>
      <c r="AB28" s="59">
        <f t="shared" ca="1" si="4"/>
        <v>-1.4733946432910195E-2</v>
      </c>
      <c r="AC28" s="59">
        <f t="shared" ca="1" si="13"/>
        <v>-4.5578167448969246E-2</v>
      </c>
      <c r="AD28" s="60">
        <f t="shared" ca="1" si="5"/>
        <v>0.95544491496128936</v>
      </c>
      <c r="AE28" s="60">
        <f t="shared" ca="1" si="14"/>
        <v>0.24561919229329895</v>
      </c>
      <c r="AF28" s="60"/>
      <c r="AG28" s="96">
        <f t="shared" ca="1" si="15"/>
        <v>-0.30192107395466539</v>
      </c>
      <c r="AH28" s="96">
        <f t="shared" ca="1" si="16"/>
        <v>-0.30067771840350699</v>
      </c>
      <c r="AI28" s="96">
        <f t="shared" ca="1" si="17"/>
        <v>-0.30316505133908361</v>
      </c>
      <c r="AJ28" s="96"/>
      <c r="AK28" s="96">
        <f t="shared" ca="1" si="18"/>
        <v>0.41602447681479993</v>
      </c>
      <c r="AL28" s="96"/>
      <c r="AM28" s="94">
        <v>-1.6</v>
      </c>
      <c r="AN28" s="95">
        <f t="shared" ca="1" si="6"/>
        <v>0.11092083467945553</v>
      </c>
      <c r="AP28" s="74" t="s">
        <v>83</v>
      </c>
      <c r="AQ28" s="99">
        <v>1.9069790423340791</v>
      </c>
      <c r="AR28" s="100"/>
      <c r="AX28" s="106">
        <f t="shared" ca="1" si="19"/>
        <v>0.59036499999999992</v>
      </c>
      <c r="AY28" s="106">
        <f t="shared" ca="1" si="20"/>
        <v>0.59036306999999999</v>
      </c>
      <c r="AZ28" s="106">
        <f t="shared" ca="1" si="21"/>
        <v>0.59036692999999996</v>
      </c>
      <c r="BB28" s="109">
        <f ca="1">_xll.EURO(UnderlyingPrice,$D28,IntRate,Yield,AX28,$D$6,1,0)</f>
        <v>1.1741202542656777</v>
      </c>
      <c r="BC28" s="109">
        <f ca="1">_xll.EURO(UnderlyingPrice,$D28*(1+$P$8),IntRate,Yield,AY28,$D$6,1,0)</f>
        <v>1.1729424883081956</v>
      </c>
      <c r="BD28" s="109">
        <f ca="1">_xll.EURO(UnderlyingPrice,$D28*(1-$P$8),IntRate,Yield,AZ28,$D$6,1,0)</f>
        <v>1.1752989204698263</v>
      </c>
      <c r="BF28" s="59">
        <f t="shared" ca="1" si="22"/>
        <v>0.24168344560831764</v>
      </c>
      <c r="BG28" s="62">
        <f t="shared" ca="1" si="23"/>
        <v>0.24606545613311953</v>
      </c>
      <c r="BI28" s="96">
        <f t="shared" ca="1" si="24"/>
        <v>-0.30141222601955353</v>
      </c>
      <c r="BJ28" s="96">
        <f t="shared" ca="1" si="25"/>
        <v>-0.30016976902786907</v>
      </c>
      <c r="BK28" s="96">
        <f t="shared" ca="1" si="26"/>
        <v>-0.30265530439510574</v>
      </c>
      <c r="BL28" s="96"/>
      <c r="BM28" s="96">
        <f t="shared" ca="1" si="27"/>
        <v>0.38213604730549866</v>
      </c>
      <c r="BO28" s="58">
        <f t="shared" ca="1" si="28"/>
        <v>7.9421465461511076E-3</v>
      </c>
      <c r="BP28" s="46">
        <f t="shared" ca="1" si="29"/>
        <v>6.7643382501039575E-3</v>
      </c>
    </row>
    <row r="29" spans="3:68" x14ac:dyDescent="0.2">
      <c r="C29" s="56">
        <v>16</v>
      </c>
      <c r="D29" s="63">
        <f t="shared" ca="1" si="30"/>
        <v>3.8840000000000003</v>
      </c>
      <c r="E29" s="45">
        <f t="shared" ca="1" si="7"/>
        <v>-0.17798941798941781</v>
      </c>
      <c r="F29" s="45">
        <f t="shared" ca="1" si="8"/>
        <v>-0.17757841269841268</v>
      </c>
      <c r="G29" s="45">
        <f t="shared" ca="1" si="9"/>
        <v>-0.17840042328042305</v>
      </c>
      <c r="H29" s="45">
        <f t="shared" ca="1" si="0"/>
        <v>0.58248806045889501</v>
      </c>
      <c r="I29" s="45">
        <f t="shared" ca="1" si="1"/>
        <v>0.58246721862514494</v>
      </c>
      <c r="J29" s="45">
        <f t="shared" ca="1" si="2"/>
        <v>0.58244640968217387</v>
      </c>
      <c r="L29" s="58">
        <f ca="1">_xll.EURO(UnderlyingPrice,$D29,IntRate,Yield,$I29,$D$6,L$12,0)</f>
        <v>1.1517831655103965</v>
      </c>
      <c r="M29" s="58">
        <f ca="1">_xll.EURO(UnderlyingPrice,$D29,IntRate,Yield,$I29,$D$6,M$12,0)</f>
        <v>0.32575995627685317</v>
      </c>
      <c r="O29" s="58">
        <f ca="1">_xll.EURO(UnderlyingPrice,$D29*(1+$P$8),IntRate,Yield,$H29,Expiry-Today,O$12,0)</f>
        <v>1.1506250022324567</v>
      </c>
      <c r="P29" s="58">
        <f ca="1">_xll.EURO(UnderlyingPrice,$D29*(1+$P$8),IntRate,Yield,$H29,Expiry-Today,P$12,0)</f>
        <v>0.32650920925614502</v>
      </c>
      <c r="R29" s="58">
        <f ca="1">_xll.EURO(UnderlyingPrice,$D29*(1-$P$8),IntRate,Yield,$J29,Expiry-Today,R$12,0)</f>
        <v>1.1529423206713409</v>
      </c>
      <c r="S29" s="58">
        <f ca="1">_xll.EURO(UnderlyingPrice,$D29*(1-$P$8),IntRate,Yield,$J29,Expiry-Today,S$12,0)</f>
        <v>0.32501169518056727</v>
      </c>
      <c r="U29" s="59">
        <f t="shared" ca="1" si="10"/>
        <v>0.26300378447150924</v>
      </c>
      <c r="V29" s="59"/>
      <c r="W29" s="62">
        <f t="shared" ca="1" si="3"/>
        <v>0.26777235829217816</v>
      </c>
      <c r="X29" s="63"/>
      <c r="Z29" s="59">
        <f t="shared" ca="1" si="11"/>
        <v>0.25548460111865873</v>
      </c>
      <c r="AA29" s="59">
        <f t="shared" ca="1" si="12"/>
        <v>-0.11518510157987172</v>
      </c>
      <c r="AB29" s="59">
        <f t="shared" ca="1" si="4"/>
        <v>-1.3267607625965365E-2</v>
      </c>
      <c r="AC29" s="59">
        <f t="shared" ca="1" si="13"/>
        <v>-4.104217731325293E-2</v>
      </c>
      <c r="AD29" s="60">
        <f t="shared" ca="1" si="5"/>
        <v>0.95978864778763617</v>
      </c>
      <c r="AE29" s="60">
        <f t="shared" ca="1" si="14"/>
        <v>0.24521121983824107</v>
      </c>
      <c r="AF29" s="60"/>
      <c r="AG29" s="96">
        <f t="shared" ca="1" si="15"/>
        <v>-0.28650367297210327</v>
      </c>
      <c r="AH29" s="96">
        <f t="shared" ca="1" si="16"/>
        <v>-0.28526031742094504</v>
      </c>
      <c r="AI29" s="96">
        <f t="shared" ca="1" si="17"/>
        <v>-0.28774765035652156</v>
      </c>
      <c r="AJ29" s="96"/>
      <c r="AK29" s="96">
        <f t="shared" ca="1" si="18"/>
        <v>0.41812972631497058</v>
      </c>
      <c r="AL29" s="96"/>
      <c r="AM29" s="94">
        <v>-1.5</v>
      </c>
      <c r="AN29" s="95">
        <f t="shared" ca="1" si="6"/>
        <v>0.12951759566589172</v>
      </c>
      <c r="AP29" s="74" t="s">
        <v>85</v>
      </c>
      <c r="AQ29" s="98">
        <f ca="1">AQ15</f>
        <v>0.51418396801986876</v>
      </c>
      <c r="AR29" s="100"/>
      <c r="AX29" s="106">
        <f t="shared" ca="1" si="19"/>
        <v>0.590341</v>
      </c>
      <c r="AY29" s="106">
        <f t="shared" ca="1" si="20"/>
        <v>0.59033905799999997</v>
      </c>
      <c r="AZ29" s="106">
        <f t="shared" ca="1" si="21"/>
        <v>0.59034294199999993</v>
      </c>
      <c r="BB29" s="109">
        <f ca="1">_xll.EURO(UnderlyingPrice,$D29,IntRate,Yield,AX29,$D$6,1,0)</f>
        <v>1.1595384349982765</v>
      </c>
      <c r="BC29" s="109">
        <f ca="1">_xll.EURO(UnderlyingPrice,$D29*(1+$P$8),IntRate,Yield,AY29,$D$6,1,0)</f>
        <v>1.1583646046454015</v>
      </c>
      <c r="BD29" s="109">
        <f ca="1">_xll.EURO(UnderlyingPrice,$D29*(1-$P$8),IntRate,Yield,AZ29,$D$6,1,0)</f>
        <v>1.1607131754938109</v>
      </c>
      <c r="BF29" s="59">
        <f t="shared" ca="1" si="22"/>
        <v>0.24132983701929414</v>
      </c>
      <c r="BG29" s="62">
        <f t="shared" ca="1" si="23"/>
        <v>0.24570543619657961</v>
      </c>
      <c r="BI29" s="96">
        <f t="shared" ca="1" si="24"/>
        <v>-0.28600596702425612</v>
      </c>
      <c r="BJ29" s="96">
        <f t="shared" ca="1" si="25"/>
        <v>-0.28476351003257189</v>
      </c>
      <c r="BK29" s="96">
        <f t="shared" ca="1" si="26"/>
        <v>-0.28724904539980839</v>
      </c>
      <c r="BL29" s="96"/>
      <c r="BM29" s="96">
        <f t="shared" ca="1" si="27"/>
        <v>0.38394944073902226</v>
      </c>
      <c r="BO29" s="58">
        <f t="shared" ca="1" si="28"/>
        <v>7.7552694878799677E-3</v>
      </c>
      <c r="BP29" s="46">
        <f t="shared" ca="1" si="29"/>
        <v>6.688238400559353E-3</v>
      </c>
    </row>
    <row r="30" spans="3:68" x14ac:dyDescent="0.2">
      <c r="C30" s="56">
        <v>17</v>
      </c>
      <c r="D30" s="63">
        <f t="shared" ca="1" si="30"/>
        <v>3.9080000000000004</v>
      </c>
      <c r="E30" s="45">
        <f t="shared" ca="1" si="7"/>
        <v>-0.17291005291005279</v>
      </c>
      <c r="F30" s="45">
        <f t="shared" ca="1" si="8"/>
        <v>-0.17249650793650784</v>
      </c>
      <c r="G30" s="45">
        <f t="shared" ca="1" si="9"/>
        <v>-0.17332359788359764</v>
      </c>
      <c r="H30" s="45">
        <f t="shared" ca="1" si="0"/>
        <v>0.58274847838056898</v>
      </c>
      <c r="I30" s="45">
        <f t="shared" ca="1" si="1"/>
        <v>0.5827270986698917</v>
      </c>
      <c r="J30" s="45">
        <f t="shared" ca="1" si="2"/>
        <v>0.58270575225772658</v>
      </c>
      <c r="L30" s="58">
        <f ca="1">_xll.EURO(UnderlyingPrice,$D30,IntRate,Yield,$I30,$D$6,L$12,0)</f>
        <v>1.1375397099600497</v>
      </c>
      <c r="M30" s="58">
        <f ca="1">_xll.EURO(UnderlyingPrice,$D30,IntRate,Yield,$I30,$D$6,M$12,0)</f>
        <v>0.33508910122782054</v>
      </c>
      <c r="O30" s="58">
        <f ca="1">_xll.EURO(UnderlyingPrice,$D30*(1+$P$8),IntRate,Yield,$H30,Expiry-Today,O$12,0)</f>
        <v>1.136386717804672</v>
      </c>
      <c r="P30" s="58">
        <f ca="1">_xll.EURO(UnderlyingPrice,$D30*(1+$P$8),IntRate,Yield,$H30,Expiry-Today,P$12,0)</f>
        <v>0.33585531162992477</v>
      </c>
      <c r="R30" s="58">
        <f ca="1">_xll.EURO(UnderlyingPrice,$D30*(1-$P$8),IntRate,Yield,$J30,Expiry-Today,R$12,0)</f>
        <v>1.1386937048562422</v>
      </c>
      <c r="S30" s="58">
        <f ca="1">_xll.EURO(UnderlyingPrice,$D30*(1-$P$8),IntRate,Yield,$J30,Expiry-Today,S$12,0)</f>
        <v>0.33432389356653136</v>
      </c>
      <c r="U30" s="59">
        <f t="shared" ca="1" si="10"/>
        <v>0.26262712155054935</v>
      </c>
      <c r="V30" s="59"/>
      <c r="W30" s="62">
        <f t="shared" ca="1" si="3"/>
        <v>0.26738886602103334</v>
      </c>
      <c r="X30" s="63"/>
      <c r="Z30" s="59">
        <f t="shared" ca="1" si="11"/>
        <v>0.25391560663891266</v>
      </c>
      <c r="AA30" s="59">
        <f t="shared" ca="1" si="12"/>
        <v>-0.10902491782841395</v>
      </c>
      <c r="AB30" s="59">
        <f t="shared" ca="1" si="4"/>
        <v>-1.1886432707492414E-2</v>
      </c>
      <c r="AC30" s="59">
        <f t="shared" ca="1" si="13"/>
        <v>-3.6769634176414427E-2</v>
      </c>
      <c r="AD30" s="60">
        <f t="shared" ca="1" si="5"/>
        <v>0.96389815896798792</v>
      </c>
      <c r="AE30" s="60">
        <f t="shared" ca="1" si="14"/>
        <v>0.24474878577248774</v>
      </c>
      <c r="AF30" s="60"/>
      <c r="AG30" s="96">
        <f t="shared" ca="1" si="15"/>
        <v>-0.27118124631476431</v>
      </c>
      <c r="AH30" s="96">
        <f t="shared" ca="1" si="16"/>
        <v>-0.26993789076360575</v>
      </c>
      <c r="AI30" s="96">
        <f t="shared" ca="1" si="17"/>
        <v>-0.27242522369918237</v>
      </c>
      <c r="AJ30" s="96"/>
      <c r="AK30" s="96">
        <f t="shared" ca="1" si="18"/>
        <v>0.42011090411905466</v>
      </c>
      <c r="AL30" s="96"/>
      <c r="AM30" s="94">
        <v>-1.4</v>
      </c>
      <c r="AN30" s="95">
        <f t="shared" ca="1" si="6"/>
        <v>0.14972746563574485</v>
      </c>
      <c r="AP30" s="74" t="s">
        <v>87</v>
      </c>
      <c r="AQ30" s="98">
        <f ca="1">1-AQ29</f>
        <v>0.48581603198013124</v>
      </c>
      <c r="AR30" s="76"/>
      <c r="AX30" s="106">
        <f t="shared" ca="1" si="19"/>
        <v>0.59031699999999998</v>
      </c>
      <c r="AY30" s="106">
        <f t="shared" ca="1" si="20"/>
        <v>0.59031504599999995</v>
      </c>
      <c r="AZ30" s="106">
        <f t="shared" ca="1" si="21"/>
        <v>0.59031895400000001</v>
      </c>
      <c r="BB30" s="109">
        <f ca="1">_xll.EURO(UnderlyingPrice,$D30,IntRate,Yield,AX30,$D$6,1,0)</f>
        <v>1.1450956191393789</v>
      </c>
      <c r="BC30" s="109">
        <f ca="1">_xll.EURO(UnderlyingPrice,$D30*(1+$P$8),IntRate,Yield,AY30,$D$6,1,0)</f>
        <v>1.1439258455611019</v>
      </c>
      <c r="BD30" s="109">
        <f ca="1">_xll.EURO(UnderlyingPrice,$D30*(1-$P$8),IntRate,Yield,AZ30,$D$6,1,0)</f>
        <v>1.146266312586453</v>
      </c>
      <c r="BF30" s="59">
        <f t="shared" ca="1" si="22"/>
        <v>0.2409221713361932</v>
      </c>
      <c r="BG30" s="62">
        <f t="shared" ca="1" si="23"/>
        <v>0.24529037904605958</v>
      </c>
      <c r="BI30" s="96">
        <f t="shared" ca="1" si="24"/>
        <v>-0.2706946137172746</v>
      </c>
      <c r="BJ30" s="96">
        <f t="shared" ca="1" si="25"/>
        <v>-0.26945215672558998</v>
      </c>
      <c r="BK30" s="96">
        <f t="shared" ca="1" si="26"/>
        <v>-0.27193769209282664</v>
      </c>
      <c r="BL30" s="96"/>
      <c r="BM30" s="96">
        <f t="shared" ca="1" si="27"/>
        <v>0.38566934671210618</v>
      </c>
      <c r="BO30" s="58">
        <f t="shared" ca="1" si="28"/>
        <v>7.5559091793291344E-3</v>
      </c>
      <c r="BP30" s="46">
        <f t="shared" ca="1" si="29"/>
        <v>6.5984962766759509E-3</v>
      </c>
    </row>
    <row r="31" spans="3:68" x14ac:dyDescent="0.2">
      <c r="C31" s="56">
        <v>18</v>
      </c>
      <c r="D31" s="63">
        <f t="shared" ca="1" si="30"/>
        <v>3.9320000000000004</v>
      </c>
      <c r="E31" s="45">
        <f t="shared" ca="1" si="7"/>
        <v>-0.16783068783068766</v>
      </c>
      <c r="F31" s="45">
        <f t="shared" ca="1" si="8"/>
        <v>-0.16741460317460299</v>
      </c>
      <c r="G31" s="45">
        <f t="shared" ca="1" si="9"/>
        <v>-0.16824677248677233</v>
      </c>
      <c r="H31" s="45">
        <f t="shared" ca="1" si="0"/>
        <v>0.5830139247318924</v>
      </c>
      <c r="I31" s="45">
        <f t="shared" ca="1" si="1"/>
        <v>0.58299200211962721</v>
      </c>
      <c r="J31" s="45">
        <f t="shared" ca="1" si="2"/>
        <v>0.5829701132161188</v>
      </c>
      <c r="L31" s="58">
        <f ca="1">_xll.EURO(UnderlyingPrice,$D31,IntRate,Yield,$I31,$D$6,L$12,0)</f>
        <v>1.1234475241862314</v>
      </c>
      <c r="M31" s="58">
        <f ca="1">_xll.EURO(UnderlyingPrice,$D31,IntRate,Yield,$I31,$D$6,M$12,0)</f>
        <v>0.34456951595531682</v>
      </c>
      <c r="O31" s="58">
        <f ca="1">_xll.EURO(UnderlyingPrice,$D31*(1+$P$8),IntRate,Yield,$H31,Expiry-Today,O$12,0)</f>
        <v>1.1222998349355504</v>
      </c>
      <c r="P31" s="58">
        <f ca="1">_xll.EURO(UnderlyingPrice,$D31*(1+$P$8),IntRate,Yield,$H31,Expiry-Today,P$12,0)</f>
        <v>0.34535281556236885</v>
      </c>
      <c r="R31" s="58">
        <f ca="1">_xll.EURO(UnderlyingPrice,$D31*(1-$P$8),IntRate,Yield,$J31,Expiry-Today,R$12,0)</f>
        <v>1.1245962267965486</v>
      </c>
      <c r="S31" s="58">
        <f ca="1">_xll.EURO(UnderlyingPrice,$D31*(1-$P$8),IntRate,Yield,$J31,Expiry-Today,S$12,0)</f>
        <v>0.34378722970790121</v>
      </c>
      <c r="U31" s="59">
        <f t="shared" ca="1" si="10"/>
        <v>0.26217819829364158</v>
      </c>
      <c r="V31" s="59"/>
      <c r="W31" s="62">
        <f t="shared" ca="1" si="3"/>
        <v>0.26693180324744648</v>
      </c>
      <c r="X31" s="63"/>
      <c r="Z31" s="59">
        <f t="shared" ca="1" si="11"/>
        <v>0.25236576570317154</v>
      </c>
      <c r="AA31" s="59">
        <f t="shared" ca="1" si="12"/>
        <v>-0.10290244972403009</v>
      </c>
      <c r="AB31" s="59">
        <f t="shared" ca="1" si="4"/>
        <v>-1.0588914159206542E-2</v>
      </c>
      <c r="AC31" s="59">
        <f t="shared" ca="1" si="13"/>
        <v>-3.2755874663224979E-2</v>
      </c>
      <c r="AD31" s="60">
        <f t="shared" ca="1" si="5"/>
        <v>0.96777478909936565</v>
      </c>
      <c r="AE31" s="60">
        <f t="shared" ca="1" si="14"/>
        <v>0.24423322567928676</v>
      </c>
      <c r="AF31" s="60"/>
      <c r="AG31" s="96">
        <f t="shared" ca="1" si="15"/>
        <v>-0.25595263102076127</v>
      </c>
      <c r="AH31" s="96">
        <f t="shared" ca="1" si="16"/>
        <v>-0.25470927546960259</v>
      </c>
      <c r="AI31" s="96">
        <f t="shared" ca="1" si="17"/>
        <v>-0.25719660840517983</v>
      </c>
      <c r="AJ31" s="96"/>
      <c r="AK31" s="96">
        <f t="shared" ca="1" si="18"/>
        <v>0.42196838041119916</v>
      </c>
      <c r="AL31" s="96"/>
      <c r="AM31" s="94">
        <v>-1.3</v>
      </c>
      <c r="AN31" s="95">
        <f t="shared" ca="1" si="6"/>
        <v>0.17136859204780733</v>
      </c>
      <c r="AP31" s="101" t="s">
        <v>88</v>
      </c>
      <c r="AQ31" s="102">
        <f ca="1">SQRT(AQ23)/Gamma*((AR24*AR26*(1-AR25))+(AQ24*AQ26*AQ25))</f>
        <v>0.4858160306214932</v>
      </c>
      <c r="AR31" s="100"/>
      <c r="AX31" s="106">
        <f t="shared" ca="1" si="19"/>
        <v>0.59029299999999996</v>
      </c>
      <c r="AY31" s="106">
        <f t="shared" ca="1" si="20"/>
        <v>0.59029103399999994</v>
      </c>
      <c r="AZ31" s="106">
        <f t="shared" ca="1" si="21"/>
        <v>0.59029496599999998</v>
      </c>
      <c r="BB31" s="109">
        <f ca="1">_xll.EURO(UnderlyingPrice,$D31,IntRate,Yield,AX31,$D$6,1,0)</f>
        <v>1.1307915719368333</v>
      </c>
      <c r="BC31" s="109">
        <f ca="1">_xll.EURO(UnderlyingPrice,$D31*(1+$P$8),IntRate,Yield,AY31,$D$6,1,0)</f>
        <v>1.129625973453281</v>
      </c>
      <c r="BD31" s="109">
        <f ca="1">_xll.EURO(UnderlyingPrice,$D31*(1-$P$8),IntRate,Yield,AZ31,$D$6,1,0)</f>
        <v>1.13195809984264</v>
      </c>
      <c r="BF31" s="59">
        <f t="shared" ca="1" si="22"/>
        <v>0.24046177030628291</v>
      </c>
      <c r="BG31" s="62">
        <f t="shared" ca="1" si="23"/>
        <v>0.24482163039368959</v>
      </c>
      <c r="BI31" s="96">
        <f t="shared" ca="1" si="24"/>
        <v>-0.25547700397718154</v>
      </c>
      <c r="BJ31" s="96">
        <f t="shared" ca="1" si="25"/>
        <v>-0.2542345469854968</v>
      </c>
      <c r="BK31" s="96">
        <f t="shared" ca="1" si="26"/>
        <v>-0.25672008235273397</v>
      </c>
      <c r="BL31" s="96"/>
      <c r="BM31" s="96">
        <f t="shared" ca="1" si="27"/>
        <v>0.3872962997818945</v>
      </c>
      <c r="BO31" s="58">
        <f t="shared" ca="1" si="28"/>
        <v>7.3440477506019342E-3</v>
      </c>
      <c r="BP31" s="46">
        <f t="shared" ca="1" si="29"/>
        <v>6.494607788792555E-3</v>
      </c>
    </row>
    <row r="32" spans="3:68" x14ac:dyDescent="0.2">
      <c r="C32" s="56">
        <v>19</v>
      </c>
      <c r="D32" s="63">
        <f t="shared" ca="1" si="30"/>
        <v>3.9560000000000004</v>
      </c>
      <c r="E32" s="45">
        <f t="shared" ca="1" si="7"/>
        <v>-0.16275132275132265</v>
      </c>
      <c r="F32" s="45">
        <f t="shared" ca="1" si="8"/>
        <v>-0.16233269841269826</v>
      </c>
      <c r="G32" s="45">
        <f t="shared" ca="1" si="9"/>
        <v>-0.16316994708994692</v>
      </c>
      <c r="H32" s="45">
        <f t="shared" ca="1" si="0"/>
        <v>0.58328439951286526</v>
      </c>
      <c r="I32" s="45">
        <f t="shared" ca="1" si="1"/>
        <v>0.58326192897435125</v>
      </c>
      <c r="J32" s="45">
        <f t="shared" ca="1" si="2"/>
        <v>0.58323949255735053</v>
      </c>
      <c r="L32" s="58">
        <f ca="1">_xll.EURO(UnderlyingPrice,$D32,IntRate,Yield,$I32,$D$6,L$12,0)</f>
        <v>1.1095063496865833</v>
      </c>
      <c r="M32" s="58">
        <f ca="1">_xll.EURO(UnderlyingPrice,$D32,IntRate,Yield,$I32,$D$6,M$12,0)</f>
        <v>0.35420094195698248</v>
      </c>
      <c r="O32" s="58">
        <f ca="1">_xll.EURO(UnderlyingPrice,$D32*(1+$P$8),IntRate,Yield,$H32,Expiry-Today,O$12,0)</f>
        <v>1.1083640913717514</v>
      </c>
      <c r="P32" s="58">
        <f ca="1">_xll.EURO(UnderlyingPrice,$D32*(1+$P$8),IntRate,Yield,$H32,Expiry-Today,P$12,0)</f>
        <v>0.35500145880013312</v>
      </c>
      <c r="R32" s="58">
        <f ca="1">_xll.EURO(UnderlyingPrice,$D32*(1-$P$8),IntRate,Yield,$J32,Expiry-Today,R$12,0)</f>
        <v>1.1106496317366266</v>
      </c>
      <c r="S32" s="58">
        <f ca="1">_xll.EURO(UnderlyingPrice,$D32*(1-$P$8),IntRate,Yield,$J32,Expiry-Today,S$12,0)</f>
        <v>0.35340144884904268</v>
      </c>
      <c r="U32" s="59">
        <f t="shared" ca="1" si="10"/>
        <v>0.26165863202754014</v>
      </c>
      <c r="V32" s="59"/>
      <c r="W32" s="62">
        <f t="shared" ca="1" si="3"/>
        <v>0.26640281662224408</v>
      </c>
      <c r="X32" s="63"/>
      <c r="Z32" s="59">
        <f t="shared" ca="1" si="11"/>
        <v>0.25083472971306131</v>
      </c>
      <c r="AA32" s="59">
        <f t="shared" ca="1" si="12"/>
        <v>-9.6817238248484594E-2</v>
      </c>
      <c r="AB32" s="59">
        <f t="shared" ca="1" si="4"/>
        <v>-9.3735776220638285E-3</v>
      </c>
      <c r="AC32" s="59">
        <f t="shared" ca="1" si="13"/>
        <v>-2.8996337973651174E-2</v>
      </c>
      <c r="AD32" s="60">
        <f t="shared" ca="1" si="5"/>
        <v>0.971420021825807</v>
      </c>
      <c r="AE32" s="60">
        <f t="shared" ca="1" si="14"/>
        <v>0.24366587861253242</v>
      </c>
      <c r="AF32" s="60"/>
      <c r="AG32" s="96">
        <f t="shared" ca="1" si="15"/>
        <v>-0.24081668535901402</v>
      </c>
      <c r="AH32" s="96">
        <f t="shared" ca="1" si="16"/>
        <v>-0.23957332980785528</v>
      </c>
      <c r="AI32" s="96">
        <f t="shared" ca="1" si="17"/>
        <v>-0.24206066274343233</v>
      </c>
      <c r="AJ32" s="96"/>
      <c r="AK32" s="96">
        <f t="shared" ca="1" si="18"/>
        <v>0.42370264450066625</v>
      </c>
      <c r="AL32" s="96"/>
      <c r="AM32" s="94">
        <v>-1.2</v>
      </c>
      <c r="AN32" s="95">
        <f t="shared" ca="1" si="6"/>
        <v>0.19418605498321292</v>
      </c>
      <c r="AX32" s="106">
        <f t="shared" ca="1" si="19"/>
        <v>0.59026899999999993</v>
      </c>
      <c r="AY32" s="106">
        <f t="shared" ca="1" si="20"/>
        <v>0.59026702199999992</v>
      </c>
      <c r="AZ32" s="106">
        <f t="shared" ca="1" si="21"/>
        <v>0.59027097799999995</v>
      </c>
      <c r="BB32" s="109">
        <f ca="1">_xll.EURO(UnderlyingPrice,$D32,IntRate,Yield,AX32,$D$6,1,0)</f>
        <v>1.1166260282635818</v>
      </c>
      <c r="BC32" s="109">
        <f ca="1">_xll.EURO(UnderlyingPrice,$D32*(1+$P$8),IntRate,Yield,AY32,$D$6,1,0)</f>
        <v>1.1154647203465946</v>
      </c>
      <c r="BD32" s="109">
        <f ca="1">_xll.EURO(UnderlyingPrice,$D32*(1-$P$8),IntRate,Yield,AZ32,$D$6,1,0)</f>
        <v>1.1177882749809744</v>
      </c>
      <c r="BF32" s="59">
        <f t="shared" ca="1" si="22"/>
        <v>0.23994996667449553</v>
      </c>
      <c r="BG32" s="62">
        <f t="shared" ca="1" si="23"/>
        <v>0.24430054714866481</v>
      </c>
      <c r="BI32" s="96">
        <f t="shared" ca="1" si="24"/>
        <v>-0.24035199689801334</v>
      </c>
      <c r="BJ32" s="96">
        <f t="shared" ca="1" si="25"/>
        <v>-0.23910953990632852</v>
      </c>
      <c r="BK32" s="96">
        <f t="shared" ca="1" si="26"/>
        <v>-0.24159507527356558</v>
      </c>
      <c r="BL32" s="96"/>
      <c r="BM32" s="96">
        <f t="shared" ca="1" si="27"/>
        <v>0.38883090430309813</v>
      </c>
      <c r="BO32" s="58">
        <f t="shared" ca="1" si="28"/>
        <v>7.1196785769984672E-3</v>
      </c>
      <c r="BP32" s="46">
        <f t="shared" ca="1" si="29"/>
        <v>6.3760636030220251E-3</v>
      </c>
    </row>
    <row r="33" spans="3:68" x14ac:dyDescent="0.2">
      <c r="C33" s="56">
        <v>20</v>
      </c>
      <c r="D33" s="63">
        <f t="shared" ca="1" si="30"/>
        <v>3.9800000000000004</v>
      </c>
      <c r="E33" s="45">
        <f t="shared" ca="1" si="7"/>
        <v>-0.15767195767195752</v>
      </c>
      <c r="F33" s="45">
        <f t="shared" ca="1" si="8"/>
        <v>-0.15725079365079353</v>
      </c>
      <c r="G33" s="45">
        <f t="shared" ca="1" si="9"/>
        <v>-0.15809312169312151</v>
      </c>
      <c r="H33" s="45">
        <f t="shared" ca="1" si="0"/>
        <v>0.58355990272348779</v>
      </c>
      <c r="I33" s="45">
        <f t="shared" ca="1" si="1"/>
        <v>0.58353687923406405</v>
      </c>
      <c r="J33" s="45">
        <f t="shared" ca="1" si="2"/>
        <v>0.58351389028142175</v>
      </c>
      <c r="L33" s="58">
        <f ca="1">_xll.EURO(UnderlyingPrice,$D33,IntRate,Yield,$I33,$D$6,L$12,0)</f>
        <v>1.0957158872692752</v>
      </c>
      <c r="M33" s="58">
        <f ca="1">_xll.EURO(UnderlyingPrice,$D33,IntRate,Yield,$I33,$D$6,M$12,0)</f>
        <v>0.36398308004098867</v>
      </c>
      <c r="O33" s="58">
        <f ca="1">_xll.EURO(UnderlyingPrice,$D33*(1+$P$8),IntRate,Yield,$H33,Expiry-Today,O$12,0)</f>
        <v>1.0945791841661889</v>
      </c>
      <c r="P33" s="58">
        <f ca="1">_xll.EURO(UnderlyingPrice,$D33*(1+$P$8),IntRate,Yield,$H33,Expiry-Today,P$12,0)</f>
        <v>0.36480093839613592</v>
      </c>
      <c r="R33" s="58">
        <f ca="1">_xll.EURO(UnderlyingPrice,$D33*(1-$P$8),IntRate,Yield,$J33,Expiry-Today,R$12,0)</f>
        <v>1.0968536242359317</v>
      </c>
      <c r="S33" s="58">
        <f ca="1">_xll.EURO(UnderlyingPrice,$D33*(1-$P$8),IntRate,Yield,$J33,Expiry-Today,S$12,0)</f>
        <v>0.36316625554941062</v>
      </c>
      <c r="U33" s="59">
        <f t="shared" ca="1" si="10"/>
        <v>0.26107006649074244</v>
      </c>
      <c r="V33" s="59"/>
      <c r="W33" s="62">
        <f t="shared" ca="1" si="3"/>
        <v>0.26580357968687252</v>
      </c>
      <c r="X33" s="63"/>
      <c r="Z33" s="59">
        <f t="shared" ca="1" si="11"/>
        <v>0.24932215847861067</v>
      </c>
      <c r="AA33" s="59">
        <f t="shared" ca="1" si="12"/>
        <v>-9.0768832712603886E-2</v>
      </c>
      <c r="AB33" s="59">
        <f t="shared" ca="1" si="4"/>
        <v>-8.2389809920086696E-3</v>
      </c>
      <c r="AC33" s="59">
        <f t="shared" ca="1" si="13"/>
        <v>-2.5486563085629122E-2</v>
      </c>
      <c r="AD33" s="60">
        <f t="shared" ca="1" si="5"/>
        <v>0.97483547765857692</v>
      </c>
      <c r="AE33" s="60">
        <f t="shared" ca="1" si="14"/>
        <v>0.24304808545136383</v>
      </c>
      <c r="AF33" s="60"/>
      <c r="AG33" s="96">
        <f t="shared" ca="1" si="15"/>
        <v>-0.22577228831559079</v>
      </c>
      <c r="AH33" s="96">
        <f t="shared" ca="1" si="16"/>
        <v>-0.22452893276443225</v>
      </c>
      <c r="AI33" s="96">
        <f t="shared" ca="1" si="17"/>
        <v>-0.22701626570000918</v>
      </c>
      <c r="AJ33" s="96"/>
      <c r="AK33" s="96">
        <f t="shared" ca="1" si="18"/>
        <v>0.4253142922776344</v>
      </c>
      <c r="AL33" s="96"/>
      <c r="AM33" s="94">
        <v>-1.1000000000000001</v>
      </c>
      <c r="AN33" s="95">
        <f t="shared" ca="1" si="6"/>
        <v>0.2178521770325505</v>
      </c>
      <c r="AX33" s="106">
        <f t="shared" ca="1" si="19"/>
        <v>0.59024500000000002</v>
      </c>
      <c r="AY33" s="106">
        <f t="shared" ca="1" si="20"/>
        <v>0.59024301000000001</v>
      </c>
      <c r="AZ33" s="106">
        <f t="shared" ca="1" si="21"/>
        <v>0.59024698999999992</v>
      </c>
      <c r="BB33" s="109">
        <f ca="1">_xll.EURO(UnderlyingPrice,$D33,IntRate,Yield,AX33,$D$6,1,0)</f>
        <v>1.1025986933838476</v>
      </c>
      <c r="BC33" s="109">
        <f ca="1">_xll.EURO(UnderlyingPrice,$D33*(1+$P$8),IntRate,Yield,AY33,$D$6,1,0)</f>
        <v>1.101441788660749</v>
      </c>
      <c r="BD33" s="109">
        <f ca="1">_xll.EURO(UnderlyingPrice,$D33*(1-$P$8),IntRate,Yield,AZ33,$D$6,1,0)</f>
        <v>1.1037565461077321</v>
      </c>
      <c r="BF33" s="59">
        <f t="shared" ca="1" si="22"/>
        <v>0.23938809269260436</v>
      </c>
      <c r="BG33" s="62">
        <f t="shared" ca="1" si="23"/>
        <v>0.24372848571807992</v>
      </c>
      <c r="BI33" s="96">
        <f t="shared" ca="1" si="24"/>
        <v>-0.22531847227598284</v>
      </c>
      <c r="BJ33" s="96">
        <f t="shared" ca="1" si="25"/>
        <v>-0.22407601528429824</v>
      </c>
      <c r="BK33" s="96">
        <f t="shared" ca="1" si="26"/>
        <v>-0.22656155065153516</v>
      </c>
      <c r="BL33" s="96"/>
      <c r="BM33" s="96">
        <f t="shared" ca="1" si="27"/>
        <v>0.39027381623473606</v>
      </c>
      <c r="BO33" s="58">
        <f t="shared" ca="1" si="28"/>
        <v>6.8828061145724817E-3</v>
      </c>
      <c r="BP33" s="46">
        <f t="shared" ca="1" si="29"/>
        <v>6.2423492390049212E-3</v>
      </c>
    </row>
    <row r="34" spans="3:68" x14ac:dyDescent="0.2">
      <c r="C34" s="56">
        <v>21</v>
      </c>
      <c r="D34" s="63">
        <f t="shared" ca="1" si="30"/>
        <v>4.0040000000000004</v>
      </c>
      <c r="E34" s="45">
        <f t="shared" ca="1" si="7"/>
        <v>-0.15259259259259239</v>
      </c>
      <c r="F34" s="45">
        <f t="shared" ca="1" si="8"/>
        <v>-0.15216888888888869</v>
      </c>
      <c r="G34" s="45">
        <f t="shared" ca="1" si="9"/>
        <v>-0.15301629629629621</v>
      </c>
      <c r="H34" s="45">
        <f t="shared" ca="1" si="0"/>
        <v>0.58384043436375976</v>
      </c>
      <c r="I34" s="45">
        <f t="shared" ca="1" si="1"/>
        <v>0.5838168528987655</v>
      </c>
      <c r="J34" s="45">
        <f t="shared" ca="1" si="2"/>
        <v>0.5837933063883326</v>
      </c>
      <c r="L34" s="58">
        <f ca="1">_xll.EURO(UnderlyingPrice,$D34,IntRate,Yield,$I34,$D$6,L$12,0)</f>
        <v>1.0820757980007709</v>
      </c>
      <c r="M34" s="58">
        <f ca="1">_xll.EURO(UnderlyingPrice,$D34,IntRate,Yield,$I34,$D$6,M$12,0)</f>
        <v>0.37391559127379792</v>
      </c>
      <c r="O34" s="58">
        <f ca="1">_xll.EURO(UnderlyingPrice,$D34*(1+$P$8),IntRate,Yield,$H34,Expiry-Today,O$12,0)</f>
        <v>1.0809447706295203</v>
      </c>
      <c r="P34" s="58">
        <f ca="1">_xll.EURO(UnderlyingPrice,$D34*(1+$P$8),IntRate,Yield,$H34,Expiry-Today,P$12,0)</f>
        <v>0.37475091166103192</v>
      </c>
      <c r="R34" s="58">
        <f ca="1">_xll.EURO(UnderlyingPrice,$D34*(1-$P$8),IntRate,Yield,$J34,Expiry-Today,R$12,0)</f>
        <v>1.0832078691130769</v>
      </c>
      <c r="S34" s="58">
        <f ca="1">_xll.EURO(UnderlyingPrice,$D34*(1-$P$8),IntRate,Yield,$J34,Expiry-Today,S$12,0)</f>
        <v>0.37308131462761884</v>
      </c>
      <c r="U34" s="59">
        <f t="shared" ca="1" si="10"/>
        <v>0.26041417507619513</v>
      </c>
      <c r="V34" s="59"/>
      <c r="W34" s="62">
        <f t="shared" ca="1" si="3"/>
        <v>0.26513579617489819</v>
      </c>
      <c r="X34" s="63"/>
      <c r="Z34" s="59">
        <f t="shared" ca="1" si="11"/>
        <v>0.24782771996625139</v>
      </c>
      <c r="AA34" s="59">
        <f t="shared" ca="1" si="12"/>
        <v>-8.4756790555976014E-2</v>
      </c>
      <c r="AB34" s="59">
        <f t="shared" ca="1" si="4"/>
        <v>-7.1837135453495845E-3</v>
      </c>
      <c r="AC34" s="59">
        <f t="shared" ca="1" si="13"/>
        <v>-2.2222186049491492E-2</v>
      </c>
      <c r="AD34" s="60">
        <f t="shared" ca="1" si="5"/>
        <v>0.97802290786235924</v>
      </c>
      <c r="AE34" s="60">
        <f t="shared" ca="1" si="14"/>
        <v>0.24238118733029165</v>
      </c>
      <c r="AF34" s="60"/>
      <c r="AG34" s="96">
        <f t="shared" ca="1" si="15"/>
        <v>-0.21081833909549472</v>
      </c>
      <c r="AH34" s="96">
        <f t="shared" ca="1" si="16"/>
        <v>-0.20957498354433604</v>
      </c>
      <c r="AI34" s="96">
        <f t="shared" ca="1" si="17"/>
        <v>-0.2120623164799135</v>
      </c>
      <c r="AJ34" s="96"/>
      <c r="AK34" s="96">
        <f t="shared" ca="1" si="18"/>
        <v>0.4268040328255579</v>
      </c>
      <c r="AL34" s="96"/>
      <c r="AM34" s="94">
        <v>-1</v>
      </c>
      <c r="AN34" s="95">
        <f t="shared" ca="1" si="6"/>
        <v>0.24197072451914334</v>
      </c>
      <c r="AX34" s="106">
        <f t="shared" ca="1" si="19"/>
        <v>0.590221</v>
      </c>
      <c r="AY34" s="106">
        <f t="shared" ca="1" si="20"/>
        <v>0.59021899799999999</v>
      </c>
      <c r="AZ34" s="106">
        <f t="shared" ca="1" si="21"/>
        <v>0.590223002</v>
      </c>
      <c r="BB34" s="109">
        <f ca="1">_xll.EURO(UnderlyingPrice,$D34,IntRate,Yield,AX34,$D$6,1,0)</f>
        <v>1.0887092437224299</v>
      </c>
      <c r="BC34" s="109">
        <f ca="1">_xll.EURO(UnderlyingPrice,$D34*(1+$P$8),IntRate,Yield,AY34,$D$6,1,0)</f>
        <v>1.0875568519819536</v>
      </c>
      <c r="BD34" s="109">
        <f ca="1">_xll.EURO(UnderlyingPrice,$D34*(1-$P$8),IntRate,Yield,AZ34,$D$6,1,0)</f>
        <v>1.0898625924840393</v>
      </c>
      <c r="BF34" s="59">
        <f t="shared" ca="1" si="22"/>
        <v>0.23877748949549066</v>
      </c>
      <c r="BG34" s="62">
        <f t="shared" ca="1" si="23"/>
        <v>0.24310681155319888</v>
      </c>
      <c r="BI34" s="96">
        <f t="shared" ca="1" si="24"/>
        <v>-0.21037533011162565</v>
      </c>
      <c r="BJ34" s="96">
        <f t="shared" ca="1" si="25"/>
        <v>-0.20913287311994092</v>
      </c>
      <c r="BK34" s="96">
        <f t="shared" ca="1" si="26"/>
        <v>-0.21161840848717839</v>
      </c>
      <c r="BL34" s="96"/>
      <c r="BM34" s="96">
        <f t="shared" ca="1" si="27"/>
        <v>0.39162575849439024</v>
      </c>
      <c r="BO34" s="58">
        <f t="shared" ca="1" si="28"/>
        <v>6.6334457216590259E-3</v>
      </c>
      <c r="BP34" s="46">
        <f t="shared" ca="1" si="29"/>
        <v>6.0929451641087056E-3</v>
      </c>
    </row>
    <row r="35" spans="3:68" x14ac:dyDescent="0.2">
      <c r="C35" s="56">
        <v>22</v>
      </c>
      <c r="D35" s="63">
        <f t="shared" ca="1" si="30"/>
        <v>4.0280000000000005</v>
      </c>
      <c r="E35" s="45">
        <f t="shared" ca="1" si="7"/>
        <v>-0.14751322751322737</v>
      </c>
      <c r="F35" s="45">
        <f t="shared" ca="1" si="8"/>
        <v>-0.14708698412698396</v>
      </c>
      <c r="G35" s="45">
        <f t="shared" ca="1" si="9"/>
        <v>-0.14793947089947068</v>
      </c>
      <c r="H35" s="45">
        <f t="shared" ca="1" si="0"/>
        <v>0.58412599443368118</v>
      </c>
      <c r="I35" s="45">
        <f t="shared" ca="1" si="1"/>
        <v>0.5841018499684556</v>
      </c>
      <c r="J35" s="45">
        <f t="shared" ca="1" si="2"/>
        <v>0.58407774087808284</v>
      </c>
      <c r="L35" s="58">
        <f ca="1">_xll.EURO(UnderlyingPrice,$D35,IntRate,Yield,$I35,$D$6,L$12,0)</f>
        <v>1.0685857041689752</v>
      </c>
      <c r="M35" s="58">
        <f ca="1">_xll.EURO(UnderlyingPrice,$D35,IntRate,Yield,$I35,$D$6,M$12,0)</f>
        <v>0.38399809794331663</v>
      </c>
      <c r="O35" s="58">
        <f ca="1">_xll.EURO(UnderlyingPrice,$D35*(1+$P$8),IntRate,Yield,$H35,Expiry-Today,O$12,0)</f>
        <v>1.0674604692968859</v>
      </c>
      <c r="P35" s="58">
        <f ca="1">_xll.EURO(UnderlyingPrice,$D35*(1+$P$8),IntRate,Yield,$H35,Expiry-Today,P$12,0)</f>
        <v>0.38485099712996185</v>
      </c>
      <c r="R35" s="58">
        <f ca="1">_xll.EURO(UnderlyingPrice,$D35*(1-$P$8),IntRate,Yield,$J35,Expiry-Today,R$12,0)</f>
        <v>1.0697119924053715</v>
      </c>
      <c r="S35" s="58">
        <f ca="1">_xll.EURO(UnderlyingPrice,$D35*(1-$P$8),IntRate,Yield,$J35,Expiry-Today,S$12,0)</f>
        <v>0.38314625212097764</v>
      </c>
      <c r="U35" s="59">
        <f t="shared" ca="1" si="10"/>
        <v>0.25969265461803842</v>
      </c>
      <c r="V35" s="59"/>
      <c r="W35" s="62">
        <f t="shared" ca="1" si="3"/>
        <v>0.26440119368609788</v>
      </c>
      <c r="X35" s="63"/>
      <c r="Z35" s="59">
        <f t="shared" ca="1" si="11"/>
        <v>0.24635109005582687</v>
      </c>
      <c r="AA35" s="59">
        <f t="shared" ca="1" si="12"/>
        <v>-7.8780677152634399E-2</v>
      </c>
      <c r="AB35" s="59">
        <f t="shared" ca="1" si="4"/>
        <v>-6.2063950926276113E-3</v>
      </c>
      <c r="AC35" s="59">
        <f t="shared" ca="1" si="13"/>
        <v>-1.919893737053377E-2</v>
      </c>
      <c r="AD35" s="60">
        <f t="shared" ca="1" si="5"/>
        <v>0.98098418841478718</v>
      </c>
      <c r="AE35" s="60">
        <f t="shared" ca="1" si="14"/>
        <v>0.24166652414351347</v>
      </c>
      <c r="AF35" s="60"/>
      <c r="AG35" s="96">
        <f t="shared" ca="1" si="15"/>
        <v>-0.19595375663933454</v>
      </c>
      <c r="AH35" s="96">
        <f t="shared" ca="1" si="16"/>
        <v>-0.19471040108817572</v>
      </c>
      <c r="AI35" s="96">
        <f t="shared" ca="1" si="17"/>
        <v>-0.19719773402375279</v>
      </c>
      <c r="AJ35" s="96"/>
      <c r="AK35" s="96">
        <f t="shared" ca="1" si="18"/>
        <v>0.42817267963386541</v>
      </c>
      <c r="AL35" s="96"/>
      <c r="AM35" s="94">
        <v>-0.9</v>
      </c>
      <c r="AN35" s="95">
        <f t="shared" ca="1" si="6"/>
        <v>0.26608524989875482</v>
      </c>
      <c r="AX35" s="106">
        <f t="shared" ca="1" si="19"/>
        <v>0.59019699999999997</v>
      </c>
      <c r="AY35" s="106">
        <f t="shared" ca="1" si="20"/>
        <v>0.59019498599999998</v>
      </c>
      <c r="AZ35" s="106">
        <f t="shared" ca="1" si="21"/>
        <v>0.59019901399999997</v>
      </c>
      <c r="BB35" s="109">
        <f ca="1">_xll.EURO(UnderlyingPrice,$D35,IntRate,Yield,AX35,$D$6,1,0)</f>
        <v>1.0749573276362407</v>
      </c>
      <c r="BC35" s="109">
        <f ca="1">_xll.EURO(UnderlyingPrice,$D35*(1+$P$8),IntRate,Yield,AY35,$D$6,1,0)</f>
        <v>1.0738095558365242</v>
      </c>
      <c r="BD35" s="109">
        <f ca="1">_xll.EURO(UnderlyingPrice,$D35*(1-$P$8),IntRate,Yield,AZ35,$D$6,1,0)</f>
        <v>1.0761060652953169</v>
      </c>
      <c r="BF35" s="59">
        <f t="shared" ca="1" si="22"/>
        <v>0.23811949905845678</v>
      </c>
      <c r="BG35" s="62">
        <f t="shared" ca="1" si="23"/>
        <v>0.24243689096094462</v>
      </c>
      <c r="BI35" s="96">
        <f t="shared" ca="1" si="24"/>
        <v>-0.19552149012682035</v>
      </c>
      <c r="BJ35" s="96">
        <f t="shared" ca="1" si="25"/>
        <v>-0.19427903313513548</v>
      </c>
      <c r="BK35" s="96">
        <f t="shared" ca="1" si="26"/>
        <v>-0.19676456850237253</v>
      </c>
      <c r="BL35" s="96"/>
      <c r="BM35" s="96">
        <f t="shared" ca="1" si="27"/>
        <v>0.39288750812514517</v>
      </c>
      <c r="BO35" s="58">
        <f t="shared" ca="1" si="28"/>
        <v>6.371623467265497E-3</v>
      </c>
      <c r="BP35" s="46">
        <f t="shared" ca="1" si="29"/>
        <v>5.927326884013406E-3</v>
      </c>
    </row>
    <row r="36" spans="3:68" x14ac:dyDescent="0.2">
      <c r="C36" s="56">
        <v>23</v>
      </c>
      <c r="D36" s="63">
        <f t="shared" ca="1" si="30"/>
        <v>4.0520000000000005</v>
      </c>
      <c r="E36" s="45">
        <f t="shared" ca="1" si="7"/>
        <v>-0.14243386243386225</v>
      </c>
      <c r="F36" s="45">
        <f t="shared" ca="1" si="8"/>
        <v>-0.14200507936507922</v>
      </c>
      <c r="G36" s="45">
        <f t="shared" ca="1" si="9"/>
        <v>-0.14286264550264527</v>
      </c>
      <c r="H36" s="45">
        <f t="shared" ca="1" si="0"/>
        <v>0.58441658293325205</v>
      </c>
      <c r="I36" s="45">
        <f t="shared" ca="1" si="1"/>
        <v>0.58439187044313434</v>
      </c>
      <c r="J36" s="45">
        <f t="shared" ca="1" si="2"/>
        <v>0.5843671937506727</v>
      </c>
      <c r="L36" s="58">
        <f ca="1">_xll.EURO(UnderlyingPrice,$D36,IntRate,Yield,$I36,$D$6,L$12,0)</f>
        <v>1.0552451902600684</v>
      </c>
      <c r="M36" s="58">
        <f ca="1">_xll.EURO(UnderlyingPrice,$D36,IntRate,Yield,$I36,$D$6,M$12,0)</f>
        <v>0.39423018453572345</v>
      </c>
      <c r="O36" s="58">
        <f ca="1">_xll.EURO(UnderlyingPrice,$D36*(1+$P$8),IntRate,Yield,$H36,Expiry-Today,O$12,0)</f>
        <v>1.054125860908254</v>
      </c>
      <c r="P36" s="58">
        <f ca="1">_xll.EURO(UnderlyingPrice,$D36*(1+$P$8),IntRate,Yield,$H36,Expiry-Today,P$12,0)</f>
        <v>0.3951007755428948</v>
      </c>
      <c r="R36" s="58">
        <f ca="1">_xll.EURO(UnderlyingPrice,$D36*(1-$P$8),IntRate,Yield,$J36,Expiry-Today,R$12,0)</f>
        <v>1.0563655823421398</v>
      </c>
      <c r="S36" s="58">
        <f ca="1">_xll.EURO(UnderlyingPrice,$D36*(1-$P$8),IntRate,Yield,$J36,Expiry-Today,S$12,0)</f>
        <v>0.39336065625880967</v>
      </c>
      <c r="U36" s="59">
        <f t="shared" ca="1" si="10"/>
        <v>0.25890722121031307</v>
      </c>
      <c r="V36" s="59"/>
      <c r="W36" s="62">
        <f t="shared" ca="1" si="3"/>
        <v>0.263601519429354</v>
      </c>
      <c r="X36" s="63"/>
      <c r="Z36" s="59">
        <f t="shared" ca="1" si="11"/>
        <v>0.24489195230623653</v>
      </c>
      <c r="AA36" s="59">
        <f t="shared" ca="1" si="12"/>
        <v>-7.2840065622513245E-2</v>
      </c>
      <c r="AB36" s="59">
        <f t="shared" ca="1" si="4"/>
        <v>-5.3056751598920355E-3</v>
      </c>
      <c r="AC36" s="59">
        <f t="shared" ca="1" si="13"/>
        <v>-1.6412639476362741E-2</v>
      </c>
      <c r="AD36" s="60">
        <f t="shared" ca="1" si="5"/>
        <v>0.98372131404607766</v>
      </c>
      <c r="AE36" s="60">
        <f t="shared" ca="1" si="14"/>
        <v>0.24090543312200038</v>
      </c>
      <c r="AF36" s="60"/>
      <c r="AG36" s="96">
        <f t="shared" ca="1" si="15"/>
        <v>-0.18117747915435156</v>
      </c>
      <c r="AH36" s="96">
        <f t="shared" ca="1" si="16"/>
        <v>-0.17993412360319302</v>
      </c>
      <c r="AI36" s="96">
        <f t="shared" ca="1" si="17"/>
        <v>-0.18242145653876987</v>
      </c>
      <c r="AJ36" s="96"/>
      <c r="AK36" s="96">
        <f t="shared" ca="1" si="18"/>
        <v>0.42942114481350374</v>
      </c>
      <c r="AL36" s="96"/>
      <c r="AM36" s="94">
        <v>-0.8</v>
      </c>
      <c r="AN36" s="95">
        <f t="shared" ca="1" si="6"/>
        <v>0.28969155276148267</v>
      </c>
      <c r="AX36" s="106">
        <f t="shared" ca="1" si="19"/>
        <v>0.59017299999999995</v>
      </c>
      <c r="AY36" s="106">
        <f t="shared" ca="1" si="20"/>
        <v>0.59017097399999996</v>
      </c>
      <c r="AZ36" s="106">
        <f t="shared" ca="1" si="21"/>
        <v>0.59017502599999994</v>
      </c>
      <c r="BB36" s="109">
        <f ca="1">_xll.EURO(UnderlyingPrice,$D36,IntRate,Yield,AX36,$D$6,1,0)</f>
        <v>1.0613425661871845</v>
      </c>
      <c r="BC36" s="109">
        <f ca="1">_xll.EURO(UnderlyingPrice,$D36*(1+$P$8),IntRate,Yield,AY36,$D$6,1,0)</f>
        <v>1.0601995184657773</v>
      </c>
      <c r="BD36" s="109">
        <f ca="1">_xll.EURO(UnderlyingPrice,$D36*(1-$P$8),IntRate,Yield,AZ36,$D$6,1,0)</f>
        <v>1.0624865884221526</v>
      </c>
      <c r="BF36" s="59">
        <f t="shared" ca="1" si="22"/>
        <v>0.23741546493766039</v>
      </c>
      <c r="BG36" s="62">
        <f t="shared" ca="1" si="23"/>
        <v>0.24172009185775822</v>
      </c>
      <c r="BI36" s="96">
        <f t="shared" ca="1" si="24"/>
        <v>-0.18075589129615424</v>
      </c>
      <c r="BJ36" s="96">
        <f t="shared" ca="1" si="25"/>
        <v>-0.17951343430446964</v>
      </c>
      <c r="BK36" s="96">
        <f t="shared" ca="1" si="26"/>
        <v>-0.18199896967170648</v>
      </c>
      <c r="BL36" s="96"/>
      <c r="BM36" s="96">
        <f t="shared" ca="1" si="27"/>
        <v>0.39405989756504206</v>
      </c>
      <c r="BO36" s="58">
        <f t="shared" ca="1" si="28"/>
        <v>6.0973759271161221E-3</v>
      </c>
      <c r="BP36" s="46">
        <f t="shared" ca="1" si="29"/>
        <v>5.7449650295480128E-3</v>
      </c>
    </row>
    <row r="37" spans="3:68" x14ac:dyDescent="0.2">
      <c r="C37" s="56">
        <v>24</v>
      </c>
      <c r="D37" s="63">
        <f t="shared" ca="1" si="30"/>
        <v>4.0760000000000005</v>
      </c>
      <c r="E37" s="45">
        <f t="shared" ca="1" si="7"/>
        <v>-0.13735449735449723</v>
      </c>
      <c r="F37" s="45">
        <f t="shared" ca="1" si="8"/>
        <v>-0.13692317460317449</v>
      </c>
      <c r="G37" s="45">
        <f t="shared" ca="1" si="9"/>
        <v>-0.13778582010581986</v>
      </c>
      <c r="H37" s="45">
        <f t="shared" ca="1" si="0"/>
        <v>0.58471219986247247</v>
      </c>
      <c r="I37" s="45">
        <f t="shared" ca="1" si="1"/>
        <v>0.58468691432280173</v>
      </c>
      <c r="J37" s="45">
        <f t="shared" ca="1" si="2"/>
        <v>0.58466166500610206</v>
      </c>
      <c r="L37" s="58">
        <f ca="1">_xll.EURO(UnderlyingPrice,$D37,IntRate,Yield,$I37,$D$6,L$12,0)</f>
        <v>1.0420538039473506</v>
      </c>
      <c r="M37" s="58">
        <f ca="1">_xll.EURO(UnderlyingPrice,$D37,IntRate,Yield,$I37,$D$6,M$12,0)</f>
        <v>0.40461139872431917</v>
      </c>
      <c r="O37" s="58">
        <f ca="1">_xll.EURO(UnderlyingPrice,$D37*(1+$P$8),IntRate,Yield,$H37,Expiry-Today,O$12,0)</f>
        <v>1.0409404894006817</v>
      </c>
      <c r="P37" s="58">
        <f ca="1">_xll.EURO(UnderlyingPrice,$D37*(1+$P$8),IntRate,Yield,$H37,Expiry-Today,P$12,0)</f>
        <v>0.40549979083688736</v>
      </c>
      <c r="R37" s="58">
        <f ca="1">_xll.EURO(UnderlyingPrice,$D37*(1-$P$8),IntRate,Yield,$J37,Expiry-Today,R$12,0)</f>
        <v>1.0431681903301593</v>
      </c>
      <c r="S37" s="58">
        <f ca="1">_xll.EURO(UnderlyingPrice,$D37*(1-$P$8),IntRate,Yield,$J37,Expiry-Today,S$12,0)</f>
        <v>0.40372407844789238</v>
      </c>
      <c r="U37" s="59">
        <f t="shared" ca="1" si="10"/>
        <v>0.25805961025192226</v>
      </c>
      <c r="V37" s="59"/>
      <c r="W37" s="62">
        <f t="shared" ca="1" si="3"/>
        <v>0.26273854026843174</v>
      </c>
      <c r="Z37" s="59">
        <f t="shared" ca="1" si="11"/>
        <v>0.2434499977293598</v>
      </c>
      <c r="AA37" s="59">
        <f t="shared" ca="1" si="12"/>
        <v>-6.6934536648471876E-2</v>
      </c>
      <c r="AB37" s="59">
        <f t="shared" ca="1" si="4"/>
        <v>-4.4802321963456244E-3</v>
      </c>
      <c r="AC37" s="59">
        <f t="shared" ca="1" si="13"/>
        <v>-1.3859204265816728E-2</v>
      </c>
      <c r="AD37" s="60">
        <f t="shared" ca="1" si="5"/>
        <v>0.98623639236496363</v>
      </c>
      <c r="AE37" s="60">
        <f t="shared" ca="1" si="14"/>
        <v>0.2400992474818624</v>
      </c>
      <c r="AF37" s="60"/>
      <c r="AG37" s="96">
        <f t="shared" ca="1" si="15"/>
        <v>-0.16648846365929823</v>
      </c>
      <c r="AH37" s="96">
        <f t="shared" ca="1" si="16"/>
        <v>-0.16524510810813961</v>
      </c>
      <c r="AI37" s="96">
        <f t="shared" ca="1" si="17"/>
        <v>-0.16773244104371637</v>
      </c>
      <c r="AJ37" s="96"/>
      <c r="AK37" s="96">
        <f t="shared" ca="1" si="18"/>
        <v>0.43055044011862537</v>
      </c>
      <c r="AL37" s="96"/>
      <c r="AM37" s="94">
        <v>-0.7</v>
      </c>
      <c r="AN37" s="95">
        <f t="shared" ca="1" si="6"/>
        <v>0.31225393336676122</v>
      </c>
      <c r="AX37" s="106">
        <f t="shared" ca="1" si="19"/>
        <v>0.59014899999999992</v>
      </c>
      <c r="AY37" s="106">
        <f t="shared" ca="1" si="20"/>
        <v>0.59014696199999994</v>
      </c>
      <c r="AZ37" s="106">
        <f t="shared" ca="1" si="21"/>
        <v>0.59015103800000002</v>
      </c>
      <c r="BB37" s="109">
        <f ca="1">_xll.EURO(UnderlyingPrice,$D37,IntRate,Yield,AX37,$D$6,1,0)</f>
        <v>1.0478645539155598</v>
      </c>
      <c r="BC37" s="109">
        <f ca="1">_xll.EURO(UnderlyingPrice,$D37*(1+$P$8),IntRate,Yield,AY37,$D$6,1,0)</f>
        <v>1.0467263316013584</v>
      </c>
      <c r="BD37" s="109">
        <f ca="1">_xll.EURO(UnderlyingPrice,$D37*(1-$P$8),IntRate,Yield,AZ37,$D$6,1,0)</f>
        <v>1.0490037592117636</v>
      </c>
      <c r="BF37" s="59">
        <f t="shared" ca="1" si="22"/>
        <v>0.23666672825299953</v>
      </c>
      <c r="BG37" s="62">
        <f t="shared" ca="1" si="23"/>
        <v>0.24095777967964876</v>
      </c>
      <c r="BI37" s="96">
        <f t="shared" ca="1" si="24"/>
        <v>-0.16607749139213093</v>
      </c>
      <c r="BJ37" s="96">
        <f t="shared" ca="1" si="25"/>
        <v>-0.16483503440044628</v>
      </c>
      <c r="BK37" s="96">
        <f t="shared" ca="1" si="26"/>
        <v>-0.16732056976768306</v>
      </c>
      <c r="BL37" s="96"/>
      <c r="BM37" s="96">
        <f t="shared" ca="1" si="27"/>
        <v>0.3951438080183578</v>
      </c>
      <c r="BO37" s="58">
        <f t="shared" ca="1" si="28"/>
        <v>5.8107499682091834E-3</v>
      </c>
      <c r="BP37" s="46">
        <f t="shared" ca="1" si="29"/>
        <v>5.5453254397203628E-3</v>
      </c>
    </row>
    <row r="38" spans="3:68" x14ac:dyDescent="0.2">
      <c r="C38" s="56">
        <v>25</v>
      </c>
      <c r="D38" s="63">
        <f t="shared" ca="1" si="30"/>
        <v>4.1000000000000005</v>
      </c>
      <c r="E38" s="45">
        <f t="shared" ca="1" si="7"/>
        <v>-0.1322751322751321</v>
      </c>
      <c r="F38" s="45">
        <f t="shared" ca="1" si="8"/>
        <v>-0.13184126984126976</v>
      </c>
      <c r="G38" s="45">
        <f t="shared" ca="1" si="9"/>
        <v>-0.13270899470899444</v>
      </c>
      <c r="H38" s="45">
        <f t="shared" ca="1" si="0"/>
        <v>0.58501284522134245</v>
      </c>
      <c r="I38" s="45">
        <f t="shared" ca="1" si="1"/>
        <v>0.58498698160745777</v>
      </c>
      <c r="J38" s="45">
        <f t="shared" ca="1" si="2"/>
        <v>0.58496115464437093</v>
      </c>
      <c r="L38" s="58">
        <f ca="1">_xll.EURO(UnderlyingPrice,$D38,IntRate,Yield,$I38,$D$6,L$12,0)</f>
        <v>1.0290110570904916</v>
      </c>
      <c r="M38" s="58">
        <f ca="1">_xll.EURO(UnderlyingPrice,$D38,IntRate,Yield,$I38,$D$6,M$12,0)</f>
        <v>0.41514125236877453</v>
      </c>
      <c r="O38" s="58">
        <f ca="1">_xll.EURO(UnderlyingPrice,$D38*(1+$P$8),IntRate,Yield,$H38,Expiry-Today,O$12,0)</f>
        <v>1.0279038629108608</v>
      </c>
      <c r="P38" s="58">
        <f ca="1">_xll.EURO(UnderlyingPrice,$D38*(1+$P$8),IntRate,Yield,$H38,Expiry-Today,P$12,0)</f>
        <v>0.41604755114863057</v>
      </c>
      <c r="R38" s="58">
        <f ca="1">_xll.EURO(UnderlyingPrice,$D38*(1-$P$8),IntRate,Yield,$J38,Expiry-Today,R$12,0)</f>
        <v>1.0301193319496029</v>
      </c>
      <c r="S38" s="58">
        <f ca="1">_xll.EURO(UnderlyingPrice,$D38*(1-$P$8),IntRate,Yield,$J38,Expiry-Today,S$12,0)</f>
        <v>0.41423603426839906</v>
      </c>
      <c r="U38" s="59">
        <f t="shared" ca="1" si="10"/>
        <v>0.25715157181904991</v>
      </c>
      <c r="V38" s="59"/>
      <c r="W38" s="62">
        <f t="shared" ca="1" si="3"/>
        <v>0.26181403801049369</v>
      </c>
      <c r="Z38" s="59">
        <f t="shared" ca="1" si="11"/>
        <v>0.24202492457191965</v>
      </c>
      <c r="AA38" s="59">
        <f t="shared" ca="1" si="12"/>
        <v>-6.1063678298688084E-2</v>
      </c>
      <c r="AB38" s="59">
        <f t="shared" ca="1" si="4"/>
        <v>-3.72877280736567E-3</v>
      </c>
      <c r="AC38" s="59">
        <f t="shared" ca="1" si="13"/>
        <v>-1.1534630736383614E-2</v>
      </c>
      <c r="AD38" s="60">
        <f t="shared" ca="1" si="5"/>
        <v>0.98853163807657407</v>
      </c>
      <c r="AE38" s="60">
        <f t="shared" ca="1" si="14"/>
        <v>0.23924929514243901</v>
      </c>
      <c r="AF38" s="60"/>
      <c r="AG38" s="96">
        <f t="shared" ca="1" si="15"/>
        <v>-0.15188568554267132</v>
      </c>
      <c r="AH38" s="96">
        <f t="shared" ca="1" si="16"/>
        <v>-0.15064232999151292</v>
      </c>
      <c r="AI38" s="96">
        <f t="shared" ca="1" si="17"/>
        <v>-0.15312966292708954</v>
      </c>
      <c r="AJ38" s="96"/>
      <c r="AK38" s="96">
        <f t="shared" ca="1" si="18"/>
        <v>0.4315616701284804</v>
      </c>
      <c r="AL38" s="96"/>
      <c r="AM38" s="94">
        <v>-0.6</v>
      </c>
      <c r="AN38" s="95">
        <f t="shared" ca="1" si="6"/>
        <v>0.33322460289179962</v>
      </c>
      <c r="AX38" s="106">
        <f t="shared" ca="1" si="19"/>
        <v>0.59012500000000001</v>
      </c>
      <c r="AY38" s="106">
        <f t="shared" ca="1" si="20"/>
        <v>0.59012294999999992</v>
      </c>
      <c r="AZ38" s="106">
        <f t="shared" ca="1" si="21"/>
        <v>0.59012704999999999</v>
      </c>
      <c r="BB38" s="109">
        <f ca="1">_xll.EURO(UnderlyingPrice,$D38,IntRate,Yield,AX38,$D$6,1,0)</f>
        <v>1.0345228596131784</v>
      </c>
      <c r="BC38" s="109">
        <f ca="1">_xll.EURO(UnderlyingPrice,$D38*(1+$P$8),IntRate,Yield,AY38,$D$6,1,0)</f>
        <v>1.0333895612402606</v>
      </c>
      <c r="BD38" s="109">
        <f ca="1">_xll.EURO(UnderlyingPrice,$D38*(1-$P$8),IntRate,Yield,AZ38,$D$6,1,0)</f>
        <v>1.0356571492492272</v>
      </c>
      <c r="BF38" s="59">
        <f t="shared" ca="1" si="22"/>
        <v>0.23587462965704575</v>
      </c>
      <c r="BG38" s="62">
        <f t="shared" ca="1" si="23"/>
        <v>0.24015131938682571</v>
      </c>
      <c r="BI38" s="96">
        <f t="shared" ca="1" si="24"/>
        <v>-0.15148526654372277</v>
      </c>
      <c r="BJ38" s="96">
        <f t="shared" ca="1" si="25"/>
        <v>-0.15024280955203831</v>
      </c>
      <c r="BK38" s="96">
        <f t="shared" ca="1" si="26"/>
        <v>-0.15272834491927495</v>
      </c>
      <c r="BL38" s="96"/>
      <c r="BM38" s="96">
        <f t="shared" ca="1" si="27"/>
        <v>0.39614017264242873</v>
      </c>
      <c r="BO38" s="58">
        <f t="shared" ca="1" si="28"/>
        <v>5.5118025226867928E-3</v>
      </c>
      <c r="BP38" s="46">
        <f t="shared" ca="1" si="29"/>
        <v>5.3278692408476385E-3</v>
      </c>
    </row>
    <row r="39" spans="3:68" x14ac:dyDescent="0.2">
      <c r="C39" s="56">
        <v>26</v>
      </c>
      <c r="D39" s="63">
        <f t="shared" ca="1" si="30"/>
        <v>4.1240000000000006</v>
      </c>
      <c r="E39" s="45">
        <f t="shared" ca="1" si="7"/>
        <v>-0.12719576719576697</v>
      </c>
      <c r="F39" s="45">
        <f t="shared" ca="1" si="8"/>
        <v>-0.12675936507936503</v>
      </c>
      <c r="G39" s="45">
        <f t="shared" ca="1" si="9"/>
        <v>-0.12763216931216903</v>
      </c>
      <c r="H39" s="45">
        <f t="shared" ca="1" si="0"/>
        <v>0.58531851900986198</v>
      </c>
      <c r="I39" s="45">
        <f t="shared" ca="1" si="1"/>
        <v>0.58529207229710267</v>
      </c>
      <c r="J39" s="45">
        <f t="shared" ca="1" si="2"/>
        <v>0.5852656626654793</v>
      </c>
      <c r="L39" s="58">
        <f ca="1">_xll.EURO(UnderlyingPrice,$D39,IntRate,Yield,$I39,$D$6,L$12,0)</f>
        <v>1.0161164267436051</v>
      </c>
      <c r="M39" s="58">
        <f ca="1">_xll.EURO(UnderlyingPrice,$D39,IntRate,Yield,$I39,$D$6,M$12,0)</f>
        <v>0.42581922252320248</v>
      </c>
      <c r="O39" s="58">
        <f ca="1">_xll.EURO(UnderlyingPrice,$D39*(1+$P$8),IntRate,Yield,$H39,Expiry-Today,O$12,0)</f>
        <v>1.015015454786397</v>
      </c>
      <c r="P39" s="58">
        <f ca="1">_xll.EURO(UnderlyingPrice,$D39*(1+$P$8),IntRate,Yield,$H39,Expiry-Today,P$12,0)</f>
        <v>0.4267435298257316</v>
      </c>
      <c r="R39" s="58">
        <f ca="1">_xll.EURO(UnderlyingPrice,$D39*(1-$P$8),IntRate,Yield,$J39,Expiry-Today,R$12,0)</f>
        <v>1.0172184879589103</v>
      </c>
      <c r="S39" s="58">
        <f ca="1">_xll.EURO(UnderlyingPrice,$D39*(1-$P$8),IntRate,Yield,$J39,Expiry-Today,S$12,0)</f>
        <v>0.42489600447876974</v>
      </c>
      <c r="U39" s="59">
        <f t="shared" ca="1" si="10"/>
        <v>0.25618486874245677</v>
      </c>
      <c r="V39" s="59"/>
      <c r="W39" s="62">
        <f t="shared" ca="1" si="3"/>
        <v>0.26082980744853507</v>
      </c>
      <c r="Z39" s="59">
        <f t="shared" ca="1" si="11"/>
        <v>0.24061643810496372</v>
      </c>
      <c r="AA39" s="59">
        <f t="shared" ca="1" si="12"/>
        <v>-5.5227085854236663E-2</v>
      </c>
      <c r="AB39" s="59">
        <f t="shared" ca="1" si="4"/>
        <v>-3.0500310119512273E-3</v>
      </c>
      <c r="AC39" s="59">
        <f t="shared" ca="1" si="13"/>
        <v>-9.4350026871792055E-3</v>
      </c>
      <c r="AD39" s="60">
        <f t="shared" ca="1" si="5"/>
        <v>0.99060936729738602</v>
      </c>
      <c r="AE39" s="60">
        <f t="shared" ca="1" si="14"/>
        <v>0.23835689751250877</v>
      </c>
      <c r="AF39" s="60"/>
      <c r="AG39" s="96">
        <f t="shared" ca="1" si="15"/>
        <v>-0.13736813813384244</v>
      </c>
      <c r="AH39" s="96">
        <f t="shared" ca="1" si="16"/>
        <v>-0.13612478258268423</v>
      </c>
      <c r="AI39" s="96">
        <f t="shared" ca="1" si="17"/>
        <v>-0.13861211551826075</v>
      </c>
      <c r="AJ39" s="96"/>
      <c r="AK39" s="96">
        <f t="shared" ca="1" si="18"/>
        <v>0.4324560297226322</v>
      </c>
      <c r="AL39" s="96"/>
      <c r="AM39" s="94">
        <v>-0.5</v>
      </c>
      <c r="AN39" s="95">
        <f t="shared" ca="1" si="6"/>
        <v>0.35206532676429947</v>
      </c>
      <c r="AX39" s="106">
        <f t="shared" ca="1" si="19"/>
        <v>0.59010099999999999</v>
      </c>
      <c r="AY39" s="106">
        <f t="shared" ca="1" si="20"/>
        <v>0.59009893800000002</v>
      </c>
      <c r="AZ39" s="106">
        <f t="shared" ca="1" si="21"/>
        <v>0.59010306199999996</v>
      </c>
      <c r="BB39" s="109">
        <f ca="1">_xll.EURO(UnderlyingPrice,$D39,IntRate,Yield,AX39,$D$6,1,0)</f>
        <v>1.0213170270954626</v>
      </c>
      <c r="BC39" s="109">
        <f ca="1">_xll.EURO(UnderlyingPrice,$D39*(1+$P$8),IntRate,Yield,AY39,$D$6,1,0)</f>
        <v>1.020188748418716</v>
      </c>
      <c r="BD39" s="109">
        <f ca="1">_xll.EURO(UnderlyingPrice,$D39*(1-$P$8),IntRate,Yield,AZ39,$D$6,1,0)</f>
        <v>1.0224463051277812</v>
      </c>
      <c r="BF39" s="59">
        <f t="shared" ca="1" si="22"/>
        <v>0.23504050761817985</v>
      </c>
      <c r="BG39" s="62">
        <f t="shared" ca="1" si="23"/>
        <v>0.23930207371570572</v>
      </c>
      <c r="BI39" s="96">
        <f t="shared" ca="1" si="24"/>
        <v>-0.1369782108078112</v>
      </c>
      <c r="BJ39" s="96">
        <f t="shared" ca="1" si="25"/>
        <v>-0.13573575381612693</v>
      </c>
      <c r="BK39" s="96">
        <f t="shared" ca="1" si="26"/>
        <v>-0.13822128918336343</v>
      </c>
      <c r="BL39" s="96"/>
      <c r="BM39" s="96">
        <f t="shared" ca="1" si="27"/>
        <v>0.39704997362432121</v>
      </c>
      <c r="BO39" s="58">
        <f t="shared" ca="1" si="28"/>
        <v>5.2006003518574317E-3</v>
      </c>
      <c r="BP39" s="46">
        <f t="shared" ca="1" si="29"/>
        <v>5.0920529217528959E-3</v>
      </c>
    </row>
    <row r="40" spans="3:68" x14ac:dyDescent="0.2">
      <c r="C40" s="56">
        <v>27</v>
      </c>
      <c r="D40" s="63">
        <f t="shared" ca="1" si="30"/>
        <v>4.1480000000000006</v>
      </c>
      <c r="E40" s="45">
        <f t="shared" ca="1" si="7"/>
        <v>-0.12211640211640196</v>
      </c>
      <c r="F40" s="45">
        <f t="shared" ca="1" si="8"/>
        <v>-0.1216774603174603</v>
      </c>
      <c r="G40" s="45">
        <f t="shared" ca="1" si="9"/>
        <v>-0.12255534391534362</v>
      </c>
      <c r="H40" s="45">
        <f t="shared" ca="1" si="0"/>
        <v>0.58562922122803085</v>
      </c>
      <c r="I40" s="45">
        <f t="shared" ca="1" si="1"/>
        <v>0.585602186391736</v>
      </c>
      <c r="J40" s="45">
        <f t="shared" ca="1" si="2"/>
        <v>0.58557518906942729</v>
      </c>
      <c r="L40" s="58">
        <f ca="1">_xll.EURO(UnderlyingPrice,$D40,IntRate,Yield,$I40,$D$6,L$12,0)</f>
        <v>1.0033693561705923</v>
      </c>
      <c r="M40" s="58">
        <f ca="1">_xll.EURO(UnderlyingPrice,$D40,IntRate,Yield,$I40,$D$6,M$12,0)</f>
        <v>0.43664475245150292</v>
      </c>
      <c r="O40" s="58">
        <f ca="1">_xll.EURO(UnderlyingPrice,$D40*(1+$P$8),IntRate,Yield,$H40,Expiry-Today,O$12,0)</f>
        <v>1.0022747046042464</v>
      </c>
      <c r="P40" s="58">
        <f ca="1">_xll.EURO(UnderlyingPrice,$D40*(1+$P$8),IntRate,Yield,$H40,Expiry-Today,P$12,0)</f>
        <v>0.43758716644514606</v>
      </c>
      <c r="R40" s="58">
        <f ca="1">_xll.EURO(UnderlyingPrice,$D40*(1-$P$8),IntRate,Yield,$J40,Expiry-Today,R$12,0)</f>
        <v>1.0044651053070366</v>
      </c>
      <c r="S40" s="58">
        <f ca="1">_xll.EURO(UnderlyingPrice,$D40*(1-$P$8),IntRate,Yield,$J40,Expiry-Today,S$12,0)</f>
        <v>0.43570343602795925</v>
      </c>
      <c r="U40" s="59">
        <f t="shared" ca="1" si="10"/>
        <v>0.25516127449342163</v>
      </c>
      <c r="V40" s="59"/>
      <c r="W40" s="62">
        <f t="shared" ca="1" si="3"/>
        <v>0.2597876542089943</v>
      </c>
      <c r="Z40" s="59">
        <f t="shared" ca="1" si="11"/>
        <v>0.23922425042065346</v>
      </c>
      <c r="AA40" s="59">
        <f t="shared" ca="1" si="12"/>
        <v>-4.9424361641669329E-2</v>
      </c>
      <c r="AB40" s="59">
        <f t="shared" ca="1" si="4"/>
        <v>-2.4427675236865145E-3</v>
      </c>
      <c r="AC40" s="59">
        <f t="shared" ca="1" si="13"/>
        <v>-7.5564864946707326E-3</v>
      </c>
      <c r="AD40" s="60">
        <f t="shared" ca="1" si="5"/>
        <v>0.99247199197187108</v>
      </c>
      <c r="AE40" s="60">
        <f t="shared" ca="1" si="14"/>
        <v>0.23742336834296365</v>
      </c>
      <c r="AF40" s="60"/>
      <c r="AG40" s="96">
        <f t="shared" ca="1" si="15"/>
        <v>-0.12293483228662846</v>
      </c>
      <c r="AH40" s="96">
        <f t="shared" ca="1" si="16"/>
        <v>-0.12169147673547021</v>
      </c>
      <c r="AI40" s="96">
        <f t="shared" ca="1" si="17"/>
        <v>-0.12417880967104657</v>
      </c>
      <c r="AJ40" s="96"/>
      <c r="AK40" s="96">
        <f t="shared" ca="1" si="18"/>
        <v>0.43323480111809348</v>
      </c>
      <c r="AL40" s="96"/>
      <c r="AM40" s="94">
        <v>-0.4</v>
      </c>
      <c r="AN40" s="95">
        <f t="shared" ca="1" si="6"/>
        <v>0.36827014030332328</v>
      </c>
      <c r="AX40" s="106">
        <f t="shared" ca="1" si="19"/>
        <v>0.59007699999999996</v>
      </c>
      <c r="AY40" s="106">
        <f t="shared" ca="1" si="20"/>
        <v>0.590074926</v>
      </c>
      <c r="AZ40" s="106">
        <f t="shared" ca="1" si="21"/>
        <v>0.59007907399999993</v>
      </c>
      <c r="BB40" s="109">
        <f ca="1">_xll.EURO(UnderlyingPrice,$D40,IntRate,Yield,AX40,$D$6,1,0)</f>
        <v>1.0082465759717851</v>
      </c>
      <c r="BC40" s="109">
        <f ca="1">_xll.EURO(UnderlyingPrice,$D40*(1+$P$8),IntRate,Yield,AY40,$D$6,1,0)</f>
        <v>1.0071234099842892</v>
      </c>
      <c r="BD40" s="109">
        <f ca="1">_xll.EURO(UnderlyingPrice,$D40*(1-$P$8),IntRate,Yield,AZ40,$D$6,1,0)</f>
        <v>1.0093707492174024</v>
      </c>
      <c r="BF40" s="59">
        <f t="shared" ca="1" si="22"/>
        <v>0.23416569599712672</v>
      </c>
      <c r="BG40" s="62">
        <f t="shared" ca="1" si="23"/>
        <v>0.23841140071150727</v>
      </c>
      <c r="BI40" s="96">
        <f t="shared" ca="1" si="24"/>
        <v>-0.12255533575305824</v>
      </c>
      <c r="BJ40" s="96">
        <f t="shared" ca="1" si="25"/>
        <v>-0.12131287876137392</v>
      </c>
      <c r="BK40" s="96">
        <f t="shared" ca="1" si="26"/>
        <v>-0.12379841412861028</v>
      </c>
      <c r="BL40" s="96"/>
      <c r="BM40" s="96">
        <f t="shared" ca="1" si="27"/>
        <v>0.39787423795578986</v>
      </c>
      <c r="BO40" s="58">
        <f t="shared" ca="1" si="28"/>
        <v>4.8772198011928225E-3</v>
      </c>
      <c r="BP40" s="46">
        <f t="shared" ca="1" si="29"/>
        <v>4.8373284050005115E-3</v>
      </c>
    </row>
    <row r="41" spans="3:68" x14ac:dyDescent="0.2">
      <c r="C41" s="56">
        <v>28</v>
      </c>
      <c r="D41" s="63">
        <f t="shared" ca="1" si="30"/>
        <v>4.1720000000000006</v>
      </c>
      <c r="E41" s="45">
        <f t="shared" ca="1" si="7"/>
        <v>-0.11703703703703683</v>
      </c>
      <c r="F41" s="45">
        <f t="shared" ca="1" si="8"/>
        <v>-0.11659555555555545</v>
      </c>
      <c r="G41" s="45">
        <f t="shared" ca="1" si="9"/>
        <v>-0.1174785185185182</v>
      </c>
      <c r="H41" s="45">
        <f t="shared" ca="1" si="0"/>
        <v>0.58594495187584927</v>
      </c>
      <c r="I41" s="45">
        <f t="shared" ca="1" si="1"/>
        <v>0.58591732389135809</v>
      </c>
      <c r="J41" s="45">
        <f t="shared" ca="1" si="2"/>
        <v>0.58588973385621468</v>
      </c>
      <c r="L41" s="58">
        <f ca="1">_xll.EURO(UnderlyingPrice,$D41,IntRate,Yield,$I41,$D$6,L$12,0)</f>
        <v>0.9907692558663137</v>
      </c>
      <c r="M41" s="58">
        <f ca="1">_xll.EURO(UnderlyingPrice,$D41,IntRate,Yield,$I41,$D$6,M$12,0)</f>
        <v>0.44761725264853847</v>
      </c>
      <c r="O41" s="58">
        <f ca="1">_xll.EURO(UnderlyingPrice,$D41*(1+$P$8),IntRate,Yield,$H41,Expiry-Today,O$12,0)</f>
        <v>0.98968101919487106</v>
      </c>
      <c r="P41" s="58">
        <f ca="1">_xll.EURO(UnderlyingPrice,$D41*(1+$P$8),IntRate,Yield,$H41,Expiry-Today,P$12,0)</f>
        <v>0.44857786783733467</v>
      </c>
      <c r="R41" s="58">
        <f ca="1">_xll.EURO(UnderlyingPrice,$D41*(1-$P$8),IntRate,Yield,$J41,Expiry-Today,R$12,0)</f>
        <v>0.9918585981516328</v>
      </c>
      <c r="S41" s="58">
        <f ca="1">_xll.EURO(UnderlyingPrice,$D41*(1-$P$8),IntRate,Yield,$J41,Expiry-Today,S$12,0)</f>
        <v>0.44665774307361938</v>
      </c>
      <c r="U41" s="59">
        <f t="shared" ca="1" si="10"/>
        <v>0.25408256946757246</v>
      </c>
      <c r="V41" s="59"/>
      <c r="W41" s="62">
        <f t="shared" ca="1" si="3"/>
        <v>0.25868939096820609</v>
      </c>
      <c r="Z41" s="59">
        <f t="shared" ca="1" si="11"/>
        <v>0.23784808023606677</v>
      </c>
      <c r="AA41" s="59">
        <f t="shared" ca="1" si="12"/>
        <v>-4.3655114870424158E-2</v>
      </c>
      <c r="AB41" s="59">
        <f t="shared" ca="1" si="4"/>
        <v>-1.9057690543499285E-3</v>
      </c>
      <c r="AC41" s="59">
        <f t="shared" ca="1" si="13"/>
        <v>-5.8953289584525968E-3</v>
      </c>
      <c r="AD41" s="60">
        <f t="shared" ca="1" si="5"/>
        <v>0.99412201439498338</v>
      </c>
      <c r="AE41" s="60">
        <f t="shared" ca="1" si="14"/>
        <v>0.23645001264425833</v>
      </c>
      <c r="AF41" s="60"/>
      <c r="AG41" s="96">
        <f t="shared" ca="1" si="15"/>
        <v>-0.10858479597487485</v>
      </c>
      <c r="AH41" s="96">
        <f t="shared" ca="1" si="16"/>
        <v>-0.10734144042371647</v>
      </c>
      <c r="AI41" s="96">
        <f t="shared" ca="1" si="17"/>
        <v>-0.10982877335929302</v>
      </c>
      <c r="AJ41" s="96"/>
      <c r="AK41" s="96">
        <f t="shared" ca="1" si="18"/>
        <v>0.43389934804573915</v>
      </c>
      <c r="AL41" s="96"/>
      <c r="AM41" s="94">
        <v>-0.3</v>
      </c>
      <c r="AN41" s="95">
        <f t="shared" ca="1" si="6"/>
        <v>0.38138781546052408</v>
      </c>
      <c r="AX41" s="106">
        <f t="shared" ca="1" si="19"/>
        <v>0.59005299999999994</v>
      </c>
      <c r="AY41" s="106">
        <f t="shared" ca="1" si="20"/>
        <v>0.59005091399999998</v>
      </c>
      <c r="AZ41" s="106">
        <f t="shared" ca="1" si="21"/>
        <v>0.59005508600000001</v>
      </c>
      <c r="BB41" s="109">
        <f ca="1">_xll.EURO(UnderlyingPrice,$D41,IntRate,Yield,AX41,$D$6,1,0)</f>
        <v>0.99531100241338555</v>
      </c>
      <c r="BC41" s="109">
        <f ca="1">_xll.EURO(UnderlyingPrice,$D41*(1+$P$8),IntRate,Yield,AY41,$D$6,1,0)</f>
        <v>0.99419303936546299</v>
      </c>
      <c r="BD41" s="109">
        <f ca="1">_xll.EURO(UnderlyingPrice,$D41*(1-$P$8),IntRate,Yield,AZ41,$D$6,1,0)</f>
        <v>0.99642998043103903</v>
      </c>
      <c r="BF41" s="59">
        <f t="shared" ca="1" si="22"/>
        <v>0.2332515199554516</v>
      </c>
      <c r="BG41" s="62">
        <f t="shared" ca="1" si="23"/>
        <v>0.23748064956256296</v>
      </c>
      <c r="BI41" s="96">
        <f t="shared" ca="1" si="24"/>
        <v>-0.10821567005578202</v>
      </c>
      <c r="BJ41" s="96">
        <f t="shared" ca="1" si="25"/>
        <v>-0.10697321306409759</v>
      </c>
      <c r="BK41" s="96">
        <f t="shared" ca="1" si="26"/>
        <v>-0.10945874843133413</v>
      </c>
      <c r="BL41" s="96"/>
      <c r="BM41" s="96">
        <f t="shared" ca="1" si="27"/>
        <v>0.39861403021457115</v>
      </c>
      <c r="BO41" s="58">
        <f t="shared" ca="1" si="28"/>
        <v>4.5417465470718454E-3</v>
      </c>
      <c r="BP41" s="46">
        <f t="shared" ca="1" si="29"/>
        <v>4.5631431141213369E-3</v>
      </c>
    </row>
    <row r="42" spans="3:68" x14ac:dyDescent="0.2">
      <c r="C42" s="56">
        <v>29</v>
      </c>
      <c r="D42" s="63">
        <f t="shared" ca="1" si="30"/>
        <v>4.1960000000000006</v>
      </c>
      <c r="E42" s="45">
        <f t="shared" ca="1" si="7"/>
        <v>-0.11195767195767181</v>
      </c>
      <c r="F42" s="45">
        <f t="shared" ca="1" si="8"/>
        <v>-0.11151365079365061</v>
      </c>
      <c r="G42" s="45">
        <f t="shared" ca="1" si="9"/>
        <v>-0.1124016931216929</v>
      </c>
      <c r="H42" s="45">
        <f t="shared" ca="1" si="0"/>
        <v>0.58626571095331725</v>
      </c>
      <c r="I42" s="45">
        <f t="shared" ca="1" si="1"/>
        <v>0.58623748479596882</v>
      </c>
      <c r="J42" s="45">
        <f t="shared" ca="1" si="2"/>
        <v>0.58620929702584168</v>
      </c>
      <c r="L42" s="58">
        <f ca="1">_xll.EURO(UnderlyingPrice,$D42,IntRate,Yield,$I42,$D$6,L$12,0)</f>
        <v>0.9783155045820866</v>
      </c>
      <c r="M42" s="58">
        <f ca="1">_xll.EURO(UnderlyingPrice,$D42,IntRate,Yield,$I42,$D$6,M$12,0)</f>
        <v>0.45873610186562508</v>
      </c>
      <c r="O42" s="58">
        <f ca="1">_xll.EURO(UnderlyingPrice,$D42*(1+$P$8),IntRate,Yield,$H42,Expiry-Today,O$12,0)</f>
        <v>0.97723377367061071</v>
      </c>
      <c r="P42" s="58">
        <f ca="1">_xll.EURO(UnderlyingPrice,$D42*(1+$P$8),IntRate,Yield,$H42,Expiry-Today,P$12,0)</f>
        <v>0.45971500911464047</v>
      </c>
      <c r="R42" s="58">
        <f ca="1">_xll.EURO(UnderlyingPrice,$D42*(1-$P$8),IntRate,Yield,$J42,Expiry-Today,R$12,0)</f>
        <v>0.97939834888166954</v>
      </c>
      <c r="S42" s="58">
        <f ca="1">_xll.EURO(UnderlyingPrice,$D42*(1-$P$8),IntRate,Yield,$J42,Expiry-Today,S$12,0)</f>
        <v>0.45775830800471806</v>
      </c>
      <c r="U42" s="59">
        <f t="shared" ca="1" si="10"/>
        <v>0.25295053963135555</v>
      </c>
      <c r="V42" s="59"/>
      <c r="W42" s="62">
        <f t="shared" ca="1" si="3"/>
        <v>0.2575368360743287</v>
      </c>
      <c r="Z42" s="59">
        <f t="shared" ca="1" si="11"/>
        <v>0.23648765270373462</v>
      </c>
      <c r="AA42" s="59">
        <f t="shared" ca="1" si="12"/>
        <v>-3.791896147489951E-2</v>
      </c>
      <c r="AB42" s="59">
        <f t="shared" ca="1" si="4"/>
        <v>-1.4378476393349133E-3</v>
      </c>
      <c r="AC42" s="59">
        <f t="shared" ca="1" si="13"/>
        <v>-4.4478552144951496E-3</v>
      </c>
      <c r="AD42" s="60">
        <f t="shared" ca="1" si="5"/>
        <v>0.99556202184417419</v>
      </c>
      <c r="AE42" s="60">
        <f t="shared" ca="1" si="14"/>
        <v>0.23543812566691291</v>
      </c>
      <c r="AF42" s="60"/>
      <c r="AG42" s="96">
        <f t="shared" ca="1" si="15"/>
        <v>-9.431707389964078E-2</v>
      </c>
      <c r="AH42" s="96">
        <f t="shared" ca="1" si="16"/>
        <v>-9.3073718348481993E-2</v>
      </c>
      <c r="AI42" s="96">
        <f t="shared" ca="1" si="17"/>
        <v>-9.556105128405902E-2</v>
      </c>
      <c r="AJ42" s="96"/>
      <c r="AK42" s="96">
        <f t="shared" ca="1" si="18"/>
        <v>0.43445111376583501</v>
      </c>
      <c r="AL42" s="96"/>
      <c r="AM42" s="94">
        <v>-0.2</v>
      </c>
      <c r="AN42" s="95">
        <f t="shared" ca="1" si="6"/>
        <v>0.39104269397545582</v>
      </c>
      <c r="AX42" s="106">
        <f t="shared" ca="1" si="19"/>
        <v>0.59002899999999991</v>
      </c>
      <c r="AY42" s="106">
        <f t="shared" ca="1" si="20"/>
        <v>0.59002690199999996</v>
      </c>
      <c r="AZ42" s="106">
        <f t="shared" ca="1" si="21"/>
        <v>0.59003109799999998</v>
      </c>
      <c r="BB42" s="109">
        <f ca="1">_xll.EURO(UnderlyingPrice,$D42,IntRate,Yield,AX42,$D$6,1,0)</f>
        <v>0.98250977991818189</v>
      </c>
      <c r="BC42" s="109">
        <f ca="1">_xll.EURO(UnderlyingPrice,$D42*(1+$P$8),IntRate,Yield,AY42,$D$6,1,0)</f>
        <v>0.98139710733808716</v>
      </c>
      <c r="BD42" s="109">
        <f ca="1">_xll.EURO(UnderlyingPrice,$D42*(1-$P$8),IntRate,Yield,AZ42,$D$6,1,0)</f>
        <v>0.98362347498781588</v>
      </c>
      <c r="BF42" s="59">
        <f t="shared" ca="1" si="22"/>
        <v>0.23229930254054015</v>
      </c>
      <c r="BG42" s="62">
        <f t="shared" ca="1" si="23"/>
        <v>0.23651116730469326</v>
      </c>
      <c r="BI42" s="96">
        <f t="shared" ca="1" si="24"/>
        <v>-9.3958259107425848E-2</v>
      </c>
      <c r="BJ42" s="96">
        <f t="shared" ca="1" si="25"/>
        <v>-9.2715802115741014E-2</v>
      </c>
      <c r="BK42" s="96">
        <f t="shared" ca="1" si="26"/>
        <v>-9.5201337482978043E-2</v>
      </c>
      <c r="BL42" s="96"/>
      <c r="BM42" s="96">
        <f t="shared" ca="1" si="27"/>
        <v>0.39927046345498829</v>
      </c>
      <c r="BO42" s="58">
        <f t="shared" ca="1" si="28"/>
        <v>4.1942753360952878E-3</v>
      </c>
      <c r="BP42" s="46">
        <f t="shared" ca="1" si="29"/>
        <v>4.2689400368559833E-3</v>
      </c>
    </row>
    <row r="43" spans="3:68" x14ac:dyDescent="0.2">
      <c r="C43" s="56">
        <v>30</v>
      </c>
      <c r="D43" s="63">
        <f t="shared" ca="1" si="30"/>
        <v>4.2200000000000006</v>
      </c>
      <c r="E43" s="45">
        <f t="shared" ca="1" si="7"/>
        <v>-0.10687830687830668</v>
      </c>
      <c r="F43" s="45">
        <f t="shared" ca="1" si="8"/>
        <v>-0.10643174603174577</v>
      </c>
      <c r="G43" s="45">
        <f t="shared" ca="1" si="9"/>
        <v>-0.10732486772486749</v>
      </c>
      <c r="H43" s="45">
        <f t="shared" ca="1" si="0"/>
        <v>0.58659149846043479</v>
      </c>
      <c r="I43" s="45">
        <f t="shared" ca="1" si="1"/>
        <v>0.5865626691055682</v>
      </c>
      <c r="J43" s="45">
        <f t="shared" ca="1" si="2"/>
        <v>0.58653387857830819</v>
      </c>
      <c r="L43" s="58">
        <f ca="1">_xll.EURO(UnderlyingPrice,$D43,IntRate,Yield,$I43,$D$6,L$12,0)</f>
        <v>0.96600745035415736</v>
      </c>
      <c r="M43" s="58">
        <f ca="1">_xll.EURO(UnderlyingPrice,$D43,IntRate,Yield,$I43,$D$6,M$12,0)</f>
        <v>0.47000064813900999</v>
      </c>
      <c r="O43" s="58">
        <f ca="1">_xll.EURO(UnderlyingPrice,$D43*(1+$P$8),IntRate,Yield,$H43,Expiry-Today,O$12,0)</f>
        <v>0.96493231245692979</v>
      </c>
      <c r="P43" s="58">
        <f ca="1">_xll.EURO(UnderlyingPrice,$D43*(1+$P$8),IntRate,Yield,$H43,Expiry-Today,P$12,0)</f>
        <v>0.47099793470252327</v>
      </c>
      <c r="R43" s="58">
        <f ca="1">_xll.EURO(UnderlyingPrice,$D43*(1-$P$8),IntRate,Yield,$J43,Expiry-Today,R$12,0)</f>
        <v>0.96708370914313013</v>
      </c>
      <c r="S43" s="58">
        <f ca="1">_xll.EURO(UnderlyingPrice,$D43*(1-$P$8),IntRate,Yield,$J43,Expiry-Today,S$12,0)</f>
        <v>0.4690044824672428</v>
      </c>
      <c r="U43" s="59">
        <f t="shared" ca="1" si="10"/>
        <v>0.25176697405691784</v>
      </c>
      <c r="V43" s="59"/>
      <c r="W43" s="62">
        <f t="shared" ca="1" si="3"/>
        <v>0.25633181103753133</v>
      </c>
      <c r="Z43" s="59">
        <f t="shared" ca="1" si="11"/>
        <v>0.23514269922864228</v>
      </c>
      <c r="AA43" s="59">
        <f t="shared" ca="1" si="12"/>
        <v>-3.2215523961029752E-2</v>
      </c>
      <c r="AB43" s="59">
        <f t="shared" ca="1" si="4"/>
        <v>-1.037839984083682E-3</v>
      </c>
      <c r="AC43" s="59">
        <f t="shared" ca="1" si="13"/>
        <v>-3.2104667133948952E-3</v>
      </c>
      <c r="AD43" s="60">
        <f t="shared" ca="1" si="5"/>
        <v>0.99679468132418925</v>
      </c>
      <c r="AE43" s="60">
        <f t="shared" ca="1" si="14"/>
        <v>0.23438899194332416</v>
      </c>
      <c r="AF43" s="60"/>
      <c r="AG43" s="96">
        <f t="shared" ca="1" si="15"/>
        <v>-8.0130727107582095E-2</v>
      </c>
      <c r="AH43" s="96">
        <f t="shared" ca="1" si="16"/>
        <v>-7.8887371556423239E-2</v>
      </c>
      <c r="AI43" s="96">
        <f t="shared" ca="1" si="17"/>
        <v>-8.1374704492000474E-2</v>
      </c>
      <c r="AJ43" s="96"/>
      <c r="AK43" s="96">
        <f t="shared" ca="1" si="18"/>
        <v>0.43489161708356</v>
      </c>
      <c r="AL43" s="96"/>
      <c r="AM43" s="94">
        <v>-0.1</v>
      </c>
      <c r="AN43" s="95">
        <f t="shared" ca="1" si="6"/>
        <v>0.39695254747701175</v>
      </c>
      <c r="AX43" s="106">
        <f t="shared" ca="1" si="19"/>
        <v>0.590005</v>
      </c>
      <c r="AY43" s="106">
        <f t="shared" ca="1" si="20"/>
        <v>0.59000288999999995</v>
      </c>
      <c r="AZ43" s="106">
        <f t="shared" ca="1" si="21"/>
        <v>0.59000710999999995</v>
      </c>
      <c r="BB43" s="109">
        <f ca="1">_xll.EURO(UnderlyingPrice,$D43,IntRate,Yield,AX43,$D$6,1,0)</f>
        <v>0.96984236007190194</v>
      </c>
      <c r="BC43" s="109">
        <f ca="1">_xll.EURO(UnderlyingPrice,$D43*(1+$P$8),IntRate,Yield,AY43,$D$6,1,0)</f>
        <v>0.9687350627880571</v>
      </c>
      <c r="BD43" s="109">
        <f ca="1">_xll.EURO(UnderlyingPrice,$D43*(1-$P$8),IntRate,Yield,AZ43,$D$6,1,0)</f>
        <v>0.9709506871725937</v>
      </c>
      <c r="BF43" s="59">
        <f t="shared" ca="1" si="22"/>
        <v>0.23131035846211231</v>
      </c>
      <c r="BG43" s="62">
        <f t="shared" ca="1" si="23"/>
        <v>0.23550429248488094</v>
      </c>
      <c r="BI43" s="96">
        <f t="shared" ca="1" si="24"/>
        <v>-7.9782164633216898E-2</v>
      </c>
      <c r="BJ43" s="96">
        <f t="shared" ca="1" si="25"/>
        <v>-7.8539707641531981E-2</v>
      </c>
      <c r="BK43" s="96">
        <f t="shared" ca="1" si="26"/>
        <v>-8.1025243008769218E-2</v>
      </c>
      <c r="BL43" s="96"/>
      <c r="BM43" s="96">
        <f t="shared" ca="1" si="27"/>
        <v>0.39984468834610615</v>
      </c>
      <c r="BO43" s="58">
        <f t="shared" ca="1" si="28"/>
        <v>3.8349097177445834E-3</v>
      </c>
      <c r="BP43" s="46">
        <f t="shared" ca="1" si="29"/>
        <v>3.9541577844261948E-3</v>
      </c>
    </row>
    <row r="44" spans="3:68" x14ac:dyDescent="0.2">
      <c r="C44" s="56">
        <v>31</v>
      </c>
      <c r="D44" s="63">
        <f t="shared" ca="1" si="30"/>
        <v>4.2440000000000007</v>
      </c>
      <c r="E44" s="45">
        <f t="shared" ca="1" si="7"/>
        <v>-0.10179894179894156</v>
      </c>
      <c r="F44" s="45">
        <f t="shared" ca="1" si="8"/>
        <v>-0.10134984126984103</v>
      </c>
      <c r="G44" s="45">
        <f t="shared" ca="1" si="9"/>
        <v>-0.10224804232804208</v>
      </c>
      <c r="H44" s="45">
        <f t="shared" ca="1" si="0"/>
        <v>0.58692231439720166</v>
      </c>
      <c r="I44" s="45">
        <f t="shared" ca="1" si="1"/>
        <v>0.58689287682015634</v>
      </c>
      <c r="J44" s="45">
        <f t="shared" ca="1" si="2"/>
        <v>0.5868634785136142</v>
      </c>
      <c r="L44" s="58">
        <f ca="1">_xll.EURO(UnderlyingPrice,$D44,IntRate,Yield,$I44,$D$6,L$12,0)</f>
        <v>0.95384441153378319</v>
      </c>
      <c r="M44" s="58">
        <f ca="1">_xll.EURO(UnderlyingPrice,$D44,IntRate,Yield,$I44,$D$6,M$12,0)</f>
        <v>0.48141020981995086</v>
      </c>
      <c r="O44" s="58">
        <f ca="1">_xll.EURO(UnderlyingPrice,$D44*(1+$P$8),IntRate,Yield,$H44,Expiry-Today,O$12,0)</f>
        <v>0.95277595032514029</v>
      </c>
      <c r="P44" s="58">
        <f ca="1">_xll.EURO(UnderlyingPrice,$D44*(1+$P$8),IntRate,Yield,$H44,Expiry-Today,P$12,0)</f>
        <v>0.48242595937229815</v>
      </c>
      <c r="R44" s="58">
        <f ca="1">_xll.EURO(UnderlyingPrice,$D44*(1-$P$8),IntRate,Yield,$J44,Expiry-Today,R$12,0)</f>
        <v>0.95491400086643807</v>
      </c>
      <c r="S44" s="58">
        <f ca="1">_xll.EURO(UnderlyingPrice,$D44*(1-$P$8),IntRate,Yield,$J44,Expiry-Today,S$12,0)</f>
        <v>0.48039558839161423</v>
      </c>
      <c r="U44" s="59">
        <f t="shared" ca="1" si="10"/>
        <v>0.25053366064598931</v>
      </c>
      <c r="V44" s="59"/>
      <c r="W44" s="62">
        <f t="shared" ca="1" si="3"/>
        <v>0.25507613617634517</v>
      </c>
      <c r="Z44" s="59">
        <f t="shared" ca="1" si="11"/>
        <v>0.2338129572914398</v>
      </c>
      <c r="AA44" s="59">
        <f t="shared" ca="1" si="12"/>
        <v>-2.6544431257213438E-2</v>
      </c>
      <c r="AB44" s="59">
        <f t="shared" ca="1" si="4"/>
        <v>-7.0460683076892976E-4</v>
      </c>
      <c r="AC44" s="59">
        <f t="shared" ca="1" si="13"/>
        <v>-2.1796392612600697E-3</v>
      </c>
      <c r="AD44" s="60">
        <f t="shared" ca="1" si="5"/>
        <v>0.99782273442748626</v>
      </c>
      <c r="AE44" s="60">
        <f t="shared" ca="1" si="14"/>
        <v>0.23330388438912153</v>
      </c>
      <c r="AF44" s="60"/>
      <c r="AG44" s="96">
        <f t="shared" ca="1" si="15"/>
        <v>-6.6024832620159971E-2</v>
      </c>
      <c r="AH44" s="96">
        <f t="shared" ca="1" si="16"/>
        <v>-6.4781477069001323E-2</v>
      </c>
      <c r="AI44" s="96">
        <f t="shared" ca="1" si="17"/>
        <v>-6.7268810004578419E-2</v>
      </c>
      <c r="AJ44" s="96"/>
      <c r="AK44" s="96">
        <f t="shared" ca="1" si="18"/>
        <v>0.43522244507297669</v>
      </c>
      <c r="AL44" s="96"/>
      <c r="AM44" s="94">
        <v>0</v>
      </c>
      <c r="AN44" s="95">
        <f t="shared" ca="1" si="6"/>
        <v>0.39894228040143265</v>
      </c>
      <c r="AX44" s="106">
        <f t="shared" ca="1" si="19"/>
        <v>0.59018999999999999</v>
      </c>
      <c r="AY44" s="106">
        <f t="shared" ca="1" si="20"/>
        <v>0.59021121999999993</v>
      </c>
      <c r="AZ44" s="106">
        <f t="shared" ca="1" si="21"/>
        <v>0.59016877999999995</v>
      </c>
      <c r="BB44" s="109">
        <f ca="1">_xll.EURO(UnderlyingPrice,$D44,IntRate,Yield,AX44,$D$6,1,0)</f>
        <v>0.95754261769313853</v>
      </c>
      <c r="BC44" s="109">
        <f ca="1">_xll.EURO(UnderlyingPrice,$D44*(1+$P$8),IntRate,Yield,AY44,$D$6,1,0)</f>
        <v>0.95646711458920608</v>
      </c>
      <c r="BD44" s="109">
        <f ca="1">_xll.EURO(UnderlyingPrice,$D44*(1-$P$8),IntRate,Yield,AZ44,$D$6,1,0)</f>
        <v>0.95861918816863101</v>
      </c>
      <c r="BF44" s="59">
        <f t="shared" ca="1" si="22"/>
        <v>0.23704176257399281</v>
      </c>
      <c r="BG44" s="62">
        <f t="shared" ca="1" si="23"/>
        <v>0.24133961382235766</v>
      </c>
      <c r="BI44" s="96">
        <f t="shared" ca="1" si="24"/>
        <v>-6.5686464321642823E-2</v>
      </c>
      <c r="BJ44" s="96">
        <f t="shared" ca="1" si="25"/>
        <v>-6.4444007329958114E-2</v>
      </c>
      <c r="BK44" s="96">
        <f t="shared" ca="1" si="26"/>
        <v>-6.6929542697195213E-2</v>
      </c>
      <c r="BL44" s="96"/>
      <c r="BM44" s="96">
        <f t="shared" ca="1" si="27"/>
        <v>0.4120823765226197</v>
      </c>
      <c r="BO44" s="58">
        <f t="shared" ca="1" si="28"/>
        <v>3.6982061593553439E-3</v>
      </c>
      <c r="BP44" s="46">
        <f t="shared" ca="1" si="29"/>
        <v>3.8621843989198813E-3</v>
      </c>
    </row>
    <row r="45" spans="3:68" x14ac:dyDescent="0.2">
      <c r="C45" s="56">
        <v>32</v>
      </c>
      <c r="D45" s="63">
        <f t="shared" ca="1" si="30"/>
        <v>4.2680000000000007</v>
      </c>
      <c r="E45" s="45">
        <f t="shared" ca="1" si="7"/>
        <v>-9.6719576719576539E-2</v>
      </c>
      <c r="F45" s="45">
        <f t="shared" ca="1" si="8"/>
        <v>-9.6267936507936303E-2</v>
      </c>
      <c r="G45" s="45">
        <f t="shared" ca="1" si="9"/>
        <v>-9.7171216931216664E-2</v>
      </c>
      <c r="H45" s="45">
        <f t="shared" ref="H45:H65" ca="1" si="31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0.58725815876361809</v>
      </c>
      <c r="I45" s="45">
        <f t="shared" ref="I45:I76" ca="1" si="32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0.58722810793973301</v>
      </c>
      <c r="J45" s="45">
        <f t="shared" ref="J45:J65" ca="1" si="33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0.58719809683175983</v>
      </c>
      <c r="L45" s="58">
        <f ca="1">_xll.EURO(UnderlyingPrice,$D45,IntRate,Yield,$I45,$D$6,L$12,0)</f>
        <v>0.94182567781760929</v>
      </c>
      <c r="M45" s="58">
        <f ca="1">_xll.EURO(UnderlyingPrice,$D45,IntRate,Yield,$I45,$D$6,M$12,0)</f>
        <v>0.49296407660509001</v>
      </c>
      <c r="O45" s="58">
        <f ca="1">_xll.EURO(UnderlyingPrice,$D45*(1+$P$8),IntRate,Yield,$H45,Expiry-Today,O$12,0)</f>
        <v>0.94076397342533191</v>
      </c>
      <c r="P45" s="58">
        <f ca="1">_xll.EURO(UnderlyingPrice,$D45*(1+$P$8),IntRate,Yield,$H45,Expiry-Today,P$12,0)</f>
        <v>0.49399836927405394</v>
      </c>
      <c r="R45" s="58">
        <f ca="1">_xll.EURO(UnderlyingPrice,$D45*(1-$P$8),IntRate,Yield,$J45,Expiry-Today,R$12,0)</f>
        <v>0.94288851729428647</v>
      </c>
      <c r="S45" s="58">
        <f ca="1">_xll.EURO(UnderlyingPrice,$D45*(1-$P$8),IntRate,Yield,$J45,Expiry-Today,S$12,0)</f>
        <v>0.49193091902052566</v>
      </c>
      <c r="U45" s="59">
        <f t="shared" ca="1" si="10"/>
        <v>0.24925238623428037</v>
      </c>
      <c r="V45" s="59"/>
      <c r="W45" s="62">
        <f t="shared" ref="W45:W65" ca="1" si="34">U45/$D$9</f>
        <v>0.25377163072395348</v>
      </c>
      <c r="Z45" s="59">
        <f t="shared" ca="1" si="11"/>
        <v>0.23249817027761724</v>
      </c>
      <c r="AA45" s="59">
        <f t="shared" ca="1" si="12"/>
        <v>-2.0905318569443276E-2</v>
      </c>
      <c r="AB45" s="59">
        <f t="shared" ca="1" si="4"/>
        <v>-4.3703234448990986E-4</v>
      </c>
      <c r="AC45" s="59">
        <f t="shared" ca="1" si="13"/>
        <v>-1.3519211209621839E-3</v>
      </c>
      <c r="AD45" s="60">
        <f t="shared" ca="1" si="5"/>
        <v>0.99864899231271997</v>
      </c>
      <c r="AE45" s="60">
        <f t="shared" ca="1" si="14"/>
        <v>0.23218406346229364</v>
      </c>
      <c r="AF45" s="60"/>
      <c r="AG45" s="96">
        <f t="shared" ca="1" si="15"/>
        <v>-5.1998483073300981E-2</v>
      </c>
      <c r="AH45" s="96">
        <f t="shared" ca="1" si="16"/>
        <v>-5.0755127522142264E-2</v>
      </c>
      <c r="AI45" s="96">
        <f t="shared" ca="1" si="17"/>
        <v>-5.3242460457719215E-2</v>
      </c>
      <c r="AJ45" s="96"/>
      <c r="AK45" s="96">
        <f t="shared" ca="1" si="18"/>
        <v>0.43544525320194144</v>
      </c>
      <c r="AL45" s="96"/>
      <c r="AM45" s="94">
        <v>0.1</v>
      </c>
      <c r="AN45" s="95">
        <f t="shared" ca="1" si="6"/>
        <v>0.39695254747701175</v>
      </c>
      <c r="AX45" s="106">
        <f t="shared" ca="1" si="19"/>
        <v>0.59043000000000001</v>
      </c>
      <c r="AY45" s="106">
        <f t="shared" ca="1" si="20"/>
        <v>0.59045133999999999</v>
      </c>
      <c r="AZ45" s="106">
        <f t="shared" ca="1" si="21"/>
        <v>0.59040866000000003</v>
      </c>
      <c r="BB45" s="109">
        <f ca="1">_xll.EURO(UnderlyingPrice,$D45,IntRate,Yield,AX45,$D$6,1,0)</f>
        <v>0.94544068937515258</v>
      </c>
      <c r="BC45" s="109">
        <f ca="1">_xll.EURO(UnderlyingPrice,$D45*(1+$P$8),IntRate,Yield,AY45,$D$6,1,0)</f>
        <v>0.94437120976734601</v>
      </c>
      <c r="BD45" s="109">
        <f ca="1">_xll.EURO(UnderlyingPrice,$D45*(1-$P$8),IntRate,Yield,AZ45,$D$6,1,0)</f>
        <v>0.94651124225522487</v>
      </c>
      <c r="BF45" s="59">
        <f t="shared" ca="1" si="22"/>
        <v>0.23567910312002666</v>
      </c>
      <c r="BG45" s="62">
        <f t="shared" ca="1" si="23"/>
        <v>0.23995224771935325</v>
      </c>
      <c r="BI45" s="96">
        <f t="shared" ca="1" si="24"/>
        <v>-5.1670251464372312E-2</v>
      </c>
      <c r="BJ45" s="96">
        <f t="shared" ca="1" si="25"/>
        <v>-5.0427794472687547E-2</v>
      </c>
      <c r="BK45" s="96">
        <f t="shared" ca="1" si="26"/>
        <v>-5.29133298399245E-2</v>
      </c>
      <c r="BL45" s="96"/>
      <c r="BM45" s="96">
        <f t="shared" ca="1" si="27"/>
        <v>0.41203042481936569</v>
      </c>
      <c r="BO45" s="58">
        <f t="shared" ca="1" si="28"/>
        <v>3.6150115575432906E-3</v>
      </c>
      <c r="BP45" s="46">
        <f t="shared" ca="1" si="29"/>
        <v>3.8236259536623849E-3</v>
      </c>
    </row>
    <row r="46" spans="3:68" x14ac:dyDescent="0.2">
      <c r="C46" s="56">
        <v>33</v>
      </c>
      <c r="D46" s="63">
        <f t="shared" ca="1" si="30"/>
        <v>4.2920000000000007</v>
      </c>
      <c r="E46" s="45">
        <f t="shared" ca="1" si="7"/>
        <v>-9.1640211640211411E-2</v>
      </c>
      <c r="F46" s="45">
        <f t="shared" ca="1" si="8"/>
        <v>-9.1186031746031571E-2</v>
      </c>
      <c r="G46" s="45">
        <f t="shared" ca="1" si="9"/>
        <v>-9.2094391534391251E-2</v>
      </c>
      <c r="H46" s="45">
        <f t="shared" ca="1" si="31"/>
        <v>0.58759903155968407</v>
      </c>
      <c r="I46" s="45">
        <f t="shared" ca="1" si="32"/>
        <v>0.58756836246429844</v>
      </c>
      <c r="J46" s="45">
        <f t="shared" ca="1" si="33"/>
        <v>0.58753773353274485</v>
      </c>
      <c r="L46" s="58">
        <f ca="1">_xll.EURO(UnderlyingPrice,$D46,IntRate,Yield,$I46,$D$6,L$12,0)</f>
        <v>0.92995051127709383</v>
      </c>
      <c r="M46" s="58">
        <f ca="1">_xll.EURO(UnderlyingPrice,$D46,IntRate,Yield,$I46,$D$6,M$12,0)</f>
        <v>0.50466151056588915</v>
      </c>
      <c r="O46" s="58">
        <f ca="1">_xll.EURO(UnderlyingPrice,$D46*(1+$P$8),IntRate,Yield,$H46,Expiry-Today,O$12,0)</f>
        <v>0.9288956403182338</v>
      </c>
      <c r="P46" s="58">
        <f ca="1">_xll.EURO(UnderlyingPrice,$D46*(1+$P$8),IntRate,Yield,$H46,Expiry-Today,P$12,0)</f>
        <v>0.50571442296852132</v>
      </c>
      <c r="R46" s="58">
        <f ca="1">_xll.EURO(UnderlyingPrice,$D46*(1-$P$8),IntRate,Yield,$J46,Expiry-Today,R$12,0)</f>
        <v>0.93100652400862716</v>
      </c>
      <c r="S46" s="58">
        <f ca="1">_xll.EURO(UnderlyingPrice,$D46*(1-$P$8),IntRate,Yield,$J46,Expiry-Today,S$12,0)</f>
        <v>0.50360973993593006</v>
      </c>
      <c r="U46" s="59">
        <f t="shared" ref="U46:U77" ca="1" si="35">(O46+R46-2*L46)/($P$8*D46)^2</f>
        <v>0.24792493572569499</v>
      </c>
      <c r="V46" s="59"/>
      <c r="W46" s="62">
        <f t="shared" ca="1" si="34"/>
        <v>0.25242011194670727</v>
      </c>
      <c r="Z46" s="59">
        <f t="shared" ca="1" si="11"/>
        <v>0.23119808731241157</v>
      </c>
      <c r="AA46" s="59">
        <f t="shared" ca="1" si="12"/>
        <v>-1.5297827240498121E-2</v>
      </c>
      <c r="AB46" s="59">
        <f t="shared" ca="1" si="4"/>
        <v>-2.3402351828012637E-4</v>
      </c>
      <c r="AC46" s="59">
        <f t="shared" ca="1" si="13"/>
        <v>-7.2393117157965221E-4</v>
      </c>
      <c r="AD46" s="60">
        <f t="shared" ca="1" si="5"/>
        <v>0.99927633080336986</v>
      </c>
      <c r="AE46" s="60">
        <f t="shared" ca="1" si="14"/>
        <v>0.23103077637830377</v>
      </c>
      <c r="AF46" s="60"/>
      <c r="AG46" s="96">
        <f t="shared" ca="1" si="15"/>
        <v>-3.8050786367160729E-2</v>
      </c>
      <c r="AH46" s="96">
        <f t="shared" ca="1" si="16"/>
        <v>-3.6807430816002219E-2</v>
      </c>
      <c r="AI46" s="96">
        <f t="shared" ca="1" si="17"/>
        <v>-3.9294763751579032E-2</v>
      </c>
      <c r="AJ46" s="96"/>
      <c r="AK46" s="96">
        <f t="shared" ca="1" si="18"/>
        <v>0.43556176375883121</v>
      </c>
      <c r="AL46" s="96"/>
      <c r="AM46" s="94">
        <v>0.2</v>
      </c>
      <c r="AN46" s="95">
        <f t="shared" ca="1" si="6"/>
        <v>0.39104269397545582</v>
      </c>
      <c r="AX46" s="106">
        <f t="shared" ca="1" si="19"/>
        <v>0.59067000000000003</v>
      </c>
      <c r="AY46" s="106">
        <f t="shared" ca="1" si="20"/>
        <v>0.59069145999999995</v>
      </c>
      <c r="AZ46" s="106">
        <f t="shared" ca="1" si="21"/>
        <v>0.59064854</v>
      </c>
      <c r="BB46" s="109">
        <f ca="1">_xll.EURO(UnderlyingPrice,$D46,IntRate,Yield,AX46,$D$6,1,0)</f>
        <v>0.93347451063414644</v>
      </c>
      <c r="BC46" s="109">
        <f ca="1">_xll.EURO(UnderlyingPrice,$D46*(1+$P$8),IntRate,Yield,AY46,$D$6,1,0)</f>
        <v>0.93241111950766609</v>
      </c>
      <c r="BD46" s="109">
        <f ca="1">_xll.EURO(UnderlyingPrice,$D46*(1-$P$8),IntRate,Yield,AZ46,$D$6,1,0)</f>
        <v>0.93453898070843877</v>
      </c>
      <c r="BF46" s="59">
        <f t="shared" ca="1" si="22"/>
        <v>0.23428312237059409</v>
      </c>
      <c r="BG46" s="62">
        <f t="shared" ca="1" si="23"/>
        <v>0.23853095616586029</v>
      </c>
      <c r="BI46" s="96">
        <f t="shared" ca="1" si="24"/>
        <v>-3.7732634606271791E-2</v>
      </c>
      <c r="BJ46" s="96">
        <f t="shared" ca="1" si="25"/>
        <v>-3.6490177614587227E-2</v>
      </c>
      <c r="BK46" s="96">
        <f t="shared" ca="1" si="26"/>
        <v>-3.8975712981824048E-2</v>
      </c>
      <c r="BL46" s="96"/>
      <c r="BM46" s="96">
        <f t="shared" ca="1" si="27"/>
        <v>0.41189309850859485</v>
      </c>
      <c r="BO46" s="58">
        <f t="shared" ca="1" si="28"/>
        <v>3.5239993570526096E-3</v>
      </c>
      <c r="BP46" s="46">
        <f t="shared" ca="1" si="29"/>
        <v>3.7751425635164011E-3</v>
      </c>
    </row>
    <row r="47" spans="3:68" x14ac:dyDescent="0.2">
      <c r="C47" s="56">
        <v>34</v>
      </c>
      <c r="D47" s="63">
        <f t="shared" ca="1" si="30"/>
        <v>4.3160000000000007</v>
      </c>
      <c r="E47" s="45">
        <f t="shared" ca="1" si="7"/>
        <v>-8.6560846560846394E-2</v>
      </c>
      <c r="F47" s="45">
        <f t="shared" ca="1" si="8"/>
        <v>-8.6104126984126839E-2</v>
      </c>
      <c r="G47" s="45">
        <f t="shared" ca="1" si="9"/>
        <v>-8.7017566137565838E-2</v>
      </c>
      <c r="H47" s="45">
        <f t="shared" ca="1" si="31"/>
        <v>0.58794493278539961</v>
      </c>
      <c r="I47" s="45">
        <f t="shared" ca="1" si="32"/>
        <v>0.58791364039385241</v>
      </c>
      <c r="J47" s="45">
        <f t="shared" ca="1" si="33"/>
        <v>0.5878823886165695</v>
      </c>
      <c r="L47" s="58">
        <f ca="1">_xll.EURO(UnderlyingPrice,$D47,IntRate,Yield,$I47,$D$6,L$12,0)</f>
        <v>0.91821814738579022</v>
      </c>
      <c r="M47" s="58">
        <f ca="1">_xll.EURO(UnderlyingPrice,$D47,IntRate,Yield,$I47,$D$6,M$12,0)</f>
        <v>0.51650174717589903</v>
      </c>
      <c r="O47" s="58">
        <f ca="1">_xll.EURO(UnderlyingPrice,$D47*(1+$P$8),IntRate,Yield,$H47,Expiry-Today,O$12,0)</f>
        <v>0.91717018300481579</v>
      </c>
      <c r="P47" s="58">
        <f ca="1">_xll.EURO(UnderlyingPrice,$D47*(1+$P$8),IntRate,Yield,$H47,Expiry-Today,P$12,0)</f>
        <v>0.51757335245666769</v>
      </c>
      <c r="R47" s="58">
        <f ca="1">_xll.EURO(UnderlyingPrice,$D47*(1-$P$8),IntRate,Yield,$J47,Expiry-Today,R$12,0)</f>
        <v>0.91926725995561753</v>
      </c>
      <c r="S47" s="58">
        <f ca="1">_xll.EURO(UnderlyingPrice,$D47*(1-$P$8),IntRate,Yield,$J47,Expiry-Today,S$12,0)</f>
        <v>0.51543129008398303</v>
      </c>
      <c r="U47" s="59">
        <f t="shared" ca="1" si="35"/>
        <v>0.24655308756609379</v>
      </c>
      <c r="V47" s="59"/>
      <c r="W47" s="62">
        <f t="shared" ca="1" si="34"/>
        <v>0.25102339053582207</v>
      </c>
      <c r="Z47" s="59">
        <f t="shared" ca="1" si="11"/>
        <v>0.22991246310122115</v>
      </c>
      <c r="AA47" s="59">
        <f t="shared" ca="1" si="12"/>
        <v>-9.7216046130619987E-3</v>
      </c>
      <c r="AB47" s="59">
        <f t="shared" ca="1" si="4"/>
        <v>-9.4509596252708339E-5</v>
      </c>
      <c r="AC47" s="59">
        <f t="shared" ca="1" si="13"/>
        <v>-2.9235712394873971E-4</v>
      </c>
      <c r="AD47" s="60">
        <f t="shared" ca="1" si="5"/>
        <v>0.99970768560823076</v>
      </c>
      <c r="AE47" s="60">
        <f t="shared" ca="1" si="14"/>
        <v>0.22984525637940956</v>
      </c>
      <c r="AF47" s="60"/>
      <c r="AG47" s="96">
        <f t="shared" ca="1" si="15"/>
        <v>-2.4180865325655315E-2</v>
      </c>
      <c r="AH47" s="96">
        <f t="shared" ca="1" si="16"/>
        <v>-2.2937509774496701E-2</v>
      </c>
      <c r="AI47" s="96">
        <f t="shared" ca="1" si="17"/>
        <v>-2.5424842710073448E-2</v>
      </c>
      <c r="AJ47" s="96"/>
      <c r="AK47" s="96">
        <f t="shared" ca="1" si="18"/>
        <v>0.43557375776129964</v>
      </c>
      <c r="AL47" s="96"/>
      <c r="AM47" s="94">
        <v>0.3</v>
      </c>
      <c r="AN47" s="95">
        <f t="shared" ca="1" si="6"/>
        <v>0.38138781546052408</v>
      </c>
      <c r="AX47" s="106">
        <f t="shared" ca="1" si="19"/>
        <v>0.59090999999999994</v>
      </c>
      <c r="AY47" s="106">
        <f t="shared" ca="1" si="20"/>
        <v>0.59093158000000001</v>
      </c>
      <c r="AZ47" s="106">
        <f t="shared" ca="1" si="21"/>
        <v>0.59088841999999997</v>
      </c>
      <c r="BB47" s="109">
        <f ca="1">_xll.EURO(UnderlyingPrice,$D47,IntRate,Yield,AX47,$D$6,1,0)</f>
        <v>0.9216432774616985</v>
      </c>
      <c r="BC47" s="109">
        <f ca="1">_xll.EURO(UnderlyingPrice,$D47*(1+$P$8),IntRate,Yield,AY47,$D$6,1,0)</f>
        <v>0.92058603692637764</v>
      </c>
      <c r="BD47" s="109">
        <f ca="1">_xll.EURO(UnderlyingPrice,$D47*(1-$P$8),IntRate,Yield,AZ47,$D$6,1,0)</f>
        <v>0.92270160239635901</v>
      </c>
      <c r="BF47" s="59">
        <f t="shared" ca="1" si="22"/>
        <v>0.23285542676666227</v>
      </c>
      <c r="BG47" s="62">
        <f t="shared" ca="1" si="23"/>
        <v>0.23707737472954596</v>
      </c>
      <c r="BI47" s="96">
        <f t="shared" ca="1" si="24"/>
        <v>-2.3872737205182928E-2</v>
      </c>
      <c r="BJ47" s="96">
        <f t="shared" ca="1" si="25"/>
        <v>-2.2630280213498263E-2</v>
      </c>
      <c r="BK47" s="96">
        <f t="shared" ca="1" si="26"/>
        <v>-2.5115815580735008E-2</v>
      </c>
      <c r="BL47" s="96"/>
      <c r="BM47" s="96">
        <f t="shared" ca="1" si="27"/>
        <v>0.41167225492762788</v>
      </c>
      <c r="BO47" s="58">
        <f t="shared" ca="1" si="28"/>
        <v>3.4251300759082781E-3</v>
      </c>
      <c r="BP47" s="46">
        <f t="shared" ca="1" si="29"/>
        <v>3.7163294733092858E-3</v>
      </c>
    </row>
    <row r="48" spans="3:68" x14ac:dyDescent="0.2">
      <c r="C48" s="56">
        <v>35</v>
      </c>
      <c r="D48" s="63">
        <f t="shared" ca="1" si="30"/>
        <v>4.3400000000000007</v>
      </c>
      <c r="E48" s="45">
        <f t="shared" ca="1" si="7"/>
        <v>-8.1481481481481266E-2</v>
      </c>
      <c r="F48" s="45">
        <f t="shared" ca="1" si="8"/>
        <v>-8.1022222222222107E-2</v>
      </c>
      <c r="G48" s="45">
        <f t="shared" ca="1" si="9"/>
        <v>-8.1940740740740425E-2</v>
      </c>
      <c r="H48" s="45">
        <f t="shared" ca="1" si="31"/>
        <v>0.58829586244076448</v>
      </c>
      <c r="I48" s="45">
        <f t="shared" ca="1" si="32"/>
        <v>0.58826394172839502</v>
      </c>
      <c r="J48" s="45">
        <f t="shared" ca="1" si="33"/>
        <v>0.58823206208323364</v>
      </c>
      <c r="L48" s="58">
        <f ca="1">_xll.EURO(UnderlyingPrice,$D48,IntRate,Yield,$I48,$D$6,L$12,0)</f>
        <v>0.90662779604329646</v>
      </c>
      <c r="M48" s="58">
        <f ca="1">_xll.EURO(UnderlyingPrice,$D48,IntRate,Yield,$I48,$D$6,M$12,0)</f>
        <v>0.52848399633471965</v>
      </c>
      <c r="O48" s="58">
        <f ca="1">_xll.EURO(UnderlyingPrice,$D48*(1+$P$8),IntRate,Yield,$H48,Expiry-Today,O$12,0)</f>
        <v>0.90558680795244317</v>
      </c>
      <c r="P48" s="58">
        <f ca="1">_xll.EURO(UnderlyingPrice,$D48*(1+$P$8),IntRate,Yield,$H48,Expiry-Today,P$12,0)</f>
        <v>0.52957436420585924</v>
      </c>
      <c r="R48" s="58">
        <f ca="1">_xll.EURO(UnderlyingPrice,$D48*(1-$P$8),IntRate,Yield,$J48,Expiry-Today,R$12,0)</f>
        <v>0.90766993846735389</v>
      </c>
      <c r="S48" s="58">
        <f ca="1">_xll.EURO(UnderlyingPrice,$D48*(1-$P$8),IntRate,Yield,$J48,Expiry-Today,S$12,0)</f>
        <v>0.52739478279678398</v>
      </c>
      <c r="U48" s="59">
        <f t="shared" ca="1" si="35"/>
        <v>0.24513861074436935</v>
      </c>
      <c r="V48" s="59"/>
      <c r="W48" s="62">
        <f t="shared" ca="1" si="34"/>
        <v>0.24958326755407917</v>
      </c>
      <c r="Z48" s="59">
        <f t="shared" ca="1" si="11"/>
        <v>0.22864105777531576</v>
      </c>
      <c r="AA48" s="59">
        <f t="shared" ca="1" si="12"/>
        <v>-4.1763038966366878E-3</v>
      </c>
      <c r="AB48" s="59">
        <f t="shared" ca="1" si="4"/>
        <v>-1.7441514237062781E-5</v>
      </c>
      <c r="AC48" s="59">
        <f t="shared" ca="1" si="13"/>
        <v>-5.3953790322245144E-5</v>
      </c>
      <c r="AD48" s="60">
        <f t="shared" ca="1" si="5"/>
        <v>0.99994604766515738</v>
      </c>
      <c r="AE48" s="60">
        <f t="shared" ca="1" si="14"/>
        <v>0.22862872205640791</v>
      </c>
      <c r="AF48" s="60"/>
      <c r="AG48" s="96">
        <f t="shared" ca="1" si="15"/>
        <v>-1.0387857365428653E-2</v>
      </c>
      <c r="AH48" s="96">
        <f t="shared" ca="1" si="16"/>
        <v>-9.1445018142702478E-3</v>
      </c>
      <c r="AI48" s="96">
        <f t="shared" ca="1" si="17"/>
        <v>-1.1631834749846854E-2</v>
      </c>
      <c r="AJ48" s="96"/>
      <c r="AK48" s="96">
        <f t="shared" ca="1" si="18"/>
        <v>0.43548306931158848</v>
      </c>
      <c r="AL48" s="96"/>
      <c r="AM48" s="94">
        <v>0.4</v>
      </c>
      <c r="AN48" s="95">
        <f t="shared" ca="1" si="6"/>
        <v>0.36827014030332328</v>
      </c>
      <c r="AX48" s="106">
        <f t="shared" ca="1" si="19"/>
        <v>0.59114999999999995</v>
      </c>
      <c r="AY48" s="106">
        <f t="shared" ca="1" si="20"/>
        <v>0.59117169999999997</v>
      </c>
      <c r="AZ48" s="106">
        <f t="shared" ca="1" si="21"/>
        <v>0.59112829999999994</v>
      </c>
      <c r="BB48" s="109">
        <f ca="1">_xll.EURO(UnderlyingPrice,$D48,IntRate,Yield,AX48,$D$6,1,0)</f>
        <v>0.90994616758030089</v>
      </c>
      <c r="BC48" s="109">
        <f ca="1">_xll.EURO(UnderlyingPrice,$D48*(1+$P$8),IntRate,Yield,AY48,$D$6,1,0)</f>
        <v>0.9088951369162741</v>
      </c>
      <c r="BD48" s="109">
        <f ca="1">_xll.EURO(UnderlyingPrice,$D48*(1-$P$8),IntRate,Yield,AZ48,$D$6,1,0)</f>
        <v>0.91099828787247628</v>
      </c>
      <c r="BF48" s="59">
        <f t="shared" ca="1" si="22"/>
        <v>0.2313975978675199</v>
      </c>
      <c r="BG48" s="62">
        <f t="shared" ca="1" si="23"/>
        <v>0.23559311364526439</v>
      </c>
      <c r="BI48" s="96">
        <f t="shared" ca="1" si="24"/>
        <v>-1.0089697301129205E-2</v>
      </c>
      <c r="BJ48" s="96">
        <f t="shared" ca="1" si="25"/>
        <v>-8.8472403094447451E-3</v>
      </c>
      <c r="BK48" s="96">
        <f t="shared" ca="1" si="26"/>
        <v>-1.1332775676681355E-2</v>
      </c>
      <c r="BL48" s="96"/>
      <c r="BM48" s="96">
        <f t="shared" ca="1" si="27"/>
        <v>0.41136977035141647</v>
      </c>
      <c r="BO48" s="58">
        <f t="shared" ca="1" si="28"/>
        <v>3.3183715370044276E-3</v>
      </c>
      <c r="BP48" s="46">
        <f t="shared" ca="1" si="29"/>
        <v>3.6467778592095537E-3</v>
      </c>
    </row>
    <row r="49" spans="3:68" x14ac:dyDescent="0.2">
      <c r="C49" s="56">
        <v>36</v>
      </c>
      <c r="D49" s="63">
        <f t="shared" ca="1" si="30"/>
        <v>4.3640000000000008</v>
      </c>
      <c r="E49" s="45">
        <f t="shared" ca="1" si="7"/>
        <v>-7.6402116402116138E-2</v>
      </c>
      <c r="F49" s="45">
        <f t="shared" ca="1" si="8"/>
        <v>-7.5940317460317375E-2</v>
      </c>
      <c r="G49" s="45">
        <f t="shared" ca="1" si="9"/>
        <v>-7.6863915343915012E-2</v>
      </c>
      <c r="H49" s="45">
        <f t="shared" ca="1" si="31"/>
        <v>0.58865182052577891</v>
      </c>
      <c r="I49" s="45">
        <f t="shared" ca="1" si="32"/>
        <v>0.58861926646792651</v>
      </c>
      <c r="J49" s="45">
        <f t="shared" ca="1" si="33"/>
        <v>0.58858675393273729</v>
      </c>
      <c r="L49" s="58">
        <f ca="1">_xll.EURO(UnderlyingPrice,$D49,IntRate,Yield,$I49,$D$6,L$12,0)</f>
        <v>0.8951786425947752</v>
      </c>
      <c r="M49" s="58">
        <f ca="1">_xll.EURO(UnderlyingPrice,$D49,IntRate,Yield,$I49,$D$6,M$12,0)</f>
        <v>0.54060744338751232</v>
      </c>
      <c r="O49" s="58">
        <f ca="1">_xll.EURO(UnderlyingPrice,$D49*(1+$P$8),IntRate,Yield,$H49,Expiry-Today,O$12,0)</f>
        <v>0.89414470215870034</v>
      </c>
      <c r="P49" s="58">
        <f ca="1">_xll.EURO(UnderlyingPrice,$D49*(1+$P$8),IntRate,Yield,$H49,Expiry-Today,P$12,0)</f>
        <v>0.54171664521368124</v>
      </c>
      <c r="R49" s="58">
        <f ca="1">_xll.EURO(UnderlyingPrice,$D49*(1-$P$8),IntRate,Yield,$J49,Expiry-Today,R$12,0)</f>
        <v>0.89621374827930111</v>
      </c>
      <c r="S49" s="58">
        <f ca="1">_xll.EURO(UnderlyingPrice,$D49*(1-$P$8),IntRate,Yield,$J49,Expiry-Today,S$12,0)</f>
        <v>0.53949940680979402</v>
      </c>
      <c r="U49" s="59">
        <f t="shared" ca="1" si="35"/>
        <v>0.2447423026711118</v>
      </c>
      <c r="V49" s="59"/>
      <c r="W49" s="62">
        <f t="shared" ca="1" si="34"/>
        <v>0.24917977394048099</v>
      </c>
      <c r="Z49" s="59">
        <f t="shared" ca="1" si="11"/>
        <v>0.22738363674263759</v>
      </c>
      <c r="AA49" s="59">
        <f t="shared" ca="1" si="12"/>
        <v>1.3384159618742564E-3</v>
      </c>
      <c r="AB49" s="59">
        <f t="shared" ca="1" si="4"/>
        <v>-1.7913572869997909E-6</v>
      </c>
      <c r="AC49" s="59">
        <f t="shared" ca="1" si="13"/>
        <v>-5.5414062185972771E-6</v>
      </c>
      <c r="AD49" s="60">
        <f t="shared" ca="1" si="5"/>
        <v>0.99999445860913494</v>
      </c>
      <c r="AE49" s="60">
        <f t="shared" ca="1" si="14"/>
        <v>0.22738237672103009</v>
      </c>
      <c r="AF49" s="60"/>
      <c r="AG49" s="96">
        <f t="shared" ca="1" si="15"/>
        <v>3.3290858260481295E-3</v>
      </c>
      <c r="AH49" s="96">
        <f t="shared" ca="1" si="16"/>
        <v>4.5724413772063287E-3</v>
      </c>
      <c r="AI49" s="96">
        <f t="shared" ca="1" si="17"/>
        <v>2.0851084416298603E-3</v>
      </c>
      <c r="AJ49" s="96"/>
      <c r="AK49" s="96">
        <f t="shared" ca="1" si="18"/>
        <v>0.43718334523007346</v>
      </c>
      <c r="AL49" s="96"/>
      <c r="AM49" s="94">
        <v>0.5</v>
      </c>
      <c r="AN49" s="95">
        <f t="shared" ca="1" si="6"/>
        <v>0.35206532676429947</v>
      </c>
      <c r="AX49" s="106">
        <f t="shared" ca="1" si="19"/>
        <v>0.59138999999999997</v>
      </c>
      <c r="AY49" s="106">
        <f t="shared" ca="1" si="20"/>
        <v>0.59141181999999992</v>
      </c>
      <c r="AZ49" s="106">
        <f t="shared" ca="1" si="21"/>
        <v>0.59136818000000002</v>
      </c>
      <c r="BB49" s="109">
        <f ca="1">_xll.EURO(UnderlyingPrice,$D49,IntRate,Yield,AX49,$D$6,1,0)</f>
        <v>0.89838234612517986</v>
      </c>
      <c r="BC49" s="109">
        <f ca="1">_xll.EURO(UnderlyingPrice,$D49*(1+$P$8),IntRate,Yield,AY49,$D$6,1,0)</f>
        <v>0.89733758066161418</v>
      </c>
      <c r="BD49" s="109">
        <f ca="1">_xll.EURO(UnderlyingPrice,$D49*(1-$P$8),IntRate,Yield,AZ49,$D$6,1,0)</f>
        <v>0.89942820028627812</v>
      </c>
      <c r="BF49" s="59">
        <f t="shared" ca="1" si="22"/>
        <v>0.22866397358474219</v>
      </c>
      <c r="BG49" s="62">
        <f t="shared" ca="1" si="23"/>
        <v>0.2328099254780103</v>
      </c>
      <c r="BI49" s="96">
        <f t="shared" ca="1" si="24"/>
        <v>3.6173328053520585E-3</v>
      </c>
      <c r="BJ49" s="96">
        <f t="shared" ca="1" si="25"/>
        <v>4.8597897970363109E-3</v>
      </c>
      <c r="BK49" s="96">
        <f t="shared" ca="1" si="26"/>
        <v>2.3742544297998391E-3</v>
      </c>
      <c r="BL49" s="96"/>
      <c r="BM49" s="96">
        <f t="shared" ca="1" si="27"/>
        <v>0.40875801977247717</v>
      </c>
      <c r="BO49" s="58">
        <f t="shared" ca="1" si="28"/>
        <v>3.2037035304046668E-3</v>
      </c>
      <c r="BP49" s="46">
        <f t="shared" ca="1" si="29"/>
        <v>3.5660802376878691E-3</v>
      </c>
    </row>
    <row r="50" spans="3:68" x14ac:dyDescent="0.2">
      <c r="C50" s="56">
        <v>37</v>
      </c>
      <c r="D50" s="63">
        <f t="shared" ca="1" si="30"/>
        <v>4.3880000000000008</v>
      </c>
      <c r="E50" s="45">
        <f t="shared" ca="1" si="7"/>
        <v>-7.1322751322751121E-2</v>
      </c>
      <c r="F50" s="45">
        <f t="shared" ca="1" si="8"/>
        <v>-7.0858412698412643E-2</v>
      </c>
      <c r="G50" s="45">
        <f t="shared" ca="1" si="9"/>
        <v>-7.17870899470896E-2</v>
      </c>
      <c r="H50" s="45">
        <f t="shared" ca="1" si="31"/>
        <v>0.5890128070404429</v>
      </c>
      <c r="I50" s="45">
        <f t="shared" ca="1" si="32"/>
        <v>0.58897961461244652</v>
      </c>
      <c r="J50" s="45">
        <f t="shared" ca="1" si="33"/>
        <v>0.58894646416508056</v>
      </c>
      <c r="L50" s="58">
        <f ca="1">_xll.EURO(UnderlyingPrice,$D50,IntRate,Yield,$I50,$D$6,L$12,0)</f>
        <v>0.88386980859700293</v>
      </c>
      <c r="M50" s="58">
        <f ca="1">_xll.EURO(UnderlyingPrice,$D50,IntRate,Yield,$I50,$D$6,M$12,0)</f>
        <v>0.55287120989105398</v>
      </c>
      <c r="O50" s="58">
        <f ca="1">_xll.EURO(UnderlyingPrice,$D50*(1+$P$8),IntRate,Yield,$H50,Expiry-Today,O$12,0)</f>
        <v>0.88284295955597969</v>
      </c>
      <c r="P50" s="58">
        <f ca="1">_xll.EURO(UnderlyingPrice,$D50*(1+$P$8),IntRate,Yield,$H50,Expiry-Today,P$12,0)</f>
        <v>0.55399928941252452</v>
      </c>
      <c r="R50" s="58">
        <f ca="1">_xll.EURO(UnderlyingPrice,$D50*(1-$P$8),IntRate,Yield,$J50,Expiry-Today,R$12,0)</f>
        <v>0.88489782260398631</v>
      </c>
      <c r="S50" s="58">
        <f ca="1">_xll.EURO(UnderlyingPrice,$D50*(1-$P$8),IntRate,Yield,$J50,Expiry-Today,S$12,0)</f>
        <v>0.5517442953355427</v>
      </c>
      <c r="U50" s="59">
        <f t="shared" ca="1" si="35"/>
        <v>0.24201372105060476</v>
      </c>
      <c r="V50" s="59"/>
      <c r="W50" s="62">
        <f t="shared" ca="1" si="34"/>
        <v>0.24640171986500814</v>
      </c>
      <c r="Z50" s="59">
        <f t="shared" ca="1" si="11"/>
        <v>0.2261399705434983</v>
      </c>
      <c r="AA50" s="59">
        <f t="shared" ca="1" si="12"/>
        <v>6.8228904040336241E-3</v>
      </c>
      <c r="AB50" s="59">
        <f t="shared" ca="1" si="4"/>
        <v>-4.6551833465454112E-5</v>
      </c>
      <c r="AC50" s="59">
        <f t="shared" ca="1" si="13"/>
        <v>-1.4400400262117133E-4</v>
      </c>
      <c r="AD50" s="60">
        <f t="shared" ca="1" si="5"/>
        <v>0.99985600636545757</v>
      </c>
      <c r="AE50" s="60">
        <f t="shared" ca="1" si="14"/>
        <v>0.22610740782722441</v>
      </c>
      <c r="AF50" s="60"/>
      <c r="AG50" s="96">
        <f t="shared" ca="1" si="15"/>
        <v>1.6970798603552596E-2</v>
      </c>
      <c r="AH50" s="96">
        <f t="shared" ca="1" si="16"/>
        <v>1.8214154154710865E-2</v>
      </c>
      <c r="AI50" s="96">
        <f t="shared" ca="1" si="17"/>
        <v>1.5726821219134501E-2</v>
      </c>
      <c r="AJ50" s="96"/>
      <c r="AK50" s="96">
        <f t="shared" ca="1" si="18"/>
        <v>0.43468678089011747</v>
      </c>
      <c r="AL50" s="96"/>
      <c r="AM50" s="94">
        <v>0.6</v>
      </c>
      <c r="AN50" s="95">
        <f t="shared" ca="1" si="6"/>
        <v>0.33322460289179962</v>
      </c>
      <c r="AX50" s="106">
        <f t="shared" ca="1" si="19"/>
        <v>0.59162999999999999</v>
      </c>
      <c r="AY50" s="106">
        <f t="shared" ca="1" si="20"/>
        <v>0.59165193999999999</v>
      </c>
      <c r="AZ50" s="106">
        <f t="shared" ca="1" si="21"/>
        <v>0.59160805999999999</v>
      </c>
      <c r="BB50" s="109">
        <f ca="1">_xll.EURO(UnderlyingPrice,$D50,IntRate,Yield,AX50,$D$6,1,0)</f>
        <v>0.88695088988548365</v>
      </c>
      <c r="BC50" s="109">
        <f ca="1">_xll.EURO(UnderlyingPrice,$D50*(1+$P$8),IntRate,Yield,AY50,$D$6,1,0)</f>
        <v>0.88591243553219501</v>
      </c>
      <c r="BD50" s="109">
        <f ca="1">_xll.EURO(UnderlyingPrice,$D50*(1-$P$8),IntRate,Yield,AZ50,$D$6,1,0)</f>
        <v>0.88799044283415629</v>
      </c>
      <c r="BF50" s="59">
        <f t="shared" ca="1" si="22"/>
        <v>0.22822568719301498</v>
      </c>
      <c r="BG50" s="62">
        <f t="shared" ca="1" si="23"/>
        <v>0.23236369242871788</v>
      </c>
      <c r="BI50" s="96">
        <f t="shared" ca="1" si="24"/>
        <v>1.7249186866059339E-2</v>
      </c>
      <c r="BJ50" s="96">
        <f t="shared" ca="1" si="25"/>
        <v>1.8491643857743659E-2</v>
      </c>
      <c r="BK50" s="96">
        <f t="shared" ca="1" si="26"/>
        <v>1.6006108490507289E-2</v>
      </c>
      <c r="BL50" s="96"/>
      <c r="BM50" s="96">
        <f t="shared" ca="1" si="27"/>
        <v>0.41021821528570951</v>
      </c>
      <c r="BO50" s="58">
        <f t="shared" ca="1" si="28"/>
        <v>3.0810812884807248E-3</v>
      </c>
      <c r="BP50" s="46">
        <f t="shared" ca="1" si="29"/>
        <v>3.4737901766788131E-3</v>
      </c>
    </row>
    <row r="51" spans="3:68" x14ac:dyDescent="0.2">
      <c r="C51" s="56">
        <v>38</v>
      </c>
      <c r="D51" s="63">
        <f t="shared" ca="1" si="30"/>
        <v>4.4120000000000008</v>
      </c>
      <c r="E51" s="45">
        <f t="shared" ca="1" si="7"/>
        <v>-6.6243386243385993E-2</v>
      </c>
      <c r="F51" s="45">
        <f t="shared" ca="1" si="8"/>
        <v>-6.5776507936507689E-2</v>
      </c>
      <c r="G51" s="45">
        <f t="shared" ca="1" si="9"/>
        <v>-6.6710264550264298E-2</v>
      </c>
      <c r="H51" s="45">
        <f t="shared" ca="1" si="31"/>
        <v>0.58937882198475644</v>
      </c>
      <c r="I51" s="45">
        <f t="shared" ca="1" si="32"/>
        <v>0.5893449861619553</v>
      </c>
      <c r="J51" s="45">
        <f t="shared" ca="1" si="33"/>
        <v>0.58931119278026312</v>
      </c>
      <c r="L51" s="58">
        <f ca="1">_xll.EURO(UnderlyingPrice,$D51,IntRate,Yield,$I51,$D$6,L$12,0)</f>
        <v>0.87270036755804714</v>
      </c>
      <c r="M51" s="58">
        <f ca="1">_xll.EURO(UnderlyingPrice,$D51,IntRate,Yield,$I51,$D$6,M$12,0)</f>
        <v>0.56527436935341258</v>
      </c>
      <c r="O51" s="58">
        <f ca="1">_xll.EURO(UnderlyingPrice,$D51*(1+$P$8),IntRate,Yield,$H51,Expiry-Today,O$12,0)</f>
        <v>0.87168067435431151</v>
      </c>
      <c r="P51" s="58">
        <f ca="1">_xll.EURO(UnderlyingPrice,$D51*(1+$P$8),IntRate,Yield,$H51,Expiry-Today,P$12,0)</f>
        <v>0.56642139101242206</v>
      </c>
      <c r="R51" s="58">
        <f ca="1">_xll.EURO(UnderlyingPrice,$D51*(1-$P$8),IntRate,Yield,$J51,Expiry-Today,R$12,0)</f>
        <v>0.87372123103081911</v>
      </c>
      <c r="S51" s="58">
        <f ca="1">_xll.EURO(UnderlyingPrice,$D51*(1-$P$8),IntRate,Yield,$J51,Expiry-Today,S$12,0)</f>
        <v>0.56412851796343833</v>
      </c>
      <c r="U51" s="59">
        <f t="shared" ca="1" si="35"/>
        <v>0.24047763832577687</v>
      </c>
      <c r="V51" s="59"/>
      <c r="W51" s="62">
        <f t="shared" ca="1" si="34"/>
        <v>0.24483778611939469</v>
      </c>
      <c r="Z51" s="59">
        <f t="shared" ca="1" si="11"/>
        <v>0.22490983471098602</v>
      </c>
      <c r="AA51" s="59">
        <f t="shared" ca="1" si="12"/>
        <v>1.2277449382305891E-2</v>
      </c>
      <c r="AB51" s="59">
        <f t="shared" ca="1" si="4"/>
        <v>-1.5073576333508331E-4</v>
      </c>
      <c r="AC51" s="59">
        <f t="shared" ca="1" si="13"/>
        <v>-4.6628782676235353E-4</v>
      </c>
      <c r="AD51" s="60">
        <f t="shared" ca="1" si="5"/>
        <v>0.99953382086851128</v>
      </c>
      <c r="AE51" s="60">
        <f t="shared" ca="1" si="14"/>
        <v>0.22480498643957719</v>
      </c>
      <c r="AF51" s="60"/>
      <c r="AG51" s="96">
        <f t="shared" ca="1" si="15"/>
        <v>3.0538101668648419E-2</v>
      </c>
      <c r="AH51" s="96">
        <f t="shared" ca="1" si="16"/>
        <v>3.1781457219807102E-2</v>
      </c>
      <c r="AI51" s="96">
        <f t="shared" ca="1" si="17"/>
        <v>2.9294124284229978E-2</v>
      </c>
      <c r="AJ51" s="96"/>
      <c r="AK51" s="96">
        <f t="shared" ca="1" si="18"/>
        <v>0.43429019770854682</v>
      </c>
      <c r="AL51" s="96"/>
      <c r="AM51" s="94">
        <v>0.7</v>
      </c>
      <c r="AN51" s="95">
        <f t="shared" ca="1" si="6"/>
        <v>0.31225393336676122</v>
      </c>
      <c r="AX51" s="106">
        <f t="shared" ca="1" si="19"/>
        <v>0.59187000000000001</v>
      </c>
      <c r="AY51" s="106">
        <f t="shared" ca="1" si="20"/>
        <v>0.59189205999999994</v>
      </c>
      <c r="AZ51" s="106">
        <f t="shared" ca="1" si="21"/>
        <v>0.59184793999999996</v>
      </c>
      <c r="BB51" s="109">
        <f ca="1">_xll.EURO(UnderlyingPrice,$D51,IntRate,Yield,AX51,$D$6,1,0)</f>
        <v>0.87565089027907428</v>
      </c>
      <c r="BC51" s="109">
        <f ca="1">_xll.EURO(UnderlyingPrice,$D51*(1+$P$8),IntRate,Yield,AY51,$D$6,1,0)</f>
        <v>0.87461879784461827</v>
      </c>
      <c r="BD51" s="109">
        <f ca="1">_xll.EURO(UnderlyingPrice,$D51*(1-$P$8),IntRate,Yield,AZ51,$D$6,1,0)</f>
        <v>0.87668408584767166</v>
      </c>
      <c r="BF51" s="59">
        <f t="shared" ca="1" si="22"/>
        <v>0.22668214302355538</v>
      </c>
      <c r="BG51" s="62">
        <f t="shared" ca="1" si="23"/>
        <v>0.23079216195353908</v>
      </c>
      <c r="BI51" s="96">
        <f t="shared" ca="1" si="24"/>
        <v>3.080668498944425E-2</v>
      </c>
      <c r="BJ51" s="96">
        <f t="shared" ca="1" si="25"/>
        <v>3.2049141981128987E-2</v>
      </c>
      <c r="BK51" s="96">
        <f t="shared" ca="1" si="26"/>
        <v>2.9563606613891857E-2</v>
      </c>
      <c r="BL51" s="96"/>
      <c r="BM51" s="96">
        <f t="shared" ca="1" si="27"/>
        <v>0.40967231122962694</v>
      </c>
      <c r="BO51" s="58">
        <f t="shared" ca="1" si="28"/>
        <v>2.9505227210271379E-3</v>
      </c>
      <c r="BP51" s="46">
        <f t="shared" ca="1" si="29"/>
        <v>3.3695194669268154E-3</v>
      </c>
    </row>
    <row r="52" spans="3:68" x14ac:dyDescent="0.2">
      <c r="C52" s="56">
        <v>39</v>
      </c>
      <c r="D52" s="63">
        <f t="shared" ca="1" si="30"/>
        <v>4.4360000000000008</v>
      </c>
      <c r="E52" s="45">
        <f t="shared" ca="1" si="7"/>
        <v>-6.1164021164020865E-2</v>
      </c>
      <c r="F52" s="45">
        <f t="shared" ca="1" si="8"/>
        <v>-6.0694603174602957E-2</v>
      </c>
      <c r="G52" s="45">
        <f t="shared" ca="1" si="9"/>
        <v>-6.1633439153438885E-2</v>
      </c>
      <c r="H52" s="45">
        <f t="shared" ca="1" si="31"/>
        <v>0.58974986535871943</v>
      </c>
      <c r="I52" s="45">
        <f t="shared" ca="1" si="32"/>
        <v>0.58971538111645261</v>
      </c>
      <c r="J52" s="45">
        <f t="shared" ca="1" si="33"/>
        <v>0.58968093977828551</v>
      </c>
      <c r="L52" s="58">
        <f ca="1">_xll.EURO(UnderlyingPrice,$D52,IntRate,Yield,$I52,$D$6,L$12,0)</f>
        <v>0.86166943979346744</v>
      </c>
      <c r="M52" s="58">
        <f ca="1">_xll.EURO(UnderlyingPrice,$D52,IntRate,Yield,$I52,$D$6,M$12,0)</f>
        <v>0.57781604209014703</v>
      </c>
      <c r="O52" s="58">
        <f ca="1">_xll.EURO(UnderlyingPrice,$D52*(1+$P$8),IntRate,Yield,$H52,Expiry-Today,O$12,0)</f>
        <v>0.86065695843560786</v>
      </c>
      <c r="P52" s="58">
        <f ca="1">_xll.EURO(UnderlyingPrice,$D52*(1+$P$8),IntRate,Yield,$H52,Expiry-Today,P$12,0)</f>
        <v>0.57898206189528367</v>
      </c>
      <c r="R52" s="58">
        <f ca="1">_xll.EURO(UnderlyingPrice,$D52*(1-$P$8),IntRate,Yield,$J52,Expiry-Today,R$12,0)</f>
        <v>0.86268309643929753</v>
      </c>
      <c r="S52" s="58">
        <f ca="1">_xll.EURO(UnderlyingPrice,$D52*(1-$P$8),IntRate,Yield,$J52,Expiry-Today,S$12,0)</f>
        <v>0.57665119757297978</v>
      </c>
      <c r="U52" s="59">
        <f t="shared" ca="1" si="35"/>
        <v>0.23890278215955532</v>
      </c>
      <c r="V52" s="59"/>
      <c r="W52" s="62">
        <f t="shared" ca="1" si="34"/>
        <v>0.24323437592342542</v>
      </c>
      <c r="Z52" s="59">
        <f t="shared" ca="1" si="11"/>
        <v>0.22369300963590408</v>
      </c>
      <c r="AA52" s="59">
        <f t="shared" ca="1" si="12"/>
        <v>1.7702417479170507E-2</v>
      </c>
      <c r="AB52" s="59">
        <f t="shared" ca="1" si="4"/>
        <v>-3.1337558460684147E-4</v>
      </c>
      <c r="AC52" s="59">
        <f t="shared" ca="1" si="13"/>
        <v>-9.6939980979746966E-4</v>
      </c>
      <c r="AD52" s="60">
        <f t="shared" ca="1" si="5"/>
        <v>0.999031069906405</v>
      </c>
      <c r="AE52" s="60">
        <f t="shared" ca="1" si="14"/>
        <v>0.22347626674714102</v>
      </c>
      <c r="AF52" s="60"/>
      <c r="AG52" s="96">
        <f t="shared" ca="1" si="15"/>
        <v>4.4031802365959764E-2</v>
      </c>
      <c r="AH52" s="96">
        <f t="shared" ca="1" si="16"/>
        <v>4.5275157917118204E-2</v>
      </c>
      <c r="AI52" s="96">
        <f t="shared" ca="1" si="17"/>
        <v>4.2787824981541218E-2</v>
      </c>
      <c r="AJ52" s="62"/>
      <c r="AK52" s="96">
        <f t="shared" ca="1" si="18"/>
        <v>0.43379303034317074</v>
      </c>
      <c r="AL52" s="96"/>
      <c r="AM52" s="94">
        <v>0.8</v>
      </c>
      <c r="AN52" s="95">
        <f t="shared" ca="1" si="6"/>
        <v>0.28969155276148267</v>
      </c>
      <c r="AX52" s="106">
        <f t="shared" ca="1" si="19"/>
        <v>0.59211000000000003</v>
      </c>
      <c r="AY52" s="106">
        <f t="shared" ca="1" si="20"/>
        <v>0.59213218000000001</v>
      </c>
      <c r="AZ52" s="106">
        <f t="shared" ca="1" si="21"/>
        <v>0.59208781999999993</v>
      </c>
      <c r="BB52" s="109">
        <f ca="1">_xll.EURO(UnderlyingPrice,$D52,IntRate,Yield,AX52,$D$6,1,0)</f>
        <v>0.86448145829923506</v>
      </c>
      <c r="BC52" s="109">
        <f ca="1">_xll.EURO(UnderlyingPrice,$D52*(1+$P$8),IntRate,Yield,AY52,$D$6,1,0)</f>
        <v>0.86345577578970367</v>
      </c>
      <c r="BD52" s="109">
        <f ca="1">_xll.EURO(UnderlyingPrice,$D52*(1-$P$8),IntRate,Yield,AZ52,$D$6,1,0)</f>
        <v>0.86550824825038042</v>
      </c>
      <c r="BF52" s="59">
        <f t="shared" ca="1" si="22"/>
        <v>0.22511153802030592</v>
      </c>
      <c r="BG52" s="62">
        <f t="shared" ca="1" si="23"/>
        <v>0.22919307999922156</v>
      </c>
      <c r="BI52" s="96">
        <f t="shared" ca="1" si="24"/>
        <v>4.4290633936671826E-2</v>
      </c>
      <c r="BJ52" s="96">
        <f t="shared" ca="1" si="25"/>
        <v>4.5533090928356321E-2</v>
      </c>
      <c r="BK52" s="96">
        <f t="shared" ca="1" si="26"/>
        <v>4.3047555561119333E-2</v>
      </c>
      <c r="BL52" s="62"/>
      <c r="BM52" s="96">
        <f t="shared" ca="1" si="27"/>
        <v>0.40904688634817071</v>
      </c>
      <c r="BO52" s="58">
        <f t="shared" ca="1" si="28"/>
        <v>2.8120185057676217E-3</v>
      </c>
      <c r="BP52" s="46">
        <f t="shared" ca="1" si="29"/>
        <v>3.2528384255920712E-3</v>
      </c>
    </row>
    <row r="53" spans="3:68" x14ac:dyDescent="0.2">
      <c r="C53" s="56">
        <v>40</v>
      </c>
      <c r="D53" s="63">
        <f t="shared" ca="1" si="30"/>
        <v>4.4600000000000009</v>
      </c>
      <c r="E53" s="45">
        <f t="shared" ca="1" si="7"/>
        <v>-5.6084656084655848E-2</v>
      </c>
      <c r="F53" s="45">
        <f t="shared" ca="1" si="8"/>
        <v>-5.5612698412698225E-2</v>
      </c>
      <c r="G53" s="45">
        <f t="shared" ca="1" si="9"/>
        <v>-5.6556613756613472E-2</v>
      </c>
      <c r="H53" s="45">
        <f t="shared" ca="1" si="31"/>
        <v>0.59012593716233186</v>
      </c>
      <c r="I53" s="45">
        <f t="shared" ca="1" si="32"/>
        <v>0.59009079947593857</v>
      </c>
      <c r="J53" s="45">
        <f t="shared" ca="1" si="33"/>
        <v>0.59005570515914718</v>
      </c>
      <c r="L53" s="58">
        <f ca="1">_xll.EURO(UnderlyingPrice,$D53,IntRate,Yield,$I53,$D$6,L$12,0)</f>
        <v>0.85077611827109711</v>
      </c>
      <c r="M53" s="58">
        <f ca="1">_xll.EURO(UnderlyingPrice,$D53,IntRate,Yield,$I53,$D$6,M$12,0)</f>
        <v>0.59049532106908931</v>
      </c>
      <c r="O53" s="58">
        <f ca="1">_xll.EURO(UnderlyingPrice,$D53*(1+$P$8),IntRate,Yield,$H53,Expiry-Today,O$12,0)</f>
        <v>0.84977090139706979</v>
      </c>
      <c r="P53" s="58">
        <f ca="1">_xll.EURO(UnderlyingPrice,$D53*(1+$P$8),IntRate,Yield,$H53,Expiry-Today,P$12,0)</f>
        <v>0.59168039165831021</v>
      </c>
      <c r="R53" s="58">
        <f ca="1">_xll.EURO(UnderlyingPrice,$D53*(1-$P$8),IntRate,Yield,$J53,Expiry-Today,R$12,0)</f>
        <v>0.85178251516923265</v>
      </c>
      <c r="S53" s="58">
        <f ca="1">_xll.EURO(UnderlyingPrice,$D53*(1-$P$8),IntRate,Yield,$J53,Expiry-Today,S$12,0)</f>
        <v>0.58931143050397794</v>
      </c>
      <c r="U53" s="59">
        <f t="shared" ca="1" si="35"/>
        <v>0.23729093852780994</v>
      </c>
      <c r="V53" s="59"/>
      <c r="W53" s="62">
        <f t="shared" ca="1" si="34"/>
        <v>0.24159330763485315</v>
      </c>
      <c r="Z53" s="59">
        <f t="shared" ca="1" si="11"/>
        <v>0.22248928043606961</v>
      </c>
      <c r="AA53" s="59">
        <f t="shared" ca="1" si="12"/>
        <v>2.3098114023022538E-2</v>
      </c>
      <c r="AB53" s="59">
        <f t="shared" ca="1" si="4"/>
        <v>-5.3352287142055044E-4</v>
      </c>
      <c r="AC53" s="59">
        <f t="shared" ca="1" si="13"/>
        <v>-1.650406079741511E-3</v>
      </c>
      <c r="AD53" s="60">
        <f t="shared" ca="1" si="5"/>
        <v>0.99835095509144112</v>
      </c>
      <c r="AE53" s="60">
        <f t="shared" ca="1" si="14"/>
        <v>0.22212238562095757</v>
      </c>
      <c r="AF53" s="60"/>
      <c r="AG53" s="96">
        <f t="shared" ca="1" si="15"/>
        <v>5.7452694971454756E-2</v>
      </c>
      <c r="AH53" s="96">
        <f t="shared" ca="1" si="16"/>
        <v>5.8696050522613299E-2</v>
      </c>
      <c r="AI53" s="96">
        <f t="shared" ca="1" si="17"/>
        <v>5.6208717587036418E-2</v>
      </c>
      <c r="AJ53" s="62"/>
      <c r="AK53" s="96">
        <f t="shared" ca="1" si="18"/>
        <v>0.4331973965526017</v>
      </c>
      <c r="AL53" s="96"/>
      <c r="AM53" s="94">
        <v>0.9</v>
      </c>
      <c r="AN53" s="95">
        <f t="shared" ca="1" si="6"/>
        <v>0.26608524989875482</v>
      </c>
      <c r="AX53" s="106">
        <f t="shared" ca="1" si="19"/>
        <v>0.59234999999999993</v>
      </c>
      <c r="AY53" s="106">
        <f t="shared" ca="1" si="20"/>
        <v>0.59237229999999996</v>
      </c>
      <c r="AZ53" s="106">
        <f t="shared" ca="1" si="21"/>
        <v>0.59232770000000001</v>
      </c>
      <c r="BB53" s="109">
        <f ca="1">_xll.EURO(UnderlyingPrice,$D53,IntRate,Yield,AX53,$D$6,1,0)</f>
        <v>0.85344168935006159</v>
      </c>
      <c r="BC53" s="109">
        <f ca="1">_xll.EURO(UnderlyingPrice,$D53*(1+$P$8),IntRate,Yield,AY53,$D$6,1,0)</f>
        <v>0.85242246201975025</v>
      </c>
      <c r="BD53" s="109">
        <f ca="1">_xll.EURO(UnderlyingPrice,$D53*(1-$P$8),IntRate,Yield,AZ53,$D$6,1,0)</f>
        <v>0.8544620282000901</v>
      </c>
      <c r="BF53" s="59">
        <f t="shared" ca="1" si="22"/>
        <v>0.22351539688235908</v>
      </c>
      <c r="BG53" s="62">
        <f t="shared" ca="1" si="23"/>
        <v>0.22756799890947971</v>
      </c>
      <c r="BI53" s="96">
        <f t="shared" ca="1" si="24"/>
        <v>5.7701827409695622E-2</v>
      </c>
      <c r="BJ53" s="96">
        <f t="shared" ca="1" si="25"/>
        <v>5.894428440138022E-2</v>
      </c>
      <c r="BK53" s="96">
        <f t="shared" ca="1" si="26"/>
        <v>5.6458749034143337E-2</v>
      </c>
      <c r="BL53" s="62"/>
      <c r="BM53" s="96">
        <f t="shared" ca="1" si="27"/>
        <v>0.4083439280385624</v>
      </c>
      <c r="BO53" s="58">
        <f t="shared" ca="1" si="28"/>
        <v>2.6655710789644793E-3</v>
      </c>
      <c r="BP53" s="46">
        <f t="shared" ca="1" si="29"/>
        <v>3.1233195099649334E-3</v>
      </c>
    </row>
    <row r="54" spans="3:68" x14ac:dyDescent="0.2">
      <c r="C54" s="56">
        <v>41</v>
      </c>
      <c r="D54" s="63">
        <f t="shared" ca="1" si="30"/>
        <v>4.4840000000000009</v>
      </c>
      <c r="E54" s="45">
        <f t="shared" ca="1" si="7"/>
        <v>-5.100529100529072E-2</v>
      </c>
      <c r="F54" s="45">
        <f t="shared" ca="1" si="8"/>
        <v>-5.0530793650793382E-2</v>
      </c>
      <c r="G54" s="45">
        <f t="shared" ca="1" si="9"/>
        <v>-5.1479788359788059E-2</v>
      </c>
      <c r="H54" s="45">
        <f t="shared" ca="1" si="31"/>
        <v>0.59050703739559385</v>
      </c>
      <c r="I54" s="45">
        <f t="shared" ca="1" si="32"/>
        <v>0.59047124124041328</v>
      </c>
      <c r="J54" s="45">
        <f t="shared" ca="1" si="33"/>
        <v>0.59043548892284847</v>
      </c>
      <c r="L54" s="58">
        <f ca="1">_xll.EURO(UnderlyingPrice,$D54,IntRate,Yield,$I54,$D$6,L$12,0)</f>
        <v>0.84001947465249494</v>
      </c>
      <c r="M54" s="58">
        <f ca="1">_xll.EURO(UnderlyingPrice,$D54,IntRate,Yield,$I54,$D$6,M$12,0)</f>
        <v>0.60331127795180128</v>
      </c>
      <c r="O54" s="58">
        <f ca="1">_xll.EURO(UnderlyingPrice,$D54*(1+$P$8),IntRate,Yield,$H54,Expiry-Today,O$12,0)</f>
        <v>0.83902157158138779</v>
      </c>
      <c r="P54" s="58">
        <f ca="1">_xll.EURO(UnderlyingPrice,$D54*(1+$P$8),IntRate,Yield,$H54,Expiry-Today,P$12,0)</f>
        <v>0.60451544864419193</v>
      </c>
      <c r="R54" s="58">
        <f ca="1">_xll.EURO(UnderlyingPrice,$D54*(1-$P$8),IntRate,Yield,$J54,Expiry-Today,R$12,0)</f>
        <v>0.84101856220255788</v>
      </c>
      <c r="S54" s="58">
        <f ca="1">_xll.EURO(UnderlyingPrice,$D54*(1-$P$8),IntRate,Yield,$J54,Expiry-Today,S$12,0)</f>
        <v>0.60210829173836689</v>
      </c>
      <c r="U54" s="59">
        <f t="shared" ca="1" si="35"/>
        <v>0.23564386244895449</v>
      </c>
      <c r="V54" s="59"/>
      <c r="W54" s="62">
        <f t="shared" ca="1" si="34"/>
        <v>0.23991636809267886</v>
      </c>
      <c r="Z54" s="59">
        <f t="shared" ca="1" si="11"/>
        <v>0.22129843682981051</v>
      </c>
      <c r="AA54" s="59">
        <f t="shared" ca="1" si="12"/>
        <v>2.8464853200963369E-2</v>
      </c>
      <c r="AB54" s="59">
        <f t="shared" ca="1" si="4"/>
        <v>-8.1024786775239462E-4</v>
      </c>
      <c r="AC54" s="59">
        <f t="shared" ca="1" si="13"/>
        <v>-2.5064305181062567E-3</v>
      </c>
      <c r="AD54" s="60">
        <f t="shared" ca="1" si="5"/>
        <v>0.99749670795619461</v>
      </c>
      <c r="AE54" s="60">
        <f t="shared" ca="1" si="14"/>
        <v>0.22074446221358787</v>
      </c>
      <c r="AF54" s="60"/>
      <c r="AG54" s="96">
        <f t="shared" ca="1" si="15"/>
        <v>7.0801560972993491E-2</v>
      </c>
      <c r="AH54" s="96">
        <f t="shared" ca="1" si="16"/>
        <v>7.2044916524152097E-2</v>
      </c>
      <c r="AI54" s="96">
        <f t="shared" ca="1" si="17"/>
        <v>6.9557583588575056E-2</v>
      </c>
      <c r="AJ54" s="62"/>
      <c r="AK54" s="96">
        <f t="shared" ca="1" si="18"/>
        <v>0.4325054274561756</v>
      </c>
      <c r="AL54" s="96"/>
      <c r="AM54" s="94">
        <v>1</v>
      </c>
      <c r="AN54" s="95">
        <f t="shared" ca="1" si="6"/>
        <v>0.24197072451914334</v>
      </c>
      <c r="AX54" s="106">
        <f t="shared" ca="1" si="19"/>
        <v>0.59258999999999995</v>
      </c>
      <c r="AY54" s="106">
        <f t="shared" ca="1" si="20"/>
        <v>0.59261242000000003</v>
      </c>
      <c r="AZ54" s="106">
        <f t="shared" ca="1" si="21"/>
        <v>0.59256757999999998</v>
      </c>
      <c r="BB54" s="109">
        <f ca="1">_xll.EURO(UnderlyingPrice,$D54,IntRate,Yield,AX54,$D$6,1,0)</f>
        <v>0.84253066412452959</v>
      </c>
      <c r="BC54" s="109">
        <f ca="1">_xll.EURO(UnderlyingPrice,$D54*(1+$P$8),IntRate,Yield,AY54,$D$6,1,0)</f>
        <v>0.84151793452658419</v>
      </c>
      <c r="BD54" s="109">
        <f ca="1">_xll.EURO(UnderlyingPrice,$D54*(1-$P$8),IntRate,Yield,AZ54,$D$6,1,0)</f>
        <v>0.84354450909290346</v>
      </c>
      <c r="BF54" s="59">
        <f t="shared" ca="1" si="22"/>
        <v>0.22189520086915418</v>
      </c>
      <c r="BG54" s="62">
        <f t="shared" ca="1" si="23"/>
        <v>0.2259184268007618</v>
      </c>
      <c r="BI54" s="96">
        <f t="shared" ca="1" si="24"/>
        <v>7.1041046331602978E-2</v>
      </c>
      <c r="BJ54" s="96">
        <f t="shared" ca="1" si="25"/>
        <v>7.2283503323287646E-2</v>
      </c>
      <c r="BK54" s="96">
        <f t="shared" ca="1" si="26"/>
        <v>6.9797967956050602E-2</v>
      </c>
      <c r="BL54" s="62"/>
      <c r="BM54" s="96">
        <f t="shared" ca="1" si="27"/>
        <v>0.40756540386737755</v>
      </c>
      <c r="BO54" s="58">
        <f t="shared" ca="1" si="28"/>
        <v>2.5111894720346584E-3</v>
      </c>
      <c r="BP54" s="46">
        <f t="shared" ca="1" si="29"/>
        <v>2.9805318417033826E-3</v>
      </c>
    </row>
    <row r="55" spans="3:68" x14ac:dyDescent="0.2">
      <c r="C55" s="56">
        <v>42</v>
      </c>
      <c r="D55" s="63">
        <f t="shared" ca="1" si="30"/>
        <v>4.5080000000000009</v>
      </c>
      <c r="E55" s="45">
        <f t="shared" ca="1" si="7"/>
        <v>-4.5925925925925704E-2</v>
      </c>
      <c r="F55" s="45">
        <f t="shared" ca="1" si="8"/>
        <v>-4.544888888888865E-2</v>
      </c>
      <c r="G55" s="45">
        <f t="shared" ca="1" si="9"/>
        <v>-4.6402962962962646E-2</v>
      </c>
      <c r="H55" s="45">
        <f t="shared" ca="1" si="31"/>
        <v>0.59089316605850528</v>
      </c>
      <c r="I55" s="45">
        <f t="shared" ca="1" si="32"/>
        <v>0.59085670640987653</v>
      </c>
      <c r="J55" s="45">
        <f t="shared" ca="1" si="33"/>
        <v>0.59082029106938927</v>
      </c>
      <c r="L55" s="58">
        <f ca="1">_xll.EURO(UnderlyingPrice,$D55,IntRate,Yield,$I55,$D$6,L$12,0)</f>
        <v>0.8293985603042171</v>
      </c>
      <c r="M55" s="58">
        <f ca="1">_xll.EURO(UnderlyingPrice,$D55,IntRate,Yield,$I55,$D$6,M$12,0)</f>
        <v>0.6162629641048385</v>
      </c>
      <c r="O55" s="58">
        <f ca="1">_xll.EURO(UnderlyingPrice,$D55*(1+$P$8),IntRate,Yield,$H55,Expiry-Today,O$12,0)</f>
        <v>0.82840801708885703</v>
      </c>
      <c r="P55" s="58">
        <f ca="1">_xll.EURO(UnderlyingPrice,$D55*(1+$P$8),IntRate,Yield,$H55,Expiry-Today,P$12,0)</f>
        <v>0.61748628095322666</v>
      </c>
      <c r="R55" s="58">
        <f ca="1">_xll.EURO(UnderlyingPrice,$D55*(1-$P$8),IntRate,Yield,$J55,Expiry-Today,R$12,0)</f>
        <v>0.83039029217376026</v>
      </c>
      <c r="S55" s="58">
        <f ca="1">_xll.EURO(UnderlyingPrice,$D55*(1-$P$8),IntRate,Yield,$J55,Expiry-Today,S$12,0)</f>
        <v>0.61504083591063341</v>
      </c>
      <c r="U55" s="59">
        <f t="shared" ca="1" si="35"/>
        <v>0.23396327913973575</v>
      </c>
      <c r="V55" s="59"/>
      <c r="W55" s="62">
        <f t="shared" ca="1" si="34"/>
        <v>0.23820531379389662</v>
      </c>
      <c r="Z55" s="59">
        <f t="shared" ca="1" si="11"/>
        <v>0.22012027301350276</v>
      </c>
      <c r="AA55" s="59">
        <f t="shared" ca="1" si="12"/>
        <v>3.3802944168579693E-2</v>
      </c>
      <c r="AB55" s="59">
        <f t="shared" ca="1" si="4"/>
        <v>-1.1426390344641158E-3</v>
      </c>
      <c r="AC55" s="59">
        <f t="shared" ca="1" si="13"/>
        <v>-3.5346533587367929E-3</v>
      </c>
      <c r="AD55" s="60">
        <f t="shared" ca="1" si="5"/>
        <v>0.99647158617475218</v>
      </c>
      <c r="AE55" s="60">
        <f t="shared" ca="1" si="14"/>
        <v>0.21934359759898459</v>
      </c>
      <c r="AF55" s="60"/>
      <c r="AG55" s="96">
        <f t="shared" ca="1" si="15"/>
        <v>8.4079169343384857E-2</v>
      </c>
      <c r="AH55" s="96">
        <f t="shared" ca="1" si="16"/>
        <v>8.5322524894543561E-2</v>
      </c>
      <c r="AI55" s="96">
        <f t="shared" ca="1" si="17"/>
        <v>8.2835191958966631E-2</v>
      </c>
      <c r="AJ55" s="62"/>
      <c r="AK55" s="96">
        <f t="shared" ca="1" si="18"/>
        <v>0.43171926814606915</v>
      </c>
      <c r="AL55" s="96"/>
      <c r="AM55" s="94">
        <v>1.1000000000000001</v>
      </c>
      <c r="AN55" s="95">
        <f t="shared" ca="1" si="6"/>
        <v>0.2178521770325505</v>
      </c>
      <c r="AX55" s="106">
        <f t="shared" ca="1" si="19"/>
        <v>0.59282999999999997</v>
      </c>
      <c r="AY55" s="106">
        <f t="shared" ca="1" si="20"/>
        <v>0.59285253999999998</v>
      </c>
      <c r="AZ55" s="106">
        <f t="shared" ca="1" si="21"/>
        <v>0.59280745999999995</v>
      </c>
      <c r="BB55" s="109">
        <f ca="1">_xll.EURO(UnderlyingPrice,$D55,IntRate,Yield,AX55,$D$6,1,0)</f>
        <v>0.831747449458764</v>
      </c>
      <c r="BC55" s="109">
        <f ca="1">_xll.EURO(UnderlyingPrice,$D55*(1+$P$8),IntRate,Yield,AY55,$D$6,1,0)</f>
        <v>0.83074125749579597</v>
      </c>
      <c r="BD55" s="109">
        <f ca="1">_xll.EURO(UnderlyingPrice,$D55*(1-$P$8),IntRate,Yield,AZ55,$D$6,1,0)</f>
        <v>0.8327547604175467</v>
      </c>
      <c r="BF55" s="59">
        <f t="shared" ca="1" si="22"/>
        <v>0.2202523945747078</v>
      </c>
      <c r="BG55" s="62">
        <f t="shared" ca="1" si="23"/>
        <v>0.22424583445930524</v>
      </c>
      <c r="BI55" s="96">
        <f t="shared" ca="1" si="24"/>
        <v>8.4309059119474575E-2</v>
      </c>
      <c r="BJ55" s="96">
        <f t="shared" ca="1" si="25"/>
        <v>8.5551516111159326E-2</v>
      </c>
      <c r="BK55" s="96">
        <f t="shared" ca="1" si="26"/>
        <v>8.3065980743922394E-2</v>
      </c>
      <c r="BL55" s="62"/>
      <c r="BM55" s="96">
        <f t="shared" ca="1" si="27"/>
        <v>0.40671327194443607</v>
      </c>
      <c r="BO55" s="58">
        <f t="shared" ca="1" si="28"/>
        <v>2.348889154546896E-3</v>
      </c>
      <c r="BP55" s="46">
        <f t="shared" ca="1" si="29"/>
        <v>2.8240413073407906E-3</v>
      </c>
    </row>
    <row r="56" spans="3:68" x14ac:dyDescent="0.2">
      <c r="C56" s="56">
        <v>43</v>
      </c>
      <c r="D56" s="63">
        <f t="shared" ca="1" si="30"/>
        <v>4.5320000000000009</v>
      </c>
      <c r="E56" s="45">
        <f t="shared" ca="1" si="7"/>
        <v>-4.0846560846560576E-2</v>
      </c>
      <c r="F56" s="45">
        <f t="shared" ca="1" si="8"/>
        <v>-4.0366984126983918E-2</v>
      </c>
      <c r="G56" s="45">
        <f t="shared" ca="1" si="9"/>
        <v>-4.1326137566137233E-2</v>
      </c>
      <c r="H56" s="45">
        <f t="shared" ca="1" si="31"/>
        <v>0.59128432315106638</v>
      </c>
      <c r="I56" s="45">
        <f t="shared" ca="1" si="32"/>
        <v>0.59124719498432865</v>
      </c>
      <c r="J56" s="45">
        <f t="shared" ca="1" si="33"/>
        <v>0.59121011159876957</v>
      </c>
      <c r="L56" s="58">
        <f ca="1">_xll.EURO(UnderlyingPrice,$D56,IntRate,Yield,$I56,$D$6,L$12,0)</f>
        <v>0.81891240729101922</v>
      </c>
      <c r="M56" s="58">
        <f ca="1">_xll.EURO(UnderlyingPrice,$D56,IntRate,Yield,$I56,$D$6,M$12,0)</f>
        <v>0.62934941159295454</v>
      </c>
      <c r="O56" s="58">
        <f ca="1">_xll.EURO(UnderlyingPrice,$D56*(1+$P$8),IntRate,Yield,$H56,Expiry-Today,O$12,0)</f>
        <v>0.81792926677137645</v>
      </c>
      <c r="P56" s="58">
        <f ca="1">_xll.EURO(UnderlyingPrice,$D56*(1+$P$8),IntRate,Yield,$H56,Expiry-Today,P$12,0)</f>
        <v>0.63059191743731025</v>
      </c>
      <c r="R56" s="58">
        <f ca="1">_xll.EURO(UnderlyingPrice,$D56*(1-$P$8),IntRate,Yield,$J56,Expiry-Today,R$12,0)</f>
        <v>0.81989674036226967</v>
      </c>
      <c r="S56" s="58">
        <f ca="1">_xll.EURO(UnderlyingPrice,$D56*(1-$P$8),IntRate,Yield,$J56,Expiry-Today,S$12,0)</f>
        <v>0.62810809830020564</v>
      </c>
      <c r="U56" s="59">
        <f t="shared" ca="1" si="35"/>
        <v>0.23225088157785179</v>
      </c>
      <c r="V56" s="59"/>
      <c r="W56" s="62">
        <f t="shared" ca="1" si="34"/>
        <v>0.23646186841191916</v>
      </c>
      <c r="Z56" s="59">
        <f t="shared" ca="1" si="11"/>
        <v>0.21895458754299879</v>
      </c>
      <c r="AA56" s="59">
        <f t="shared" ca="1" si="12"/>
        <v>3.9112691156809751E-2</v>
      </c>
      <c r="AB56" s="59">
        <f t="shared" ca="1" si="4"/>
        <v>-1.5298026095279837E-3</v>
      </c>
      <c r="AC56" s="59">
        <f t="shared" ca="1" si="13"/>
        <v>-4.7323098274061398E-3</v>
      </c>
      <c r="AD56" s="60">
        <f t="shared" ca="1" si="5"/>
        <v>0.99527886990846803</v>
      </c>
      <c r="AE56" s="60">
        <f t="shared" ca="1" si="14"/>
        <v>0.21792087445107056</v>
      </c>
      <c r="AF56" s="60"/>
      <c r="AG56" s="96">
        <f t="shared" ca="1" si="15"/>
        <v>9.7286276806198529E-2</v>
      </c>
      <c r="AH56" s="96">
        <f t="shared" ca="1" si="16"/>
        <v>9.8529632357357039E-2</v>
      </c>
      <c r="AI56" s="96">
        <f t="shared" ca="1" si="17"/>
        <v>9.604229942178022E-2</v>
      </c>
      <c r="AJ56" s="62"/>
      <c r="AK56" s="96">
        <f t="shared" ca="1" si="18"/>
        <v>0.43084107170168617</v>
      </c>
      <c r="AL56" s="96"/>
      <c r="AM56" s="94">
        <v>1.2</v>
      </c>
      <c r="AN56" s="95">
        <f t="shared" ca="1" si="6"/>
        <v>0.19418605498321292</v>
      </c>
      <c r="AX56" s="106">
        <f t="shared" ca="1" si="19"/>
        <v>0.59306999999999999</v>
      </c>
      <c r="AY56" s="106">
        <f t="shared" ca="1" si="20"/>
        <v>0.59309265999999994</v>
      </c>
      <c r="AZ56" s="106">
        <f t="shared" ca="1" si="21"/>
        <v>0.59304734000000003</v>
      </c>
      <c r="BB56" s="109">
        <f ca="1">_xll.EURO(UnderlyingPrice,$D56,IntRate,Yield,AX56,$D$6,1,0)</f>
        <v>0.82109109916299072</v>
      </c>
      <c r="BC56" s="109">
        <f ca="1">_xll.EURO(UnderlyingPrice,$D56*(1+$P$8),IntRate,Yield,AY56,$D$6,1,0)</f>
        <v>0.82009148213758776</v>
      </c>
      <c r="BD56" s="109">
        <f ca="1">_xll.EURO(UnderlyingPrice,$D56*(1-$P$8),IntRate,Yield,AZ56,$D$6,1,0)</f>
        <v>0.82209183858638557</v>
      </c>
      <c r="BF56" s="59">
        <f t="shared" ca="1" si="22"/>
        <v>0.21858837924951838</v>
      </c>
      <c r="BG56" s="62">
        <f t="shared" ca="1" si="23"/>
        <v>0.22255164854195936</v>
      </c>
      <c r="BI56" s="96">
        <f t="shared" ca="1" si="24"/>
        <v>9.7506621950004202E-2</v>
      </c>
      <c r="BJ56" s="96">
        <f t="shared" ca="1" si="25"/>
        <v>9.8749078941688759E-2</v>
      </c>
      <c r="BK56" s="96">
        <f t="shared" ca="1" si="26"/>
        <v>9.6263543574451951E-2</v>
      </c>
      <c r="BL56" s="62"/>
      <c r="BM56" s="96">
        <f t="shared" ca="1" si="27"/>
        <v>0.40578946672299193</v>
      </c>
      <c r="BO56" s="58">
        <f t="shared" ca="1" si="28"/>
        <v>2.1786918719715054E-3</v>
      </c>
      <c r="BP56" s="46">
        <f t="shared" ca="1" si="29"/>
        <v>2.6534106558851202E-3</v>
      </c>
    </row>
    <row r="57" spans="3:68" x14ac:dyDescent="0.2">
      <c r="C57" s="56">
        <v>44</v>
      </c>
      <c r="D57" s="63">
        <f t="shared" ca="1" si="30"/>
        <v>4.5560000000000009</v>
      </c>
      <c r="E57" s="45">
        <f t="shared" ca="1" si="7"/>
        <v>-3.5767195767195448E-2</v>
      </c>
      <c r="F57" s="45">
        <f t="shared" ca="1" si="8"/>
        <v>-3.5285079365079186E-2</v>
      </c>
      <c r="G57" s="45">
        <f t="shared" ca="1" si="9"/>
        <v>-3.624931216931182E-2</v>
      </c>
      <c r="H57" s="45">
        <f t="shared" ca="1" si="31"/>
        <v>0.59168050867327671</v>
      </c>
      <c r="I57" s="45">
        <f t="shared" ca="1" si="32"/>
        <v>0.5916427069637693</v>
      </c>
      <c r="J57" s="45">
        <f t="shared" ca="1" si="33"/>
        <v>0.59160495051098949</v>
      </c>
      <c r="L57" s="58">
        <f ca="1">_xll.EURO(UnderlyingPrice,$D57,IntRate,Yield,$I57,$D$6,L$12,0)</f>
        <v>0.80856002935089233</v>
      </c>
      <c r="M57" s="58">
        <f ca="1">_xll.EURO(UnderlyingPrice,$D57,IntRate,Yield,$I57,$D$6,M$12,0)</f>
        <v>0.64256963415414181</v>
      </c>
      <c r="O57" s="58">
        <f ca="1">_xll.EURO(UnderlyingPrice,$D57*(1+$P$8),IntRate,Yield,$H57,Expiry-Today,O$12,0)</f>
        <v>0.80758433120821271</v>
      </c>
      <c r="P57" s="58">
        <f ca="1">_xll.EURO(UnderlyingPrice,$D57*(1+$P$8),IntRate,Yield,$H57,Expiry-Today,P$12,0)</f>
        <v>0.64383136867571156</v>
      </c>
      <c r="R57" s="58">
        <f ca="1">_xll.EURO(UnderlyingPrice,$D57*(1-$P$8),IntRate,Yield,$J57,Expiry-Today,R$12,0)</f>
        <v>0.80953692366676089</v>
      </c>
      <c r="S57" s="58">
        <f ca="1">_xll.EURO(UnderlyingPrice,$D57*(1-$P$8),IntRate,Yield,$J57,Expiry-Today,S$12,0)</f>
        <v>0.64130909580576101</v>
      </c>
      <c r="U57" s="59">
        <f t="shared" ca="1" si="35"/>
        <v>0.23050833004018881</v>
      </c>
      <c r="V57" s="59"/>
      <c r="W57" s="62">
        <f t="shared" ca="1" si="34"/>
        <v>0.2346877223264425</v>
      </c>
      <c r="Z57" s="59">
        <f t="shared" ca="1" si="11"/>
        <v>0.21780118321880385</v>
      </c>
      <c r="AA57" s="59">
        <f t="shared" ca="1" si="12"/>
        <v>4.4394393575985625E-2</v>
      </c>
      <c r="AB57" s="59">
        <f t="shared" ca="1" si="4"/>
        <v>-1.9708621809795138E-3</v>
      </c>
      <c r="AC57" s="59">
        <f t="shared" ca="1" si="13"/>
        <v>-6.0966888207820407E-3</v>
      </c>
      <c r="AD57" s="60">
        <f t="shared" ca="1" si="5"/>
        <v>0.9939218582754068</v>
      </c>
      <c r="AE57" s="60">
        <f t="shared" ca="1" si="14"/>
        <v>0.21647735675941587</v>
      </c>
      <c r="AF57" s="60"/>
      <c r="AG57" s="96">
        <f t="shared" ca="1" si="15"/>
        <v>0.11042362809455268</v>
      </c>
      <c r="AH57" s="96">
        <f t="shared" ca="1" si="16"/>
        <v>0.11166698364571098</v>
      </c>
      <c r="AI57" s="96">
        <f t="shared" ca="1" si="17"/>
        <v>0.10917965071013429</v>
      </c>
      <c r="AJ57" s="62"/>
      <c r="AK57" s="96">
        <f t="shared" ca="1" si="18"/>
        <v>0.42987299674515306</v>
      </c>
      <c r="AL57" s="96"/>
      <c r="AM57" s="94">
        <v>1.3</v>
      </c>
      <c r="AN57" s="95">
        <f t="shared" ca="1" si="6"/>
        <v>0.17136859204780733</v>
      </c>
      <c r="AX57" s="106">
        <f t="shared" ca="1" si="19"/>
        <v>0.59331</v>
      </c>
      <c r="AY57" s="106">
        <f t="shared" ca="1" si="20"/>
        <v>0.59333278</v>
      </c>
      <c r="AZ57" s="106">
        <f t="shared" ca="1" si="21"/>
        <v>0.59328722</v>
      </c>
      <c r="BB57" s="109">
        <f ca="1">_xll.EURO(UnderlyingPrice,$D57,IntRate,Yield,AX57,$D$6,1,0)</f>
        <v>0.81056065482953477</v>
      </c>
      <c r="BC57" s="109">
        <f ca="1">_xll.EURO(UnderlyingPrice,$D57*(1+$P$8),IntRate,Yield,AY57,$D$6,1,0)</f>
        <v>0.80956764749468713</v>
      </c>
      <c r="BD57" s="109">
        <f ca="1">_xll.EURO(UnderlyingPrice,$D57*(1-$P$8),IntRate,Yield,AZ57,$D$6,1,0)</f>
        <v>0.81155478774353318</v>
      </c>
      <c r="BF57" s="59">
        <f t="shared" ca="1" si="22"/>
        <v>0.21690451915401102</v>
      </c>
      <c r="BG57" s="62">
        <f t="shared" ca="1" si="23"/>
        <v>0.22083725804482587</v>
      </c>
      <c r="BI57" s="96">
        <f t="shared" ca="1" si="24"/>
        <v>0.11063447901809954</v>
      </c>
      <c r="BJ57" s="96">
        <f t="shared" ca="1" si="25"/>
        <v>0.11187693600978389</v>
      </c>
      <c r="BK57" s="96">
        <f t="shared" ca="1" si="26"/>
        <v>0.1093914006425472</v>
      </c>
      <c r="BL57" s="62"/>
      <c r="BM57" s="96">
        <f t="shared" ca="1" si="27"/>
        <v>0.40479590872641691</v>
      </c>
      <c r="BO57" s="58">
        <f t="shared" ca="1" si="28"/>
        <v>2.0006254786424371E-3</v>
      </c>
      <c r="BP57" s="46">
        <f t="shared" ca="1" si="29"/>
        <v>2.4681995933582284E-3</v>
      </c>
    </row>
    <row r="58" spans="3:68" x14ac:dyDescent="0.2">
      <c r="C58" s="56">
        <v>45</v>
      </c>
      <c r="D58" s="63">
        <f t="shared" ca="1" si="30"/>
        <v>4.580000000000001</v>
      </c>
      <c r="E58" s="45">
        <f t="shared" ca="1" si="7"/>
        <v>-3.0687830687830431E-2</v>
      </c>
      <c r="F58" s="45">
        <f t="shared" ca="1" si="8"/>
        <v>-3.0203174603174454E-2</v>
      </c>
      <c r="G58" s="45">
        <f t="shared" ca="1" si="9"/>
        <v>-3.1172486772486407E-2</v>
      </c>
      <c r="H58" s="45">
        <f t="shared" ca="1" si="31"/>
        <v>0.5920817226251367</v>
      </c>
      <c r="I58" s="45">
        <f t="shared" ca="1" si="32"/>
        <v>0.59204324234819861</v>
      </c>
      <c r="J58" s="45">
        <f t="shared" ca="1" si="33"/>
        <v>0.59200480780604881</v>
      </c>
      <c r="L58" s="58">
        <f ca="1">_xll.EURO(UnderlyingPrice,$D58,IntRate,Yield,$I58,$D$6,L$12,0)</f>
        <v>0.79834042285186246</v>
      </c>
      <c r="M58" s="58">
        <f ca="1">_xll.EURO(UnderlyingPrice,$D58,IntRate,Yield,$I58,$D$6,M$12,0)</f>
        <v>0.65592262815642499</v>
      </c>
      <c r="O58" s="58">
        <f ca="1">_xll.EURO(UnderlyingPrice,$D58*(1+$P$8),IntRate,Yield,$H58,Expiry-Today,O$12,0)</f>
        <v>0.79737220366347117</v>
      </c>
      <c r="P58" s="58">
        <f ca="1">_xll.EURO(UnderlyingPrice,$D58*(1+$P$8),IntRate,Yield,$H58,Expiry-Today,P$12,0)</f>
        <v>0.6572036279325344</v>
      </c>
      <c r="R58" s="58">
        <f ca="1">_xll.EURO(UnderlyingPrice,$D58*(1-$P$8),IntRate,Yield,$J58,Expiry-Today,R$12,0)</f>
        <v>0.79930984156128737</v>
      </c>
      <c r="S58" s="58">
        <f ca="1">_xll.EURO(UnderlyingPrice,$D58*(1-$P$8),IntRate,Yield,$J58,Expiry-Today,S$12,0)</f>
        <v>0.65464282790135031</v>
      </c>
      <c r="U58" s="59">
        <f t="shared" ca="1" si="35"/>
        <v>0.22873725398303368</v>
      </c>
      <c r="V58" s="59"/>
      <c r="W58" s="62">
        <f t="shared" ca="1" si="34"/>
        <v>0.23288453453774885</v>
      </c>
      <c r="Z58" s="59">
        <f t="shared" ca="1" si="11"/>
        <v>0.21665986697486253</v>
      </c>
      <c r="AA58" s="59">
        <f t="shared" ca="1" si="12"/>
        <v>4.9648346117143444E-2</v>
      </c>
      <c r="AB58" s="59">
        <f t="shared" ca="1" si="4"/>
        <v>-2.4649582721676722E-3</v>
      </c>
      <c r="AC58" s="59">
        <f t="shared" ca="1" si="13"/>
        <v>-7.625131623434948E-3</v>
      </c>
      <c r="AD58" s="60">
        <f t="shared" ca="1" si="5"/>
        <v>0.99240386594247409</v>
      </c>
      <c r="AE58" s="60">
        <f t="shared" ca="1" si="14"/>
        <v>0.21501408958043575</v>
      </c>
      <c r="AF58" s="60"/>
      <c r="AG58" s="96">
        <f t="shared" ca="1" si="15"/>
        <v>0.1234919562031062</v>
      </c>
      <c r="AH58" s="96">
        <f t="shared" ca="1" si="16"/>
        <v>0.1247353117542646</v>
      </c>
      <c r="AI58" s="96">
        <f t="shared" ca="1" si="17"/>
        <v>0.12224797881868803</v>
      </c>
      <c r="AJ58" s="62"/>
      <c r="AK58" s="96">
        <f t="shared" ca="1" si="18"/>
        <v>0.42881720935989098</v>
      </c>
      <c r="AL58" s="96"/>
      <c r="AM58" s="94">
        <v>1.4</v>
      </c>
      <c r="AN58" s="95">
        <f t="shared" ca="1" si="6"/>
        <v>0.14972746563574485</v>
      </c>
      <c r="AX58" s="106">
        <f t="shared" ca="1" si="19"/>
        <v>0.59355000000000002</v>
      </c>
      <c r="AY58" s="106">
        <f t="shared" ca="1" si="20"/>
        <v>0.59357289999999996</v>
      </c>
      <c r="AZ58" s="106">
        <f t="shared" ca="1" si="21"/>
        <v>0.59352709999999997</v>
      </c>
      <c r="BB58" s="109">
        <f ca="1">_xll.EURO(UnderlyingPrice,$D58,IntRate,Yield,AX58,$D$6,1,0)</f>
        <v>0.80015514661833009</v>
      </c>
      <c r="BC58" s="109">
        <f ca="1">_xll.EURO(UnderlyingPrice,$D58*(1+$P$8),IntRate,Yield,AY58,$D$6,1,0)</f>
        <v>0.79916878122769797</v>
      </c>
      <c r="BD58" s="109">
        <f ca="1">_xll.EURO(UnderlyingPrice,$D58*(1-$P$8),IntRate,Yield,AZ58,$D$6,1,0)</f>
        <v>0.80114264055050421</v>
      </c>
      <c r="BF58" s="59">
        <f t="shared" ca="1" si="22"/>
        <v>0.21520213992769405</v>
      </c>
      <c r="BG58" s="62">
        <f t="shared" ca="1" si="23"/>
        <v>0.21910401264284615</v>
      </c>
      <c r="BI58" s="96">
        <f t="shared" ca="1" si="24"/>
        <v>0.12369336278869227</v>
      </c>
      <c r="BJ58" s="96">
        <f t="shared" ca="1" si="25"/>
        <v>0.1249358197803767</v>
      </c>
      <c r="BK58" s="96">
        <f t="shared" ca="1" si="26"/>
        <v>0.12245028441314013</v>
      </c>
      <c r="BL58" s="62"/>
      <c r="BM58" s="96">
        <f t="shared" ca="1" si="27"/>
        <v>0.40373449967035752</v>
      </c>
      <c r="BO58" s="58">
        <f t="shared" ca="1" si="28"/>
        <v>1.8147237664676297E-3</v>
      </c>
      <c r="BP58" s="46">
        <f t="shared" ca="1" si="29"/>
        <v>2.2679648742336259E-3</v>
      </c>
    </row>
    <row r="59" spans="3:68" x14ac:dyDescent="0.2">
      <c r="C59" s="56">
        <v>46</v>
      </c>
      <c r="D59" s="63">
        <f t="shared" ca="1" si="30"/>
        <v>4.604000000000001</v>
      </c>
      <c r="E59" s="45">
        <f t="shared" ca="1" si="7"/>
        <v>-2.5608465608465303E-2</v>
      </c>
      <c r="F59" s="45">
        <f t="shared" ca="1" si="8"/>
        <v>-2.5121269841269722E-2</v>
      </c>
      <c r="G59" s="45">
        <f t="shared" ca="1" si="9"/>
        <v>-2.6095661375660995E-2</v>
      </c>
      <c r="H59" s="45">
        <f t="shared" ca="1" si="31"/>
        <v>0.59248796500664624</v>
      </c>
      <c r="I59" s="45">
        <f t="shared" ca="1" si="32"/>
        <v>0.59244880113761667</v>
      </c>
      <c r="J59" s="45">
        <f t="shared" ca="1" si="33"/>
        <v>0.59240968348394774</v>
      </c>
      <c r="L59" s="58">
        <f ca="1">_xll.EURO(UnderlyingPrice,$D59,IntRate,Yield,$I59,$D$6,L$12,0)</f>
        <v>0.78825256773049368</v>
      </c>
      <c r="M59" s="58">
        <f ca="1">_xll.EURO(UnderlyingPrice,$D59,IntRate,Yield,$I59,$D$6,M$12,0)</f>
        <v>0.66940737353637059</v>
      </c>
      <c r="O59" s="58">
        <f ca="1">_xll.EURO(UnderlyingPrice,$D59*(1+$P$8),IntRate,Yield,$H59,Expiry-Today,O$12,0)</f>
        <v>0.78729186102520998</v>
      </c>
      <c r="P59" s="58">
        <f ca="1">_xll.EURO(UnderlyingPrice,$D59*(1+$P$8),IntRate,Yield,$H59,Expiry-Today,P$12,0)</f>
        <v>0.67070767209583715</v>
      </c>
      <c r="R59" s="58">
        <f ca="1">_xll.EURO(UnderlyingPrice,$D59*(1-$P$8),IntRate,Yield,$J59,Expiry-Today,R$12,0)</f>
        <v>0.78921447703316883</v>
      </c>
      <c r="S59" s="58">
        <f ca="1">_xll.EURO(UnderlyingPrice,$D59*(1-$P$8),IntRate,Yield,$J59,Expiry-Today,S$12,0)</f>
        <v>0.66810827757429503</v>
      </c>
      <c r="U59" s="59">
        <f t="shared" ca="1" si="35"/>
        <v>0.22693925190416672</v>
      </c>
      <c r="V59" s="59"/>
      <c r="W59" s="62">
        <f t="shared" ca="1" si="34"/>
        <v>0.23105393252629908</v>
      </c>
      <c r="Z59" s="59">
        <f t="shared" ca="1" si="11"/>
        <v>0.21553044977082331</v>
      </c>
      <c r="AA59" s="59">
        <f t="shared" ca="1" si="12"/>
        <v>5.4874838850686114E-2</v>
      </c>
      <c r="AB59" s="59">
        <f t="shared" ca="1" si="4"/>
        <v>-3.01124793888877E-3</v>
      </c>
      <c r="AC59" s="59">
        <f t="shared" ca="1" si="13"/>
        <v>-9.3150306616071564E-3</v>
      </c>
      <c r="AD59" s="60">
        <f t="shared" ca="1" si="5"/>
        <v>0.99072821983907877</v>
      </c>
      <c r="AE59" s="60">
        <f t="shared" ca="1" si="14"/>
        <v>0.21353209882256377</v>
      </c>
      <c r="AF59" s="60"/>
      <c r="AG59" s="96">
        <f t="shared" ca="1" si="15"/>
        <v>0.13649198263346576</v>
      </c>
      <c r="AH59" s="96">
        <f t="shared" ca="1" si="16"/>
        <v>0.13773533818462397</v>
      </c>
      <c r="AI59" s="96">
        <f t="shared" ca="1" si="17"/>
        <v>0.13524800524904751</v>
      </c>
      <c r="AJ59" s="62"/>
      <c r="AK59" s="96">
        <f t="shared" ca="1" si="18"/>
        <v>0.4276758813168467</v>
      </c>
      <c r="AL59" s="96"/>
      <c r="AM59" s="94">
        <v>1.5</v>
      </c>
      <c r="AN59" s="95">
        <f t="shared" ca="1" si="6"/>
        <v>0.12951759566589172</v>
      </c>
      <c r="AX59" s="106">
        <f t="shared" ca="1" si="19"/>
        <v>0.59379000000000004</v>
      </c>
      <c r="AY59" s="106">
        <f t="shared" ca="1" si="20"/>
        <v>0.59381302000000002</v>
      </c>
      <c r="AZ59" s="106">
        <f t="shared" ca="1" si="21"/>
        <v>0.59376697999999994</v>
      </c>
      <c r="BB59" s="109">
        <f ca="1">_xll.EURO(UnderlyingPrice,$D59,IntRate,Yield,AX59,$D$6,1,0)</f>
        <v>0.78987359402029123</v>
      </c>
      <c r="BC59" s="109">
        <f ca="1">_xll.EURO(UnderlyingPrice,$D59*(1+$P$8),IntRate,Yield,AY59,$D$6,1,0)</f>
        <v>0.78889390037832063</v>
      </c>
      <c r="BD59" s="109">
        <f ca="1">_xll.EURO(UnderlyingPrice,$D59*(1-$P$8),IntRate,Yield,AZ59,$D$6,1,0)</f>
        <v>0.79085441894973574</v>
      </c>
      <c r="BF59" s="59">
        <f t="shared" ca="1" si="22"/>
        <v>0.21348252943670498</v>
      </c>
      <c r="BG59" s="62">
        <f t="shared" ca="1" si="23"/>
        <v>0.2173532235527143</v>
      </c>
      <c r="BI59" s="96">
        <f t="shared" ca="1" si="24"/>
        <v>0.1366839942419677</v>
      </c>
      <c r="BJ59" s="96">
        <f t="shared" ca="1" si="25"/>
        <v>0.13792645123365194</v>
      </c>
      <c r="BK59" s="96">
        <f t="shared" ca="1" si="26"/>
        <v>0.13544091586641549</v>
      </c>
      <c r="BL59" s="62"/>
      <c r="BM59" s="96">
        <f t="shared" ca="1" si="27"/>
        <v>0.40260712216270866</v>
      </c>
      <c r="BO59" s="58">
        <f t="shared" ca="1" si="28"/>
        <v>1.6210262897975447E-3</v>
      </c>
      <c r="BP59" s="46">
        <f t="shared" ca="1" si="29"/>
        <v>2.0522603895983664E-3</v>
      </c>
    </row>
    <row r="60" spans="3:68" x14ac:dyDescent="0.2">
      <c r="C60" s="56">
        <v>47</v>
      </c>
      <c r="D60" s="63">
        <f t="shared" ca="1" si="30"/>
        <v>4.628000000000001</v>
      </c>
      <c r="E60" s="45">
        <f t="shared" ca="1" si="7"/>
        <v>-2.0529100529100286E-2</v>
      </c>
      <c r="F60" s="45">
        <f t="shared" ca="1" si="8"/>
        <v>-2.0039365079364768E-2</v>
      </c>
      <c r="G60" s="45">
        <f t="shared" ca="1" si="9"/>
        <v>-2.1018835978835693E-2</v>
      </c>
      <c r="H60" s="45">
        <f t="shared" ca="1" si="31"/>
        <v>0.59289923581780524</v>
      </c>
      <c r="I60" s="45">
        <f t="shared" ca="1" si="32"/>
        <v>0.59285938333202326</v>
      </c>
      <c r="J60" s="45">
        <f t="shared" ca="1" si="33"/>
        <v>0.59281957754468617</v>
      </c>
      <c r="L60" s="58">
        <f ca="1">_xll.EURO(UnderlyingPrice,$D60,IntRate,Yield,$I60,$D$6,L$12,0)</f>
        <v>0.7782954284120347</v>
      </c>
      <c r="M60" s="58">
        <f ca="1">_xll.EURO(UnderlyingPrice,$D60,IntRate,Yield,$I60,$D$6,M$12,0)</f>
        <v>0.68302283471922554</v>
      </c>
      <c r="O60" s="58">
        <f ca="1">_xll.EURO(UnderlyingPrice,$D60*(1+$P$8),IntRate,Yield,$H60,Expiry-Today,O$12,0)</f>
        <v>0.77734226472612988</v>
      </c>
      <c r="P60" s="58">
        <f ca="1">_xll.EURO(UnderlyingPrice,$D60*(1+$P$8),IntRate,Yield,$H60,Expiry-Today,P$12,0)</f>
        <v>0.68434246259832188</v>
      </c>
      <c r="R60" s="58">
        <f ca="1">_xll.EURO(UnderlyingPrice,$D60*(1-$P$8),IntRate,Yield,$J60,Expiry-Today,R$12,0)</f>
        <v>0.7792497975025765</v>
      </c>
      <c r="S60" s="58">
        <f ca="1">_xll.EURO(UnderlyingPrice,$D60*(1-$P$8),IntRate,Yield,$J60,Expiry-Today,S$12,0)</f>
        <v>0.6817044122447653</v>
      </c>
      <c r="U60" s="59">
        <f t="shared" ca="1" si="35"/>
        <v>0.22511588866736157</v>
      </c>
      <c r="V60" s="59"/>
      <c r="W60" s="62">
        <f t="shared" ca="1" si="34"/>
        <v>0.22919750952872253</v>
      </c>
      <c r="Z60" s="59">
        <f t="shared" ca="1" si="11"/>
        <v>0.21441274648765565</v>
      </c>
      <c r="AA60" s="59">
        <f t="shared" ca="1" si="12"/>
        <v>6.0074157322479976E-2</v>
      </c>
      <c r="AB60" s="59">
        <f t="shared" ca="1" si="4"/>
        <v>-3.6089043780060744E-3</v>
      </c>
      <c r="AC60" s="59">
        <f t="shared" ca="1" si="13"/>
        <v>-1.1163828292511998E-2</v>
      </c>
      <c r="AD60" s="60">
        <f t="shared" ca="1" si="5"/>
        <v>0.98889825599102588</v>
      </c>
      <c r="AE60" s="60">
        <f t="shared" ca="1" si="14"/>
        <v>0.21203239106388863</v>
      </c>
      <c r="AF60" s="60"/>
      <c r="AG60" s="96">
        <f t="shared" ca="1" si="15"/>
        <v>0.14942441763321015</v>
      </c>
      <c r="AH60" s="96">
        <f t="shared" ca="1" si="16"/>
        <v>0.150667773184369</v>
      </c>
      <c r="AI60" s="96">
        <f t="shared" ca="1" si="17"/>
        <v>0.14818044024879179</v>
      </c>
      <c r="AJ60" s="62"/>
      <c r="AK60" s="96">
        <f t="shared" ca="1" si="18"/>
        <v>0.42645118348532507</v>
      </c>
      <c r="AL60" s="96"/>
      <c r="AM60" s="94">
        <v>1.6</v>
      </c>
      <c r="AN60" s="95">
        <f t="shared" ca="1" si="6"/>
        <v>0.11092083467945553</v>
      </c>
      <c r="AX60" s="106">
        <f t="shared" ca="1" si="19"/>
        <v>0.59402999999999995</v>
      </c>
      <c r="AY60" s="106">
        <f t="shared" ca="1" si="20"/>
        <v>0.59405313999999998</v>
      </c>
      <c r="AZ60" s="106">
        <f t="shared" ca="1" si="21"/>
        <v>0.59400686000000003</v>
      </c>
      <c r="BB60" s="109">
        <f ca="1">_xll.EURO(UnderlyingPrice,$D60,IntRate,Yield,AX60,$D$6,1,0)</f>
        <v>0.77971500659899151</v>
      </c>
      <c r="BC60" s="109">
        <f ca="1">_xll.EURO(UnderlyingPrice,$D60*(1+$P$8),IntRate,Yield,AY60,$D$6,1,0)</f>
        <v>0.77874201211081484</v>
      </c>
      <c r="BD60" s="109">
        <f ca="1">_xll.EURO(UnderlyingPrice,$D60*(1-$P$8),IntRate,Yield,AZ60,$D$6,1,0)</f>
        <v>0.78068913490646663</v>
      </c>
      <c r="BF60" s="59">
        <f t="shared" ca="1" si="22"/>
        <v>0.21174693636063524</v>
      </c>
      <c r="BG60" s="62">
        <f t="shared" ca="1" si="23"/>
        <v>0.21558616209407921</v>
      </c>
      <c r="BI60" s="96">
        <f t="shared" ca="1" si="24"/>
        <v>0.14960708311221646</v>
      </c>
      <c r="BJ60" s="96">
        <f t="shared" ca="1" si="25"/>
        <v>0.15084954010390136</v>
      </c>
      <c r="BK60" s="96">
        <f t="shared" ca="1" si="26"/>
        <v>0.14836400473666417</v>
      </c>
      <c r="BL60" s="62"/>
      <c r="BM60" s="96">
        <f t="shared" ca="1" si="27"/>
        <v>0.40141563516773915</v>
      </c>
      <c r="BO60" s="58">
        <f t="shared" ca="1" si="28"/>
        <v>1.4195781869568158E-3</v>
      </c>
      <c r="BP60" s="46">
        <f t="shared" ca="1" si="29"/>
        <v>1.8206372519990587E-3</v>
      </c>
    </row>
    <row r="61" spans="3:68" x14ac:dyDescent="0.2">
      <c r="C61" s="56">
        <v>48</v>
      </c>
      <c r="D61" s="63">
        <f t="shared" ca="1" si="30"/>
        <v>4.652000000000001</v>
      </c>
      <c r="E61" s="45">
        <f t="shared" ca="1" si="7"/>
        <v>-1.5449735449735158E-2</v>
      </c>
      <c r="F61" s="45">
        <f t="shared" ca="1" si="8"/>
        <v>-1.4957460317460036E-2</v>
      </c>
      <c r="G61" s="45">
        <f t="shared" ca="1" si="9"/>
        <v>-1.594201058201028E-2</v>
      </c>
      <c r="H61" s="45">
        <f t="shared" ca="1" si="31"/>
        <v>0.59331553505861367</v>
      </c>
      <c r="I61" s="45">
        <f t="shared" ca="1" si="32"/>
        <v>0.59327498893141861</v>
      </c>
      <c r="J61" s="45">
        <f t="shared" ca="1" si="33"/>
        <v>0.59323448998826411</v>
      </c>
      <c r="L61" s="58">
        <f ca="1">_xll.EURO(UnderlyingPrice,$D61,IntRate,Yield,$I61,$D$6,L$12,0)</f>
        <v>0.76846795471213003</v>
      </c>
      <c r="M61" s="58">
        <f ca="1">_xll.EURO(UnderlyingPrice,$D61,IntRate,Yield,$I61,$D$6,M$12,0)</f>
        <v>0.69676796152063458</v>
      </c>
      <c r="O61" s="58">
        <f ca="1">_xll.EURO(UnderlyingPrice,$D61*(1+$P$8),IntRate,Yield,$H61,Expiry-Today,O$12,0)</f>
        <v>0.76752236164577092</v>
      </c>
      <c r="P61" s="58">
        <f ca="1">_xll.EURO(UnderlyingPrice,$D61*(1+$P$8),IntRate,Yield,$H61,Expiry-Today,P$12,0)</f>
        <v>0.69810694631952752</v>
      </c>
      <c r="R61" s="58">
        <f ca="1">_xll.EURO(UnderlyingPrice,$D61*(1-$P$8),IntRate,Yield,$J61,Expiry-Today,R$12,0)</f>
        <v>0.7694147557237625</v>
      </c>
      <c r="S61" s="58">
        <f ca="1">_xll.EURO(UnderlyingPrice,$D61*(1-$P$8),IntRate,Yield,$J61,Expiry-Today,S$12,0)</f>
        <v>0.69543018466701456</v>
      </c>
      <c r="U61" s="59">
        <f t="shared" ca="1" si="35"/>
        <v>0.2232686970799001</v>
      </c>
      <c r="V61" s="59"/>
      <c r="W61" s="62">
        <f t="shared" ca="1" si="34"/>
        <v>0.22731682614393417</v>
      </c>
      <c r="Z61" s="59">
        <f t="shared" ca="1" si="11"/>
        <v>0.21330657582649837</v>
      </c>
      <c r="AA61" s="59">
        <f t="shared" ca="1" si="12"/>
        <v>6.5246582647467882E-2</v>
      </c>
      <c r="AB61" s="59">
        <f t="shared" ca="1" si="4"/>
        <v>-4.2571165471728574E-3</v>
      </c>
      <c r="AC61" s="59">
        <f t="shared" ca="1" si="13"/>
        <v>-1.3169015627980526E-2</v>
      </c>
      <c r="AD61" s="60">
        <f t="shared" ca="1" si="5"/>
        <v>0.98691731647320535</v>
      </c>
      <c r="AE61" s="60">
        <f t="shared" ca="1" si="14"/>
        <v>0.21051595340077606</v>
      </c>
      <c r="AF61" s="60"/>
      <c r="AG61" s="96">
        <f t="shared" ca="1" si="15"/>
        <v>0.16228996042873711</v>
      </c>
      <c r="AH61" s="96">
        <f t="shared" ca="1" si="16"/>
        <v>0.1635333159798957</v>
      </c>
      <c r="AI61" s="96">
        <f t="shared" ca="1" si="17"/>
        <v>0.16104598304431866</v>
      </c>
      <c r="AJ61" s="62"/>
      <c r="AK61" s="96">
        <f t="shared" ca="1" si="18"/>
        <v>0.42514528718539057</v>
      </c>
      <c r="AL61" s="96"/>
      <c r="AM61" s="94">
        <v>1.7</v>
      </c>
      <c r="AN61" s="95">
        <f t="shared" ca="1" si="6"/>
        <v>9.4049077376886933E-2</v>
      </c>
      <c r="AX61" s="106">
        <f t="shared" ca="1" si="19"/>
        <v>0.59426999999999996</v>
      </c>
      <c r="AY61" s="106">
        <f t="shared" ca="1" si="20"/>
        <v>0.59429325999999993</v>
      </c>
      <c r="AZ61" s="106">
        <f t="shared" ca="1" si="21"/>
        <v>0.59424674</v>
      </c>
      <c r="BB61" s="109">
        <f ca="1">_xll.EURO(UnderlyingPrice,$D61,IntRate,Yield,AX61,$D$6,1,0)</f>
        <v>0.76967838471097361</v>
      </c>
      <c r="BC61" s="109">
        <f ca="1">_xll.EURO(UnderlyingPrice,$D61*(1+$P$8),IntRate,Yield,AY61,$D$6,1,0)</f>
        <v>0.76871211443211096</v>
      </c>
      <c r="BD61" s="109">
        <f ca="1">_xll.EURO(UnderlyingPrice,$D61*(1-$P$8),IntRate,Yield,AZ61,$D$6,1,0)</f>
        <v>0.77064579112927567</v>
      </c>
      <c r="BF61" s="59">
        <f t="shared" ca="1" si="22"/>
        <v>0.20999657677670225</v>
      </c>
      <c r="BG61" s="62">
        <f t="shared" ca="1" si="23"/>
        <v>0.21380406639309577</v>
      </c>
      <c r="BI61" s="96">
        <f t="shared" ca="1" si="24"/>
        <v>0.16246332812051303</v>
      </c>
      <c r="BJ61" s="96">
        <f t="shared" ca="1" si="25"/>
        <v>0.16370578511219772</v>
      </c>
      <c r="BK61" s="96">
        <f t="shared" ca="1" si="26"/>
        <v>0.16122024974496066</v>
      </c>
      <c r="BL61" s="62"/>
      <c r="BM61" s="96">
        <f t="shared" ca="1" si="27"/>
        <v>0.40016188462701541</v>
      </c>
      <c r="BO61" s="58">
        <f t="shared" ca="1" si="28"/>
        <v>1.2104299988435763E-3</v>
      </c>
      <c r="BP61" s="46">
        <f t="shared" ca="1" si="29"/>
        <v>1.5726438768292965E-3</v>
      </c>
    </row>
    <row r="62" spans="3:68" x14ac:dyDescent="0.2">
      <c r="C62" s="56">
        <v>49</v>
      </c>
      <c r="D62" s="63">
        <f t="shared" ca="1" si="30"/>
        <v>4.676000000000001</v>
      </c>
      <c r="E62" s="45">
        <f t="shared" ca="1" si="7"/>
        <v>-1.037037037037003E-2</v>
      </c>
      <c r="F62" s="45">
        <f t="shared" ca="1" si="8"/>
        <v>-9.8755555555553043E-3</v>
      </c>
      <c r="G62" s="45">
        <f t="shared" ca="1" si="9"/>
        <v>-1.0865185185184867E-2</v>
      </c>
      <c r="H62" s="45">
        <f t="shared" ca="1" si="31"/>
        <v>0.59373686272907167</v>
      </c>
      <c r="I62" s="45">
        <f t="shared" ca="1" si="32"/>
        <v>0.5936956179358025</v>
      </c>
      <c r="J62" s="45">
        <f t="shared" ca="1" si="33"/>
        <v>0.59365442081468156</v>
      </c>
      <c r="L62" s="58">
        <f ca="1">_xll.EURO(UnderlyingPrice,$D62,IntRate,Yield,$I62,$D$6,L$12,0)</f>
        <v>0.75876908272008103</v>
      </c>
      <c r="M62" s="58">
        <f ca="1">_xll.EURO(UnderlyingPrice,$D62,IntRate,Yield,$I62,$D$6,M$12,0)</f>
        <v>0.71064169002990041</v>
      </c>
      <c r="O62" s="58">
        <f ca="1">_xll.EURO(UnderlyingPrice,$D62*(1+$P$8),IntRate,Yield,$H62,Expiry-Today,O$12,0)</f>
        <v>0.75783108499421337</v>
      </c>
      <c r="P62" s="58">
        <f ca="1">_xll.EURO(UnderlyingPrice,$D62*(1+$P$8),IntRate,Yield,$H62,Expiry-Today,P$12,0)</f>
        <v>0.71200005646953501</v>
      </c>
      <c r="R62" s="58">
        <f ca="1">_xll.EURO(UnderlyingPrice,$D62*(1-$P$8),IntRate,Yield,$J62,Expiry-Today,R$12,0)</f>
        <v>0.75970829066788514</v>
      </c>
      <c r="S62" s="58">
        <f ca="1">_xll.EURO(UnderlyingPrice,$D62*(1-$P$8),IntRate,Yield,$J62,Expiry-Today,S$12,0)</f>
        <v>0.70928453381220091</v>
      </c>
      <c r="U62" s="59">
        <f t="shared" ca="1" si="35"/>
        <v>0.22139917948099899</v>
      </c>
      <c r="V62" s="59"/>
      <c r="W62" s="62">
        <f t="shared" ca="1" si="34"/>
        <v>0.22541341195036119</v>
      </c>
      <c r="Z62" s="59">
        <f t="shared" ca="1" si="11"/>
        <v>0.21221176021062244</v>
      </c>
      <c r="AA62" s="59">
        <f t="shared" ca="1" si="12"/>
        <v>7.0392391600871906E-2</v>
      </c>
      <c r="AB62" s="59">
        <f t="shared" ca="1" si="4"/>
        <v>-4.9550887952905017E-3</v>
      </c>
      <c r="AC62" s="59">
        <f t="shared" ca="1" si="13"/>
        <v>-1.5328131391316177E-2</v>
      </c>
      <c r="AD62" s="60">
        <f t="shared" ca="1" si="5"/>
        <v>0.98478874647952308</v>
      </c>
      <c r="AE62" s="60">
        <f t="shared" ca="1" si="14"/>
        <v>0.208983753326032</v>
      </c>
      <c r="AF62" s="60"/>
      <c r="AG62" s="96">
        <f t="shared" ca="1" si="15"/>
        <v>0.1750892994521149</v>
      </c>
      <c r="AH62" s="96">
        <f t="shared" ca="1" si="16"/>
        <v>0.17633265500327339</v>
      </c>
      <c r="AI62" s="96">
        <f t="shared" ca="1" si="17"/>
        <v>0.1738453220676964</v>
      </c>
      <c r="AJ62" s="62"/>
      <c r="AK62" s="96">
        <f t="shared" ca="1" si="18"/>
        <v>0.42376036565261238</v>
      </c>
      <c r="AL62" s="96"/>
      <c r="AM62" s="94">
        <v>1.8</v>
      </c>
      <c r="AN62" s="95">
        <f t="shared" ca="1" si="6"/>
        <v>7.8950158300894135E-2</v>
      </c>
      <c r="AX62" s="106">
        <f t="shared" ca="1" si="19"/>
        <v>0.59450999999999998</v>
      </c>
      <c r="AY62" s="106">
        <f t="shared" ca="1" si="20"/>
        <v>0.59453338</v>
      </c>
      <c r="AZ62" s="106">
        <f t="shared" ca="1" si="21"/>
        <v>0.59448661999999997</v>
      </c>
      <c r="BB62" s="109">
        <f ca="1">_xll.EURO(UnderlyingPrice,$D62,IntRate,Yield,AX62,$D$6,1,0)</f>
        <v>0.75976272020513225</v>
      </c>
      <c r="BC62" s="109">
        <f ca="1">_xll.EURO(UnderlyingPrice,$D62*(1+$P$8),IntRate,Yield,AY62,$D$6,1,0)</f>
        <v>0.75880319689092102</v>
      </c>
      <c r="BD62" s="109">
        <f ca="1">_xll.EURO(UnderlyingPrice,$D62*(1-$P$8),IntRate,Yield,AZ62,$D$6,1,0)</f>
        <v>0.76072338176969545</v>
      </c>
      <c r="BF62" s="59">
        <f t="shared" ca="1" si="22"/>
        <v>0.20823262773725668</v>
      </c>
      <c r="BG62" s="62">
        <f t="shared" ca="1" si="23"/>
        <v>0.21200813484348444</v>
      </c>
      <c r="BI62" s="96">
        <f t="shared" ca="1" si="24"/>
        <v>0.17525341720140336</v>
      </c>
      <c r="BJ62" s="96">
        <f t="shared" ca="1" si="25"/>
        <v>0.17649587419308788</v>
      </c>
      <c r="BK62" s="96">
        <f t="shared" ca="1" si="26"/>
        <v>0.1740103388258509</v>
      </c>
      <c r="BL62" s="62"/>
      <c r="BM62" s="96">
        <f t="shared" ca="1" si="27"/>
        <v>0.3988476895543675</v>
      </c>
      <c r="BO62" s="58">
        <f t="shared" ca="1" si="28"/>
        <v>9.9363748505121308E-4</v>
      </c>
      <c r="BP62" s="46">
        <f t="shared" ca="1" si="29"/>
        <v>1.3078260601980258E-3</v>
      </c>
    </row>
    <row r="63" spans="3:68" x14ac:dyDescent="0.2">
      <c r="C63" s="56">
        <v>50</v>
      </c>
      <c r="D63" s="63">
        <f t="shared" ca="1" si="30"/>
        <v>4.7000000000000011</v>
      </c>
      <c r="E63" s="45">
        <f t="shared" ca="1" si="7"/>
        <v>-5.2910052910050132E-3</v>
      </c>
      <c r="F63" s="45">
        <f t="shared" ca="1" si="8"/>
        <v>-4.7936507936505723E-3</v>
      </c>
      <c r="G63" s="45">
        <f t="shared" ca="1" si="9"/>
        <v>-5.788359788359454E-3</v>
      </c>
      <c r="H63" s="45">
        <f t="shared" ca="1" si="31"/>
        <v>0.59416321882917922</v>
      </c>
      <c r="I63" s="45">
        <f t="shared" ca="1" si="32"/>
        <v>0.59412127034517515</v>
      </c>
      <c r="J63" s="45">
        <f t="shared" ca="1" si="33"/>
        <v>0.59407937002393862</v>
      </c>
      <c r="L63" s="58">
        <f ca="1">_xll.EURO(UnderlyingPrice,$D63,IntRate,Yield,$I63,$D$6,L$12,0)</f>
        <v>0.74919773566360393</v>
      </c>
      <c r="M63" s="58">
        <f ca="1">_xll.EURO(UnderlyingPrice,$D63,IntRate,Yield,$I63,$D$6,M$12,0)</f>
        <v>0.72464294347473657</v>
      </c>
      <c r="O63" s="58">
        <f ca="1">_xll.EURO(UnderlyingPrice,$D63*(1+$P$8),IntRate,Yield,$H63,Expiry-Today,O$12,0)</f>
        <v>0.74826735517718923</v>
      </c>
      <c r="P63" s="58">
        <f ca="1">_xll.EURO(UnderlyingPrice,$D63*(1+$P$8),IntRate,Yield,$H63,Expiry-Today,P$12,0)</f>
        <v>0.72602071345407548</v>
      </c>
      <c r="R63" s="58">
        <f ca="1">_xll.EURO(UnderlyingPrice,$D63*(1-$P$8),IntRate,Yield,$J63,Expiry-Today,R$12,0)</f>
        <v>0.75012932838739022</v>
      </c>
      <c r="S63" s="58">
        <f ca="1">_xll.EURO(UnderlyingPrice,$D63*(1-$P$8),IntRate,Yield,$J63,Expiry-Today,S$12,0)</f>
        <v>0.72326638573276947</v>
      </c>
      <c r="U63" s="59">
        <f t="shared" ca="1" si="35"/>
        <v>0.21950880427252817</v>
      </c>
      <c r="V63" s="59"/>
      <c r="W63" s="62">
        <f t="shared" ca="1" si="34"/>
        <v>0.2234887619737593</v>
      </c>
      <c r="Z63" s="59">
        <f t="shared" ca="1" si="11"/>
        <v>0.21112812569039796</v>
      </c>
      <c r="AA63" s="59">
        <f t="shared" ca="1" si="12"/>
        <v>7.5511856707062772E-2</v>
      </c>
      <c r="AB63" s="59">
        <f t="shared" ca="1" si="4"/>
        <v>-5.7020405033479807E-3</v>
      </c>
      <c r="AC63" s="59">
        <f t="shared" ca="1" si="13"/>
        <v>-1.7638760806263289E-2</v>
      </c>
      <c r="AD63" s="60">
        <f t="shared" ca="1" si="5"/>
        <v>0.98251589150840712</v>
      </c>
      <c r="AE63" s="60">
        <f t="shared" ca="1" si="14"/>
        <v>0.20743673863520037</v>
      </c>
      <c r="AF63" s="60"/>
      <c r="AG63" s="96">
        <f t="shared" ca="1" si="15"/>
        <v>0.18782311256213008</v>
      </c>
      <c r="AH63" s="96">
        <f t="shared" ca="1" si="16"/>
        <v>0.18906646811328859</v>
      </c>
      <c r="AI63" s="96">
        <f t="shared" ca="1" si="17"/>
        <v>0.18657913517771174</v>
      </c>
      <c r="AJ63" s="62"/>
      <c r="AK63" s="96">
        <f t="shared" ca="1" si="18"/>
        <v>0.42229858586786545</v>
      </c>
      <c r="AL63" s="96"/>
      <c r="AM63" s="94">
        <v>1.9</v>
      </c>
      <c r="AN63" s="95">
        <f t="shared" ca="1" si="6"/>
        <v>6.5615814774676581E-2</v>
      </c>
      <c r="AX63" s="106">
        <f t="shared" ca="1" si="19"/>
        <v>0.59475</v>
      </c>
      <c r="AY63" s="106">
        <f t="shared" ca="1" si="20"/>
        <v>0.59477349999999996</v>
      </c>
      <c r="AZ63" s="106">
        <f t="shared" ca="1" si="21"/>
        <v>0.59472649999999994</v>
      </c>
      <c r="BB63" s="109">
        <f ca="1">_xll.EURO(UnderlyingPrice,$D63,IntRate,Yield,AX63,$D$6,1,0)</f>
        <v>0.74996699710148196</v>
      </c>
      <c r="BC63" s="109">
        <f ca="1">_xll.EURO(UnderlyingPrice,$D63*(1+$P$8),IntRate,Yield,AY63,$D$6,1,0)</f>
        <v>0.74901424125624461</v>
      </c>
      <c r="BD63" s="109">
        <f ca="1">_xll.EURO(UnderlyingPrice,$D63*(1-$P$8),IntRate,Yield,AZ63,$D$6,1,0)</f>
        <v>0.75092089310127208</v>
      </c>
      <c r="BF63" s="59">
        <f t="shared" ca="1" si="22"/>
        <v>0.20645623409145419</v>
      </c>
      <c r="BG63" s="62">
        <f t="shared" ca="1" si="23"/>
        <v>0.21019953305188815</v>
      </c>
      <c r="BI63" s="96">
        <f t="shared" ca="1" si="24"/>
        <v>0.18797802772379282</v>
      </c>
      <c r="BJ63" s="96">
        <f t="shared" ca="1" si="25"/>
        <v>0.18922048471547737</v>
      </c>
      <c r="BK63" s="96">
        <f t="shared" ca="1" si="26"/>
        <v>0.18673494934824053</v>
      </c>
      <c r="BL63" s="62"/>
      <c r="BM63" s="96">
        <f t="shared" ca="1" si="27"/>
        <v>0.39747485325150017</v>
      </c>
      <c r="BO63" s="58">
        <f t="shared" ca="1" si="28"/>
        <v>7.6926143787803269E-4</v>
      </c>
      <c r="BP63" s="46">
        <f t="shared" ca="1" si="29"/>
        <v>1.0257270531251657E-3</v>
      </c>
    </row>
    <row r="64" spans="3:68" x14ac:dyDescent="0.2">
      <c r="C64" s="56">
        <v>51</v>
      </c>
      <c r="D64" s="63">
        <f t="shared" ca="1" si="30"/>
        <v>4.7240000000000011</v>
      </c>
      <c r="E64" s="45">
        <f t="shared" ca="1" si="7"/>
        <v>-2.1164021163988522E-4</v>
      </c>
      <c r="F64" s="45">
        <f t="shared" ca="1" si="8"/>
        <v>2.8825396825427063E-4</v>
      </c>
      <c r="G64" s="45">
        <f t="shared" ca="1" si="9"/>
        <v>-7.1153439153404108E-4</v>
      </c>
      <c r="H64" s="45">
        <f t="shared" ca="1" si="31"/>
        <v>0.59459460335893621</v>
      </c>
      <c r="I64" s="45">
        <f t="shared" ca="1" si="32"/>
        <v>0.59455194615953655</v>
      </c>
      <c r="J64" s="45">
        <f t="shared" ca="1" si="33"/>
        <v>0.59450933761603508</v>
      </c>
      <c r="L64" s="58">
        <f ca="1">_xll.EURO(UnderlyingPrice,$D64,IntRate,Yield,$I64,$D$6,L$12,0)</f>
        <v>0.73975282475506354</v>
      </c>
      <c r="M64" s="58">
        <f ca="1">_xll.EURO(UnderlyingPrice,$D64,IntRate,Yield,$I64,$D$6,M$12,0)</f>
        <v>0.73877063306751034</v>
      </c>
      <c r="O64" s="58">
        <f ca="1">_xll.EURO(UnderlyingPrice,$D64*(1+$P$8),IntRate,Yield,$H64,Expiry-Today,O$12,0)</f>
        <v>0.73883008064264288</v>
      </c>
      <c r="P64" s="58">
        <f ca="1">_xll.EURO(UnderlyingPrice,$D64*(1+$P$8),IntRate,Yield,$H64,Expiry-Today,P$12,0)</f>
        <v>0.7401678257210933</v>
      </c>
      <c r="R64" s="58">
        <f ca="1">_xll.EURO(UnderlyingPrice,$D64*(1-$P$8),IntRate,Yield,$J64,Expiry-Today,R$12,0)</f>
        <v>0.74067678286192651</v>
      </c>
      <c r="S64" s="58">
        <f ca="1">_xll.EURO(UnderlyingPrice,$D64*(1-$P$8),IntRate,Yield,$J64,Expiry-Today,S$12,0)</f>
        <v>0.73737465440836902</v>
      </c>
      <c r="U64" s="59">
        <f t="shared" ca="1" si="35"/>
        <v>0.21759900841545385</v>
      </c>
      <c r="V64" s="59"/>
      <c r="W64" s="62">
        <f t="shared" ca="1" si="34"/>
        <v>0.2215443392289192</v>
      </c>
      <c r="Z64" s="59">
        <f t="shared" ca="1" si="11"/>
        <v>0.21005550185115801</v>
      </c>
      <c r="AA64" s="59">
        <f t="shared" ca="1" si="12"/>
        <v>8.0605246326165794E-2</v>
      </c>
      <c r="AB64" s="59">
        <f t="shared" ca="1" si="4"/>
        <v>-6.4972057353018644E-3</v>
      </c>
      <c r="AC64" s="59">
        <f t="shared" ca="1" si="13"/>
        <v>-2.00985345170351E-2</v>
      </c>
      <c r="AD64" s="60">
        <f t="shared" ca="1" si="5"/>
        <v>0.98010209466212572</v>
      </c>
      <c r="AE64" s="60">
        <f t="shared" ca="1" si="14"/>
        <v>0.205875837359624</v>
      </c>
      <c r="AF64" s="60"/>
      <c r="AG64" s="96">
        <f t="shared" ca="1" si="15"/>
        <v>0.20049206725970534</v>
      </c>
      <c r="AH64" s="96">
        <f t="shared" ca="1" si="16"/>
        <v>0.2017354228108639</v>
      </c>
      <c r="AI64" s="96">
        <f t="shared" ca="1" si="17"/>
        <v>0.19924808987528689</v>
      </c>
      <c r="AJ64" s="62"/>
      <c r="AK64" s="96">
        <f t="shared" ca="1" si="18"/>
        <v>0.42076211171731576</v>
      </c>
      <c r="AL64" s="96"/>
      <c r="AM64" s="94">
        <v>2</v>
      </c>
      <c r="AN64" s="95">
        <f t="shared" ca="1" si="6"/>
        <v>5.3990966513188049E-2</v>
      </c>
      <c r="AX64" s="106">
        <f t="shared" ca="1" si="19"/>
        <v>0.59499000000000002</v>
      </c>
      <c r="AY64" s="106">
        <f t="shared" ca="1" si="20"/>
        <v>0.59502587799999995</v>
      </c>
      <c r="AZ64" s="106">
        <f t="shared" ca="1" si="21"/>
        <v>0.59496638000000002</v>
      </c>
      <c r="BB64" s="109">
        <f ca="1">_xll.EURO(UnderlyingPrice,$D64,IntRate,Yield,AX64,$D$6,1,0)</f>
        <v>0.74029019224974557</v>
      </c>
      <c r="BC64" s="109">
        <f ca="1">_xll.EURO(UnderlyingPrice,$D64*(1+$P$8),IntRate,Yield,AY64,$D$6,1,0)</f>
        <v>0.73935926275849995</v>
      </c>
      <c r="BD64" s="109">
        <f ca="1">_xll.EURO(UnderlyingPrice,$D64*(1-$P$8),IntRate,Yield,AZ64,$D$6,1,0)</f>
        <v>0.74123730417842926</v>
      </c>
      <c r="BF64" s="59">
        <f t="shared" ca="1" si="22"/>
        <v>2.9005753383664774</v>
      </c>
      <c r="BG64" s="62">
        <f t="shared" ca="1" si="23"/>
        <v>2.9531662455703644</v>
      </c>
      <c r="BI64" s="96">
        <f t="shared" ca="1" si="24"/>
        <v>0.20063782670620847</v>
      </c>
      <c r="BJ64" s="96">
        <f t="shared" ca="1" si="25"/>
        <v>0.2018802836978931</v>
      </c>
      <c r="BK64" s="96">
        <f t="shared" ca="1" si="26"/>
        <v>0.19939474833065607</v>
      </c>
      <c r="BL64" s="62"/>
      <c r="BM64" s="96">
        <f t="shared" ca="1" si="27"/>
        <v>5.6127776445934634</v>
      </c>
      <c r="BO64" s="58">
        <f t="shared" ca="1" si="28"/>
        <v>5.3736749468202838E-4</v>
      </c>
      <c r="BP64" s="46">
        <f t="shared" ca="1" si="29"/>
        <v>7.2588763205002878E-4</v>
      </c>
    </row>
    <row r="65" spans="3:68" x14ac:dyDescent="0.2">
      <c r="C65" s="56">
        <v>52</v>
      </c>
      <c r="D65" s="63">
        <f t="shared" ca="1" si="30"/>
        <v>4.7480000000000011</v>
      </c>
      <c r="E65" s="45">
        <f t="shared" ca="1" si="7"/>
        <v>4.8677248677251317E-3</v>
      </c>
      <c r="F65" s="45">
        <f t="shared" ca="1" si="8"/>
        <v>5.3701587301588916E-3</v>
      </c>
      <c r="G65" s="45">
        <f t="shared" ca="1" si="9"/>
        <v>4.3652910052913718E-3</v>
      </c>
      <c r="H65" s="45">
        <f t="shared" ca="1" si="31"/>
        <v>0.59503101631834265</v>
      </c>
      <c r="I65" s="45">
        <f t="shared" ca="1" si="32"/>
        <v>0.59498764537888638</v>
      </c>
      <c r="J65" s="45">
        <f t="shared" ca="1" si="33"/>
        <v>0.59494432359097116</v>
      </c>
      <c r="L65" s="58">
        <f ca="1">_xll.EURO(UnderlyingPrice,$D65,IntRate,Yield,$I65,$D$6,L$12,0)</f>
        <v>0.73043325001916259</v>
      </c>
      <c r="M65" s="58">
        <f ca="1">_xll.EURO(UnderlyingPrice,$D65,IntRate,Yield,$I65,$D$6,M$12,0)</f>
        <v>0.75302365883292377</v>
      </c>
      <c r="O65" s="58">
        <f ca="1">_xll.EURO(UnderlyingPrice,$D65*(1+$P$8),IntRate,Yield,$H65,Expiry-Today,O$12,0)</f>
        <v>0.72951815870866943</v>
      </c>
      <c r="P65" s="58">
        <f ca="1">_xll.EURO(UnderlyingPrice,$D65*(1+$P$8),IntRate,Yield,$H65,Expiry-Today,P$12,0)</f>
        <v>0.75444029058868489</v>
      </c>
      <c r="R65" s="58">
        <f ca="1">_xll.EURO(UnderlyingPrice,$D65*(1-$P$8),IntRate,Yield,$J65,Expiry-Today,R$12,0)</f>
        <v>0.73134955682578395</v>
      </c>
      <c r="S65" s="58">
        <f ca="1">_xll.EURO(UnderlyingPrice,$D65*(1-$P$8),IntRate,Yield,$J65,Expiry-Today,S$12,0)</f>
        <v>0.75160824257328995</v>
      </c>
      <c r="U65" s="59">
        <f t="shared" ca="1" si="35"/>
        <v>0.21567119791012757</v>
      </c>
      <c r="V65" s="59"/>
      <c r="W65" s="62">
        <f t="shared" ca="1" si="34"/>
        <v>0.21958157520866392</v>
      </c>
      <c r="Z65" s="59">
        <f t="shared" ca="1" si="11"/>
        <v>0.20899372172385647</v>
      </c>
      <c r="AA65" s="59">
        <f t="shared" ca="1" si="12"/>
        <v>8.5672824738471459E-2</v>
      </c>
      <c r="AB65" s="59">
        <f t="shared" ca="1" si="4"/>
        <v>-7.3398328986688469E-3</v>
      </c>
      <c r="AC65" s="59">
        <f t="shared" ca="1" si="13"/>
        <v>-2.270512753838658E-2</v>
      </c>
      <c r="AD65" s="60">
        <f t="shared" ca="1" si="5"/>
        <v>0.9775506940580595</v>
      </c>
      <c r="AE65" s="60">
        <f t="shared" ca="1" si="14"/>
        <v>0.20430195772493284</v>
      </c>
      <c r="AF65" s="60"/>
      <c r="AG65" s="96">
        <f t="shared" ca="1" si="15"/>
        <v>0.21309682089785661</v>
      </c>
      <c r="AH65" s="96">
        <f t="shared" ca="1" si="16"/>
        <v>0.21434017644901501</v>
      </c>
      <c r="AI65" s="96">
        <f t="shared" ca="1" si="17"/>
        <v>0.21185284351343839</v>
      </c>
      <c r="AJ65" s="62"/>
      <c r="AK65" s="96">
        <f t="shared" ca="1" si="18"/>
        <v>0.41915310338181266</v>
      </c>
      <c r="AL65" s="96"/>
      <c r="AM65" s="94">
        <v>2.1</v>
      </c>
      <c r="AN65" s="95">
        <f t="shared" ca="1" si="6"/>
        <v>4.3983595980427184E-2</v>
      </c>
      <c r="AX65" s="106">
        <f t="shared" ca="1" si="19"/>
        <v>0.59543699999999999</v>
      </c>
      <c r="AY65" s="106">
        <f t="shared" ca="1" si="20"/>
        <v>0.59548210599999996</v>
      </c>
      <c r="AZ65" s="106">
        <f t="shared" ca="1" si="21"/>
        <v>0.59539189400000003</v>
      </c>
      <c r="BB65" s="109">
        <f ca="1">_xll.EURO(UnderlyingPrice,$D65,IntRate,Yield,AX65,$D$6,1,0)</f>
        <v>0.73098582210195251</v>
      </c>
      <c r="BC65" s="109">
        <f ca="1">_xll.EURO(UnderlyingPrice,$D65*(1+$P$8),IntRate,Yield,AY65,$D$6,1,0)</f>
        <v>0.73007299265272696</v>
      </c>
      <c r="BD65" s="109">
        <f ca="1">_xll.EURO(UnderlyingPrice,$D65*(1-$P$8),IntRate,Yield,AZ65,$D$6,1,0)</f>
        <v>0.73189980672315857</v>
      </c>
      <c r="BF65" s="59">
        <f t="shared" ca="1" si="22"/>
        <v>0.20496760051424923</v>
      </c>
      <c r="BG65" s="62">
        <f t="shared" ca="1" si="23"/>
        <v>0.20868390876381152</v>
      </c>
      <c r="BI65" s="96">
        <f t="shared" ca="1" si="24"/>
        <v>0.21323347102660445</v>
      </c>
      <c r="BJ65" s="96">
        <f t="shared" ca="1" si="25"/>
        <v>0.21447592801828891</v>
      </c>
      <c r="BK65" s="96">
        <f t="shared" ca="1" si="26"/>
        <v>0.21199039265105227</v>
      </c>
      <c r="BL65" s="62"/>
      <c r="BM65" s="96">
        <f t="shared" ca="1" si="27"/>
        <v>0.39863894590731974</v>
      </c>
      <c r="BO65" s="58">
        <f t="shared" ca="1" si="28"/>
        <v>5.5257208278991499E-4</v>
      </c>
      <c r="BP65" s="46">
        <f t="shared" ca="1" si="29"/>
        <v>7.5592722332287082E-4</v>
      </c>
    </row>
    <row r="66" spans="3:68" x14ac:dyDescent="0.2">
      <c r="C66" s="56">
        <v>53</v>
      </c>
      <c r="D66" s="63">
        <f t="shared" ca="1" si="30"/>
        <v>4.7720000000000011</v>
      </c>
      <c r="E66" s="45">
        <f t="shared" ca="1" si="7"/>
        <v>9.9470899470903706E-3</v>
      </c>
      <c r="F66" s="45">
        <f t="shared" ref="F66:F113" ca="1" si="36">+D66*(1+$P$8)/UnderlyingPrice-1</f>
        <v>1.0452063492063735E-2</v>
      </c>
      <c r="G66" s="45">
        <f t="shared" ref="G66:G113" ca="1" si="37">+D66*(1-$P$8)/UnderlyingPrice-1</f>
        <v>9.4421164021167847E-3</v>
      </c>
      <c r="H66" s="45">
        <f t="shared" ref="H66:H113" ca="1" si="38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0.59547245770739865</v>
      </c>
      <c r="I66" s="45">
        <f t="shared" ca="1" si="32"/>
        <v>0.59542836800322507</v>
      </c>
      <c r="J66" s="45">
        <f t="shared" ref="J66:J113" ca="1" si="39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0.59538432794874674</v>
      </c>
      <c r="L66" s="58">
        <f ca="1">_xll.EURO(UnderlyingPrice,$D66,IntRate,Yield,$I66,$D$6,L$12,0)</f>
        <v>0.72123790110211505</v>
      </c>
      <c r="M66" s="58">
        <f ca="1">_xll.EURO(UnderlyingPrice,$D66,IntRate,Yield,$I66,$D$6,M$12,0)</f>
        <v>0.76740091041718927</v>
      </c>
      <c r="O66" s="58">
        <f ca="1">_xll.EURO(UnderlyingPrice,$D66*(1+$P$8),IntRate,Yield,$H66,Expiry-Today,O$12,0)</f>
        <v>0.72033047637288461</v>
      </c>
      <c r="P66" s="58">
        <f ca="1">_xll.EURO(UnderlyingPrice,$D66*(1+$P$8),IntRate,Yield,$H66,Expiry-Today,P$12,0)</f>
        <v>0.76883699505446468</v>
      </c>
      <c r="R66" s="58">
        <f ca="1">_xll.EURO(UnderlyingPrice,$D66*(1-$P$8),IntRate,Yield,$J66,Expiry-Today,R$12,0)</f>
        <v>0.72214654257684074</v>
      </c>
      <c r="S66" s="58">
        <f ca="1">_xll.EURO(UnderlyingPrice,$D66*(1-$P$8),IntRate,Yield,$J66,Expiry-Today,S$12,0)</f>
        <v>0.76596604252541067</v>
      </c>
      <c r="U66" s="59">
        <f t="shared" ca="1" si="35"/>
        <v>0.2137267433961301</v>
      </c>
      <c r="V66" s="59"/>
      <c r="W66" s="62">
        <f t="shared" ref="W66:W112" ca="1" si="40">U66/$D$9</f>
        <v>0.21760186540391252</v>
      </c>
      <c r="Z66" s="59">
        <f t="shared" ca="1" si="11"/>
        <v>0.20794262169842212</v>
      </c>
      <c r="AA66" s="59">
        <f t="shared" ca="1" si="12"/>
        <v>9.0714852226719683E-2</v>
      </c>
      <c r="AB66" s="59">
        <f t="shared" ca="1" si="4"/>
        <v>-8.229184414515589E-3</v>
      </c>
      <c r="AC66" s="59">
        <f t="shared" ca="1" si="13"/>
        <v>-2.5456258234757053E-2</v>
      </c>
      <c r="AD66" s="60">
        <f t="shared" ca="1" si="5"/>
        <v>0.97486502034999334</v>
      </c>
      <c r="AE66" s="60">
        <f t="shared" ca="1" si="14"/>
        <v>0.20271598813366323</v>
      </c>
      <c r="AF66" s="60"/>
      <c r="AG66" s="96">
        <f t="shared" ca="1" si="15"/>
        <v>0.22563802088636153</v>
      </c>
      <c r="AH66" s="96">
        <f t="shared" ca="1" si="16"/>
        <v>0.22688137643751977</v>
      </c>
      <c r="AI66" s="96">
        <f t="shared" ca="1" si="17"/>
        <v>0.22439404350194297</v>
      </c>
      <c r="AJ66" s="62"/>
      <c r="AK66" s="96">
        <f t="shared" ca="1" si="18"/>
        <v>0.41747370722073257</v>
      </c>
      <c r="AL66" s="96"/>
      <c r="AM66" s="94">
        <v>2.2000000000000002</v>
      </c>
      <c r="AN66" s="95">
        <f t="shared" ca="1" si="6"/>
        <v>3.5474592846231418E-2</v>
      </c>
      <c r="AX66" s="106">
        <f t="shared" ca="1" si="19"/>
        <v>0.59589300000000001</v>
      </c>
      <c r="AY66" s="106">
        <f t="shared" ca="1" si="20"/>
        <v>0.59593833399999996</v>
      </c>
      <c r="AZ66" s="106">
        <f t="shared" ca="1" si="21"/>
        <v>0.59584766600000005</v>
      </c>
      <c r="BB66" s="109">
        <f ca="1">_xll.EURO(UnderlyingPrice,$D66,IntRate,Yield,AX66,$D$6,1,0)</f>
        <v>0.72181055329953958</v>
      </c>
      <c r="BC66" s="109">
        <f ca="1">_xll.EURO(UnderlyingPrice,$D66*(1+$P$8),IntRate,Yield,AY66,$D$6,1,0)</f>
        <v>0.720904785998425</v>
      </c>
      <c r="BD66" s="109">
        <f ca="1">_xll.EURO(UnderlyingPrice,$D66*(1-$P$8),IntRate,Yield,AZ66,$D$6,1,0)</f>
        <v>0.72271747591667923</v>
      </c>
      <c r="BF66" s="59">
        <f t="shared" ca="1" si="22"/>
        <v>0.20293638447487181</v>
      </c>
      <c r="BG66" s="62">
        <f t="shared" ca="1" si="23"/>
        <v>0.20661586434324195</v>
      </c>
      <c r="BI66" s="96">
        <f t="shared" ca="1" si="24"/>
        <v>0.22576560762688239</v>
      </c>
      <c r="BJ66" s="96">
        <f t="shared" ca="1" si="25"/>
        <v>0.22700806461856665</v>
      </c>
      <c r="BK66" s="96">
        <f t="shared" ca="1" si="26"/>
        <v>0.22452252925132987</v>
      </c>
      <c r="BL66" s="62"/>
      <c r="BM66" s="96">
        <f t="shared" ca="1" si="27"/>
        <v>0.39668351440199973</v>
      </c>
      <c r="BO66" s="58">
        <f t="shared" ca="1" si="28"/>
        <v>5.72652197424528E-4</v>
      </c>
      <c r="BP66" s="46">
        <f t="shared" ca="1" si="29"/>
        <v>7.9335525756283405E-4</v>
      </c>
    </row>
    <row r="67" spans="3:68" x14ac:dyDescent="0.2">
      <c r="C67" s="56">
        <v>54</v>
      </c>
      <c r="D67" s="63">
        <f t="shared" ca="1" si="30"/>
        <v>4.7960000000000012</v>
      </c>
      <c r="E67" s="45">
        <f t="shared" ca="1" si="7"/>
        <v>1.5026455026455388E-2</v>
      </c>
      <c r="F67" s="45">
        <f t="shared" ca="1" si="36"/>
        <v>1.5533968253968355E-2</v>
      </c>
      <c r="G67" s="45">
        <f t="shared" ca="1" si="37"/>
        <v>1.4518941798942198E-2</v>
      </c>
      <c r="H67" s="45">
        <f t="shared" ca="1" si="38"/>
        <v>0.5959189275261042</v>
      </c>
      <c r="I67" s="45">
        <f t="shared" ca="1" si="32"/>
        <v>0.5958741140325523</v>
      </c>
      <c r="J67" s="45">
        <f t="shared" ca="1" si="39"/>
        <v>0.59582935068936183</v>
      </c>
      <c r="L67" s="58">
        <f ca="1">_xll.EURO(UnderlyingPrice,$D67,IntRate,Yield,$I67,$D$6,L$12,0)</f>
        <v>0.71216565806226395</v>
      </c>
      <c r="M67" s="58">
        <f ca="1">_xll.EURO(UnderlyingPrice,$D67,IntRate,Yield,$I67,$D$6,M$12,0)</f>
        <v>0.78190126787865299</v>
      </c>
      <c r="O67" s="58">
        <f ca="1">_xll.EURO(UnderlyingPrice,$D67*(1+$P$8),IntRate,Yield,$H67,Expiry-Today,O$12,0)</f>
        <v>0.71126591110320359</v>
      </c>
      <c r="P67" s="58">
        <f ca="1">_xll.EURO(UnderlyingPrice,$D67*(1+$P$8),IntRate,Yield,$H67,Expiry-Today,P$12,0)</f>
        <v>0.78335681658634826</v>
      </c>
      <c r="R67" s="58">
        <f ca="1">_xll.EURO(UnderlyingPrice,$D67*(1-$P$8),IntRate,Yield,$J67,Expiry-Today,R$12,0)</f>
        <v>0.71306662276705524</v>
      </c>
      <c r="S67" s="58">
        <f ca="1">_xll.EURO(UnderlyingPrice,$D67*(1-$P$8),IntRate,Yield,$J67,Expiry-Today,S$12,0)</f>
        <v>0.78044693691668865</v>
      </c>
      <c r="U67" s="59">
        <f t="shared" ca="1" si="35"/>
        <v>0.21176698731415408</v>
      </c>
      <c r="V67" s="59"/>
      <c r="W67" s="62">
        <f t="shared" ca="1" si="40"/>
        <v>0.21560657659541627</v>
      </c>
      <c r="Z67" s="59">
        <f t="shared" ca="1" si="11"/>
        <v>0.20690204143971444</v>
      </c>
      <c r="AA67" s="59">
        <f t="shared" ca="1" si="12"/>
        <v>9.5731585156317758E-2</v>
      </c>
      <c r="AB67" s="59">
        <f t="shared" ca="1" si="4"/>
        <v>-9.164536396541318E-3</v>
      </c>
      <c r="AC67" s="59">
        <f t="shared" ca="1" si="13"/>
        <v>-2.834968732754041E-2</v>
      </c>
      <c r="AD67" s="60">
        <f t="shared" ca="1" si="5"/>
        <v>0.97204839435742074</v>
      </c>
      <c r="AE67" s="60">
        <f t="shared" ca="1" si="14"/>
        <v>0.20111879717074696</v>
      </c>
      <c r="AF67" s="60"/>
      <c r="AG67" s="96">
        <f t="shared" ca="1" si="15"/>
        <v>0.23811630489128804</v>
      </c>
      <c r="AH67" s="96">
        <f t="shared" ca="1" si="16"/>
        <v>0.23935966044244605</v>
      </c>
      <c r="AI67" s="96">
        <f t="shared" ca="1" si="17"/>
        <v>0.23687232750686965</v>
      </c>
      <c r="AJ67" s="62"/>
      <c r="AK67" s="96">
        <f t="shared" ca="1" si="18"/>
        <v>0.4157260680955005</v>
      </c>
      <c r="AL67" s="96"/>
      <c r="AM67" s="94">
        <v>2.2999999999999998</v>
      </c>
      <c r="AN67" s="95">
        <f t="shared" ca="1" si="6"/>
        <v>2.8327037741601183E-2</v>
      </c>
      <c r="AX67" s="106">
        <f t="shared" ca="1" si="19"/>
        <v>0.59634900000000002</v>
      </c>
      <c r="AY67" s="106">
        <f t="shared" ca="1" si="20"/>
        <v>0.59639456199999996</v>
      </c>
      <c r="AZ67" s="106">
        <f t="shared" ca="1" si="21"/>
        <v>0.59630343799999996</v>
      </c>
      <c r="BB67" s="109">
        <f ca="1">_xll.EURO(UnderlyingPrice,$D67,IntRate,Yield,AX67,$D$6,1,0)</f>
        <v>0.71275217563593629</v>
      </c>
      <c r="BC67" s="109">
        <f ca="1">_xll.EURO(UnderlyingPrice,$D67*(1+$P$8),IntRate,Yield,AY67,$D$6,1,0)</f>
        <v>0.71185347082093031</v>
      </c>
      <c r="BD67" s="109">
        <f ca="1">_xll.EURO(UnderlyingPrice,$D67*(1-$P$8),IntRate,Yield,AZ67,$D$6,1,0)</f>
        <v>0.71365203571035796</v>
      </c>
      <c r="BF67" s="59">
        <f t="shared" ca="1" si="22"/>
        <v>0.20090056554044897</v>
      </c>
      <c r="BG67" s="62">
        <f t="shared" ca="1" si="23"/>
        <v>0.20454313357162321</v>
      </c>
      <c r="BI67" s="96">
        <f t="shared" ca="1" si="24"/>
        <v>0.23823487371227592</v>
      </c>
      <c r="BJ67" s="96">
        <f t="shared" ca="1" si="25"/>
        <v>0.23947733070395999</v>
      </c>
      <c r="BK67" s="96">
        <f t="shared" ca="1" si="26"/>
        <v>0.2369917953367236</v>
      </c>
      <c r="BL67" s="62"/>
      <c r="BM67" s="96">
        <f t="shared" ca="1" si="27"/>
        <v>0.39467910275613738</v>
      </c>
      <c r="BO67" s="58">
        <f t="shared" ca="1" si="28"/>
        <v>5.8651757367234048E-4</v>
      </c>
      <c r="BP67" s="46">
        <f t="shared" ca="1" si="29"/>
        <v>8.2289131302760879E-4</v>
      </c>
    </row>
    <row r="68" spans="3:68" x14ac:dyDescent="0.2">
      <c r="C68" s="56">
        <v>55</v>
      </c>
      <c r="D68" s="63">
        <f t="shared" ca="1" si="30"/>
        <v>4.8200000000000012</v>
      </c>
      <c r="E68" s="45">
        <f t="shared" ca="1" si="7"/>
        <v>2.0105820105820404E-2</v>
      </c>
      <c r="F68" s="45">
        <f t="shared" ca="1" si="36"/>
        <v>2.0615873015873198E-2</v>
      </c>
      <c r="G68" s="45">
        <f t="shared" ca="1" si="37"/>
        <v>1.9595767195767611E-2</v>
      </c>
      <c r="H68" s="45">
        <f t="shared" ca="1" si="38"/>
        <v>0.5963704257744592</v>
      </c>
      <c r="I68" s="45">
        <f t="shared" ca="1" si="32"/>
        <v>0.59632488346686829</v>
      </c>
      <c r="J68" s="45">
        <f t="shared" ca="1" si="39"/>
        <v>0.59627939181281642</v>
      </c>
      <c r="L68" s="58">
        <f ca="1">_xll.EURO(UnderlyingPrice,$D68,IntRate,Yield,$I68,$D$6,L$12,0)</f>
        <v>0.7032153921422204</v>
      </c>
      <c r="M68" s="58">
        <f ca="1">_xll.EURO(UnderlyingPrice,$D68,IntRate,Yield,$I68,$D$6,M$12,0)</f>
        <v>0.79652360245992337</v>
      </c>
      <c r="O68" s="58">
        <f ca="1">_xll.EURO(UnderlyingPrice,$D68*(1+$P$8),IntRate,Yield,$H68,Expiry-Today,O$12,0)</f>
        <v>0.702323331610063</v>
      </c>
      <c r="P68" s="58">
        <f ca="1">_xll.EURO(UnderlyingPrice,$D68*(1+$P$8),IntRate,Yield,$H68,Expiry-Today,P$12,0)</f>
        <v>0.79799862389477161</v>
      </c>
      <c r="R68" s="58">
        <f ca="1">_xll.EURO(UnderlyingPrice,$D68*(1-$P$8),IntRate,Yield,$J68,Expiry-Today,R$12,0)</f>
        <v>0.70410867117448039</v>
      </c>
      <c r="S68" s="58">
        <f ca="1">_xll.EURO(UnderlyingPrice,$D68*(1-$P$8),IntRate,Yield,$J68,Expiry-Today,S$12,0)</f>
        <v>0.7950497995251764</v>
      </c>
      <c r="U68" s="59">
        <f t="shared" ca="1" si="35"/>
        <v>0.20979323747791848</v>
      </c>
      <c r="V68" s="59"/>
      <c r="W68" s="62">
        <f t="shared" ca="1" si="40"/>
        <v>0.21359704030912433</v>
      </c>
      <c r="Z68" s="59">
        <f t="shared" ca="1" si="11"/>
        <v>0.20587182380598973</v>
      </c>
      <c r="AA68" s="59">
        <f t="shared" ca="1" si="12"/>
        <v>0.10072327605355882</v>
      </c>
      <c r="AB68" s="59">
        <f t="shared" ca="1" si="4"/>
        <v>-1.0145178338961416E-2</v>
      </c>
      <c r="AC68" s="59">
        <f t="shared" ca="1" si="13"/>
        <v>-3.1383216929580474E-2</v>
      </c>
      <c r="AD68" s="60">
        <f t="shared" ca="1" si="5"/>
        <v>0.969104124800788</v>
      </c>
      <c r="AE68" s="60">
        <f t="shared" ca="1" si="14"/>
        <v>0.19951123363064571</v>
      </c>
      <c r="AF68" s="60"/>
      <c r="AG68" s="96">
        <f t="shared" ca="1" si="15"/>
        <v>0.25053230102954982</v>
      </c>
      <c r="AH68" s="96">
        <f t="shared" ca="1" si="16"/>
        <v>0.25177565658070822</v>
      </c>
      <c r="AI68" s="96">
        <f t="shared" ca="1" si="17"/>
        <v>0.24928832364513162</v>
      </c>
      <c r="AJ68" s="62"/>
      <c r="AK68" s="96">
        <f t="shared" ca="1" si="18"/>
        <v>0.41391231530141698</v>
      </c>
      <c r="AL68" s="96"/>
      <c r="AM68" s="94">
        <v>2.4000000000000101</v>
      </c>
      <c r="AN68" s="95">
        <f t="shared" ca="1" si="6"/>
        <v>2.2394530294842351E-2</v>
      </c>
      <c r="AX68" s="106">
        <f t="shared" ca="1" si="19"/>
        <v>0.59680500000000003</v>
      </c>
      <c r="AY68" s="106">
        <f t="shared" ca="1" si="20"/>
        <v>0.59685078999999996</v>
      </c>
      <c r="AZ68" s="106">
        <f t="shared" ca="1" si="21"/>
        <v>0.59675920999999998</v>
      </c>
      <c r="BB68" s="109">
        <f ca="1">_xll.EURO(UnderlyingPrice,$D68,IntRate,Yield,AX68,$D$6,1,0)</f>
        <v>0.70380951653079293</v>
      </c>
      <c r="BC68" s="109">
        <f ca="1">_xll.EURO(UnderlyingPrice,$D68*(1+$P$8),IntRate,Yield,AY68,$D$6,1,0)</f>
        <v>0.70291787254996119</v>
      </c>
      <c r="BD68" s="109">
        <f ca="1">_xll.EURO(UnderlyingPrice,$D68*(1-$P$8),IntRate,Yield,AZ68,$D$6,1,0)</f>
        <v>0.70470231551750717</v>
      </c>
      <c r="BF68" s="59">
        <f t="shared" ca="1" si="22"/>
        <v>0.1988612252701609</v>
      </c>
      <c r="BG68" s="62">
        <f t="shared" ca="1" si="23"/>
        <v>0.20246681761809973</v>
      </c>
      <c r="BI68" s="96">
        <f t="shared" ca="1" si="24"/>
        <v>0.2506418969457655</v>
      </c>
      <c r="BJ68" s="96">
        <f t="shared" ca="1" si="25"/>
        <v>0.25188435393744996</v>
      </c>
      <c r="BK68" s="96">
        <f t="shared" ca="1" si="26"/>
        <v>0.24939881857021337</v>
      </c>
      <c r="BL68" s="62"/>
      <c r="BM68" s="96">
        <f t="shared" ca="1" si="27"/>
        <v>0.39262771062647728</v>
      </c>
      <c r="BO68" s="58">
        <f t="shared" ca="1" si="28"/>
        <v>5.9412438857253669E-4</v>
      </c>
      <c r="BP68" s="46">
        <f t="shared" ca="1" si="29"/>
        <v>8.4415509398208413E-4</v>
      </c>
    </row>
    <row r="69" spans="3:68" x14ac:dyDescent="0.2">
      <c r="C69" s="56">
        <v>56</v>
      </c>
      <c r="D69" s="63">
        <f t="shared" ca="1" si="30"/>
        <v>4.8440000000000012</v>
      </c>
      <c r="E69" s="45">
        <f t="shared" ca="1" si="7"/>
        <v>2.5185185185185421E-2</v>
      </c>
      <c r="F69" s="45">
        <f t="shared" ca="1" si="36"/>
        <v>2.5697777777778041E-2</v>
      </c>
      <c r="G69" s="45">
        <f t="shared" ca="1" si="37"/>
        <v>2.4672592592592801E-2</v>
      </c>
      <c r="H69" s="45">
        <f t="shared" ca="1" si="38"/>
        <v>0.59682695245246364</v>
      </c>
      <c r="I69" s="45">
        <f t="shared" ca="1" si="32"/>
        <v>0.59678067630617293</v>
      </c>
      <c r="J69" s="45">
        <f t="shared" ca="1" si="39"/>
        <v>0.59673445131911063</v>
      </c>
      <c r="L69" s="58">
        <f ca="1">_xll.EURO(UnderlyingPrice,$D69,IntRate,Yield,$I69,$D$6,L$12,0)</f>
        <v>0.69438596652251894</v>
      </c>
      <c r="M69" s="58">
        <f ca="1">_xll.EURO(UnderlyingPrice,$D69,IntRate,Yield,$I69,$D$6,M$12,0)</f>
        <v>0.81126677734153585</v>
      </c>
      <c r="O69" s="58">
        <f ca="1">_xll.EURO(UnderlyingPrice,$D69*(1+$P$8),IntRate,Yield,$H69,Expiry-Today,O$12,0)</f>
        <v>0.69350159860011185</v>
      </c>
      <c r="P69" s="58">
        <f ca="1">_xll.EURO(UnderlyingPrice,$D69*(1+$P$8),IntRate,Yield,$H69,Expiry-Today,P$12,0)</f>
        <v>0.81276127768638684</v>
      </c>
      <c r="R69" s="58">
        <f ca="1">_xll.EURO(UnderlyingPrice,$D69*(1-$P$8),IntRate,Yield,$J69,Expiry-Today,R$12,0)</f>
        <v>0.6952715534568894</v>
      </c>
      <c r="S69" s="58">
        <f ca="1">_xll.EURO(UnderlyingPrice,$D69*(1-$P$8),IntRate,Yield,$J69,Expiry-Today,S$12,0)</f>
        <v>0.80977349600864867</v>
      </c>
      <c r="U69" s="59">
        <f t="shared" ca="1" si="35"/>
        <v>0.2078067691106171</v>
      </c>
      <c r="V69" s="59"/>
      <c r="W69" s="62">
        <f t="shared" ca="1" si="40"/>
        <v>0.21157455488955529</v>
      </c>
      <c r="Z69" s="59">
        <f t="shared" ca="1" si="11"/>
        <v>0.20485181476979156</v>
      </c>
      <c r="AA69" s="59">
        <f t="shared" ca="1" si="12"/>
        <v>0.10569017368189564</v>
      </c>
      <c r="AB69" s="59">
        <f t="shared" ca="1" si="4"/>
        <v>-1.1170412812909265E-2</v>
      </c>
      <c r="AC69" s="59">
        <f t="shared" ca="1" si="13"/>
        <v>-3.4554689606016792E-2</v>
      </c>
      <c r="AD69" s="60">
        <f t="shared" ca="1" si="5"/>
        <v>0.96603550614055278</v>
      </c>
      <c r="AE69" s="60">
        <f t="shared" ca="1" si="14"/>
        <v>0.19789412656494634</v>
      </c>
      <c r="AF69" s="60"/>
      <c r="AG69" s="96">
        <f t="shared" ca="1" si="15"/>
        <v>0.26288662805862451</v>
      </c>
      <c r="AH69" s="96">
        <f t="shared" ca="1" si="16"/>
        <v>0.26412998360978329</v>
      </c>
      <c r="AI69" s="96">
        <f t="shared" ca="1" si="17"/>
        <v>0.261642650674206</v>
      </c>
      <c r="AJ69" s="62"/>
      <c r="AK69" s="96">
        <f t="shared" ca="1" si="18"/>
        <v>0.41203456490521734</v>
      </c>
      <c r="AL69" s="96"/>
      <c r="AM69" s="94">
        <v>2.5</v>
      </c>
      <c r="AN69" s="95">
        <f t="shared" ca="1" si="6"/>
        <v>1.7528300493568537E-2</v>
      </c>
      <c r="AX69" s="106">
        <f t="shared" ca="1" si="19"/>
        <v>0.59726099999999993</v>
      </c>
      <c r="AY69" s="106">
        <f t="shared" ca="1" si="20"/>
        <v>0.59730701799999997</v>
      </c>
      <c r="AZ69" s="106">
        <f t="shared" ca="1" si="21"/>
        <v>0.59721498200000001</v>
      </c>
      <c r="BB69" s="109">
        <f ca="1">_xll.EURO(UnderlyingPrice,$D69,IntRate,Yield,AX69,$D$6,1,0)</f>
        <v>0.69498140137378361</v>
      </c>
      <c r="BC69" s="109">
        <f ca="1">_xll.EURO(UnderlyingPrice,$D69*(1+$P$8),IntRate,Yield,AY69,$D$6,1,0)</f>
        <v>0.69409681464234008</v>
      </c>
      <c r="BD69" s="109">
        <f ca="1">_xll.EURO(UnderlyingPrice,$D69*(1-$P$8),IntRate,Yield,AZ69,$D$6,1,0)</f>
        <v>0.69586714266440008</v>
      </c>
      <c r="BF69" s="59">
        <f t="shared" ca="1" si="22"/>
        <v>0.19681940676836349</v>
      </c>
      <c r="BG69" s="62">
        <f t="shared" ca="1" si="23"/>
        <v>0.20038797849975953</v>
      </c>
      <c r="BI69" s="96">
        <f t="shared" ca="1" si="24"/>
        <v>0.26298729563765955</v>
      </c>
      <c r="BJ69" s="96">
        <f t="shared" ca="1" si="25"/>
        <v>0.26422975262934434</v>
      </c>
      <c r="BK69" s="96">
        <f t="shared" ca="1" si="26"/>
        <v>0.26174421726210706</v>
      </c>
      <c r="BL69" s="62"/>
      <c r="BM69" s="96">
        <f t="shared" ca="1" si="27"/>
        <v>0.39053130389842905</v>
      </c>
      <c r="BO69" s="58">
        <f t="shared" ca="1" si="28"/>
        <v>5.9543485126467566E-4</v>
      </c>
      <c r="BP69" s="46">
        <f t="shared" ca="1" si="29"/>
        <v>8.5676372070916961E-4</v>
      </c>
    </row>
    <row r="70" spans="3:68" x14ac:dyDescent="0.2">
      <c r="C70" s="56">
        <v>57</v>
      </c>
      <c r="D70" s="63">
        <f t="shared" ca="1" si="30"/>
        <v>4.8680000000000012</v>
      </c>
      <c r="E70" s="45">
        <f t="shared" ca="1" si="7"/>
        <v>3.026455026455066E-2</v>
      </c>
      <c r="F70" s="45">
        <f t="shared" ca="1" si="36"/>
        <v>3.0779682539682884E-2</v>
      </c>
      <c r="G70" s="45">
        <f t="shared" ca="1" si="37"/>
        <v>2.9749417989418214E-2</v>
      </c>
      <c r="H70" s="45">
        <f t="shared" ca="1" si="38"/>
        <v>0.59728850756011775</v>
      </c>
      <c r="I70" s="45">
        <f t="shared" ca="1" si="32"/>
        <v>0.59724149255046621</v>
      </c>
      <c r="J70" s="45">
        <f t="shared" ca="1" si="39"/>
        <v>0.59719452920824423</v>
      </c>
      <c r="L70" s="58">
        <f ca="1">_xll.EURO(UnderlyingPrice,$D70,IntRate,Yield,$I70,$D$6,L$12,0)</f>
        <v>0.68567623705686009</v>
      </c>
      <c r="M70" s="58">
        <f ca="1">_xll.EURO(UnderlyingPrice,$D70,IntRate,Yield,$I70,$D$6,M$12,0)</f>
        <v>0.82612964837719094</v>
      </c>
      <c r="O70" s="58">
        <f ca="1">_xll.EURO(UnderlyingPrice,$D70*(1+$P$8),IntRate,Yield,$H70,Expiry-Today,O$12,0)</f>
        <v>0.68479956551147847</v>
      </c>
      <c r="P70" s="58">
        <f ca="1">_xll.EURO(UnderlyingPrice,$D70*(1+$P$8),IntRate,Yield,$H70,Expiry-Today,P$12,0)</f>
        <v>0.8276436313993174</v>
      </c>
      <c r="R70" s="58">
        <f ca="1">_xll.EURO(UnderlyingPrice,$D70*(1-$P$8),IntRate,Yield,$J70,Expiry-Today,R$12,0)</f>
        <v>0.68655412788701087</v>
      </c>
      <c r="S70" s="58">
        <f ca="1">_xll.EURO(UnderlyingPrice,$D70*(1-$P$8),IntRate,Yield,$J70,Expiry-Today,S$12,0)</f>
        <v>0.82461688463983318</v>
      </c>
      <c r="U70" s="59">
        <f t="shared" ca="1" si="35"/>
        <v>0.20580882869791292</v>
      </c>
      <c r="V70" s="59"/>
      <c r="W70" s="62">
        <f t="shared" ca="1" si="40"/>
        <v>0.20954038942265113</v>
      </c>
      <c r="Z70" s="59">
        <f t="shared" ca="1" si="11"/>
        <v>0.20384186334118126</v>
      </c>
      <c r="AA70" s="59">
        <f t="shared" ca="1" si="12"/>
        <v>0.11063252311633071</v>
      </c>
      <c r="AB70" s="59">
        <f t="shared" ca="1" si="4"/>
        <v>-1.2239555171085447E-2</v>
      </c>
      <c r="AC70" s="59">
        <f t="shared" ca="1" si="13"/>
        <v>-3.7861987460642899E-2</v>
      </c>
      <c r="AD70" s="60">
        <f t="shared" ca="1" si="5"/>
        <v>0.96284581651788426</v>
      </c>
      <c r="AE70" s="60">
        <f t="shared" ca="1" si="14"/>
        <v>0.19626828534926666</v>
      </c>
      <c r="AF70" s="60"/>
      <c r="AG70" s="96">
        <f t="shared" ca="1" si="15"/>
        <v>0.27517989556158678</v>
      </c>
      <c r="AH70" s="96">
        <f t="shared" ca="1" si="16"/>
        <v>0.27642325111274535</v>
      </c>
      <c r="AI70" s="96">
        <f t="shared" ca="1" si="17"/>
        <v>0.27393591817716795</v>
      </c>
      <c r="AJ70" s="62"/>
      <c r="AK70" s="96">
        <f t="shared" ca="1" si="18"/>
        <v>0.41009492582169199</v>
      </c>
      <c r="AL70" s="96"/>
      <c r="AM70" s="94">
        <v>2.6</v>
      </c>
      <c r="AN70" s="95">
        <f t="shared" ca="1" si="6"/>
        <v>1.3582969233685611E-2</v>
      </c>
      <c r="AX70" s="106">
        <f t="shared" ca="1" si="19"/>
        <v>0.59771699999999994</v>
      </c>
      <c r="AY70" s="106">
        <f t="shared" ca="1" si="20"/>
        <v>0.59776324599999997</v>
      </c>
      <c r="AZ70" s="106">
        <f t="shared" ca="1" si="21"/>
        <v>0.59767075400000003</v>
      </c>
      <c r="BB70" s="109">
        <f ca="1">_xll.EURO(UnderlyingPrice,$D70,IntRate,Yield,AX70,$D$6,1,0)</f>
        <v>0.68626665412491028</v>
      </c>
      <c r="BC70" s="109">
        <f ca="1">_xll.EURO(UnderlyingPrice,$D70*(1+$P$8),IntRate,Yield,AY70,$D$6,1,0)</f>
        <v>0.68538911918147938</v>
      </c>
      <c r="BD70" s="109">
        <f ca="1">_xll.EURO(UnderlyingPrice,$D70*(1-$P$8),IntRate,Yield,AZ70,$D$6,1,0)</f>
        <v>0.68714534299136676</v>
      </c>
      <c r="BF70" s="59">
        <f t="shared" ca="1" si="22"/>
        <v>0.19477611162738612</v>
      </c>
      <c r="BG70" s="62">
        <f t="shared" ca="1" si="23"/>
        <v>0.19830763596900125</v>
      </c>
      <c r="BI70" s="96">
        <f t="shared" ca="1" si="24"/>
        <v>0.27527167893049359</v>
      </c>
      <c r="BJ70" s="96">
        <f t="shared" ca="1" si="25"/>
        <v>0.27651413592217822</v>
      </c>
      <c r="BK70" s="96">
        <f t="shared" ca="1" si="26"/>
        <v>0.27402860055494083</v>
      </c>
      <c r="BL70" s="62"/>
      <c r="BM70" s="96">
        <f t="shared" ca="1" si="27"/>
        <v>0.38839180669960588</v>
      </c>
      <c r="BO70" s="58">
        <f t="shared" ca="1" si="28"/>
        <v>5.9041706805018634E-4</v>
      </c>
      <c r="BP70" s="46">
        <f t="shared" ca="1" si="29"/>
        <v>8.6033186153136631E-4</v>
      </c>
    </row>
    <row r="71" spans="3:68" x14ac:dyDescent="0.2">
      <c r="C71" s="56">
        <v>58</v>
      </c>
      <c r="D71" s="63">
        <f t="shared" ca="1" si="30"/>
        <v>4.8920000000000012</v>
      </c>
      <c r="E71" s="45">
        <f t="shared" ca="1" si="7"/>
        <v>3.5343915343915677E-2</v>
      </c>
      <c r="F71" s="45">
        <f t="shared" ca="1" si="36"/>
        <v>3.5861587301587727E-2</v>
      </c>
      <c r="G71" s="45">
        <f t="shared" ca="1" si="37"/>
        <v>3.4826243386243627E-2</v>
      </c>
      <c r="H71" s="45">
        <f t="shared" ca="1" si="38"/>
        <v>0.5977550910974212</v>
      </c>
      <c r="I71" s="45">
        <f t="shared" ca="1" si="32"/>
        <v>0.59770733219974814</v>
      </c>
      <c r="J71" s="45">
        <f t="shared" ca="1" si="39"/>
        <v>0.59765962548021745</v>
      </c>
      <c r="L71" s="58">
        <f ca="1">_xll.EURO(UnderlyingPrice,$D71,IntRate,Yield,$I71,$D$6,L$12,0)</f>
        <v>0.67708505298899868</v>
      </c>
      <c r="M71" s="58">
        <f ca="1">_xll.EURO(UnderlyingPrice,$D71,IntRate,Yield,$I71,$D$6,M$12,0)</f>
        <v>0.84111106481064368</v>
      </c>
      <c r="O71" s="58">
        <f ca="1">_xll.EURO(UnderlyingPrice,$D71*(1+$P$8),IntRate,Yield,$H71,Expiry-Today,O$12,0)</f>
        <v>0.67621607923056803</v>
      </c>
      <c r="P71" s="58">
        <f ca="1">_xll.EURO(UnderlyingPrice,$D71*(1+$P$8),IntRate,Yield,$H71,Expiry-Today,P$12,0)</f>
        <v>0.84264453191997202</v>
      </c>
      <c r="R71" s="58">
        <f ca="1">_xll.EURO(UnderlyingPrice,$D71*(1-$P$8),IntRate,Yield,$J71,Expiry-Today,R$12,0)</f>
        <v>0.67795524606946533</v>
      </c>
      <c r="S71" s="58">
        <f ca="1">_xll.EURO(UnderlyingPrice,$D71*(1-$P$8),IntRate,Yield,$J71,Expiry-Today,S$12,0)</f>
        <v>0.83957881702335113</v>
      </c>
      <c r="U71" s="59">
        <f t="shared" ca="1" si="35"/>
        <v>0.20380062765476237</v>
      </c>
      <c r="V71" s="59"/>
      <c r="W71" s="62">
        <f t="shared" ca="1" si="40"/>
        <v>0.20749577728777333</v>
      </c>
      <c r="Z71" s="59">
        <f t="shared" ca="1" si="11"/>
        <v>0.20284182149322783</v>
      </c>
      <c r="AA71" s="59">
        <f t="shared" ca="1" si="12"/>
        <v>0.11555056581597584</v>
      </c>
      <c r="AB71" s="59">
        <f t="shared" ca="1" si="4"/>
        <v>-1.3351933260392164E-2</v>
      </c>
      <c r="AC71" s="59">
        <f t="shared" ca="1" si="13"/>
        <v>-4.1303031246966201E-2</v>
      </c>
      <c r="AD71" s="60">
        <f t="shared" ca="1" si="5"/>
        <v>0.95953831579478943</v>
      </c>
      <c r="AE71" s="60">
        <f t="shared" ca="1" si="14"/>
        <v>0.19463449976835914</v>
      </c>
      <c r="AF71" s="60"/>
      <c r="AG71" s="96">
        <f t="shared" ca="1" si="15"/>
        <v>0.28741270412758796</v>
      </c>
      <c r="AH71" s="96">
        <f t="shared" ca="1" si="16"/>
        <v>0.28865605967874686</v>
      </c>
      <c r="AI71" s="96">
        <f t="shared" ca="1" si="17"/>
        <v>0.28616872674316923</v>
      </c>
      <c r="AJ71" s="62"/>
      <c r="AK71" s="96">
        <f t="shared" ca="1" si="18"/>
        <v>0.40809548571995313</v>
      </c>
      <c r="AL71" s="96"/>
      <c r="AM71" s="94">
        <v>2.7000000000000099</v>
      </c>
      <c r="AN71" s="95">
        <f t="shared" ca="1" si="6"/>
        <v>1.0420934814422318E-2</v>
      </c>
      <c r="AX71" s="106">
        <f t="shared" ca="1" si="19"/>
        <v>0.59817299999999995</v>
      </c>
      <c r="AY71" s="106">
        <f t="shared" ca="1" si="20"/>
        <v>0.59821947399999997</v>
      </c>
      <c r="AZ71" s="106">
        <f t="shared" ca="1" si="21"/>
        <v>0.59812652599999994</v>
      </c>
      <c r="BB71" s="109">
        <f ca="1">_xll.EURO(UnderlyingPrice,$D71,IntRate,Yield,AX71,$D$6,1,0)</f>
        <v>0.67766409789213555</v>
      </c>
      <c r="BC71" s="109">
        <f ca="1">_xll.EURO(UnderlyingPrice,$D71*(1+$P$8),IntRate,Yield,AY71,$D$6,1,0)</f>
        <v>0.67679360745421846</v>
      </c>
      <c r="BD71" s="109">
        <f ca="1">_xll.EURO(UnderlyingPrice,$D71*(1-$P$8),IntRate,Yield,AZ71,$D$6,1,0)</f>
        <v>0.67853574143124074</v>
      </c>
      <c r="BF71" s="59">
        <f t="shared" ca="1" si="22"/>
        <v>0.19273230446314504</v>
      </c>
      <c r="BG71" s="62">
        <f t="shared" ca="1" si="23"/>
        <v>0.19622677213138387</v>
      </c>
      <c r="BI71" s="96">
        <f t="shared" ca="1" si="24"/>
        <v>0.28749564697937985</v>
      </c>
      <c r="BJ71" s="96">
        <f t="shared" ca="1" si="25"/>
        <v>0.28873810397106481</v>
      </c>
      <c r="BK71" s="96">
        <f t="shared" ca="1" si="26"/>
        <v>0.2862525686038272</v>
      </c>
      <c r="BL71" s="62"/>
      <c r="BM71" s="96">
        <f t="shared" ca="1" si="27"/>
        <v>0.38621110844767215</v>
      </c>
      <c r="BO71" s="58">
        <f t="shared" ca="1" si="28"/>
        <v>5.7904490313687162E-4</v>
      </c>
      <c r="BP71" s="46">
        <f t="shared" ca="1" si="29"/>
        <v>8.5447186141036902E-4</v>
      </c>
    </row>
    <row r="72" spans="3:68" x14ac:dyDescent="0.2">
      <c r="C72" s="56">
        <v>59</v>
      </c>
      <c r="D72" s="63">
        <f t="shared" ca="1" si="30"/>
        <v>4.9160000000000013</v>
      </c>
      <c r="E72" s="45">
        <f t="shared" ca="1" si="7"/>
        <v>4.0423280423280694E-2</v>
      </c>
      <c r="F72" s="45">
        <f t="shared" ca="1" si="36"/>
        <v>4.0943492063492348E-2</v>
      </c>
      <c r="G72" s="45">
        <f t="shared" ca="1" si="37"/>
        <v>3.9903068783069262E-2</v>
      </c>
      <c r="H72" s="45">
        <f t="shared" ca="1" si="38"/>
        <v>0.59822670306437431</v>
      </c>
      <c r="I72" s="45">
        <f t="shared" ca="1" si="32"/>
        <v>0.59817819525401872</v>
      </c>
      <c r="J72" s="45">
        <f t="shared" ca="1" si="39"/>
        <v>0.59812974013503017</v>
      </c>
      <c r="L72" s="58">
        <f ca="1">_xll.EURO(UnderlyingPrice,$D72,IntRate,Yield,$I72,$D$6,L$12,0)</f>
        <v>0.66861125765134588</v>
      </c>
      <c r="M72" s="58">
        <f ca="1">_xll.EURO(UnderlyingPrice,$D72,IntRate,Yield,$I72,$D$6,M$12,0)</f>
        <v>0.85620986997430482</v>
      </c>
      <c r="O72" s="58">
        <f ca="1">_xll.EURO(UnderlyingPrice,$D72*(1+$P$8),IntRate,Yield,$H72,Expiry-Today,O$12,0)</f>
        <v>0.66774998079058245</v>
      </c>
      <c r="P72" s="58">
        <f ca="1">_xll.EURO(UnderlyingPrice,$D72*(1+$P$8),IntRate,Yield,$H72,Expiry-Today,P$12,0)</f>
        <v>0.85776282028155038</v>
      </c>
      <c r="R72" s="58">
        <f ca="1">_xll.EURO(UnderlyingPrice,$D72*(1-$P$8),IntRate,Yield,$J72,Expiry-Today,R$12,0)</f>
        <v>0.66947375363947104</v>
      </c>
      <c r="S72" s="58">
        <f ca="1">_xll.EURO(UnderlyingPrice,$D72*(1-$P$8),IntRate,Yield,$J72,Expiry-Today,S$12,0)</f>
        <v>0.85465813879442054</v>
      </c>
      <c r="U72" s="59">
        <f t="shared" ca="1" si="35"/>
        <v>0.20178334700412356</v>
      </c>
      <c r="V72" s="59"/>
      <c r="W72" s="62">
        <f t="shared" ca="1" si="40"/>
        <v>0.20544192092124167</v>
      </c>
      <c r="Z72" s="59">
        <f t="shared" ca="1" si="11"/>
        <v>0.2018515440896807</v>
      </c>
      <c r="AA72" s="59">
        <f t="shared" ca="1" si="12"/>
        <v>0.12044453969483823</v>
      </c>
      <c r="AB72" s="59">
        <f t="shared" ca="1" si="4"/>
        <v>-1.4506887142301462E-2</v>
      </c>
      <c r="AC72" s="59">
        <f t="shared" ca="1" si="13"/>
        <v>-4.4875779503191646E-2</v>
      </c>
      <c r="AD72" s="60">
        <f t="shared" ca="1" si="5"/>
        <v>0.95611624369141657</v>
      </c>
      <c r="AE72" s="60">
        <f t="shared" ca="1" si="14"/>
        <v>0.19299354011833786</v>
      </c>
      <c r="AF72" s="60"/>
      <c r="AG72" s="96">
        <f t="shared" ca="1" si="15"/>
        <v>0.29958564552792466</v>
      </c>
      <c r="AH72" s="96">
        <f t="shared" ca="1" si="16"/>
        <v>0.30082900107908334</v>
      </c>
      <c r="AI72" s="96">
        <f t="shared" ca="1" si="17"/>
        <v>0.29834166814350671</v>
      </c>
      <c r="AJ72" s="62"/>
      <c r="AK72" s="96">
        <f t="shared" ca="1" si="18"/>
        <v>0.40603831871614421</v>
      </c>
      <c r="AL72" s="96"/>
      <c r="AM72" s="94">
        <v>2.80000000000001</v>
      </c>
      <c r="AN72" s="95">
        <f t="shared" ca="1" si="6"/>
        <v>7.9154515829797413E-3</v>
      </c>
      <c r="AX72" s="106">
        <f t="shared" ca="1" si="19"/>
        <v>0.59862899999999997</v>
      </c>
      <c r="AY72" s="106">
        <f t="shared" ca="1" si="20"/>
        <v>0.59867570199999998</v>
      </c>
      <c r="AZ72" s="106">
        <f t="shared" ca="1" si="21"/>
        <v>0.59858229799999996</v>
      </c>
      <c r="BB72" s="109">
        <f ca="1">_xll.EURO(UnderlyingPrice,$D72,IntRate,Yield,AX72,$D$6,1,0)</f>
        <v>0.66917255548690346</v>
      </c>
      <c r="BC72" s="109">
        <f ca="1">_xll.EURO(UnderlyingPrice,$D72*(1+$P$8),IntRate,Yield,AY72,$D$6,1,0)</f>
        <v>0.66830910050551839</v>
      </c>
      <c r="BD72" s="109">
        <f ca="1">_xll.EURO(UnderlyingPrice,$D72*(1-$P$8),IntRate,Yield,AZ72,$D$6,1,0)</f>
        <v>0.67003716256570356</v>
      </c>
      <c r="BF72" s="59">
        <f t="shared" ca="1" si="22"/>
        <v>0.19068891387097459</v>
      </c>
      <c r="BG72" s="62">
        <f t="shared" ca="1" si="23"/>
        <v>0.19414633241878801</v>
      </c>
      <c r="BI72" s="96">
        <f t="shared" ca="1" si="24"/>
        <v>0.29965979112794822</v>
      </c>
      <c r="BJ72" s="96">
        <f t="shared" ca="1" si="25"/>
        <v>0.30090224811963301</v>
      </c>
      <c r="BK72" s="96">
        <f t="shared" ca="1" si="26"/>
        <v>0.29841671275239634</v>
      </c>
      <c r="BL72" s="62"/>
      <c r="BM72" s="96">
        <f t="shared" ca="1" si="27"/>
        <v>0.38399106395812688</v>
      </c>
      <c r="BO72" s="58">
        <f t="shared" ca="1" si="28"/>
        <v>5.6129783555758372E-4</v>
      </c>
      <c r="BP72" s="46">
        <f t="shared" ca="1" si="29"/>
        <v>8.3879386707539445E-4</v>
      </c>
    </row>
    <row r="73" spans="3:68" x14ac:dyDescent="0.2">
      <c r="C73" s="56">
        <v>60</v>
      </c>
      <c r="D73" s="63">
        <f t="shared" ca="1" si="30"/>
        <v>4.9400000000000013</v>
      </c>
      <c r="E73" s="45">
        <f t="shared" ca="1" si="7"/>
        <v>4.5502645502645933E-2</v>
      </c>
      <c r="F73" s="45">
        <f t="shared" ca="1" si="36"/>
        <v>4.6025396825397191E-2</v>
      </c>
      <c r="G73" s="45">
        <f t="shared" ca="1" si="37"/>
        <v>4.4979894179894675E-2</v>
      </c>
      <c r="H73" s="45">
        <f t="shared" ca="1" si="38"/>
        <v>0.59870334346097687</v>
      </c>
      <c r="I73" s="45">
        <f t="shared" ca="1" si="32"/>
        <v>0.59865408171327805</v>
      </c>
      <c r="J73" s="45">
        <f t="shared" ca="1" si="39"/>
        <v>0.59860487317268241</v>
      </c>
      <c r="L73" s="58">
        <f ca="1">_xll.EURO(UnderlyingPrice,$D73,IntRate,Yield,$I73,$D$6,L$12,0)</f>
        <v>0.66025368914537119</v>
      </c>
      <c r="M73" s="58">
        <f ca="1">_xll.EURO(UnderlyingPrice,$D73,IntRate,Yield,$I73,$D$6,M$12,0)</f>
        <v>0.87142490196964406</v>
      </c>
      <c r="O73" s="58">
        <f ca="1">_xll.EURO(UnderlyingPrice,$D73*(1+$P$8),IntRate,Yield,$H73,Expiry-Today,O$12,0)</f>
        <v>0.6594001060517849</v>
      </c>
      <c r="P73" s="58">
        <f ca="1">_xll.EURO(UnderlyingPrice,$D73*(1+$P$8),IntRate,Yield,$H73,Expiry-Today,P$12,0)</f>
        <v>0.8729973323443172</v>
      </c>
      <c r="R73" s="58">
        <f ca="1">_xll.EURO(UnderlyingPrice,$D73*(1-$P$8),IntRate,Yield,$J73,Expiry-Today,R$12,0)</f>
        <v>0.66110849094338842</v>
      </c>
      <c r="S73" s="58">
        <f ca="1">_xll.EURO(UnderlyingPrice,$D73*(1-$P$8),IntRate,Yield,$J73,Expiry-Today,S$12,0)</f>
        <v>0.86985369029940163</v>
      </c>
      <c r="U73" s="59">
        <f t="shared" ca="1" si="35"/>
        <v>0.19975813911513546</v>
      </c>
      <c r="V73" s="59"/>
      <c r="W73" s="62">
        <f t="shared" ca="1" si="40"/>
        <v>0.20337999358602868</v>
      </c>
      <c r="Z73" s="59">
        <f t="shared" ca="1" si="11"/>
        <v>0.2008708888147511</v>
      </c>
      <c r="AA73" s="59">
        <f t="shared" ca="1" si="12"/>
        <v>0.12531467919088113</v>
      </c>
      <c r="AB73" s="59">
        <f t="shared" ca="1" si="4"/>
        <v>-1.5703768820713455E-2</v>
      </c>
      <c r="AC73" s="59">
        <f t="shared" ca="1" si="13"/>
        <v>-4.8578227710375087E-2</v>
      </c>
      <c r="AD73" s="60">
        <f t="shared" ca="1" si="5"/>
        <v>0.95258281801826183</v>
      </c>
      <c r="AE73" s="60">
        <f t="shared" ca="1" si="14"/>
        <v>0.19134615732498855</v>
      </c>
      <c r="AF73" s="60"/>
      <c r="AG73" s="96">
        <f t="shared" ca="1" si="15"/>
        <v>0.31169930288781555</v>
      </c>
      <c r="AH73" s="96">
        <f t="shared" ca="1" si="16"/>
        <v>0.31294265843897412</v>
      </c>
      <c r="AI73" s="96">
        <f t="shared" ca="1" si="17"/>
        <v>0.31045532550339727</v>
      </c>
      <c r="AJ73" s="62"/>
      <c r="AK73" s="96">
        <f t="shared" ca="1" si="18"/>
        <v>0.40392548739438405</v>
      </c>
      <c r="AL73" s="96"/>
      <c r="AM73" s="94">
        <v>2.9000000000000101</v>
      </c>
      <c r="AN73" s="95">
        <f t="shared" ca="1" si="6"/>
        <v>5.9525324197756786E-3</v>
      </c>
      <c r="AX73" s="106">
        <f t="shared" ca="1" si="19"/>
        <v>0.59908499999999998</v>
      </c>
      <c r="AY73" s="106">
        <f t="shared" ca="1" si="20"/>
        <v>0.59913192999999998</v>
      </c>
      <c r="AZ73" s="106">
        <f t="shared" ca="1" si="21"/>
        <v>0.59903806999999998</v>
      </c>
      <c r="BB73" s="109">
        <f ca="1">_xll.EURO(UnderlyingPrice,$D73,IntRate,Yield,AX73,$D$6,1,0)</f>
        <v>0.66079084995804749</v>
      </c>
      <c r="BC73" s="109">
        <f ca="1">_xll.EURO(UnderlyingPrice,$D73*(1+$P$8),IntRate,Yield,AY73,$D$6,1,0)</f>
        <v>0.65993441967152</v>
      </c>
      <c r="BD73" s="109">
        <f ca="1">_xll.EURO(UnderlyingPrice,$D73*(1-$P$8),IntRate,Yield,AZ73,$D$6,1,0)</f>
        <v>0.66164843116000793</v>
      </c>
      <c r="BF73" s="59">
        <f t="shared" ca="1" si="22"/>
        <v>0.18864682800193042</v>
      </c>
      <c r="BG73" s="62">
        <f t="shared" ca="1" si="23"/>
        <v>0.19206722108551239</v>
      </c>
      <c r="BI73" s="96">
        <f t="shared" ca="1" si="24"/>
        <v>0.31176469407999924</v>
      </c>
      <c r="BJ73" s="96">
        <f t="shared" ca="1" si="25"/>
        <v>0.31300715107168386</v>
      </c>
      <c r="BK73" s="96">
        <f t="shared" ca="1" si="26"/>
        <v>0.31052161570444697</v>
      </c>
      <c r="BL73" s="62"/>
      <c r="BM73" s="96">
        <f t="shared" ca="1" si="27"/>
        <v>0.38173348272135144</v>
      </c>
      <c r="BO73" s="58">
        <f t="shared" ca="1" si="28"/>
        <v>5.3716081267629612E-4</v>
      </c>
      <c r="BP73" s="46">
        <f t="shared" ca="1" si="29"/>
        <v>8.1290594854695642E-4</v>
      </c>
    </row>
    <row r="74" spans="3:68" x14ac:dyDescent="0.2">
      <c r="C74" s="56">
        <v>61</v>
      </c>
      <c r="D74" s="63">
        <f t="shared" ca="1" si="30"/>
        <v>4.9640000000000013</v>
      </c>
      <c r="E74" s="45">
        <f t="shared" ca="1" si="7"/>
        <v>5.058201058201095E-2</v>
      </c>
      <c r="F74" s="45">
        <f t="shared" ca="1" si="36"/>
        <v>5.1107301587301812E-2</v>
      </c>
      <c r="G74" s="45">
        <f t="shared" ca="1" si="37"/>
        <v>5.0056719576720088E-2</v>
      </c>
      <c r="H74" s="45">
        <f t="shared" ca="1" si="38"/>
        <v>0.59918501228722876</v>
      </c>
      <c r="I74" s="45">
        <f t="shared" ca="1" si="32"/>
        <v>0.59913499157752592</v>
      </c>
      <c r="J74" s="45">
        <f t="shared" ca="1" si="39"/>
        <v>0.59908502459317436</v>
      </c>
      <c r="L74" s="58">
        <f ca="1">_xll.EURO(UnderlyingPrice,$D74,IntRate,Yield,$I74,$D$6,L$12,0)</f>
        <v>0.65201118100393063</v>
      </c>
      <c r="M74" s="58">
        <f ca="1">_xll.EURO(UnderlyingPrice,$D74,IntRate,Yield,$I74,$D$6,M$12,0)</f>
        <v>0.88675499432951721</v>
      </c>
      <c r="O74" s="58">
        <f ca="1">_xll.EURO(UnderlyingPrice,$D74*(1+$P$8),IntRate,Yield,$H74,Expiry-Today,O$12,0)</f>
        <v>0.65116528636360393</v>
      </c>
      <c r="P74" s="58">
        <f ca="1">_xll.EURO(UnderlyingPrice,$D74*(1+$P$8),IntRate,Yield,$H74,Expiry-Today,P$12,0)</f>
        <v>0.88834689945770107</v>
      </c>
      <c r="R74" s="58">
        <f ca="1">_xll.EURO(UnderlyingPrice,$D74*(1-$P$8),IntRate,Yield,$J74,Expiry-Today,R$12,0)</f>
        <v>0.65285829370121351</v>
      </c>
      <c r="S74" s="58">
        <f ca="1">_xll.EURO(UnderlyingPrice,$D74*(1-$P$8),IntRate,Yield,$J74,Expiry-Today,S$12,0)</f>
        <v>0.88516430725828954</v>
      </c>
      <c r="U74" s="59">
        <f t="shared" ca="1" si="35"/>
        <v>0.19772611898124851</v>
      </c>
      <c r="V74" s="59"/>
      <c r="W74" s="62">
        <f t="shared" ca="1" si="40"/>
        <v>0.20131113049175239</v>
      </c>
      <c r="Z74" s="59">
        <f t="shared" ca="1" si="11"/>
        <v>0.19989971610492954</v>
      </c>
      <c r="AA74" s="59">
        <f t="shared" ca="1" si="12"/>
        <v>0.13016121533341071</v>
      </c>
      <c r="AB74" s="59">
        <f t="shared" ca="1" si="4"/>
        <v>-1.6941941977070513E-2</v>
      </c>
      <c r="AC74" s="59">
        <f t="shared" ca="1" si="13"/>
        <v>-5.2408407473022299E-2</v>
      </c>
      <c r="AD74" s="60">
        <f t="shared" ca="1" si="5"/>
        <v>0.9489412330009821</v>
      </c>
      <c r="AE74" s="60">
        <f t="shared" ca="1" si="14"/>
        <v>0.18969308307715813</v>
      </c>
      <c r="AF74" s="60"/>
      <c r="AG74" s="96">
        <f t="shared" ca="1" si="15"/>
        <v>0.32375425085401521</v>
      </c>
      <c r="AH74" s="96">
        <f t="shared" ca="1" si="16"/>
        <v>0.32499760640517356</v>
      </c>
      <c r="AI74" s="96">
        <f t="shared" ca="1" si="17"/>
        <v>0.32251027346959715</v>
      </c>
      <c r="AJ74" s="62"/>
      <c r="AK74" s="96">
        <f t="shared" ca="1" si="18"/>
        <v>0.40175902367870348</v>
      </c>
      <c r="AL74" s="96"/>
      <c r="AM74" s="94">
        <v>3</v>
      </c>
      <c r="AN74" s="95">
        <f t="shared" ca="1" si="6"/>
        <v>4.4318484119380067E-3</v>
      </c>
      <c r="AX74" s="106">
        <f t="shared" ca="1" si="19"/>
        <v>0.59954099999999999</v>
      </c>
      <c r="AY74" s="106">
        <f t="shared" ca="1" si="20"/>
        <v>0.59958815799999998</v>
      </c>
      <c r="AZ74" s="106">
        <f t="shared" ca="1" si="21"/>
        <v>0.599493842</v>
      </c>
      <c r="BB74" s="109">
        <f ca="1">_xll.EURO(UnderlyingPrice,$D74,IntRate,Yield,AX74,$D$6,1,0)</f>
        <v>0.65251780510462565</v>
      </c>
      <c r="BC74" s="109">
        <f ca="1">_xll.EURO(UnderlyingPrice,$D74*(1+$P$8),IntRate,Yield,AY74,$D$6,1,0)</f>
        <v>0.65166838709154784</v>
      </c>
      <c r="BD74" s="109">
        <f ca="1">_xll.EURO(UnderlyingPrice,$D74*(1-$P$8),IntRate,Yield,AZ74,$D$6,1,0)</f>
        <v>0.65336837267667969</v>
      </c>
      <c r="BF74" s="59">
        <f t="shared" ca="1" si="22"/>
        <v>0.18660690188247503</v>
      </c>
      <c r="BG74" s="62">
        <f t="shared" ca="1" si="23"/>
        <v>0.18999030866067407</v>
      </c>
      <c r="BI74" s="96">
        <f t="shared" ca="1" si="24"/>
        <v>0.32381093006699641</v>
      </c>
      <c r="BJ74" s="96">
        <f t="shared" ca="1" si="25"/>
        <v>0.32505338705868081</v>
      </c>
      <c r="BK74" s="96">
        <f t="shared" ca="1" si="26"/>
        <v>0.32256785169144436</v>
      </c>
      <c r="BL74" s="62"/>
      <c r="BM74" s="96">
        <f t="shared" ca="1" si="27"/>
        <v>0.37944014179938601</v>
      </c>
      <c r="BO74" s="58">
        <f t="shared" ca="1" si="28"/>
        <v>5.0662410069501895E-4</v>
      </c>
      <c r="BP74" s="46">
        <f t="shared" ca="1" si="29"/>
        <v>7.7641421694812777E-4</v>
      </c>
    </row>
    <row r="75" spans="3:68" x14ac:dyDescent="0.2">
      <c r="C75" s="56">
        <v>62</v>
      </c>
      <c r="D75" s="63">
        <f t="shared" ca="1" si="30"/>
        <v>4.9880000000000013</v>
      </c>
      <c r="E75" s="45">
        <f t="shared" ca="1" si="7"/>
        <v>5.5661375661375967E-2</v>
      </c>
      <c r="F75" s="45">
        <f t="shared" ca="1" si="36"/>
        <v>5.6189206349206655E-2</v>
      </c>
      <c r="G75" s="45">
        <f t="shared" ca="1" si="37"/>
        <v>5.5133544973545501E-2</v>
      </c>
      <c r="H75" s="45">
        <f t="shared" ca="1" si="38"/>
        <v>0.59967170954313032</v>
      </c>
      <c r="I75" s="45">
        <f t="shared" ca="1" si="32"/>
        <v>0.59962092484676244</v>
      </c>
      <c r="J75" s="45">
        <f t="shared" ca="1" si="39"/>
        <v>0.59957019439650561</v>
      </c>
      <c r="L75" s="58">
        <f ca="1">_xll.EURO(UnderlyingPrice,$D75,IntRate,Yield,$I75,$D$6,L$12,0)</f>
        <v>0.64388256283557288</v>
      </c>
      <c r="M75" s="58">
        <f ca="1">_xll.EURO(UnderlyingPrice,$D75,IntRate,Yield,$I75,$D$6,M$12,0)</f>
        <v>0.90219897666247384</v>
      </c>
      <c r="O75" s="58">
        <f ca="1">_xll.EURO(UnderlyingPrice,$D75*(1+$P$8),IntRate,Yield,$H75,Expiry-Today,O$12,0)</f>
        <v>0.64304434920875075</v>
      </c>
      <c r="P75" s="58">
        <f ca="1">_xll.EURO(UnderlyingPrice,$D75*(1+$P$8),IntRate,Yield,$H75,Expiry-Today,P$12,0)</f>
        <v>0.90381034910441205</v>
      </c>
      <c r="R75" s="58">
        <f ca="1">_xll.EURO(UnderlyingPrice,$D75*(1-$P$8),IntRate,Yield,$J75,Expiry-Today,R$12,0)</f>
        <v>0.64472199365114191</v>
      </c>
      <c r="S75" s="58">
        <f ca="1">_xll.EURO(UnderlyingPrice,$D75*(1-$P$8),IntRate,Yield,$J75,Expiry-Today,S$12,0)</f>
        <v>0.90058882140928143</v>
      </c>
      <c r="U75" s="59">
        <f t="shared" ca="1" si="35"/>
        <v>0.19568837654714466</v>
      </c>
      <c r="V75" s="59"/>
      <c r="W75" s="62">
        <f t="shared" ca="1" si="40"/>
        <v>0.19923644134509816</v>
      </c>
      <c r="Z75" s="59">
        <f t="shared" ca="1" si="11"/>
        <v>0.19893788908277271</v>
      </c>
      <c r="AA75" s="59">
        <f t="shared" ca="1" si="12"/>
        <v>0.1349843758088399</v>
      </c>
      <c r="AB75" s="59">
        <f t="shared" ca="1" si="4"/>
        <v>-1.8220781712502122E-2</v>
      </c>
      <c r="AC75" s="59">
        <f t="shared" ca="1" si="13"/>
        <v>-5.6364385721436816E-2</v>
      </c>
      <c r="AD75" s="60">
        <f t="shared" ca="1" si="5"/>
        <v>0.94519465769549749</v>
      </c>
      <c r="AE75" s="60">
        <f t="shared" ca="1" si="14"/>
        <v>0.1880350299742562</v>
      </c>
      <c r="AF75" s="60"/>
      <c r="AG75" s="96">
        <f t="shared" ca="1" si="15"/>
        <v>0.33575105575839026</v>
      </c>
      <c r="AH75" s="96">
        <f t="shared" ca="1" si="16"/>
        <v>0.33699441130954882</v>
      </c>
      <c r="AI75" s="96">
        <f t="shared" ca="1" si="17"/>
        <v>0.33450707837397226</v>
      </c>
      <c r="AJ75" s="62"/>
      <c r="AK75" s="96">
        <f t="shared" ca="1" si="18"/>
        <v>0.39954095216408442</v>
      </c>
      <c r="AL75" s="96"/>
      <c r="AM75" s="94">
        <v>3.1000000000000099</v>
      </c>
      <c r="AN75" s="95">
        <f t="shared" ca="1" si="6"/>
        <v>3.2668190561998198E-3</v>
      </c>
      <c r="AX75" s="106">
        <f t="shared" ca="1" si="19"/>
        <v>0.599997</v>
      </c>
      <c r="AY75" s="106">
        <f t="shared" ca="1" si="20"/>
        <v>0.60004438599999999</v>
      </c>
      <c r="AZ75" s="106">
        <f t="shared" ca="1" si="21"/>
        <v>0.59994961400000002</v>
      </c>
      <c r="BB75" s="109">
        <f ca="1">_xll.EURO(UnderlyingPrice,$D75,IntRate,Yield,AX75,$D$6,1,0)</f>
        <v>0.64435224596817342</v>
      </c>
      <c r="BC75" s="109">
        <f ca="1">_xll.EURO(UnderlyingPrice,$D75*(1+$P$8),IntRate,Yield,AY75,$D$6,1,0)</f>
        <v>0.64350982619949781</v>
      </c>
      <c r="BD75" s="109">
        <f ca="1">_xll.EURO(UnderlyingPrice,$D75*(1-$P$8),IntRate,Yield,AZ75,$D$6,1,0)</f>
        <v>0.64519581376861779</v>
      </c>
      <c r="BF75" s="59">
        <f t="shared" ca="1" si="22"/>
        <v>0.18456995566595749</v>
      </c>
      <c r="BG75" s="62">
        <f t="shared" ca="1" si="23"/>
        <v>0.18791643016798523</v>
      </c>
      <c r="BI75" s="96">
        <f t="shared" ca="1" si="24"/>
        <v>0.33579906501152457</v>
      </c>
      <c r="BJ75" s="96">
        <f t="shared" ca="1" si="25"/>
        <v>0.3370415220032093</v>
      </c>
      <c r="BK75" s="96">
        <f t="shared" ca="1" si="26"/>
        <v>0.33455598663597269</v>
      </c>
      <c r="BL75" s="62"/>
      <c r="BM75" s="96">
        <f t="shared" ca="1" si="27"/>
        <v>0.37711278062400655</v>
      </c>
      <c r="BO75" s="58">
        <f t="shared" ca="1" si="28"/>
        <v>4.6968313260054018E-4</v>
      </c>
      <c r="BP75" s="46">
        <f t="shared" ca="1" si="29"/>
        <v>7.2892293856261241E-4</v>
      </c>
    </row>
    <row r="76" spans="3:68" x14ac:dyDescent="0.2">
      <c r="C76" s="56">
        <v>63</v>
      </c>
      <c r="D76" s="63">
        <f t="shared" ca="1" si="30"/>
        <v>5.0120000000000013</v>
      </c>
      <c r="E76" s="45">
        <f t="shared" ca="1" si="7"/>
        <v>6.0740740740741206E-2</v>
      </c>
      <c r="F76" s="45">
        <f t="shared" ca="1" si="36"/>
        <v>6.1271111111111276E-2</v>
      </c>
      <c r="G76" s="45">
        <f t="shared" ca="1" si="37"/>
        <v>6.0210370370370914E-2</v>
      </c>
      <c r="H76" s="45">
        <f t="shared" ca="1" si="38"/>
        <v>0.60016343522868132</v>
      </c>
      <c r="I76" s="45">
        <f t="shared" ca="1" si="32"/>
        <v>0.60011188152098782</v>
      </c>
      <c r="J76" s="45">
        <f t="shared" ca="1" si="39"/>
        <v>0.60006038258267647</v>
      </c>
      <c r="L76" s="58">
        <f ca="1">_xll.EURO(UnderlyingPrice,$D76,IntRate,Yield,$I76,$D$6,L$12,0)</f>
        <v>0.63586666095101863</v>
      </c>
      <c r="M76" s="58">
        <f ca="1">_xll.EURO(UnderlyingPrice,$D76,IntRate,Yield,$I76,$D$6,M$12,0)</f>
        <v>0.91775567527923307</v>
      </c>
      <c r="O76" s="58">
        <f ca="1">_xll.EURO(UnderlyingPrice,$D76*(1+$P$8),IntRate,Yield,$H76,Expiry-Today,O$12,0)</f>
        <v>0.63503611882939937</v>
      </c>
      <c r="P76" s="58">
        <f ca="1">_xll.EURO(UnderlyingPrice,$D76*(1+$P$8),IntRate,Yield,$H76,Expiry-Today,P$12,0)</f>
        <v>0.91938650552662526</v>
      </c>
      <c r="R76" s="58">
        <f ca="1">_xll.EURO(UnderlyingPrice,$D76*(1-$P$8),IntRate,Yield,$J76,Expiry-Today,R$12,0)</f>
        <v>0.63669841917629499</v>
      </c>
      <c r="S76" s="58">
        <f ca="1">_xll.EURO(UnderlyingPrice,$D76*(1-$P$8),IntRate,Yield,$J76,Expiry-Today,S$12,0)</f>
        <v>0.91612606113549777</v>
      </c>
      <c r="U76" s="59">
        <f t="shared" ca="1" si="35"/>
        <v>0.19364596908505005</v>
      </c>
      <c r="V76" s="59"/>
      <c r="W76" s="62">
        <f t="shared" ca="1" si="40"/>
        <v>0.1971570025879047</v>
      </c>
      <c r="Z76" s="59">
        <f t="shared" ca="1" si="11"/>
        <v>0.19798527349259185</v>
      </c>
      <c r="AA76" s="59">
        <f t="shared" ca="1" si="12"/>
        <v>0.13978438502487189</v>
      </c>
      <c r="AB76" s="59">
        <f t="shared" ca="1" si="4"/>
        <v>-1.953967429678163E-2</v>
      </c>
      <c r="AC76" s="59">
        <f t="shared" ca="1" si="13"/>
        <v>-6.0444263935139672E-2</v>
      </c>
      <c r="AD76" s="60">
        <f t="shared" ca="1" si="5"/>
        <v>0.94134623449106414</v>
      </c>
      <c r="AE76" s="60">
        <f t="shared" ca="1" si="14"/>
        <v>0.18637269168693482</v>
      </c>
      <c r="AF76" s="60"/>
      <c r="AG76" s="96">
        <f t="shared" ca="1" si="15"/>
        <v>0.34769027577756523</v>
      </c>
      <c r="AH76" s="96">
        <f t="shared" ca="1" si="16"/>
        <v>0.34893363132872324</v>
      </c>
      <c r="AI76" s="96">
        <f t="shared" ca="1" si="17"/>
        <v>0.34644629839314695</v>
      </c>
      <c r="AJ76" s="62"/>
      <c r="AK76" s="96">
        <f t="shared" ca="1" si="18"/>
        <v>0.39727327324664452</v>
      </c>
      <c r="AL76" s="96"/>
      <c r="AM76" s="94"/>
      <c r="AN76" s="95"/>
      <c r="AX76" s="106">
        <f t="shared" ca="1" si="19"/>
        <v>0.60045300000000001</v>
      </c>
      <c r="AY76" s="106">
        <f t="shared" ca="1" si="20"/>
        <v>0.60050061399999999</v>
      </c>
      <c r="AZ76" s="106">
        <f t="shared" ca="1" si="21"/>
        <v>0.60040538600000004</v>
      </c>
      <c r="BB76" s="109">
        <f ca="1">_xll.EURO(UnderlyingPrice,$D76,IntRate,Yield,AX76,$D$6,1,0)</f>
        <v>0.63629299930491778</v>
      </c>
      <c r="BC76" s="109">
        <f ca="1">_xll.EURO(UnderlyingPrice,$D76*(1+$P$8),IntRate,Yield,AY76,$D$6,1,0)</f>
        <v>0.63545756219519922</v>
      </c>
      <c r="BD76" s="109">
        <f ca="1">_xll.EURO(UnderlyingPrice,$D76*(1-$P$8),IntRate,Yield,AZ76,$D$6,1,0)</f>
        <v>0.63712958275215414</v>
      </c>
      <c r="BF76" s="59">
        <f t="shared" ca="1" si="22"/>
        <v>0.18253677491640355</v>
      </c>
      <c r="BG76" s="62">
        <f t="shared" ca="1" si="23"/>
        <v>0.18584638541468895</v>
      </c>
      <c r="BI76" s="96">
        <f t="shared" ca="1" si="24"/>
        <v>0.34772965668682021</v>
      </c>
      <c r="BJ76" s="96">
        <f t="shared" ca="1" si="25"/>
        <v>0.34897211367850423</v>
      </c>
      <c r="BK76" s="96">
        <f t="shared" ca="1" si="26"/>
        <v>0.34648657831126795</v>
      </c>
      <c r="BL76" s="62"/>
      <c r="BM76" s="96">
        <f t="shared" ca="1" si="27"/>
        <v>0.37475309986601957</v>
      </c>
      <c r="BO76" s="58">
        <f t="shared" ca="1" si="28"/>
        <v>4.2633835389915831E-4</v>
      </c>
      <c r="BP76" s="46">
        <f t="shared" ca="1" si="29"/>
        <v>6.700346449904171E-4</v>
      </c>
    </row>
    <row r="77" spans="3:68" x14ac:dyDescent="0.2">
      <c r="C77" s="56">
        <v>64</v>
      </c>
      <c r="D77" s="63">
        <f t="shared" ca="1" si="30"/>
        <v>5.0360000000000014</v>
      </c>
      <c r="E77" s="45">
        <f t="shared" ca="1" si="7"/>
        <v>6.5820105820106223E-2</v>
      </c>
      <c r="F77" s="45">
        <f t="shared" ca="1" si="36"/>
        <v>6.6353015873016119E-2</v>
      </c>
      <c r="G77" s="45">
        <f t="shared" ca="1" si="37"/>
        <v>6.5287195767196327E-2</v>
      </c>
      <c r="H77" s="45">
        <f t="shared" ca="1" si="38"/>
        <v>0.60066018934388177</v>
      </c>
      <c r="I77" s="45">
        <f t="shared" ref="I77:I113" ca="1" si="41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0.60060786160020163</v>
      </c>
      <c r="J77" s="45">
        <f t="shared" ca="1" si="39"/>
        <v>0.60055558915168683</v>
      </c>
      <c r="L77" s="58">
        <f ca="1">_xll.EURO(UnderlyingPrice,$D77,IntRate,Yield,$I77,$D$6,L$12,0)</f>
        <v>0.62796229897190381</v>
      </c>
      <c r="M77" s="58">
        <f ca="1">_xll.EURO(UnderlyingPrice,$D77,IntRate,Yield,$I77,$D$6,M$12,0)</f>
        <v>0.93342391380143219</v>
      </c>
      <c r="O77" s="58">
        <f ca="1">_xll.EURO(UnderlyingPrice,$D77*(1+$P$8),IntRate,Yield,$H77,Expiry-Today,O$12,0)</f>
        <v>0.62713941683561858</v>
      </c>
      <c r="P77" s="58">
        <f ca="1">_xll.EURO(UnderlyingPrice,$D77*(1+$P$8),IntRate,Yield,$H77,Expiry-Today,P$12,0)</f>
        <v>0.93507419033440975</v>
      </c>
      <c r="R77" s="58">
        <f ca="1">_xll.EURO(UnderlyingPrice,$D77*(1-$P$8),IntRate,Yield,$J77,Expiry-Today,R$12,0)</f>
        <v>0.62878639591376762</v>
      </c>
      <c r="S77" s="58">
        <f ca="1">_xll.EURO(UnderlyingPrice,$D77*(1-$P$8),IntRate,Yield,$J77,Expiry-Today,S$12,0)</f>
        <v>0.93177485207403343</v>
      </c>
      <c r="U77" s="59">
        <f t="shared" ca="1" si="35"/>
        <v>0.19159992116734889</v>
      </c>
      <c r="V77" s="59"/>
      <c r="W77" s="62">
        <f t="shared" ca="1" si="40"/>
        <v>0.19507385736928146</v>
      </c>
      <c r="Z77" s="59">
        <f t="shared" ca="1" si="11"/>
        <v>0.19704173763798058</v>
      </c>
      <c r="AA77" s="59">
        <f t="shared" ca="1" si="12"/>
        <v>0.14456146417315069</v>
      </c>
      <c r="AB77" s="59">
        <f t="shared" ref="AB77:AB143" ca="1" si="42">-(AA77^2)</f>
        <v>-2.089801692388513E-2</v>
      </c>
      <c r="AC77" s="59">
        <f t="shared" ca="1" si="13"/>
        <v>-6.4646177386712314E-2</v>
      </c>
      <c r="AD77" s="60">
        <f t="shared" ref="AD77:AD143" ca="1" si="43">EXP(AC77)</f>
        <v>0.93739907769898589</v>
      </c>
      <c r="AE77" s="60">
        <f t="shared" ca="1" si="14"/>
        <v>0.18470674313004856</v>
      </c>
      <c r="AF77" s="60"/>
      <c r="AG77" s="96">
        <f t="shared" ca="1" si="15"/>
        <v>0.35957246108875562</v>
      </c>
      <c r="AH77" s="96">
        <f t="shared" ca="1" si="16"/>
        <v>0.36081581663991397</v>
      </c>
      <c r="AI77" s="96">
        <f t="shared" ca="1" si="17"/>
        <v>0.35832848370433756</v>
      </c>
      <c r="AJ77" s="62"/>
      <c r="AK77" s="96">
        <f t="shared" ca="1" si="18"/>
        <v>0.39495796146165968</v>
      </c>
      <c r="AL77" s="96"/>
      <c r="AM77" s="94"/>
      <c r="AN77" s="95"/>
      <c r="AX77" s="106">
        <f t="shared" ca="1" si="19"/>
        <v>0.60090900000000003</v>
      </c>
      <c r="AY77" s="106">
        <f t="shared" ca="1" si="20"/>
        <v>0.60095684199999999</v>
      </c>
      <c r="AZ77" s="106">
        <f t="shared" ca="1" si="21"/>
        <v>0.60086115799999995</v>
      </c>
      <c r="BB77" s="109">
        <f ca="1">_xll.EURO(UnderlyingPrice,$D77,IntRate,Yield,AX77,$D$6,1,0)</f>
        <v>0.62833889403842114</v>
      </c>
      <c r="BC77" s="109">
        <f ca="1">_xll.EURO(UnderlyingPrice,$D77*(1+$P$8),IntRate,Yield,AY77,$D$6,1,0)</f>
        <v>0.62751042249617139</v>
      </c>
      <c r="BD77" s="109">
        <f ca="1">_xll.EURO(UnderlyingPrice,$D77*(1-$P$8),IntRate,Yield,AZ77,$D$6,1,0)</f>
        <v>0.62916851006058727</v>
      </c>
      <c r="BF77" s="59">
        <f t="shared" ca="1" si="22"/>
        <v>0.18050811226569516</v>
      </c>
      <c r="BG77" s="62">
        <f t="shared" ca="1" si="23"/>
        <v>0.18378094067878517</v>
      </c>
      <c r="BI77" s="96">
        <f t="shared" ca="1" si="24"/>
        <v>0.35960325487249162</v>
      </c>
      <c r="BJ77" s="96">
        <f t="shared" ca="1" si="25"/>
        <v>0.36084571186417591</v>
      </c>
      <c r="BK77" s="96">
        <f t="shared" ca="1" si="26"/>
        <v>0.35836017649693946</v>
      </c>
      <c r="BL77" s="62"/>
      <c r="BM77" s="96">
        <f t="shared" ca="1" si="27"/>
        <v>0.37236276315287625</v>
      </c>
      <c r="BO77" s="58">
        <f t="shared" ca="1" si="28"/>
        <v>3.7659506651732677E-4</v>
      </c>
      <c r="BP77" s="46">
        <f t="shared" ca="1" si="29"/>
        <v>5.9935023932212452E-4</v>
      </c>
    </row>
    <row r="78" spans="3:68" x14ac:dyDescent="0.2">
      <c r="C78" s="56">
        <v>65</v>
      </c>
      <c r="D78" s="63">
        <f t="shared" ca="1" si="30"/>
        <v>5.0600000000000014</v>
      </c>
      <c r="E78" s="45">
        <f t="shared" ref="E78:E146" ca="1" si="44">+D78/UnderlyingPrice-1</f>
        <v>7.089947089947124E-2</v>
      </c>
      <c r="F78" s="45">
        <f t="shared" ca="1" si="36"/>
        <v>7.1434920634920962E-2</v>
      </c>
      <c r="G78" s="45">
        <f t="shared" ca="1" si="37"/>
        <v>7.0364021164021517E-2</v>
      </c>
      <c r="H78" s="45">
        <f t="shared" ca="1" si="38"/>
        <v>0.60116197188873188</v>
      </c>
      <c r="I78" s="45">
        <f t="shared" ca="1" si="41"/>
        <v>0.6011088650844042</v>
      </c>
      <c r="J78" s="45">
        <f t="shared" ca="1" si="39"/>
        <v>0.6010558141035367</v>
      </c>
      <c r="L78" s="58">
        <f ca="1">_xll.EURO(UnderlyingPrice,$D78,IntRate,Yield,$I78,$D$6,L$12,0)</f>
        <v>0.62016829842192966</v>
      </c>
      <c r="M78" s="58">
        <f ca="1">_xll.EURO(UnderlyingPrice,$D78,IntRate,Yield,$I78,$D$6,M$12,0)</f>
        <v>0.94920251375277198</v>
      </c>
      <c r="O78" s="58">
        <f ca="1">_xll.EURO(UnderlyingPrice,$D78*(1+$P$8),IntRate,Yield,$H78,Expiry-Today,O$12,0)</f>
        <v>0.61935306279619118</v>
      </c>
      <c r="P78" s="58">
        <f ca="1">_xll.EURO(UnderlyingPrice,$D78*(1+$P$8),IntRate,Yield,$H78,Expiry-Today,P$12,0)</f>
        <v>0.95087222309654829</v>
      </c>
      <c r="R78" s="58">
        <f ca="1">_xll.EURO(UnderlyingPrice,$D78*(1-$P$8),IntRate,Yield,$J78,Expiry-Today,R$12,0)</f>
        <v>0.6209847473461334</v>
      </c>
      <c r="S78" s="58">
        <f ca="1">_xll.EURO(UnderlyingPrice,$D78*(1-$P$8),IntRate,Yield,$J78,Expiry-Today,S$12,0)</f>
        <v>0.94753401770746182</v>
      </c>
      <c r="U78" s="59">
        <f t="shared" ref="U78:U113" ca="1" si="45">(O78+R78-2*L78)/($P$8*D78)^2</f>
        <v>0.18955122955403475</v>
      </c>
      <c r="V78" s="59"/>
      <c r="W78" s="62">
        <f t="shared" ca="1" si="40"/>
        <v>0.19298802052167532</v>
      </c>
      <c r="Z78" s="59">
        <f t="shared" ref="Z78:Z113" ca="1" si="46">(1/(D78*SQRT(2*PI()*T/365.25*ATMImpVol^2)))</f>
        <v>0.19610715232112061</v>
      </c>
      <c r="AA78" s="59">
        <f t="shared" ref="AA78:AA113" ca="1" si="47">LN(D78/UnderlyingPrice)+0.5*T/365.25*ATMImpVol^2</f>
        <v>0.14931583129042408</v>
      </c>
      <c r="AB78" s="59">
        <f t="shared" ca="1" si="42"/>
        <v>-2.2295217473950388E-2</v>
      </c>
      <c r="AC78" s="59">
        <f t="shared" ref="AC78:AC141" ca="1" si="48">AB78/(2*T/365.25*ATMImpVol^2)</f>
        <v>-6.8968294405437489E-2</v>
      </c>
      <c r="AD78" s="60">
        <f t="shared" ca="1" si="43"/>
        <v>0.93335627222463069</v>
      </c>
      <c r="AE78" s="60">
        <f t="shared" ref="AE78:AE141" ca="1" si="49">AD78*Z78</f>
        <v>0.18303784064702897</v>
      </c>
      <c r="AF78" s="60"/>
      <c r="AG78" s="96">
        <f t="shared" ref="AG78:AG141" ca="1" si="50">(LN($D78/UnderlyingPrice)+0.5*ATMImpVol^2*(T/365.25))/(ATMImpVol*SQRT(T/365.25))</f>
        <v>0.37139815402190007</v>
      </c>
      <c r="AH78" s="96">
        <f t="shared" ref="AH78:AH141" ca="1" si="51">(LN(($D78*(1+$P$8))/UnderlyingPrice)+0.5*ATMImpVol^2*(T/365.25))/(ATMImpVol*SQRT(T/365.25))</f>
        <v>0.37264150957305875</v>
      </c>
      <c r="AI78" s="96">
        <f t="shared" ref="AI78:AI141" ca="1" si="52">(LN($D78*(1-$P$8)/UnderlyingPrice)+0.5*ATMImpVol^2*(T/365.25))/(ATMImpVol*SQRT(T/365.25))</f>
        <v>0.37015417663748162</v>
      </c>
      <c r="AJ78" s="62"/>
      <c r="AK78" s="96">
        <f t="shared" ref="AK78:AK141" ca="1" si="53">W78/(AH78-AI78)*(D78*2*$P$8)</f>
        <v>0.39259697400062771</v>
      </c>
      <c r="AL78" s="96"/>
      <c r="AM78" s="94"/>
      <c r="AN78" s="95"/>
      <c r="AX78" s="106">
        <f t="shared" ref="AX78:AX141" ca="1" si="54">VLOOKUP(E78,ENAVolTable,4)+VLOOKUP(E78,ENAVolTable,5)*(E78-VLOOKUP(E78,ENAVolTable,1))</f>
        <v>0.60136499999999993</v>
      </c>
      <c r="AY78" s="106">
        <f t="shared" ref="AY78:AY141" ca="1" si="55">VLOOKUP(F78,ENAVolTable,4)+VLOOKUP(F78,ENAVolTable,5)*(F78-VLOOKUP(F78,ENAVolTable,1))</f>
        <v>0.60141306999999999</v>
      </c>
      <c r="AZ78" s="106">
        <f t="shared" ref="AZ78:AZ141" ca="1" si="56">VLOOKUP(G78,ENAVolTable,4)+VLOOKUP(G78,ENAVolTable,5)*(G78-VLOOKUP(G78,ENAVolTable,1))</f>
        <v>0.60131692999999997</v>
      </c>
      <c r="BB78" s="109">
        <f ca="1">_xll.EURO(UnderlyingPrice,$D78,IntRate,Yield,AX78,$D$6,1,0)</f>
        <v>0.62048876169317491</v>
      </c>
      <c r="BC78" s="109">
        <f ca="1">_xll.EURO(UnderlyingPrice,$D78*(1+$P$8),IntRate,Yield,AY78,$D$6,1,0)</f>
        <v>0.61966723717034955</v>
      </c>
      <c r="BD78" s="109">
        <f ca="1">_xll.EURO(UnderlyingPrice,$D78*(1-$P$8),IntRate,Yield,AZ78,$D$6,1,0)</f>
        <v>0.6213114286786372</v>
      </c>
      <c r="BF78" s="59">
        <f t="shared" ref="BF78:BF141" ca="1" si="57">(BC78+BD78-2*BB78)/($P$8*$D78)^2</f>
        <v>0.17848468761241235</v>
      </c>
      <c r="BG78" s="62">
        <f t="shared" ref="BG78:BG141" ca="1" si="58">+BF78/$D$9</f>
        <v>0.18172082891147801</v>
      </c>
      <c r="BI78" s="96">
        <f t="shared" ref="BI78:BI141" ca="1" si="59">(LN($D78/UnderlyingPrice)+0.5*ENAVol^2*(T/365.25))/(ENAVol*SQRT(T/365.25))</f>
        <v>0.37142040150654149</v>
      </c>
      <c r="BJ78" s="96">
        <f t="shared" ref="BJ78:BJ141" ca="1" si="60">(LN(($D78*(1+$P$8))/UnderlyingPrice)+0.5*ENAVol^2*(T/365.25))/(ENAVol*SQRT(T/365.25))</f>
        <v>0.37266285849822611</v>
      </c>
      <c r="BK78" s="96">
        <f t="shared" ref="BK78:BK141" ca="1" si="61">(LN($D78*(1-$P$8)/UnderlyingPrice)+0.5*ENAVol^2*(T/365.25))/(ENAVol*SQRT(T/365.25))</f>
        <v>0.37017732313098906</v>
      </c>
      <c r="BL78" s="62"/>
      <c r="BM78" s="96">
        <f t="shared" ref="BM78:BM141" ca="1" si="62">BG78/(BJ78-BK78)*(D78*2*$P$8)</f>
        <v>0.36994339586252251</v>
      </c>
      <c r="BO78" s="58">
        <f t="shared" ref="BO78:BO113" ca="1" si="63">+BB78-L78</f>
        <v>3.2046327124524154E-4</v>
      </c>
      <c r="BP78" s="46">
        <f t="shared" ref="BP78:BP113" ca="1" si="64">+BO78/BB78</f>
        <v>5.1646909828111803E-4</v>
      </c>
    </row>
    <row r="79" spans="3:68" x14ac:dyDescent="0.2">
      <c r="C79" s="56">
        <v>66</v>
      </c>
      <c r="D79" s="63">
        <f t="shared" ref="D79:D113" ca="1" si="65">D78+(ROUNDUP(MAX(StrikeRange),1)-ROUNDDOWN(MIN(StrikeRange),1))/100</f>
        <v>5.0840000000000014</v>
      </c>
      <c r="E79" s="45">
        <f t="shared" ca="1" si="44"/>
        <v>7.5978835978836257E-2</v>
      </c>
      <c r="F79" s="45">
        <f t="shared" ca="1" si="36"/>
        <v>7.6516825396825805E-2</v>
      </c>
      <c r="G79" s="45">
        <f t="shared" ca="1" si="37"/>
        <v>7.544084656084693E-2</v>
      </c>
      <c r="H79" s="45">
        <f t="shared" ca="1" si="38"/>
        <v>0.60166878286323133</v>
      </c>
      <c r="I79" s="45">
        <f t="shared" ca="1" si="41"/>
        <v>0.60161489197359541</v>
      </c>
      <c r="J79" s="45">
        <f t="shared" ca="1" si="39"/>
        <v>0.60156105743822608</v>
      </c>
      <c r="L79" s="58">
        <f ca="1">_xll.EURO(UnderlyingPrice,$D79,IntRate,Yield,$I79,$D$6,L$12,0)</f>
        <v>0.61248347930060443</v>
      </c>
      <c r="M79" s="58">
        <f ca="1">_xll.EURO(UnderlyingPrice,$D79,IntRate,Yield,$I79,$D$6,M$12,0)</f>
        <v>0.96509029513275957</v>
      </c>
      <c r="O79" s="58">
        <f ca="1">_xll.EURO(UnderlyingPrice,$D79*(1+$P$8),IntRate,Yield,$H79,Expiry-Today,O$12,0)</f>
        <v>0.61167587481195573</v>
      </c>
      <c r="P79" s="58">
        <f ca="1">_xll.EURO(UnderlyingPrice,$D79*(1+$P$8),IntRate,Yield,$H79,Expiry-Today,P$12,0)</f>
        <v>0.96677942191387656</v>
      </c>
      <c r="R79" s="58">
        <f ca="1">_xll.EURO(UnderlyingPrice,$D79*(1-$P$8),IntRate,Yield,$J79,Expiry-Today,R$12,0)</f>
        <v>0.61329229537555663</v>
      </c>
      <c r="S79" s="58">
        <f ca="1">_xll.EURO(UnderlyingPrice,$D79*(1-$P$8),IntRate,Yield,$J79,Expiry-Today,S$12,0)</f>
        <v>0.96340237993794897</v>
      </c>
      <c r="U79" s="59">
        <f t="shared" ca="1" si="45"/>
        <v>0.18750085944127728</v>
      </c>
      <c r="V79" s="59"/>
      <c r="W79" s="62">
        <f t="shared" ca="1" si="40"/>
        <v>0.1909004747414193</v>
      </c>
      <c r="Z79" s="59">
        <f t="shared" ca="1" si="46"/>
        <v>0.19518139078380614</v>
      </c>
      <c r="AA79" s="59">
        <f t="shared" ca="1" si="47"/>
        <v>0.15404770131825746</v>
      </c>
      <c r="AB79" s="59">
        <f t="shared" ca="1" si="42"/>
        <v>-2.373069428143906E-2</v>
      </c>
      <c r="AC79" s="59">
        <f t="shared" ca="1" si="48"/>
        <v>-7.3408815660129453E-2</v>
      </c>
      <c r="AD79" s="60">
        <f t="shared" ca="1" si="43"/>
        <v>0.92922087232043082</v>
      </c>
      <c r="AE79" s="60">
        <f t="shared" ca="1" si="49"/>
        <v>0.18136662220484323</v>
      </c>
      <c r="AF79" s="60"/>
      <c r="AG79" s="96">
        <f t="shared" ca="1" si="50"/>
        <v>0.38316788920818895</v>
      </c>
      <c r="AH79" s="96">
        <f t="shared" ca="1" si="51"/>
        <v>0.3844112447593479</v>
      </c>
      <c r="AI79" s="96">
        <f t="shared" ca="1" si="52"/>
        <v>0.38192391182377067</v>
      </c>
      <c r="AJ79" s="62"/>
      <c r="AK79" s="96">
        <f t="shared" ca="1" si="53"/>
        <v>0.39019224153848275</v>
      </c>
      <c r="AL79" s="96"/>
      <c r="AM79" s="94"/>
      <c r="AN79" s="95"/>
      <c r="AX79" s="106">
        <f t="shared" ca="1" si="54"/>
        <v>0.60182099999999994</v>
      </c>
      <c r="AY79" s="106">
        <f t="shared" ca="1" si="55"/>
        <v>0.601869298</v>
      </c>
      <c r="AZ79" s="106">
        <f t="shared" ca="1" si="56"/>
        <v>0.60177270199999999</v>
      </c>
      <c r="BB79" s="109">
        <f ca="1">_xll.EURO(UnderlyingPrice,$D79,IntRate,Yield,AX79,$D$6,1,0)</f>
        <v>0.61274143680961801</v>
      </c>
      <c r="BC79" s="109">
        <f ca="1">_xll.EURO(UnderlyingPrice,$D79*(1+$P$8),IntRate,Yield,AY79,$D$6,1,0)</f>
        <v>0.61192683935023195</v>
      </c>
      <c r="BD79" s="109">
        <f ca="1">_xll.EURO(UnderlyingPrice,$D79*(1-$P$8),IntRate,Yield,AZ79,$D$6,1,0)</f>
        <v>0.61355717455834946</v>
      </c>
      <c r="BF79" s="59">
        <f t="shared" ca="1" si="57"/>
        <v>0.17646719152719975</v>
      </c>
      <c r="BG79" s="62">
        <f t="shared" ca="1" si="58"/>
        <v>0.17966675320428555</v>
      </c>
      <c r="BI79" s="96">
        <f t="shared" ca="1" si="59"/>
        <v>0.38318163083378814</v>
      </c>
      <c r="BJ79" s="96">
        <f t="shared" ca="1" si="60"/>
        <v>0.38442408782547322</v>
      </c>
      <c r="BK79" s="96">
        <f t="shared" ca="1" si="61"/>
        <v>0.38193855245823594</v>
      </c>
      <c r="BL79" s="62"/>
      <c r="BM79" s="96">
        <f t="shared" ca="1" si="62"/>
        <v>0.3674965906061029</v>
      </c>
      <c r="BO79" s="58">
        <f t="shared" ca="1" si="63"/>
        <v>2.5795750901358439E-4</v>
      </c>
      <c r="BP79" s="46">
        <f t="shared" ca="1" si="64"/>
        <v>4.2098917017380227E-4</v>
      </c>
    </row>
    <row r="80" spans="3:68" x14ac:dyDescent="0.2">
      <c r="C80" s="56">
        <v>67</v>
      </c>
      <c r="D80" s="63">
        <f t="shared" ca="1" si="65"/>
        <v>5.1080000000000014</v>
      </c>
      <c r="E80" s="45">
        <f t="shared" ca="1" si="44"/>
        <v>8.1058201058201496E-2</v>
      </c>
      <c r="F80" s="45">
        <f t="shared" ca="1" si="36"/>
        <v>8.1598730158730426E-2</v>
      </c>
      <c r="G80" s="45">
        <f t="shared" ca="1" si="37"/>
        <v>8.0517671957672343E-2</v>
      </c>
      <c r="H80" s="45">
        <f t="shared" ca="1" si="38"/>
        <v>0.60218062226738045</v>
      </c>
      <c r="I80" s="45">
        <f t="shared" ca="1" si="41"/>
        <v>0.60212594226777527</v>
      </c>
      <c r="J80" s="45">
        <f t="shared" ca="1" si="39"/>
        <v>0.60207131915575496</v>
      </c>
      <c r="L80" s="58">
        <f ca="1">_xll.EURO(UnderlyingPrice,$D80,IntRate,Yield,$I80,$D$6,L$12,0)</f>
        <v>0.60490666063971998</v>
      </c>
      <c r="M80" s="58">
        <f ca="1">_xll.EURO(UnderlyingPrice,$D80,IntRate,Yield,$I80,$D$6,M$12,0)</f>
        <v>0.98108607697319083</v>
      </c>
      <c r="O80" s="58">
        <f ca="1">_xll.EURO(UnderlyingPrice,$D80*(1+$P$8),IntRate,Yield,$H80,Expiry-Today,O$12,0)</f>
        <v>0.60410667007188867</v>
      </c>
      <c r="P80" s="58">
        <f ca="1">_xll.EURO(UnderlyingPrice,$D80*(1+$P$8),IntRate,Yield,$H80,Expiry-Today,P$12,0)</f>
        <v>0.98279460397537433</v>
      </c>
      <c r="R80" s="58">
        <f ca="1">_xll.EURO(UnderlyingPrice,$D80*(1-$P$8),IntRate,Yield,$J80,Expiry-Today,R$12,0)</f>
        <v>0.60570786088069606</v>
      </c>
      <c r="S80" s="58">
        <f ca="1">_xll.EURO(UnderlyingPrice,$D80*(1-$P$8),IntRate,Yield,$J80,Expiry-Today,S$12,0)</f>
        <v>0.97937875964415211</v>
      </c>
      <c r="U80" s="59">
        <f t="shared" ca="1" si="45"/>
        <v>0.18544975050486112</v>
      </c>
      <c r="V80" s="59"/>
      <c r="W80" s="62">
        <f t="shared" ca="1" si="40"/>
        <v>0.18881217674174616</v>
      </c>
      <c r="Z80" s="59">
        <f t="shared" ca="1" si="46"/>
        <v>0.19426432865013121</v>
      </c>
      <c r="AA80" s="59">
        <f t="shared" ca="1" si="47"/>
        <v>0.15875728616134285</v>
      </c>
      <c r="AB80" s="59">
        <f t="shared" ca="1" si="42"/>
        <v>-2.5203875909314503E-2</v>
      </c>
      <c r="AC80" s="59">
        <f t="shared" ca="1" si="48"/>
        <v>-7.7965973460572852E-2</v>
      </c>
      <c r="AD80" s="60">
        <f t="shared" ca="1" si="43"/>
        <v>0.92499590041753821</v>
      </c>
      <c r="AE80" s="60">
        <f t="shared" ca="1" si="49"/>
        <v>0.17969370759873668</v>
      </c>
      <c r="AF80" s="60"/>
      <c r="AG80" s="96">
        <f t="shared" ca="1" si="50"/>
        <v>0.39488219372509792</v>
      </c>
      <c r="AH80" s="96">
        <f t="shared" ca="1" si="51"/>
        <v>0.39612554927625621</v>
      </c>
      <c r="AI80" s="96">
        <f t="shared" ca="1" si="52"/>
        <v>0.39363821634067936</v>
      </c>
      <c r="AJ80" s="62"/>
      <c r="AK80" s="96">
        <f t="shared" ca="1" si="53"/>
        <v>0.38774567931862713</v>
      </c>
      <c r="AL80" s="96"/>
      <c r="AM80" s="94"/>
      <c r="AN80" s="95"/>
      <c r="AX80" s="106">
        <f t="shared" ca="1" si="54"/>
        <v>0.60227699999999995</v>
      </c>
      <c r="AY80" s="106">
        <f t="shared" ca="1" si="55"/>
        <v>0.602325526</v>
      </c>
      <c r="AZ80" s="106">
        <f t="shared" ca="1" si="56"/>
        <v>0.60222847400000001</v>
      </c>
      <c r="BB80" s="109">
        <f ca="1">_xll.EURO(UnderlyingPrice,$D80,IntRate,Yield,AX80,$D$6,1,0)</f>
        <v>0.60509575734109688</v>
      </c>
      <c r="BC80" s="109">
        <f ca="1">_xll.EURO(UnderlyingPrice,$D80*(1+$P$8),IntRate,Yield,AY80,$D$6,1,0)</f>
        <v>0.60428806562893356</v>
      </c>
      <c r="BD80" s="109">
        <f ca="1">_xll.EURO(UnderlyingPrice,$D80*(1-$P$8),IntRate,Yield,AZ80,$D$6,1,0)</f>
        <v>0.60590458701693484</v>
      </c>
      <c r="BF80" s="59">
        <f t="shared" ca="1" si="57"/>
        <v>0.17445628222477283</v>
      </c>
      <c r="BG80" s="62">
        <f t="shared" ca="1" si="58"/>
        <v>0.17761938370614486</v>
      </c>
      <c r="BI80" s="96">
        <f t="shared" ca="1" si="59"/>
        <v>0.39488746955079412</v>
      </c>
      <c r="BJ80" s="96">
        <f t="shared" ca="1" si="60"/>
        <v>0.39612992654247847</v>
      </c>
      <c r="BK80" s="96">
        <f t="shared" ca="1" si="61"/>
        <v>0.39364439117524158</v>
      </c>
      <c r="BL80" s="62"/>
      <c r="BM80" s="96">
        <f t="shared" ca="1" si="62"/>
        <v>0.36502389945051927</v>
      </c>
      <c r="BO80" s="58">
        <f t="shared" ca="1" si="63"/>
        <v>1.8909670137690071E-4</v>
      </c>
      <c r="BP80" s="46">
        <f t="shared" ca="1" si="64"/>
        <v>3.1250706864617052E-4</v>
      </c>
    </row>
    <row r="81" spans="3:68" x14ac:dyDescent="0.2">
      <c r="C81" s="56">
        <v>68</v>
      </c>
      <c r="D81" s="63">
        <f t="shared" ca="1" si="65"/>
        <v>5.1320000000000014</v>
      </c>
      <c r="E81" s="45">
        <f t="shared" ca="1" si="44"/>
        <v>8.6137566137566512E-2</v>
      </c>
      <c r="F81" s="45">
        <f t="shared" ca="1" si="36"/>
        <v>8.6680634920635269E-2</v>
      </c>
      <c r="G81" s="45">
        <f t="shared" ca="1" si="37"/>
        <v>8.5594497354497756E-2</v>
      </c>
      <c r="H81" s="45">
        <f t="shared" ca="1" si="38"/>
        <v>0.60269749010117901</v>
      </c>
      <c r="I81" s="45">
        <f t="shared" ca="1" si="41"/>
        <v>0.60264201596694389</v>
      </c>
      <c r="J81" s="45">
        <f t="shared" ca="1" si="39"/>
        <v>0.60258659925612346</v>
      </c>
      <c r="L81" s="58">
        <f ca="1">_xll.EURO(UnderlyingPrice,$D81,IntRate,Yield,$I81,$D$6,L$12,0)</f>
        <v>0.5974366610427686</v>
      </c>
      <c r="M81" s="58">
        <f ca="1">_xll.EURO(UnderlyingPrice,$D81,IntRate,Yield,$I81,$D$6,M$12,0)</f>
        <v>0.99718867787755316</v>
      </c>
      <c r="O81" s="58">
        <f ca="1">_xll.EURO(UnderlyingPrice,$D81*(1+$P$8),IntRate,Yield,$H81,Expiry-Today,O$12,0)</f>
        <v>0.59664425985004343</v>
      </c>
      <c r="P81" s="58">
        <f ca="1">_xll.EURO(UnderlyingPrice,$D81*(1+$P$8),IntRate,Yield,$H81,Expiry-Today,P$12,0)</f>
        <v>0.99891658055509369</v>
      </c>
      <c r="R81" s="58">
        <f ca="1">_xll.EURO(UnderlyingPrice,$D81*(1-$P$8),IntRate,Yield,$J81,Expiry-Today,R$12,0)</f>
        <v>0.59823026425652803</v>
      </c>
      <c r="S81" s="58">
        <f ca="1">_xll.EURO(UnderlyingPrice,$D81*(1-$P$8),IntRate,Yield,$J81,Expiry-Today,S$12,0)</f>
        <v>0.99546197722104779</v>
      </c>
      <c r="U81" s="59">
        <f t="shared" ca="1" si="45"/>
        <v>0.18255711481325843</v>
      </c>
      <c r="V81" s="59"/>
      <c r="W81" s="62">
        <f t="shared" ca="1" si="40"/>
        <v>0.18586709409825103</v>
      </c>
      <c r="Z81" s="59">
        <f t="shared" ca="1" si="46"/>
        <v>0.19335584387078533</v>
      </c>
      <c r="AA81" s="59">
        <f t="shared" ca="1" si="47"/>
        <v>0.16344479474443993</v>
      </c>
      <c r="AB81" s="59">
        <f t="shared" ca="1" si="42"/>
        <v>-2.67142009290521E-2</v>
      </c>
      <c r="AC81" s="59">
        <f t="shared" ca="1" si="48"/>
        <v>-8.2638031077004098E-2</v>
      </c>
      <c r="AD81" s="60">
        <f t="shared" ca="1" si="43"/>
        <v>0.92068434603383187</v>
      </c>
      <c r="AE81" s="60">
        <f t="shared" ca="1" si="49"/>
        <v>0.17801969866599368</v>
      </c>
      <c r="AF81" s="60"/>
      <c r="AG81" s="96">
        <f t="shared" ca="1" si="50"/>
        <v>0.40654158723801953</v>
      </c>
      <c r="AH81" s="96">
        <f t="shared" ca="1" si="51"/>
        <v>0.40778494278917815</v>
      </c>
      <c r="AI81" s="96">
        <f t="shared" ca="1" si="52"/>
        <v>0.40529760985360114</v>
      </c>
      <c r="AJ81" s="62"/>
      <c r="AK81" s="96">
        <f t="shared" ca="1" si="53"/>
        <v>0.38349105311506881</v>
      </c>
      <c r="AL81" s="96"/>
      <c r="AM81" s="94"/>
      <c r="AN81" s="95"/>
      <c r="AX81" s="106">
        <f t="shared" ca="1" si="54"/>
        <v>0.60273299999999996</v>
      </c>
      <c r="AY81" s="106">
        <f t="shared" ca="1" si="55"/>
        <v>0.602781754</v>
      </c>
      <c r="AZ81" s="106">
        <f t="shared" ca="1" si="56"/>
        <v>0.60268424599999992</v>
      </c>
      <c r="BB81" s="109">
        <f ca="1">_xll.EURO(UnderlyingPrice,$D81,IntRate,Yield,AX81,$D$6,1,0)</f>
        <v>0.59755056503320492</v>
      </c>
      <c r="BC81" s="109">
        <f ca="1">_xll.EURO(UnderlyingPrice,$D81*(1+$P$8),IntRate,Yield,AY81,$D$6,1,0)</f>
        <v>0.59674975089092541</v>
      </c>
      <c r="BD81" s="109">
        <f ca="1">_xll.EURO(UnderlyingPrice,$D81*(1-$P$8),IntRate,Yield,AZ81,$D$6,1,0)</f>
        <v>0.59835250911698412</v>
      </c>
      <c r="BF81" s="59">
        <f t="shared" ca="1" si="57"/>
        <v>0.17161002529330693</v>
      </c>
      <c r="BG81" s="62">
        <f t="shared" ca="1" si="58"/>
        <v>0.1747215207252924</v>
      </c>
      <c r="BI81" s="96">
        <f t="shared" ca="1" si="59"/>
        <v>0.4065384369473955</v>
      </c>
      <c r="BJ81" s="96">
        <f t="shared" ca="1" si="60"/>
        <v>0.40778089393908012</v>
      </c>
      <c r="BK81" s="96">
        <f t="shared" ca="1" si="61"/>
        <v>0.40529535857184307</v>
      </c>
      <c r="BL81" s="62"/>
      <c r="BM81" s="96">
        <f t="shared" ca="1" si="62"/>
        <v>0.36075561675026491</v>
      </c>
      <c r="BO81" s="58">
        <f t="shared" ca="1" si="63"/>
        <v>1.1390399043631483E-4</v>
      </c>
      <c r="BP81" s="46">
        <f t="shared" ca="1" si="64"/>
        <v>1.9061816204622844E-4</v>
      </c>
    </row>
    <row r="82" spans="3:68" x14ac:dyDescent="0.2">
      <c r="C82" s="56">
        <v>69</v>
      </c>
      <c r="D82" s="63">
        <f t="shared" ca="1" si="65"/>
        <v>5.1560000000000015</v>
      </c>
      <c r="E82" s="45">
        <f t="shared" ca="1" si="44"/>
        <v>9.1216931216931529E-2</v>
      </c>
      <c r="F82" s="45">
        <f t="shared" ca="1" si="36"/>
        <v>9.1762539682540112E-2</v>
      </c>
      <c r="G82" s="45">
        <f t="shared" ca="1" si="37"/>
        <v>9.0671322751323169E-2</v>
      </c>
      <c r="H82" s="45">
        <f t="shared" ca="1" si="38"/>
        <v>0.60321938636462691</v>
      </c>
      <c r="I82" s="45">
        <f t="shared" ca="1" si="41"/>
        <v>0.60316311307110115</v>
      </c>
      <c r="J82" s="45">
        <f t="shared" ca="1" si="39"/>
        <v>0.60310689773933135</v>
      </c>
      <c r="L82" s="58">
        <f ca="1">_xll.EURO(UnderlyingPrice,$D82,IntRate,Yield,$I82,$D$6,L$12,0)</f>
        <v>0.59007232174965885</v>
      </c>
      <c r="M82" s="58">
        <f ca="1">_xll.EURO(UnderlyingPrice,$D82,IntRate,Yield,$I82,$D$6,M$12,0)</f>
        <v>1.0133969390857578</v>
      </c>
      <c r="O82" s="58">
        <f ca="1">_xll.EURO(UnderlyingPrice,$D82*(1+$P$8),IntRate,Yield,$H82,Expiry-Today,O$12,0)</f>
        <v>0.58928750726830237</v>
      </c>
      <c r="P82" s="58">
        <f ca="1">_xll.EURO(UnderlyingPrice,$D82*(1+$P$8),IntRate,Yield,$H82,Expiry-Today,P$12,0)</f>
        <v>1.0151442147749177</v>
      </c>
      <c r="R82" s="58">
        <f ca="1">_xll.EURO(UnderlyingPrice,$D82*(1-$P$8),IntRate,Yield,$J82,Expiry-Today,R$12,0)</f>
        <v>0.59085834226383471</v>
      </c>
      <c r="S82" s="58">
        <f ca="1">_xll.EURO(UnderlyingPrice,$D82*(1-$P$8),IntRate,Yield,$J82,Expiry-Today,S$12,0)</f>
        <v>1.0116508694294168</v>
      </c>
      <c r="U82" s="59">
        <f t="shared" ca="1" si="45"/>
        <v>0.1814651785005561</v>
      </c>
      <c r="V82" s="59"/>
      <c r="W82" s="62">
        <f t="shared" ca="1" si="40"/>
        <v>0.18475535967152135</v>
      </c>
      <c r="Z82" s="59">
        <f t="shared" ca="1" si="46"/>
        <v>0.19245581666890427</v>
      </c>
      <c r="AA82" s="59">
        <f t="shared" ca="1" si="47"/>
        <v>0.16811043306799084</v>
      </c>
      <c r="AB82" s="59">
        <f t="shared" ca="1" si="42"/>
        <v>-2.8261117706307428E-2</v>
      </c>
      <c r="AC82" s="59">
        <f t="shared" ca="1" si="48"/>
        <v>-8.7423282077094586E-2</v>
      </c>
      <c r="AD82" s="60">
        <f t="shared" ca="1" si="43"/>
        <v>0.91628916475597344</v>
      </c>
      <c r="AE82" s="60">
        <f t="shared" ca="1" si="49"/>
        <v>0.17634517950797904</v>
      </c>
      <c r="AF82" s="60"/>
      <c r="AG82" s="96">
        <f t="shared" ca="1" si="50"/>
        <v>0.41814658213859551</v>
      </c>
      <c r="AH82" s="96">
        <f t="shared" ca="1" si="51"/>
        <v>0.41938993768975447</v>
      </c>
      <c r="AI82" s="96">
        <f t="shared" ca="1" si="52"/>
        <v>0.41690260475417729</v>
      </c>
      <c r="AJ82" s="62"/>
      <c r="AK82" s="96">
        <f t="shared" ca="1" si="53"/>
        <v>0.38297994644826905</v>
      </c>
      <c r="AL82" s="96"/>
      <c r="AM82" s="94"/>
      <c r="AN82" s="95"/>
      <c r="AX82" s="106">
        <f t="shared" ca="1" si="54"/>
        <v>0.60318899999999998</v>
      </c>
      <c r="AY82" s="106">
        <f t="shared" ca="1" si="55"/>
        <v>0.60323798200000001</v>
      </c>
      <c r="AZ82" s="106">
        <f t="shared" ca="1" si="56"/>
        <v>0.60314001799999994</v>
      </c>
      <c r="BB82" s="109">
        <f ca="1">_xll.EURO(UnderlyingPrice,$D82,IntRate,Yield,AX82,$D$6,1,0)</f>
        <v>0.59010472822854898</v>
      </c>
      <c r="BC82" s="109">
        <f ca="1">_xll.EURO(UnderlyingPrice,$D82*(1+$P$8),IntRate,Yield,AY82,$D$6,1,0)</f>
        <v>0.589310785862452</v>
      </c>
      <c r="BD82" s="109">
        <f ca="1">_xll.EURO(UnderlyingPrice,$D82*(1-$P$8),IntRate,Yield,AZ82,$D$6,1,0)</f>
        <v>0.59089980424391242</v>
      </c>
      <c r="BF82" s="59">
        <f t="shared" ca="1" si="57"/>
        <v>0.1705740201990259</v>
      </c>
      <c r="BG82" s="62">
        <f t="shared" ca="1" si="58"/>
        <v>0.17366673161700719</v>
      </c>
      <c r="BI82" s="96">
        <f t="shared" ca="1" si="59"/>
        <v>0.41813504504493404</v>
      </c>
      <c r="BJ82" s="96">
        <f t="shared" ca="1" si="60"/>
        <v>0.41937750203661905</v>
      </c>
      <c r="BK82" s="96">
        <f t="shared" ca="1" si="61"/>
        <v>0.41689196666938189</v>
      </c>
      <c r="BL82" s="62"/>
      <c r="BM82" s="96">
        <f t="shared" ca="1" si="62"/>
        <v>0.36025464775929228</v>
      </c>
      <c r="BO82" s="58">
        <f t="shared" ca="1" si="63"/>
        <v>3.2406478890134593E-5</v>
      </c>
      <c r="BP82" s="46">
        <f t="shared" ca="1" si="64"/>
        <v>5.4916487429979524E-5</v>
      </c>
    </row>
    <row r="83" spans="3:68" x14ac:dyDescent="0.2">
      <c r="C83" s="56">
        <v>70</v>
      </c>
      <c r="D83" s="63">
        <f t="shared" ca="1" si="65"/>
        <v>5.1800000000000015</v>
      </c>
      <c r="E83" s="45">
        <f t="shared" ca="1" si="44"/>
        <v>9.6296296296296768E-2</v>
      </c>
      <c r="F83" s="45">
        <f t="shared" ca="1" si="36"/>
        <v>9.6844444444444733E-2</v>
      </c>
      <c r="G83" s="45">
        <f t="shared" ca="1" si="37"/>
        <v>9.5748148148148582E-2</v>
      </c>
      <c r="H83" s="45">
        <f t="shared" ca="1" si="38"/>
        <v>0.60374631105772447</v>
      </c>
      <c r="I83" s="45">
        <f t="shared" ca="1" si="41"/>
        <v>0.60368923358024706</v>
      </c>
      <c r="J83" s="45">
        <f t="shared" ca="1" si="39"/>
        <v>0.60363221460537886</v>
      </c>
      <c r="L83" s="58">
        <f ca="1">_xll.EURO(UnderlyingPrice,$D83,IntRate,Yield,$I83,$D$6,L$12,0)</f>
        <v>0.58281251184594662</v>
      </c>
      <c r="M83" s="58">
        <f ca="1">_xll.EURO(UnderlyingPrice,$D83,IntRate,Yield,$I83,$D$6,M$12,0)</f>
        <v>1.0297097296833591</v>
      </c>
      <c r="O83" s="58">
        <f ca="1">_xll.EURO(UnderlyingPrice,$D83*(1+$P$8),IntRate,Yield,$H83,Expiry-Today,O$12,0)</f>
        <v>0.58203525636955722</v>
      </c>
      <c r="P83" s="58">
        <f ca="1">_xll.EURO(UnderlyingPrice,$D83*(1+$P$8),IntRate,Yield,$H83,Expiry-Today,P$12,0)</f>
        <v>1.0314763506777371</v>
      </c>
      <c r="R83" s="58">
        <f ca="1">_xll.EURO(UnderlyingPrice,$D83*(1-$P$8),IntRate,Yield,$J83,Expiry-Today,R$12,0)</f>
        <v>0.58359097086741696</v>
      </c>
      <c r="S83" s="58">
        <f ca="1">_xll.EURO(UnderlyingPrice,$D83*(1-$P$8),IntRate,Yield,$J83,Expiry-Today,S$12,0)</f>
        <v>1.0279443122340637</v>
      </c>
      <c r="U83" s="59">
        <f t="shared" ca="1" si="45"/>
        <v>0.17941668742714217</v>
      </c>
      <c r="V83" s="59"/>
      <c r="W83" s="62">
        <f t="shared" ca="1" si="40"/>
        <v>0.18266972699984418</v>
      </c>
      <c r="Z83" s="59">
        <f t="shared" ca="1" si="46"/>
        <v>0.19156412948742668</v>
      </c>
      <c r="AA83" s="59">
        <f t="shared" ca="1" si="47"/>
        <v>0.17275440426244171</v>
      </c>
      <c r="AB83" s="59">
        <f t="shared" ca="1" si="42"/>
        <v>-2.9844084192071137E-2</v>
      </c>
      <c r="AC83" s="59">
        <f t="shared" ca="1" si="48"/>
        <v>-9.2320049679906771E-2</v>
      </c>
      <c r="AD83" s="60">
        <f t="shared" ca="1" si="43"/>
        <v>0.91181327729323902</v>
      </c>
      <c r="AE83" s="60">
        <f t="shared" ca="1" si="49"/>
        <v>0.17467071671975692</v>
      </c>
      <c r="AF83" s="60"/>
      <c r="AG83" s="96">
        <f t="shared" ca="1" si="50"/>
        <v>0.42969768367983274</v>
      </c>
      <c r="AH83" s="96">
        <f t="shared" ca="1" si="51"/>
        <v>0.43094103923099097</v>
      </c>
      <c r="AI83" s="96">
        <f t="shared" ca="1" si="52"/>
        <v>0.42845370629541413</v>
      </c>
      <c r="AJ83" s="62"/>
      <c r="AK83" s="96">
        <f t="shared" ca="1" si="53"/>
        <v>0.38041919210937858</v>
      </c>
      <c r="AL83" s="96"/>
      <c r="AM83" s="94"/>
      <c r="AN83" s="95"/>
      <c r="AX83" s="106">
        <f t="shared" ca="1" si="54"/>
        <v>0.60364499999999999</v>
      </c>
      <c r="AY83" s="106">
        <f t="shared" ca="1" si="55"/>
        <v>0.60369421000000001</v>
      </c>
      <c r="AZ83" s="106">
        <f t="shared" ca="1" si="56"/>
        <v>0.60359578999999997</v>
      </c>
      <c r="BB83" s="109">
        <f ca="1">_xll.EURO(UnderlyingPrice,$D83,IntRate,Yield,AX83,$D$6,1,0)</f>
        <v>0.58275714778200505</v>
      </c>
      <c r="BC83" s="109">
        <f ca="1">_xll.EURO(UnderlyingPrice,$D83*(1+$P$8),IntRate,Yield,AY83,$D$6,1,0)</f>
        <v>0.58197004682748021</v>
      </c>
      <c r="BD83" s="109">
        <f ca="1">_xll.EURO(UnderlyingPrice,$D83*(1-$P$8),IntRate,Yield,AZ83,$D$6,1,0)</f>
        <v>0.58354537963000719</v>
      </c>
      <c r="BF83" s="59">
        <f t="shared" ca="1" si="57"/>
        <v>0.16858625800271196</v>
      </c>
      <c r="BG83" s="62">
        <f t="shared" ca="1" si="58"/>
        <v>0.17164292890975494</v>
      </c>
      <c r="BI83" s="96">
        <f t="shared" ca="1" si="59"/>
        <v>0.42967779873127593</v>
      </c>
      <c r="BJ83" s="96">
        <f t="shared" ca="1" si="60"/>
        <v>0.43092025572296028</v>
      </c>
      <c r="BK83" s="96">
        <f t="shared" ca="1" si="61"/>
        <v>0.4284347203557235</v>
      </c>
      <c r="BL83" s="62"/>
      <c r="BM83" s="96">
        <f t="shared" ca="1" si="62"/>
        <v>0.35771382836566629</v>
      </c>
      <c r="BO83" s="58">
        <f t="shared" ca="1" si="63"/>
        <v>-5.5364063941576447E-5</v>
      </c>
      <c r="BP83" s="46">
        <f t="shared" ca="1" si="64"/>
        <v>-9.5003663451051772E-5</v>
      </c>
    </row>
    <row r="84" spans="3:68" x14ac:dyDescent="0.2">
      <c r="C84" s="56">
        <v>71</v>
      </c>
      <c r="D84" s="63">
        <f t="shared" ca="1" si="65"/>
        <v>5.2040000000000015</v>
      </c>
      <c r="E84" s="45">
        <f t="shared" ca="1" si="44"/>
        <v>0.10137566137566179</v>
      </c>
      <c r="F84" s="45">
        <f t="shared" ca="1" si="36"/>
        <v>0.10192634920634958</v>
      </c>
      <c r="G84" s="45">
        <f t="shared" ca="1" si="37"/>
        <v>0.10082497354497399</v>
      </c>
      <c r="H84" s="45">
        <f t="shared" ca="1" si="38"/>
        <v>0.60427826418047159</v>
      </c>
      <c r="I84" s="45">
        <f t="shared" ca="1" si="41"/>
        <v>0.60422037749438151</v>
      </c>
      <c r="J84" s="45">
        <f t="shared" ca="1" si="39"/>
        <v>0.60416254985426587</v>
      </c>
      <c r="L84" s="58">
        <f ca="1">_xll.EURO(UnderlyingPrice,$D84,IntRate,Yield,$I84,$D$6,L$12,0)</f>
        <v>0.57565604614358401</v>
      </c>
      <c r="M84" s="58">
        <f ca="1">_xll.EURO(UnderlyingPrice,$D84,IntRate,Yield,$I84,$D$6,M$12,0)</f>
        <v>1.0461258644823102</v>
      </c>
      <c r="O84" s="58">
        <f ca="1">_xll.EURO(UnderlyingPrice,$D84*(1+$P$8),IntRate,Yield,$H84,Expiry-Today,O$12,0)</f>
        <v>0.57488632571466991</v>
      </c>
      <c r="P84" s="58">
        <f ca="1">_xll.EURO(UnderlyingPrice,$D84*(1+$P$8),IntRate,Yield,$H84,Expiry-Today,P$12,0)</f>
        <v>1.0479118068244131</v>
      </c>
      <c r="R84" s="58">
        <f ca="1">_xll.EURO(UnderlyingPrice,$D84*(1-$P$8),IntRate,Yield,$J84,Expiry-Today,R$12,0)</f>
        <v>0.57642696745386268</v>
      </c>
      <c r="S84" s="58">
        <f ca="1">_xll.EURO(UnderlyingPrice,$D84*(1-$P$8),IntRate,Yield,$J84,Expiry-Today,S$12,0)</f>
        <v>1.0443411230215727</v>
      </c>
      <c r="U84" s="59">
        <f t="shared" ca="1" si="45"/>
        <v>0.17737218703217927</v>
      </c>
      <c r="V84" s="59"/>
      <c r="W84" s="62">
        <f t="shared" ca="1" si="40"/>
        <v>0.18058815736240114</v>
      </c>
      <c r="Z84" s="59">
        <f t="shared" ca="1" si="46"/>
        <v>0.19068066693790744</v>
      </c>
      <c r="AA84" s="59">
        <f t="shared" ca="1" si="47"/>
        <v>0.17737690864130878</v>
      </c>
      <c r="AB84" s="59">
        <f t="shared" ca="1" si="42"/>
        <v>-3.1462567719147204E-2</v>
      </c>
      <c r="AC84" s="59">
        <f t="shared" ca="1" si="48"/>
        <v>-9.732668612631748E-2</v>
      </c>
      <c r="AD84" s="60">
        <f t="shared" ca="1" si="43"/>
        <v>0.90725956860086376</v>
      </c>
      <c r="AE84" s="60">
        <f t="shared" ca="1" si="49"/>
        <v>0.1729968596266109</v>
      </c>
      <c r="AF84" s="60"/>
      <c r="AG84" s="96">
        <f t="shared" ca="1" si="50"/>
        <v>0.441195390108096</v>
      </c>
      <c r="AH84" s="96">
        <f t="shared" ca="1" si="51"/>
        <v>0.44243874565925462</v>
      </c>
      <c r="AI84" s="96">
        <f t="shared" ca="1" si="52"/>
        <v>0.43995141272367772</v>
      </c>
      <c r="AJ84" s="62"/>
      <c r="AK84" s="96">
        <f t="shared" ca="1" si="53"/>
        <v>0.37782669037668121</v>
      </c>
      <c r="AL84" s="96"/>
      <c r="AM84" s="94"/>
      <c r="AN84" s="95"/>
      <c r="AX84" s="106">
        <f t="shared" ca="1" si="54"/>
        <v>0.604101</v>
      </c>
      <c r="AY84" s="106">
        <f t="shared" ca="1" si="55"/>
        <v>0.60415043800000001</v>
      </c>
      <c r="AZ84" s="106">
        <f t="shared" ca="1" si="56"/>
        <v>0.60405156199999999</v>
      </c>
      <c r="BB84" s="109">
        <f ca="1">_xll.EURO(UnderlyingPrice,$D84,IntRate,Yield,AX84,$D$6,1,0)</f>
        <v>0.57550667350603724</v>
      </c>
      <c r="BC84" s="109">
        <f ca="1">_xll.EURO(UnderlyingPrice,$D84*(1+$P$8),IntRate,Yield,AY84,$D$6,1,0)</f>
        <v>0.57472638776200857</v>
      </c>
      <c r="BD84" s="109">
        <f ca="1">_xll.EURO(UnderlyingPrice,$D84*(1-$P$8),IntRate,Yield,AZ84,$D$6,1,0)</f>
        <v>0.57628808725856651</v>
      </c>
      <c r="BF84" s="59">
        <f t="shared" ca="1" si="57"/>
        <v>0.16660874308328039</v>
      </c>
      <c r="BG84" s="62">
        <f t="shared" ca="1" si="58"/>
        <v>0.16962955927479625</v>
      </c>
      <c r="BI84" s="96">
        <f t="shared" ca="1" si="59"/>
        <v>0.44116719589270875</v>
      </c>
      <c r="BJ84" s="96">
        <f t="shared" ca="1" si="60"/>
        <v>0.44240965288439338</v>
      </c>
      <c r="BK84" s="96">
        <f t="shared" ca="1" si="61"/>
        <v>0.43992411751715638</v>
      </c>
      <c r="BL84" s="62"/>
      <c r="BM84" s="96">
        <f t="shared" ca="1" si="62"/>
        <v>0.35515576969936052</v>
      </c>
      <c r="BO84" s="58">
        <f t="shared" ca="1" si="63"/>
        <v>-1.493726375467741E-4</v>
      </c>
      <c r="BP84" s="46">
        <f t="shared" ca="1" si="64"/>
        <v>-2.595497922496413E-4</v>
      </c>
    </row>
    <row r="85" spans="3:68" x14ac:dyDescent="0.2">
      <c r="C85" s="56">
        <v>72</v>
      </c>
      <c r="D85" s="63">
        <f t="shared" ca="1" si="65"/>
        <v>5.2280000000000015</v>
      </c>
      <c r="E85" s="45">
        <f t="shared" ca="1" si="44"/>
        <v>0.1064550264550268</v>
      </c>
      <c r="F85" s="45">
        <f t="shared" ca="1" si="36"/>
        <v>0.1070082539682542</v>
      </c>
      <c r="G85" s="45">
        <f t="shared" ca="1" si="37"/>
        <v>0.10590179894179941</v>
      </c>
      <c r="H85" s="45">
        <f t="shared" ca="1" si="38"/>
        <v>0.60481524573286816</v>
      </c>
      <c r="I85" s="45">
        <f t="shared" ca="1" si="41"/>
        <v>0.60475654481350472</v>
      </c>
      <c r="J85" s="45">
        <f t="shared" ca="1" si="39"/>
        <v>0.60469790348599239</v>
      </c>
      <c r="L85" s="58">
        <f ca="1">_xll.EURO(UnderlyingPrice,$D85,IntRate,Yield,$I85,$D$6,L$12,0)</f>
        <v>0.56860174704433208</v>
      </c>
      <c r="M85" s="58">
        <f ca="1">_xll.EURO(UnderlyingPrice,$D85,IntRate,Yield,$I85,$D$6,M$12,0)</f>
        <v>1.0626441658843722</v>
      </c>
      <c r="O85" s="58">
        <f ca="1">_xll.EURO(UnderlyingPrice,$D85*(1+$P$8),IntRate,Yield,$H85,Expiry-Today,O$12,0)</f>
        <v>0.56783953621197614</v>
      </c>
      <c r="P85" s="58">
        <f ca="1">_xll.EURO(UnderlyingPrice,$D85*(1+$P$8),IntRate,Yield,$H85,Expiry-Today,P$12,0)</f>
        <v>1.0644494041232844</v>
      </c>
      <c r="R85" s="58">
        <f ca="1">_xll.EURO(UnderlyingPrice,$D85*(1-$P$8),IntRate,Yield,$J85,Expiry-Today,R$12,0)</f>
        <v>0.56936515592221815</v>
      </c>
      <c r="S85" s="58">
        <f ca="1">_xll.EURO(UnderlyingPrice,$D85*(1-$P$8),IntRate,Yield,$J85,Expiry-Today,S$12,0)</f>
        <v>1.0608401256909907</v>
      </c>
      <c r="U85" s="59">
        <f t="shared" ca="1" si="45"/>
        <v>0.17533239154761179</v>
      </c>
      <c r="V85" s="59"/>
      <c r="W85" s="62">
        <f t="shared" ca="1" si="40"/>
        <v>0.17851137794101779</v>
      </c>
      <c r="Z85" s="59">
        <f t="shared" ca="1" si="46"/>
        <v>0.18980531575074031</v>
      </c>
      <c r="AA85" s="59">
        <f t="shared" ca="1" si="47"/>
        <v>0.1819781437530254</v>
      </c>
      <c r="AB85" s="59">
        <f t="shared" ca="1" si="42"/>
        <v>-3.3116044803796776E-2</v>
      </c>
      <c r="AC85" s="59">
        <f t="shared" ca="1" si="48"/>
        <v>-0.10244157206542065</v>
      </c>
      <c r="AD85" s="60">
        <f t="shared" ca="1" si="43"/>
        <v>0.90263088707066341</v>
      </c>
      <c r="AE85" s="60">
        <f t="shared" ca="1" si="49"/>
        <v>0.17132414052681808</v>
      </c>
      <c r="AF85" s="60"/>
      <c r="AG85" s="96">
        <f t="shared" ca="1" si="50"/>
        <v>0.45264019279206896</v>
      </c>
      <c r="AH85" s="96">
        <f t="shared" ca="1" si="51"/>
        <v>0.45388354834322736</v>
      </c>
      <c r="AI85" s="96">
        <f t="shared" ca="1" si="52"/>
        <v>0.45139621540765079</v>
      </c>
      <c r="AJ85" s="62"/>
      <c r="AK85" s="96">
        <f t="shared" ca="1" si="53"/>
        <v>0.37520408728850374</v>
      </c>
      <c r="AL85" s="96"/>
      <c r="AM85" s="94"/>
      <c r="AN85" s="95"/>
      <c r="AX85" s="106">
        <f t="shared" ca="1" si="54"/>
        <v>0.60455564225999991</v>
      </c>
      <c r="AY85" s="106">
        <f t="shared" ca="1" si="55"/>
        <v>0.60460412521587992</v>
      </c>
      <c r="AZ85" s="106">
        <f t="shared" ca="1" si="56"/>
        <v>0.60450715930411991</v>
      </c>
      <c r="BB85" s="109">
        <f ca="1">_xll.EURO(UnderlyingPrice,$D85,IntRate,Yield,AX85,$D$6,1,0)</f>
        <v>0.56835046818569124</v>
      </c>
      <c r="BC85" s="109">
        <f ca="1">_xll.EURO(UnderlyingPrice,$D85*(1+$P$8),IntRate,Yield,AY85,$D$6,1,0)</f>
        <v>0.56757549087399073</v>
      </c>
      <c r="BD85" s="109">
        <f ca="1">_xll.EURO(UnderlyingPrice,$D85*(1-$P$8),IntRate,Yield,AZ85,$D$6,1,0)</f>
        <v>0.56912657064886329</v>
      </c>
      <c r="BF85" s="59">
        <f t="shared" ca="1" si="57"/>
        <v>0.16466444171023004</v>
      </c>
      <c r="BG85" s="62">
        <f t="shared" ca="1" si="58"/>
        <v>0.16765000538762087</v>
      </c>
      <c r="BI85" s="96">
        <f t="shared" ca="1" si="59"/>
        <v>0.45260372754280931</v>
      </c>
      <c r="BJ85" s="96">
        <f t="shared" ca="1" si="60"/>
        <v>0.45384618453449377</v>
      </c>
      <c r="BK85" s="96">
        <f t="shared" ca="1" si="61"/>
        <v>0.4513606491672571</v>
      </c>
      <c r="BL85" s="62"/>
      <c r="BM85" s="96">
        <f t="shared" ca="1" si="62"/>
        <v>0.35262995639483319</v>
      </c>
      <c r="BO85" s="58">
        <f t="shared" ca="1" si="63"/>
        <v>-2.5127885864084654E-4</v>
      </c>
      <c r="BP85" s="46">
        <f t="shared" ca="1" si="64"/>
        <v>-4.4211955950874455E-4</v>
      </c>
    </row>
    <row r="86" spans="3:68" x14ac:dyDescent="0.2">
      <c r="C86" s="56">
        <v>73</v>
      </c>
      <c r="D86" s="63">
        <f t="shared" ca="1" si="65"/>
        <v>5.2520000000000016</v>
      </c>
      <c r="E86" s="45">
        <f t="shared" ca="1" si="44"/>
        <v>0.11153439153439204</v>
      </c>
      <c r="F86" s="45">
        <f t="shared" ca="1" si="36"/>
        <v>0.11209015873015904</v>
      </c>
      <c r="G86" s="45">
        <f t="shared" ca="1" si="37"/>
        <v>0.11097862433862482</v>
      </c>
      <c r="H86" s="45">
        <f t="shared" ca="1" si="38"/>
        <v>0.60535725571491406</v>
      </c>
      <c r="I86" s="45">
        <f t="shared" ca="1" si="41"/>
        <v>0.60529773553761668</v>
      </c>
      <c r="J86" s="45">
        <f t="shared" ca="1" si="39"/>
        <v>0.60523827550055853</v>
      </c>
      <c r="L86" s="58">
        <f ca="1">_xll.EURO(UnderlyingPrice,$D86,IntRate,Yield,$I86,$D$6,L$12,0)</f>
        <v>0.56164843965860567</v>
      </c>
      <c r="M86" s="58">
        <f ca="1">_xll.EURO(UnderlyingPrice,$D86,IntRate,Yield,$I86,$D$6,M$12,0)</f>
        <v>1.0792634589999599</v>
      </c>
      <c r="O86" s="58">
        <f ca="1">_xll.EURO(UnderlyingPrice,$D86*(1+$P$8),IntRate,Yield,$H86,Expiry-Today,O$12,0)</f>
        <v>0.56089371152776946</v>
      </c>
      <c r="P86" s="58">
        <f ca="1">_xll.EURO(UnderlyingPrice,$D86*(1+$P$8),IntRate,Yield,$H86,Expiry-Today,P$12,0)</f>
        <v>1.0810879662406427</v>
      </c>
      <c r="R86" s="58">
        <f ca="1">_xll.EURO(UnderlyingPrice,$D86*(1-$P$8),IntRate,Yield,$J86,Expiry-Today,R$12,0)</f>
        <v>0.56240436283090434</v>
      </c>
      <c r="S86" s="58">
        <f ca="1">_xll.EURO(UnderlyingPrice,$D86*(1-$P$8),IntRate,Yield,$J86,Expiry-Today,S$12,0)</f>
        <v>1.0774401468007411</v>
      </c>
      <c r="U86" s="59">
        <f t="shared" ca="1" si="45"/>
        <v>0.17329799179306168</v>
      </c>
      <c r="V86" s="59"/>
      <c r="W86" s="62">
        <f t="shared" ca="1" si="40"/>
        <v>0.17644009208070377</v>
      </c>
      <c r="Z86" s="59">
        <f t="shared" ca="1" si="46"/>
        <v>0.18893796472674604</v>
      </c>
      <c r="AA86" s="59">
        <f t="shared" ca="1" si="47"/>
        <v>0.18655830443159982</v>
      </c>
      <c r="AB86" s="59">
        <f t="shared" ca="1" si="42"/>
        <v>-3.4804000952393478E-2</v>
      </c>
      <c r="AC86" s="59">
        <f t="shared" ca="1" si="48"/>
        <v>-0.10766311595643248</v>
      </c>
      <c r="AD86" s="60">
        <f t="shared" ca="1" si="43"/>
        <v>0.89793004378672192</v>
      </c>
      <c r="AE86" s="60">
        <f t="shared" ca="1" si="49"/>
        <v>0.16965307494006118</v>
      </c>
      <c r="AF86" s="60"/>
      <c r="AG86" s="96">
        <f t="shared" ca="1" si="50"/>
        <v>0.464032576348757</v>
      </c>
      <c r="AH86" s="96">
        <f t="shared" ca="1" si="51"/>
        <v>0.46527593189991512</v>
      </c>
      <c r="AI86" s="96">
        <f t="shared" ca="1" si="52"/>
        <v>0.46278859896433844</v>
      </c>
      <c r="AJ86" s="62"/>
      <c r="AK86" s="96">
        <f t="shared" ca="1" si="53"/>
        <v>0.37255300661751278</v>
      </c>
      <c r="AL86" s="96"/>
      <c r="AM86" s="94"/>
      <c r="AN86" s="95"/>
      <c r="AX86" s="106">
        <f t="shared" ca="1" si="54"/>
        <v>0.60500078033999993</v>
      </c>
      <c r="AY86" s="106">
        <f t="shared" ca="1" si="55"/>
        <v>0.60504948586491991</v>
      </c>
      <c r="AZ86" s="106">
        <f t="shared" ca="1" si="56"/>
        <v>0.60495207481507995</v>
      </c>
      <c r="BB86" s="109">
        <f ca="1">_xll.EURO(UnderlyingPrice,$D86,IntRate,Yield,AX86,$D$6,1,0)</f>
        <v>0.56127721788742502</v>
      </c>
      <c r="BC86" s="109">
        <f ca="1">_xll.EURO(UnderlyingPrice,$D86*(1+$P$8),IntRate,Yield,AY86,$D$6,1,0)</f>
        <v>0.56050899517044539</v>
      </c>
      <c r="BD86" s="109">
        <f ca="1">_xll.EURO(UnderlyingPrice,$D86*(1-$P$8),IntRate,Yield,AZ86,$D$6,1,0)</f>
        <v>0.56204656267918107</v>
      </c>
      <c r="BF86" s="59">
        <f t="shared" ca="1" si="57"/>
        <v>0.16271678557261457</v>
      </c>
      <c r="BG86" s="62">
        <f t="shared" ca="1" si="58"/>
        <v>0.16566703590997814</v>
      </c>
      <c r="BI86" s="96">
        <f t="shared" ca="1" si="59"/>
        <v>0.46398787794835539</v>
      </c>
      <c r="BJ86" s="96">
        <f t="shared" ca="1" si="60"/>
        <v>0.46523033494003974</v>
      </c>
      <c r="BK86" s="96">
        <f t="shared" ca="1" si="61"/>
        <v>0.46274479957280296</v>
      </c>
      <c r="BL86" s="62"/>
      <c r="BM86" s="96">
        <f t="shared" ca="1" si="62"/>
        <v>0.35005869724014216</v>
      </c>
      <c r="BO86" s="58">
        <f t="shared" ca="1" si="63"/>
        <v>-3.7122177118065203E-4</v>
      </c>
      <c r="BP86" s="46">
        <f t="shared" ca="1" si="64"/>
        <v>-6.6138756277670213E-4</v>
      </c>
    </row>
    <row r="87" spans="3:68" x14ac:dyDescent="0.2">
      <c r="C87" s="56">
        <v>74</v>
      </c>
      <c r="D87" s="63">
        <f t="shared" ca="1" si="65"/>
        <v>5.2760000000000016</v>
      </c>
      <c r="E87" s="45">
        <f t="shared" ca="1" si="44"/>
        <v>0.11661375661375706</v>
      </c>
      <c r="F87" s="45">
        <f t="shared" ca="1" si="36"/>
        <v>0.11717206349206388</v>
      </c>
      <c r="G87" s="45">
        <f t="shared" ca="1" si="37"/>
        <v>0.11605544973545023</v>
      </c>
      <c r="H87" s="45">
        <f t="shared" ca="1" si="38"/>
        <v>0.60590429412660962</v>
      </c>
      <c r="I87" s="45">
        <f t="shared" ca="1" si="41"/>
        <v>0.60584394966671717</v>
      </c>
      <c r="J87" s="45">
        <f t="shared" ca="1" si="39"/>
        <v>0.60578366589796406</v>
      </c>
      <c r="L87" s="58">
        <f ca="1">_xll.EURO(UnderlyingPrice,$D87,IntRate,Yield,$I87,$D$6,L$12,0)</f>
        <v>0.55479495220406649</v>
      </c>
      <c r="M87" s="58">
        <f ca="1">_xll.EURO(UnderlyingPrice,$D87,IntRate,Yield,$I87,$D$6,M$12,0)</f>
        <v>1.0959825720467351</v>
      </c>
      <c r="O87" s="58">
        <f ca="1">_xll.EURO(UnderlyingPrice,$D87*(1+$P$8),IntRate,Yield,$H87,Expiry-Today,O$12,0)</f>
        <v>0.55404767848457137</v>
      </c>
      <c r="P87" s="58">
        <f ca="1">_xll.EURO(UnderlyingPrice,$D87*(1+$P$8),IntRate,Yield,$H87,Expiry-Today,P$12,0)</f>
        <v>1.097826319999009</v>
      </c>
      <c r="R87" s="58">
        <f ca="1">_xll.EURO(UnderlyingPrice,$D87*(1-$P$8),IntRate,Yield,$J87,Expiry-Today,R$12,0)</f>
        <v>0.55554341779665894</v>
      </c>
      <c r="S87" s="58">
        <f ca="1">_xll.EURO(UnderlyingPrice,$D87*(1-$P$8),IntRate,Yield,$J87,Expiry-Today,S$12,0)</f>
        <v>1.0941400159675578</v>
      </c>
      <c r="U87" s="59">
        <f t="shared" ca="1" si="45"/>
        <v>0.17126965964407678</v>
      </c>
      <c r="V87" s="59"/>
      <c r="W87" s="62">
        <f t="shared" ca="1" si="40"/>
        <v>0.17437498383891586</v>
      </c>
      <c r="Z87" s="59">
        <f t="shared" ca="1" si="46"/>
        <v>0.18807850469008155</v>
      </c>
      <c r="AA87" s="59">
        <f t="shared" ca="1" si="47"/>
        <v>0.19111758284611816</v>
      </c>
      <c r="AB87" s="59">
        <f t="shared" ca="1" si="42"/>
        <v>-3.6525930472942836E-2</v>
      </c>
      <c r="AC87" s="59">
        <f t="shared" ca="1" si="48"/>
        <v>-0.11298975348564334</v>
      </c>
      <c r="AD87" s="60">
        <f t="shared" ca="1" si="43"/>
        <v>0.89315981184396365</v>
      </c>
      <c r="AE87" s="60">
        <f t="shared" ca="1" si="49"/>
        <v>0.16798416186088727</v>
      </c>
      <c r="AF87" s="60"/>
      <c r="AG87" s="96">
        <f t="shared" ca="1" si="50"/>
        <v>0.47537301876661736</v>
      </c>
      <c r="AH87" s="96">
        <f t="shared" ca="1" si="51"/>
        <v>0.47661637431777593</v>
      </c>
      <c r="AI87" s="96">
        <f t="shared" ca="1" si="52"/>
        <v>0.47412904138219897</v>
      </c>
      <c r="AJ87" s="62"/>
      <c r="AK87" s="96">
        <f t="shared" ca="1" si="53"/>
        <v>0.36987505837079193</v>
      </c>
      <c r="AL87" s="96"/>
      <c r="AM87" s="94"/>
      <c r="AN87" s="95"/>
      <c r="AX87" s="106">
        <f t="shared" ca="1" si="54"/>
        <v>0.60544591841999995</v>
      </c>
      <c r="AY87" s="106">
        <f t="shared" ca="1" si="55"/>
        <v>0.60549484651396002</v>
      </c>
      <c r="AZ87" s="106">
        <f t="shared" ca="1" si="56"/>
        <v>0.60539699032604</v>
      </c>
      <c r="BB87" s="109">
        <f ca="1">_xll.EURO(UnderlyingPrice,$D87,IntRate,Yield,AX87,$D$6,1,0)</f>
        <v>0.55429769299401399</v>
      </c>
      <c r="BC87" s="109">
        <f ca="1">_xll.EURO(UnderlyingPrice,$D87*(1+$P$8),IntRate,Yield,AY87,$D$6,1,0)</f>
        <v>0.55353619614281757</v>
      </c>
      <c r="BD87" s="109">
        <f ca="1">_xll.EURO(UnderlyingPrice,$D87*(1-$P$8),IntRate,Yield,AZ87,$D$6,1,0)</f>
        <v>0.55506030872332635</v>
      </c>
      <c r="BF87" s="59">
        <f t="shared" ca="1" si="57"/>
        <v>0.16078043419979418</v>
      </c>
      <c r="BG87" s="62">
        <f t="shared" ca="1" si="58"/>
        <v>0.16369557616606492</v>
      </c>
      <c r="BI87" s="96">
        <f t="shared" ca="1" si="59"/>
        <v>0.47532012475236762</v>
      </c>
      <c r="BJ87" s="96">
        <f t="shared" ca="1" si="60"/>
        <v>0.47656258174405219</v>
      </c>
      <c r="BK87" s="96">
        <f t="shared" ca="1" si="61"/>
        <v>0.4740770463768153</v>
      </c>
      <c r="BL87" s="62"/>
      <c r="BM87" s="96">
        <f t="shared" ca="1" si="62"/>
        <v>0.34747357500378939</v>
      </c>
      <c r="BO87" s="58">
        <f t="shared" ca="1" si="63"/>
        <v>-4.9725921005250306E-4</v>
      </c>
      <c r="BP87" s="46">
        <f t="shared" ca="1" si="64"/>
        <v>-8.9709774429436986E-4</v>
      </c>
    </row>
    <row r="88" spans="3:68" x14ac:dyDescent="0.2">
      <c r="C88" s="56">
        <v>75</v>
      </c>
      <c r="D88" s="63">
        <f t="shared" ca="1" si="65"/>
        <v>5.3000000000000016</v>
      </c>
      <c r="E88" s="45">
        <f t="shared" ca="1" si="44"/>
        <v>0.12169312169312207</v>
      </c>
      <c r="F88" s="45">
        <f t="shared" ca="1" si="36"/>
        <v>0.12225396825396873</v>
      </c>
      <c r="G88" s="45">
        <f t="shared" ca="1" si="37"/>
        <v>0.12113227513227565</v>
      </c>
      <c r="H88" s="45">
        <f t="shared" ca="1" si="38"/>
        <v>0.60645636096795474</v>
      </c>
      <c r="I88" s="45">
        <f t="shared" ca="1" si="41"/>
        <v>0.60639518720080632</v>
      </c>
      <c r="J88" s="45">
        <f t="shared" ca="1" si="39"/>
        <v>0.60633407467820921</v>
      </c>
      <c r="L88" s="58">
        <f ca="1">_xll.EURO(UnderlyingPrice,$D88,IntRate,Yield,$I88,$D$6,L$12,0)</f>
        <v>0.5480401163918982</v>
      </c>
      <c r="M88" s="58">
        <f ca="1">_xll.EURO(UnderlyingPrice,$D88,IntRate,Yield,$I88,$D$6,M$12,0)</f>
        <v>1.1128003367358805</v>
      </c>
      <c r="O88" s="58">
        <f ca="1">_xll.EURO(UnderlyingPrice,$D88*(1+$P$8),IntRate,Yield,$H88,Expiry-Today,O$12,0)</f>
        <v>0.54730026744700511</v>
      </c>
      <c r="P88" s="58">
        <f ca="1">_xll.EURO(UnderlyingPrice,$D88*(1+$P$8),IntRate,Yield,$H88,Expiry-Today,P$12,0)</f>
        <v>1.1146632957630076</v>
      </c>
      <c r="R88" s="58">
        <f ca="1">_xll.EURO(UnderlyingPrice,$D88*(1-$P$8),IntRate,Yield,$J88,Expiry-Today,R$12,0)</f>
        <v>0.54878115388117288</v>
      </c>
      <c r="S88" s="58">
        <f ca="1">_xll.EURO(UnderlyingPrice,$D88*(1-$P$8),IntRate,Yield,$J88,Expiry-Today,S$12,0)</f>
        <v>1.110938566253135</v>
      </c>
      <c r="U88" s="59">
        <f t="shared" ca="1" si="45"/>
        <v>0.16924804294491547</v>
      </c>
      <c r="V88" s="59"/>
      <c r="W88" s="62">
        <f t="shared" ca="1" si="40"/>
        <v>0.17231671280610525</v>
      </c>
      <c r="Z88" s="59">
        <f t="shared" ca="1" si="46"/>
        <v>0.18722682844242836</v>
      </c>
      <c r="AA88" s="59">
        <f t="shared" ca="1" si="47"/>
        <v>0.1956561685491261</v>
      </c>
      <c r="AB88" s="59">
        <f t="shared" ca="1" si="42"/>
        <v>-3.828133629132404E-2</v>
      </c>
      <c r="AC88" s="59">
        <f t="shared" ca="1" si="48"/>
        <v>-0.11841994699797787</v>
      </c>
      <c r="AD88" s="60">
        <f t="shared" ca="1" si="43"/>
        <v>0.88832292572744875</v>
      </c>
      <c r="AE88" s="60">
        <f t="shared" ca="1" si="49"/>
        <v>0.16631788401664907</v>
      </c>
      <c r="AF88" s="60"/>
      <c r="AG88" s="96">
        <f t="shared" ca="1" si="50"/>
        <v>0.48666199152590067</v>
      </c>
      <c r="AH88" s="96">
        <f t="shared" ca="1" si="51"/>
        <v>0.48790534707705946</v>
      </c>
      <c r="AI88" s="96">
        <f t="shared" ca="1" si="52"/>
        <v>0.48541801414148245</v>
      </c>
      <c r="AJ88" s="62"/>
      <c r="AK88" s="96">
        <f t="shared" ca="1" si="53"/>
        <v>0.3671718268228113</v>
      </c>
      <c r="AL88" s="96"/>
      <c r="AM88" s="94"/>
      <c r="AN88" s="95"/>
      <c r="AX88" s="106">
        <f t="shared" ca="1" si="54"/>
        <v>0.60589105649999997</v>
      </c>
      <c r="AY88" s="106">
        <f t="shared" ca="1" si="55"/>
        <v>0.60594020716300001</v>
      </c>
      <c r="AZ88" s="106">
        <f t="shared" ca="1" si="56"/>
        <v>0.60584190583700004</v>
      </c>
      <c r="BB88" s="109">
        <f ca="1">_xll.EURO(UnderlyingPrice,$D88,IntRate,Yield,AX88,$D$6,1,0)</f>
        <v>0.54741077818512207</v>
      </c>
      <c r="BC88" s="109">
        <f ca="1">_xll.EURO(UnderlyingPrice,$D88*(1+$P$8),IntRate,Yield,AY88,$D$6,1,0)</f>
        <v>0.54665597752580042</v>
      </c>
      <c r="BD88" s="109">
        <f ca="1">_xll.EURO(UnderlyingPrice,$D88*(1-$P$8),IntRate,Yield,AZ88,$D$6,1,0)</f>
        <v>0.54816669440911947</v>
      </c>
      <c r="BF88" s="59">
        <f t="shared" ca="1" si="57"/>
        <v>0.15885577440321572</v>
      </c>
      <c r="BG88" s="62">
        <f t="shared" ca="1" si="58"/>
        <v>0.16173601998068315</v>
      </c>
      <c r="BI88" s="96">
        <f t="shared" ca="1" si="59"/>
        <v>0.48660093909436264</v>
      </c>
      <c r="BJ88" s="96">
        <f t="shared" ca="1" si="60"/>
        <v>0.48784339608604754</v>
      </c>
      <c r="BK88" s="96">
        <f t="shared" ca="1" si="61"/>
        <v>0.48535786071881049</v>
      </c>
      <c r="BL88" s="62"/>
      <c r="BM88" s="96">
        <f t="shared" ca="1" si="62"/>
        <v>0.34487576286250676</v>
      </c>
      <c r="BO88" s="58">
        <f t="shared" ca="1" si="63"/>
        <v>-6.2933820677613106E-4</v>
      </c>
      <c r="BP88" s="46">
        <f t="shared" ca="1" si="64"/>
        <v>-1.1496635284797096E-3</v>
      </c>
    </row>
    <row r="89" spans="3:68" x14ac:dyDescent="0.2">
      <c r="C89" s="56">
        <v>76</v>
      </c>
      <c r="D89" s="63">
        <f t="shared" ca="1" si="65"/>
        <v>5.3240000000000016</v>
      </c>
      <c r="E89" s="45">
        <f t="shared" ca="1" si="44"/>
        <v>0.12677248677248709</v>
      </c>
      <c r="F89" s="45">
        <f t="shared" ca="1" si="36"/>
        <v>0.12733587301587335</v>
      </c>
      <c r="G89" s="45">
        <f t="shared" ca="1" si="37"/>
        <v>0.12620910052910106</v>
      </c>
      <c r="H89" s="45">
        <f t="shared" ca="1" si="38"/>
        <v>0.60701345623894931</v>
      </c>
      <c r="I89" s="45">
        <f t="shared" ca="1" si="41"/>
        <v>0.60695144813988422</v>
      </c>
      <c r="J89" s="45">
        <f t="shared" ca="1" si="39"/>
        <v>0.60688950184129387</v>
      </c>
      <c r="L89" s="58">
        <f ca="1">_xll.EURO(UnderlyingPrice,$D89,IntRate,Yield,$I89,$D$6,L$12,0)</f>
        <v>0.54138276780071704</v>
      </c>
      <c r="M89" s="58">
        <f ca="1">_xll.EURO(UnderlyingPrice,$D89,IntRate,Yield,$I89,$D$6,M$12,0)</f>
        <v>1.1297155886460146</v>
      </c>
      <c r="O89" s="58">
        <f ca="1">_xll.EURO(UnderlyingPrice,$D89*(1+$P$8),IntRate,Yield,$H89,Expiry-Today,O$12,0)</f>
        <v>0.5406503126952944</v>
      </c>
      <c r="P89" s="58">
        <f ca="1">_xll.EURO(UnderlyingPrice,$D89*(1+$P$8),IntRate,Yield,$H89,Expiry-Today,P$12,0)</f>
        <v>1.1315977278128613</v>
      </c>
      <c r="R89" s="58">
        <f ca="1">_xll.EURO(UnderlyingPrice,$D89*(1-$P$8),IntRate,Yield,$J89,Expiry-Today,R$12,0)</f>
        <v>0.54211640796543747</v>
      </c>
      <c r="S89" s="58">
        <f ca="1">_xll.EURO(UnderlyingPrice,$D89*(1-$P$8),IntRate,Yield,$J89,Expiry-Today,S$12,0)</f>
        <v>1.1278346345384631</v>
      </c>
      <c r="U89" s="59">
        <f t="shared" ca="1" si="45"/>
        <v>0.16723376979448454</v>
      </c>
      <c r="V89" s="59"/>
      <c r="W89" s="62">
        <f t="shared" ca="1" si="40"/>
        <v>0.17026591846936467</v>
      </c>
      <c r="Z89" s="59">
        <f t="shared" ca="1" si="46"/>
        <v>0.18638283071842041</v>
      </c>
      <c r="AA89" s="59">
        <f t="shared" ca="1" si="47"/>
        <v>0.20017424852391508</v>
      </c>
      <c r="AB89" s="59">
        <f t="shared" ca="1" si="42"/>
        <v>-4.0069729772114114E-2</v>
      </c>
      <c r="AC89" s="59">
        <f t="shared" ca="1" si="48"/>
        <v>-0.12395218494273026</v>
      </c>
      <c r="AD89" s="60">
        <f t="shared" ca="1" si="43"/>
        <v>0.8834220807502764</v>
      </c>
      <c r="AE89" s="60">
        <f t="shared" ca="1" si="49"/>
        <v>0.16465470812939348</v>
      </c>
      <c r="AF89" s="60"/>
      <c r="AG89" s="96">
        <f t="shared" ca="1" si="50"/>
        <v>0.49789995971626733</v>
      </c>
      <c r="AH89" s="96">
        <f t="shared" ca="1" si="51"/>
        <v>0.499143315267426</v>
      </c>
      <c r="AI89" s="96">
        <f t="shared" ca="1" si="52"/>
        <v>0.49665598233184927</v>
      </c>
      <c r="AJ89" s="62"/>
      <c r="AK89" s="96">
        <f t="shared" ca="1" si="53"/>
        <v>0.36444487867512165</v>
      </c>
      <c r="AL89" s="96"/>
      <c r="AM89" s="94"/>
      <c r="AN89" s="95"/>
      <c r="AX89" s="106">
        <f t="shared" ca="1" si="54"/>
        <v>0.60633619457999999</v>
      </c>
      <c r="AY89" s="106">
        <f t="shared" ca="1" si="55"/>
        <v>0.60638556781204001</v>
      </c>
      <c r="AZ89" s="106">
        <f t="shared" ca="1" si="56"/>
        <v>0.60628682134795997</v>
      </c>
      <c r="BB89" s="109">
        <f ca="1">_xll.EURO(UnderlyingPrice,$D89,IntRate,Yield,AX89,$D$6,1,0)</f>
        <v>0.54061536487411677</v>
      </c>
      <c r="BC89" s="109">
        <f ca="1">_xll.EURO(UnderlyingPrice,$D89*(1+$P$8),IntRate,Yield,AY89,$D$6,1,0)</f>
        <v>0.53986722982526825</v>
      </c>
      <c r="BD89" s="109">
        <f ca="1">_xll.EURO(UnderlyingPrice,$D89*(1-$P$8),IntRate,Yield,AZ89,$D$6,1,0)</f>
        <v>0.54136461206061126</v>
      </c>
      <c r="BF89" s="59">
        <f t="shared" ca="1" si="57"/>
        <v>0.15694317694613785</v>
      </c>
      <c r="BG89" s="62">
        <f t="shared" ca="1" si="58"/>
        <v>0.15978874483947375</v>
      </c>
      <c r="BI89" s="96">
        <f t="shared" ca="1" si="59"/>
        <v>0.49783078572788586</v>
      </c>
      <c r="BJ89" s="96">
        <f t="shared" ca="1" si="60"/>
        <v>0.4990732427195706</v>
      </c>
      <c r="BK89" s="96">
        <f t="shared" ca="1" si="61"/>
        <v>0.49658770735233393</v>
      </c>
      <c r="BL89" s="62"/>
      <c r="BM89" s="96">
        <f t="shared" ca="1" si="62"/>
        <v>0.34226641420562604</v>
      </c>
      <c r="BO89" s="58">
        <f t="shared" ca="1" si="63"/>
        <v>-7.674029266002691E-4</v>
      </c>
      <c r="BP89" s="46">
        <f t="shared" ca="1" si="64"/>
        <v>-1.419498920048194E-3</v>
      </c>
    </row>
    <row r="90" spans="3:68" x14ac:dyDescent="0.2">
      <c r="C90" s="56">
        <v>77</v>
      </c>
      <c r="D90" s="63">
        <f t="shared" ca="1" si="65"/>
        <v>5.3480000000000016</v>
      </c>
      <c r="E90" s="45">
        <f t="shared" ca="1" si="44"/>
        <v>0.13185185185185233</v>
      </c>
      <c r="F90" s="45">
        <f t="shared" ca="1" si="36"/>
        <v>0.13241777777777819</v>
      </c>
      <c r="G90" s="45">
        <f t="shared" ca="1" si="37"/>
        <v>0.13128592592592647</v>
      </c>
      <c r="H90" s="45">
        <f t="shared" ca="1" si="38"/>
        <v>0.60757557993959332</v>
      </c>
      <c r="I90" s="45">
        <f t="shared" ca="1" si="41"/>
        <v>0.60751273248395066</v>
      </c>
      <c r="J90" s="45">
        <f t="shared" ca="1" si="39"/>
        <v>0.60744994738721803</v>
      </c>
      <c r="L90" s="58">
        <f ca="1">_xll.EURO(UnderlyingPrice,$D90,IntRate,Yield,$I90,$D$6,L$12,0)</f>
        <v>0.53482174623805334</v>
      </c>
      <c r="M90" s="58">
        <f ca="1">_xll.EURO(UnderlyingPrice,$D90,IntRate,Yield,$I90,$D$6,M$12,0)</f>
        <v>1.1467271675846633</v>
      </c>
      <c r="O90" s="58">
        <f ca="1">_xll.EURO(UnderlyingPrice,$D90*(1+$P$8),IntRate,Yield,$H90,Expiry-Today,O$12,0)</f>
        <v>0.53409665278627361</v>
      </c>
      <c r="P90" s="58">
        <f ca="1">_xll.EURO(UnderlyingPrice,$D90*(1+$P$8),IntRate,Yield,$H90,Expiry-Today,P$12,0)</f>
        <v>1.1486284547054044</v>
      </c>
      <c r="R90" s="58">
        <f ca="1">_xll.EURO(UnderlyingPrice,$D90*(1-$P$8),IntRate,Yield,$J90,Expiry-Today,R$12,0)</f>
        <v>0.53554802111168631</v>
      </c>
      <c r="S90" s="58">
        <f ca="1">_xll.EURO(UnderlyingPrice,$D90*(1-$P$8),IntRate,Yield,$J90,Expiry-Today,S$12,0)</f>
        <v>1.144827061885775</v>
      </c>
      <c r="U90" s="59">
        <f t="shared" ca="1" si="45"/>
        <v>0.16522744761681574</v>
      </c>
      <c r="V90" s="59"/>
      <c r="W90" s="62">
        <f t="shared" ca="1" si="40"/>
        <v>0.1682232192660516</v>
      </c>
      <c r="Z90" s="59">
        <f t="shared" ca="1" si="46"/>
        <v>0.18554640814227194</v>
      </c>
      <c r="AA90" s="59">
        <f t="shared" ca="1" si="47"/>
        <v>0.20467200723074674</v>
      </c>
      <c r="AB90" s="59">
        <f t="shared" ca="1" si="42"/>
        <v>-4.1890630543862849E-2</v>
      </c>
      <c r="AC90" s="59">
        <f t="shared" ca="1" si="48"/>
        <v>-0.12958498133306767</v>
      </c>
      <c r="AD90" s="60">
        <f t="shared" ca="1" si="43"/>
        <v>0.87845993254799926</v>
      </c>
      <c r="AE90" s="60">
        <f t="shared" ca="1" si="49"/>
        <v>0.16299508518118375</v>
      </c>
      <c r="AF90" s="60"/>
      <c r="AG90" s="96">
        <f t="shared" ca="1" si="50"/>
        <v>0.50908738215176319</v>
      </c>
      <c r="AH90" s="96">
        <f t="shared" ca="1" si="51"/>
        <v>0.5103307377029217</v>
      </c>
      <c r="AI90" s="96">
        <f t="shared" ca="1" si="52"/>
        <v>0.50784340476734491</v>
      </c>
      <c r="AJ90" s="62"/>
      <c r="AK90" s="96">
        <f t="shared" ca="1" si="53"/>
        <v>0.36169576005160775</v>
      </c>
      <c r="AL90" s="96"/>
      <c r="AM90" s="94"/>
      <c r="AN90" s="95"/>
      <c r="AX90" s="106">
        <f t="shared" ca="1" si="54"/>
        <v>0.60678133266000001</v>
      </c>
      <c r="AY90" s="106">
        <f t="shared" ca="1" si="55"/>
        <v>0.60683092846108</v>
      </c>
      <c r="AZ90" s="106">
        <f t="shared" ca="1" si="56"/>
        <v>0.60673173685892001</v>
      </c>
      <c r="BB90" s="109">
        <f ca="1">_xll.EURO(UnderlyingPrice,$D90,IntRate,Yield,AX90,$D$6,1,0)</f>
        <v>0.53391035142124799</v>
      </c>
      <c r="BC90" s="109">
        <f ca="1">_xll.EURO(UnderlyingPrice,$D90*(1+$P$8),IntRate,Yield,AY90,$D$6,1,0)</f>
        <v>0.53316885053081586</v>
      </c>
      <c r="BD90" s="109">
        <f ca="1">_xll.EURO(UnderlyingPrice,$D90*(1-$P$8),IntRate,Yield,AZ90,$D$6,1,0)</f>
        <v>0.53465296091186709</v>
      </c>
      <c r="BF90" s="59">
        <f t="shared" ca="1" si="57"/>
        <v>0.15504299232408791</v>
      </c>
      <c r="BG90" s="62">
        <f t="shared" ca="1" si="58"/>
        <v>0.15785410759286803</v>
      </c>
      <c r="BI90" s="96">
        <f t="shared" ca="1" si="59"/>
        <v>0.50901012313540328</v>
      </c>
      <c r="BJ90" s="96">
        <f t="shared" ca="1" si="60"/>
        <v>0.51025258012708774</v>
      </c>
      <c r="BK90" s="96">
        <f t="shared" ca="1" si="61"/>
        <v>0.50776704475985091</v>
      </c>
      <c r="BL90" s="62"/>
      <c r="BM90" s="96">
        <f t="shared" ca="1" si="62"/>
        <v>0.33964665260231569</v>
      </c>
      <c r="BO90" s="58">
        <f t="shared" ca="1" si="63"/>
        <v>-9.1139481680535539E-4</v>
      </c>
      <c r="BP90" s="46">
        <f t="shared" ca="1" si="64"/>
        <v>-1.7070184430387214E-3</v>
      </c>
    </row>
    <row r="91" spans="3:68" x14ac:dyDescent="0.2">
      <c r="C91" s="56">
        <v>78</v>
      </c>
      <c r="D91" s="63">
        <f t="shared" ca="1" si="65"/>
        <v>5.3720000000000017</v>
      </c>
      <c r="E91" s="45">
        <f t="shared" ca="1" si="44"/>
        <v>0.13693121693121735</v>
      </c>
      <c r="F91" s="45">
        <f t="shared" ca="1" si="36"/>
        <v>0.13749968253968303</v>
      </c>
      <c r="G91" s="45">
        <f t="shared" ca="1" si="37"/>
        <v>0.13636275132275189</v>
      </c>
      <c r="H91" s="45">
        <f t="shared" ca="1" si="38"/>
        <v>0.60814273206988689</v>
      </c>
      <c r="I91" s="45">
        <f t="shared" ca="1" si="41"/>
        <v>0.60807904023300596</v>
      </c>
      <c r="J91" s="45">
        <f t="shared" ca="1" si="39"/>
        <v>0.60801541131598169</v>
      </c>
      <c r="L91" s="58">
        <f ca="1">_xll.EURO(UnderlyingPrice,$D91,IntRate,Yield,$I91,$D$6,L$12,0)</f>
        <v>0.52835589608945233</v>
      </c>
      <c r="M91" s="58">
        <f ca="1">_xll.EURO(UnderlyingPrice,$D91,IntRate,Yield,$I91,$D$6,M$12,0)</f>
        <v>1.1638339179373767</v>
      </c>
      <c r="O91" s="58">
        <f ca="1">_xll.EURO(UnderlyingPrice,$D91*(1+$P$8),IntRate,Yield,$H91,Expiry-Today,O$12,0)</f>
        <v>0.52763813090196932</v>
      </c>
      <c r="P91" s="58">
        <f ca="1">_xll.EURO(UnderlyingPrice,$D91*(1+$P$8),IntRate,Yield,$H91,Expiry-Today,P$12,0)</f>
        <v>1.1657543196226654</v>
      </c>
      <c r="R91" s="58">
        <f ca="1">_xll.EURO(UnderlyingPrice,$D91*(1-$P$8),IntRate,Yield,$J91,Expiry-Today,R$12,0)</f>
        <v>0.52907483891297358</v>
      </c>
      <c r="S91" s="58">
        <f ca="1">_xll.EURO(UnderlyingPrice,$D91*(1-$P$8),IntRate,Yield,$J91,Expiry-Today,S$12,0)</f>
        <v>1.1619146938881264</v>
      </c>
      <c r="U91" s="59">
        <f t="shared" ca="1" si="45"/>
        <v>0.16322965807661954</v>
      </c>
      <c r="V91" s="59"/>
      <c r="W91" s="62">
        <f t="shared" ca="1" si="40"/>
        <v>0.16618920740715484</v>
      </c>
      <c r="Z91" s="59">
        <f t="shared" ca="1" si="46"/>
        <v>0.18471745918556781</v>
      </c>
      <c r="AA91" s="59">
        <f t="shared" ca="1" si="47"/>
        <v>0.20914962665204109</v>
      </c>
      <c r="AB91" s="59">
        <f t="shared" ca="1" si="42"/>
        <v>-4.3743566328688178E-2</v>
      </c>
      <c r="AC91" s="59">
        <f t="shared" ca="1" si="48"/>
        <v>-0.13531687521889843</v>
      </c>
      <c r="AD91" s="60">
        <f t="shared" ca="1" si="43"/>
        <v>0.87343909662749597</v>
      </c>
      <c r="AE91" s="60">
        <f t="shared" ca="1" si="49"/>
        <v>0.16133945068236871</v>
      </c>
      <c r="AF91" s="60"/>
      <c r="AG91" s="96">
        <f t="shared" ca="1" si="50"/>
        <v>0.52022471148321758</v>
      </c>
      <c r="AH91" s="96">
        <f t="shared" ca="1" si="51"/>
        <v>0.52146806703437643</v>
      </c>
      <c r="AI91" s="96">
        <f t="shared" ca="1" si="52"/>
        <v>0.51898073409879941</v>
      </c>
      <c r="AJ91" s="62"/>
      <c r="AK91" s="96">
        <f t="shared" ca="1" si="53"/>
        <v>0.35892598430299438</v>
      </c>
      <c r="AL91" s="96"/>
      <c r="AM91" s="94"/>
      <c r="AN91" s="95"/>
      <c r="AX91" s="106">
        <f t="shared" ca="1" si="54"/>
        <v>0.60722647074000002</v>
      </c>
      <c r="AY91" s="106">
        <f t="shared" ca="1" si="55"/>
        <v>0.60727628911011999</v>
      </c>
      <c r="AZ91" s="106">
        <f t="shared" ca="1" si="56"/>
        <v>0.60717665236988005</v>
      </c>
      <c r="BB91" s="109">
        <f ca="1">_xll.EURO(UnderlyingPrice,$D91,IntRate,Yield,AX91,$D$6,1,0)</f>
        <v>0.52729464333637965</v>
      </c>
      <c r="BC91" s="109">
        <f ca="1">_xll.EURO(UnderlyingPrice,$D91*(1+$P$8),IntRate,Yield,AY91,$D$6,1,0)</f>
        <v>0.52655974431786534</v>
      </c>
      <c r="BD91" s="109">
        <f ca="1">_xll.EURO(UnderlyingPrice,$D91*(1-$P$8),IntRate,Yield,AZ91,$D$6,1,0)</f>
        <v>0.52803064731035976</v>
      </c>
      <c r="BF91" s="59">
        <f t="shared" ca="1" si="57"/>
        <v>0.15315555656776761</v>
      </c>
      <c r="BG91" s="62">
        <f t="shared" ca="1" si="58"/>
        <v>0.15593245036420705</v>
      </c>
      <c r="BI91" s="96">
        <f t="shared" ca="1" si="59"/>
        <v>0.52013940364061795</v>
      </c>
      <c r="BJ91" s="96">
        <f t="shared" ca="1" si="60"/>
        <v>0.52138186063230285</v>
      </c>
      <c r="BK91" s="96">
        <f t="shared" ca="1" si="61"/>
        <v>0.51889632526506591</v>
      </c>
      <c r="BL91" s="62"/>
      <c r="BM91" s="96">
        <f t="shared" ca="1" si="62"/>
        <v>0.33701758357505018</v>
      </c>
      <c r="BO91" s="58">
        <f t="shared" ca="1" si="63"/>
        <v>-1.0612527530726723E-3</v>
      </c>
      <c r="BP91" s="46">
        <f t="shared" ca="1" si="64"/>
        <v>-2.0126370834297708E-3</v>
      </c>
    </row>
    <row r="92" spans="3:68" x14ac:dyDescent="0.2">
      <c r="C92" s="56">
        <v>79</v>
      </c>
      <c r="D92" s="63">
        <f t="shared" ca="1" si="65"/>
        <v>5.3960000000000017</v>
      </c>
      <c r="E92" s="45">
        <f t="shared" ca="1" si="44"/>
        <v>0.14201058201058236</v>
      </c>
      <c r="F92" s="45">
        <f t="shared" ca="1" si="36"/>
        <v>0.14258158730158765</v>
      </c>
      <c r="G92" s="45">
        <f t="shared" ca="1" si="37"/>
        <v>0.1414395767195773</v>
      </c>
      <c r="H92" s="45">
        <f t="shared" ca="1" si="38"/>
        <v>0.60871491262982991</v>
      </c>
      <c r="I92" s="45">
        <f t="shared" ca="1" si="41"/>
        <v>0.60865037138704969</v>
      </c>
      <c r="J92" s="45">
        <f t="shared" ca="1" si="39"/>
        <v>0.60858589362758497</v>
      </c>
      <c r="L92" s="58">
        <f ca="1">_xll.EURO(UnderlyingPrice,$D92,IntRate,Yield,$I92,$D$6,L$12,0)</f>
        <v>0.52198406665511432</v>
      </c>
      <c r="M92" s="58">
        <f ca="1">_xll.EURO(UnderlyingPrice,$D92,IntRate,Yield,$I92,$D$6,M$12,0)</f>
        <v>1.181034689004353</v>
      </c>
      <c r="O92" s="58">
        <f ca="1">_xll.EURO(UnderlyingPrice,$D92*(1+$P$8),IntRate,Yield,$H92,Expiry-Today,O$12,0)</f>
        <v>0.52127359518573213</v>
      </c>
      <c r="P92" s="58">
        <f ca="1">_xll.EURO(UnderlyingPrice,$D92*(1+$P$8),IntRate,Yield,$H92,Expiry-Today,P$12,0)</f>
        <v>1.1829741707079937</v>
      </c>
      <c r="R92" s="58">
        <f ca="1">_xll.EURO(UnderlyingPrice,$D92*(1-$P$8),IntRate,Yield,$J92,Expiry-Today,R$12,0)</f>
        <v>0.52269571183038588</v>
      </c>
      <c r="S92" s="58">
        <f ca="1">_xll.EURO(UnderlyingPrice,$D92*(1-$P$8),IntRate,Yield,$J92,Expiry-Today,S$12,0)</f>
        <v>1.1790963810066026</v>
      </c>
      <c r="U92" s="59">
        <f t="shared" ca="1" si="45"/>
        <v>0.1612409666452454</v>
      </c>
      <c r="V92" s="59"/>
      <c r="W92" s="62">
        <f t="shared" ca="1" si="40"/>
        <v>0.16416445861669707</v>
      </c>
      <c r="Z92" s="59">
        <f t="shared" ca="1" si="46"/>
        <v>0.18389588412618055</v>
      </c>
      <c r="AA92" s="59">
        <f t="shared" ca="1" si="47"/>
        <v>0.21360728633655934</v>
      </c>
      <c r="AB92" s="59">
        <f t="shared" ca="1" si="42"/>
        <v>-4.5628072776068854E-2</v>
      </c>
      <c r="AC92" s="59">
        <f t="shared" ca="1" si="48"/>
        <v>-0.14114643017272444</v>
      </c>
      <c r="AD92" s="60">
        <f t="shared" ca="1" si="43"/>
        <v>0.86836214796827738</v>
      </c>
      <c r="AE92" s="60">
        <f t="shared" ca="1" si="49"/>
        <v>0.15968822494233559</v>
      </c>
      <c r="AF92" s="60"/>
      <c r="AG92" s="96">
        <f t="shared" ca="1" si="50"/>
        <v>0.53131239430814048</v>
      </c>
      <c r="AH92" s="96">
        <f t="shared" ca="1" si="51"/>
        <v>0.53255574985929921</v>
      </c>
      <c r="AI92" s="96">
        <f t="shared" ca="1" si="52"/>
        <v>0.53006841692372253</v>
      </c>
      <c r="AJ92" s="62"/>
      <c r="AK92" s="96">
        <f t="shared" ca="1" si="53"/>
        <v>0.35613705187010697</v>
      </c>
      <c r="AL92" s="96"/>
      <c r="AM92" s="94"/>
      <c r="AN92" s="95"/>
      <c r="AX92" s="106">
        <f t="shared" ca="1" si="54"/>
        <v>0.60767160882000004</v>
      </c>
      <c r="AY92" s="106">
        <f t="shared" ca="1" si="55"/>
        <v>0.60772164975915999</v>
      </c>
      <c r="AZ92" s="106">
        <f t="shared" ca="1" si="56"/>
        <v>0.60762156788083999</v>
      </c>
      <c r="BB92" s="109">
        <f ca="1">_xll.EURO(UnderlyingPrice,$D92,IntRate,Yield,AX92,$D$6,1,0)</f>
        <v>0.5207671534714815</v>
      </c>
      <c r="BC92" s="109">
        <f ca="1">_xll.EURO(UnderlyingPrice,$D92*(1+$P$8),IntRate,Yield,AY92,$D$6,1,0)</f>
        <v>0.52003882323948947</v>
      </c>
      <c r="BD92" s="109">
        <f ca="1">_xll.EURO(UnderlyingPrice,$D92*(1-$P$8),IntRate,Yield,AZ92,$D$6,1,0)</f>
        <v>0.52149658491008677</v>
      </c>
      <c r="BF92" s="59">
        <f t="shared" ca="1" si="57"/>
        <v>0.15128118585904124</v>
      </c>
      <c r="BG92" s="62">
        <f t="shared" ca="1" si="58"/>
        <v>0.15402409506811127</v>
      </c>
      <c r="BI92" s="96">
        <f t="shared" ca="1" si="59"/>
        <v>0.53121907351828934</v>
      </c>
      <c r="BJ92" s="96">
        <f t="shared" ca="1" si="60"/>
        <v>0.53246153050997402</v>
      </c>
      <c r="BK92" s="96">
        <f t="shared" ca="1" si="61"/>
        <v>0.52997599514273741</v>
      </c>
      <c r="BL92" s="62"/>
      <c r="BM92" s="96">
        <f t="shared" ca="1" si="62"/>
        <v>0.33438028198792069</v>
      </c>
      <c r="BO92" s="58">
        <f t="shared" ca="1" si="63"/>
        <v>-1.2169131836328173E-3</v>
      </c>
      <c r="BP92" s="46">
        <f t="shared" ca="1" si="64"/>
        <v>-2.3367702350671747E-3</v>
      </c>
    </row>
    <row r="93" spans="3:68" x14ac:dyDescent="0.2">
      <c r="C93" s="56">
        <v>80</v>
      </c>
      <c r="D93" s="63">
        <f t="shared" ca="1" si="65"/>
        <v>5.4200000000000017</v>
      </c>
      <c r="E93" s="45">
        <f t="shared" ca="1" si="44"/>
        <v>0.1470899470899476</v>
      </c>
      <c r="F93" s="45">
        <f t="shared" ca="1" si="36"/>
        <v>0.1476634920634925</v>
      </c>
      <c r="G93" s="45">
        <f t="shared" ca="1" si="37"/>
        <v>0.14651640211640271</v>
      </c>
      <c r="H93" s="45">
        <f t="shared" ca="1" si="38"/>
        <v>0.60929212161942248</v>
      </c>
      <c r="I93" s="45">
        <f t="shared" ca="1" si="41"/>
        <v>0.60922672594608229</v>
      </c>
      <c r="J93" s="45">
        <f t="shared" ca="1" si="39"/>
        <v>0.60916139432202765</v>
      </c>
      <c r="L93" s="58">
        <f ca="1">_xll.EURO(UnderlyingPrice,$D93,IntRate,Yield,$I93,$D$6,L$12,0)</f>
        <v>0.51570511247422823</v>
      </c>
      <c r="M93" s="58">
        <f ca="1">_xll.EURO(UnderlyingPrice,$D93,IntRate,Yield,$I93,$D$6,M$12,0)</f>
        <v>1.1983283353247804</v>
      </c>
      <c r="O93" s="58">
        <f ca="1">_xll.EURO(UnderlyingPrice,$D93*(1+$P$8),IntRate,Yield,$H93,Expiry-Today,O$12,0)</f>
        <v>0.51500189906597194</v>
      </c>
      <c r="P93" s="58">
        <f ca="1">_xll.EURO(UnderlyingPrice,$D93*(1+$P$8),IntRate,Yield,$H93,Expiry-Today,P$12,0)</f>
        <v>1.200286861389797</v>
      </c>
      <c r="R93" s="58">
        <f ca="1">_xll.EURO(UnderlyingPrice,$D93*(1-$P$8),IntRate,Yield,$J93,Expiry-Today,R$12,0)</f>
        <v>0.51640949551790416</v>
      </c>
      <c r="S93" s="58">
        <f ca="1">_xll.EURO(UnderlyingPrice,$D93*(1-$P$8),IntRate,Yield,$J93,Expiry-Today,S$12,0)</f>
        <v>1.1963709788951835</v>
      </c>
      <c r="U93" s="59">
        <f t="shared" ca="1" si="45"/>
        <v>0.15926191359443478</v>
      </c>
      <c r="V93" s="59"/>
      <c r="W93" s="62">
        <f t="shared" ca="1" si="40"/>
        <v>0.16214952296219401</v>
      </c>
      <c r="Z93" s="59">
        <f t="shared" ca="1" si="46"/>
        <v>0.18308158500827865</v>
      </c>
      <c r="AA93" s="59">
        <f t="shared" ca="1" si="47"/>
        <v>0.21804516344260488</v>
      </c>
      <c r="AB93" s="59">
        <f t="shared" ca="1" si="42"/>
        <v>-4.7543693300712279E-2</v>
      </c>
      <c r="AC93" s="59">
        <f t="shared" ca="1" si="48"/>
        <v>-0.14707223378809942</v>
      </c>
      <c r="AD93" s="60">
        <f t="shared" ca="1" si="43"/>
        <v>0.86323162067424619</v>
      </c>
      <c r="AE93" s="60">
        <f t="shared" ca="1" si="49"/>
        <v>0.15804181334230616</v>
      </c>
      <c r="AF93" s="60"/>
      <c r="AG93" s="96">
        <f t="shared" ca="1" si="50"/>
        <v>0.54235087127817805</v>
      </c>
      <c r="AH93" s="96">
        <f t="shared" ca="1" si="51"/>
        <v>0.54359422682933656</v>
      </c>
      <c r="AI93" s="96">
        <f t="shared" ca="1" si="52"/>
        <v>0.54110689389375977</v>
      </c>
      <c r="AJ93" s="62"/>
      <c r="AK93" s="96">
        <f t="shared" ca="1" si="53"/>
        <v>0.35333042950733651</v>
      </c>
      <c r="AL93" s="96"/>
      <c r="AM93" s="94"/>
      <c r="AN93" s="95"/>
      <c r="AX93" s="106">
        <f t="shared" ca="1" si="54"/>
        <v>0.60811674690000006</v>
      </c>
      <c r="AY93" s="106">
        <f t="shared" ca="1" si="55"/>
        <v>0.60816701040819998</v>
      </c>
      <c r="AZ93" s="106">
        <f t="shared" ca="1" si="56"/>
        <v>0.60806648339180003</v>
      </c>
      <c r="BB93" s="109">
        <f ca="1">_xll.EURO(UnderlyingPrice,$D93,IntRate,Yield,AX93,$D$6,1,0)</f>
        <v>0.51432680220302562</v>
      </c>
      <c r="BC93" s="109">
        <f ca="1">_xll.EURO(UnderlyingPrice,$D93*(1+$P$8),IntRate,Yield,AY93,$D$6,1,0)</f>
        <v>0.51360500690815636</v>
      </c>
      <c r="BD93" s="109">
        <f ca="1">_xll.EURO(UnderlyingPrice,$D93*(1-$P$8),IntRate,Yield,AZ93,$D$6,1,0)</f>
        <v>0.5150496948546297</v>
      </c>
      <c r="BF93" s="59">
        <f t="shared" ca="1" si="57"/>
        <v>0.14942017875761684</v>
      </c>
      <c r="BG93" s="62">
        <f t="shared" ca="1" si="58"/>
        <v>0.15212934567753403</v>
      </c>
      <c r="BI93" s="96">
        <f t="shared" ca="1" si="59"/>
        <v>0.54224957310160904</v>
      </c>
      <c r="BJ93" s="96">
        <f t="shared" ca="1" si="60"/>
        <v>0.54349203009329361</v>
      </c>
      <c r="BK93" s="96">
        <f t="shared" ca="1" si="61"/>
        <v>0.54100649472605677</v>
      </c>
      <c r="BL93" s="62"/>
      <c r="BM93" s="96">
        <f t="shared" ca="1" si="62"/>
        <v>0.33173579601439163</v>
      </c>
      <c r="BO93" s="58">
        <f t="shared" ca="1" si="63"/>
        <v>-1.3783102712026096E-3</v>
      </c>
      <c r="BP93" s="46">
        <f t="shared" ca="1" si="64"/>
        <v>-2.6798336491484936E-3</v>
      </c>
    </row>
    <row r="94" spans="3:68" x14ac:dyDescent="0.2">
      <c r="C94" s="56">
        <v>81</v>
      </c>
      <c r="D94" s="63">
        <f t="shared" ca="1" si="65"/>
        <v>5.4440000000000017</v>
      </c>
      <c r="E94" s="45">
        <f t="shared" ca="1" si="44"/>
        <v>0.15216931216931262</v>
      </c>
      <c r="F94" s="45">
        <f t="shared" ca="1" si="36"/>
        <v>0.15274539682539712</v>
      </c>
      <c r="G94" s="45">
        <f t="shared" ca="1" si="37"/>
        <v>0.15159322751322812</v>
      </c>
      <c r="H94" s="45">
        <f t="shared" ca="1" si="38"/>
        <v>0.60987435903866449</v>
      </c>
      <c r="I94" s="45">
        <f t="shared" ca="1" si="41"/>
        <v>0.60980810391010343</v>
      </c>
      <c r="J94" s="45">
        <f t="shared" ca="1" si="39"/>
        <v>0.60974191339930994</v>
      </c>
      <c r="L94" s="58">
        <f ca="1">_xll.EURO(UnderlyingPrice,$D94,IntRate,Yield,$I94,$D$6,L$12,0)</f>
        <v>0.50951789363695732</v>
      </c>
      <c r="M94" s="58">
        <f ca="1">_xll.EURO(UnderlyingPrice,$D94,IntRate,Yield,$I94,$D$6,M$12,0)</f>
        <v>1.2157137169888239</v>
      </c>
      <c r="O94" s="58">
        <f ca="1">_xll.EURO(UnderlyingPrice,$D94*(1+$P$8),IntRate,Yield,$H94,Expiry-Today,O$12,0)</f>
        <v>0.50882190156756479</v>
      </c>
      <c r="P94" s="58">
        <f ca="1">_xll.EURO(UnderlyingPrice,$D94*(1+$P$8),IntRate,Yield,$H94,Expiry-Today,P$12,0)</f>
        <v>1.2176912506929543</v>
      </c>
      <c r="R94" s="58">
        <f ca="1">_xll.EURO(UnderlyingPrice,$D94*(1-$P$8),IntRate,Yield,$J94,Expiry-Today,R$12,0)</f>
        <v>0.51021505113500698</v>
      </c>
      <c r="S94" s="58">
        <f ca="1">_xll.EURO(UnderlyingPrice,$D94*(1-$P$8),IntRate,Yield,$J94,Expiry-Today,S$12,0)</f>
        <v>1.2137373487133498</v>
      </c>
      <c r="U94" s="59">
        <f t="shared" ca="1" si="45"/>
        <v>0.15729302009951038</v>
      </c>
      <c r="V94" s="59"/>
      <c r="W94" s="62">
        <f t="shared" ca="1" si="40"/>
        <v>0.1601449310685015</v>
      </c>
      <c r="Z94" s="59">
        <f t="shared" ca="1" si="46"/>
        <v>0.18227446560339278</v>
      </c>
      <c r="AA94" s="59">
        <f t="shared" ca="1" si="47"/>
        <v>0.22246343278026962</v>
      </c>
      <c r="AB94" s="59">
        <f t="shared" ca="1" si="42"/>
        <v>-4.9489978924381541E-2</v>
      </c>
      <c r="AC94" s="59">
        <f t="shared" ca="1" si="48"/>
        <v>-0.15309289719033481</v>
      </c>
      <c r="AD94" s="60">
        <f t="shared" ca="1" si="43"/>
        <v>0.85805000767396178</v>
      </c>
      <c r="AE94" s="60">
        <f t="shared" ca="1" si="49"/>
        <v>0.15640060660975846</v>
      </c>
      <c r="AF94" s="60"/>
      <c r="AG94" s="96">
        <f t="shared" ca="1" si="50"/>
        <v>0.55334057720419316</v>
      </c>
      <c r="AH94" s="96">
        <f t="shared" ca="1" si="51"/>
        <v>0.55458393275535156</v>
      </c>
      <c r="AI94" s="96">
        <f t="shared" ca="1" si="52"/>
        <v>0.5520965998197751</v>
      </c>
      <c r="AJ94" s="62"/>
      <c r="AK94" s="96">
        <f t="shared" ca="1" si="53"/>
        <v>0.35050756264555694</v>
      </c>
      <c r="AL94" s="96"/>
      <c r="AM94" s="94"/>
      <c r="AN94" s="95"/>
      <c r="AX94" s="106">
        <f t="shared" ca="1" si="54"/>
        <v>0.60856188497999997</v>
      </c>
      <c r="AY94" s="106">
        <f t="shared" ca="1" si="55"/>
        <v>0.60861237105723998</v>
      </c>
      <c r="AZ94" s="106">
        <f t="shared" ca="1" si="56"/>
        <v>0.60851139890276007</v>
      </c>
      <c r="BB94" s="109">
        <f ca="1">_xll.EURO(UnderlyingPrice,$D94,IntRate,Yield,AX94,$D$6,1,0)</f>
        <v>0.50797251760445827</v>
      </c>
      <c r="BC94" s="109">
        <f ca="1">_xll.EURO(UnderlyingPrice,$D94*(1+$P$8),IntRate,Yield,AY94,$D$6,1,0)</f>
        <v>0.50725722266753204</v>
      </c>
      <c r="BD94" s="109">
        <f ca="1">_xll.EURO(UnderlyingPrice,$D94*(1-$P$8),IntRate,Yield,AZ94,$D$6,1,0)</f>
        <v>0.50868890595031391</v>
      </c>
      <c r="BF94" s="59">
        <f t="shared" ca="1" si="57"/>
        <v>0.14757281937065839</v>
      </c>
      <c r="BG94" s="62">
        <f t="shared" ca="1" si="58"/>
        <v>0.15024849145084268</v>
      </c>
      <c r="BI94" s="96">
        <f t="shared" ca="1" si="59"/>
        <v>0.55323133688720705</v>
      </c>
      <c r="BJ94" s="96">
        <f t="shared" ca="1" si="60"/>
        <v>0.5544737938788914</v>
      </c>
      <c r="BK94" s="96">
        <f t="shared" ca="1" si="61"/>
        <v>0.55198825851165501</v>
      </c>
      <c r="BL94" s="62"/>
      <c r="BM94" s="96">
        <f t="shared" ca="1" si="62"/>
        <v>0.32908515333976135</v>
      </c>
      <c r="BO94" s="58">
        <f t="shared" ca="1" si="63"/>
        <v>-1.5453760324990462E-3</v>
      </c>
      <c r="BP94" s="46">
        <f t="shared" ca="1" si="64"/>
        <v>-3.0422433870770553E-3</v>
      </c>
    </row>
    <row r="95" spans="3:68" x14ac:dyDescent="0.2">
      <c r="C95" s="56">
        <v>82</v>
      </c>
      <c r="D95" s="63">
        <f t="shared" ca="1" si="65"/>
        <v>5.4680000000000017</v>
      </c>
      <c r="E95" s="45">
        <f t="shared" ca="1" si="44"/>
        <v>0.15724867724867764</v>
      </c>
      <c r="F95" s="45">
        <f t="shared" ca="1" si="36"/>
        <v>0.15782730158730196</v>
      </c>
      <c r="G95" s="45">
        <f t="shared" ca="1" si="37"/>
        <v>0.15667005291005354</v>
      </c>
      <c r="H95" s="45">
        <f t="shared" ca="1" si="38"/>
        <v>0.61046162488755606</v>
      </c>
      <c r="I95" s="45">
        <f t="shared" ca="1" si="41"/>
        <v>0.61039450527911321</v>
      </c>
      <c r="J95" s="45">
        <f t="shared" ca="1" si="39"/>
        <v>0.61032745085943174</v>
      </c>
      <c r="L95" s="58">
        <f ca="1">_xll.EURO(UnderlyingPrice,$D95,IntRate,Yield,$I95,$D$6,L$12,0)</f>
        <v>0.50342127608422449</v>
      </c>
      <c r="M95" s="58">
        <f ca="1">_xll.EURO(UnderlyingPrice,$D95,IntRate,Yield,$I95,$D$6,M$12,0)</f>
        <v>1.2331896999374043</v>
      </c>
      <c r="O95" s="58">
        <f ca="1">_xll.EURO(UnderlyingPrice,$D95*(1+$P$8),IntRate,Yield,$H95,Expiry-Today,O$12,0)</f>
        <v>0.50273246761100232</v>
      </c>
      <c r="P95" s="58">
        <f ca="1">_xll.EURO(UnderlyingPrice,$D95*(1+$P$8),IntRate,Yield,$H95,Expiry-Today,P$12,0)</f>
        <v>1.2351862035379573</v>
      </c>
      <c r="R95" s="58">
        <f ca="1">_xll.EURO(UnderlyingPrice,$D95*(1-$P$8),IntRate,Yield,$J95,Expiry-Today,R$12,0)</f>
        <v>0.50411124564706222</v>
      </c>
      <c r="S95" s="58">
        <f ca="1">_xll.EURO(UnderlyingPrice,$D95*(1-$P$8),IntRate,Yield,$J95,Expiry-Today,S$12,0)</f>
        <v>1.2311943574264688</v>
      </c>
      <c r="U95" s="59">
        <f t="shared" ca="1" si="45"/>
        <v>0.15533478491665703</v>
      </c>
      <c r="V95" s="59"/>
      <c r="W95" s="62">
        <f t="shared" ca="1" si="40"/>
        <v>0.15815119073485182</v>
      </c>
      <c r="Z95" s="59">
        <f t="shared" ca="1" si="46"/>
        <v>0.18147443137250735</v>
      </c>
      <c r="AA95" s="59">
        <f t="shared" ca="1" si="47"/>
        <v>0.22686226685275304</v>
      </c>
      <c r="AB95" s="59">
        <f t="shared" ca="1" si="42"/>
        <v>-5.1466488121569731E-2</v>
      </c>
      <c r="AC95" s="59">
        <f t="shared" ca="1" si="48"/>
        <v>-0.15920705455910689</v>
      </c>
      <c r="AD95" s="60">
        <f t="shared" ca="1" si="43"/>
        <v>0.85281976046749874</v>
      </c>
      <c r="AE95" s="60">
        <f t="shared" ca="1" si="49"/>
        <v>0.15476498109407727</v>
      </c>
      <c r="AF95" s="60"/>
      <c r="AG95" s="96">
        <f t="shared" ca="1" si="50"/>
        <v>0.56428194115903962</v>
      </c>
      <c r="AH95" s="96">
        <f t="shared" ca="1" si="51"/>
        <v>0.56552529671019836</v>
      </c>
      <c r="AI95" s="96">
        <f t="shared" ca="1" si="52"/>
        <v>0.56303796377462167</v>
      </c>
      <c r="AJ95" s="62"/>
      <c r="AK95" s="96">
        <f t="shared" ca="1" si="53"/>
        <v>0.3476698670166869</v>
      </c>
      <c r="AL95" s="96"/>
      <c r="AM95" s="94"/>
      <c r="AN95" s="95"/>
      <c r="AX95" s="106">
        <f t="shared" ca="1" si="54"/>
        <v>0.60900702305999999</v>
      </c>
      <c r="AY95" s="106">
        <f t="shared" ca="1" si="55"/>
        <v>0.60905773170627997</v>
      </c>
      <c r="AZ95" s="106">
        <f t="shared" ca="1" si="56"/>
        <v>0.60895631441372</v>
      </c>
      <c r="BB95" s="109">
        <f ca="1">_xll.EURO(UnderlyingPrice,$D95,IntRate,Yield,AX95,$D$6,1,0)</f>
        <v>0.50170323560898611</v>
      </c>
      <c r="BC95" s="109">
        <f ca="1">_xll.EURO(UnderlyingPrice,$D95*(1+$P$8),IntRate,Yield,AY95,$D$6,1,0)</f>
        <v>0.50099440575458232</v>
      </c>
      <c r="BD95" s="109">
        <f ca="1">_xll.EURO(UnderlyingPrice,$D95*(1-$P$8),IntRate,Yield,AZ95,$D$6,1,0)</f>
        <v>0.50241315482963733</v>
      </c>
      <c r="BF95" s="59">
        <f t="shared" ca="1" si="57"/>
        <v>0.14573937228599096</v>
      </c>
      <c r="BG95" s="62">
        <f t="shared" ca="1" si="58"/>
        <v>0.14838180177315669</v>
      </c>
      <c r="BI95" s="96">
        <f t="shared" ca="1" si="59"/>
        <v>0.56416479363785088</v>
      </c>
      <c r="BJ95" s="96">
        <f t="shared" ca="1" si="60"/>
        <v>0.56540725062953556</v>
      </c>
      <c r="BK95" s="96">
        <f t="shared" ca="1" si="61"/>
        <v>0.56292171526229895</v>
      </c>
      <c r="BL95" s="62"/>
      <c r="BM95" s="96">
        <f t="shared" ca="1" si="62"/>
        <v>0.32642934910142579</v>
      </c>
      <c r="BO95" s="58">
        <f t="shared" ca="1" si="63"/>
        <v>-1.7180404752383804E-3</v>
      </c>
      <c r="BP95" s="46">
        <f t="shared" ca="1" si="64"/>
        <v>-3.424415776695079E-3</v>
      </c>
    </row>
    <row r="96" spans="3:68" x14ac:dyDescent="0.2">
      <c r="C96" s="56">
        <v>83</v>
      </c>
      <c r="D96" s="63">
        <f t="shared" ca="1" si="65"/>
        <v>5.4920000000000018</v>
      </c>
      <c r="E96" s="45">
        <f t="shared" ca="1" si="44"/>
        <v>0.16232804232804288</v>
      </c>
      <c r="F96" s="45">
        <f t="shared" ca="1" si="36"/>
        <v>0.1629092063492068</v>
      </c>
      <c r="G96" s="45">
        <f t="shared" ca="1" si="37"/>
        <v>0.16174687830687873</v>
      </c>
      <c r="H96" s="45">
        <f t="shared" ca="1" si="38"/>
        <v>0.61105391916609719</v>
      </c>
      <c r="I96" s="45">
        <f t="shared" ca="1" si="41"/>
        <v>0.61098593005311175</v>
      </c>
      <c r="J96" s="45">
        <f t="shared" ca="1" si="39"/>
        <v>0.61091800670239305</v>
      </c>
      <c r="L96" s="58">
        <f ca="1">_xll.EURO(UnderlyingPrice,$D96,IntRate,Yield,$I96,$D$6,L$12,0)</f>
        <v>0.49741413189534978</v>
      </c>
      <c r="M96" s="58">
        <f ca="1">_xll.EURO(UnderlyingPrice,$D96,IntRate,Yield,$I96,$D$6,M$12,0)</f>
        <v>1.2507551562498445</v>
      </c>
      <c r="O96" s="58">
        <f ca="1">_xll.EURO(UnderlyingPrice,$D96*(1+$P$8),IntRate,Yield,$H96,Expiry-Today,O$12,0)</f>
        <v>0.49673246829939099</v>
      </c>
      <c r="P96" s="58">
        <f ca="1">_xll.EURO(UnderlyingPrice,$D96*(1+$P$8),IntRate,Yield,$H96,Expiry-Today,P$12,0)</f>
        <v>1.252770591027911</v>
      </c>
      <c r="R96" s="58">
        <f ca="1">_xll.EURO(UnderlyingPrice,$D96*(1-$P$8),IntRate,Yield,$J96,Expiry-Today,R$12,0)</f>
        <v>0.49809695211361982</v>
      </c>
      <c r="S96" s="58">
        <f ca="1">_xll.EURO(UnderlyingPrice,$D96*(1-$P$8),IntRate,Yield,$J96,Expiry-Today,S$12,0)</f>
        <v>1.2487408780940892</v>
      </c>
      <c r="U96" s="59">
        <f t="shared" ca="1" si="45"/>
        <v>0.15338768742884903</v>
      </c>
      <c r="V96" s="59"/>
      <c r="W96" s="62">
        <f t="shared" ca="1" si="40"/>
        <v>0.15616879003600712</v>
      </c>
      <c r="Z96" s="59">
        <f t="shared" ca="1" si="46"/>
        <v>0.18068138942914608</v>
      </c>
      <c r="AA96" s="59">
        <f t="shared" ca="1" si="47"/>
        <v>0.23124183589677469</v>
      </c>
      <c r="AB96" s="59">
        <f t="shared" ca="1" si="42"/>
        <v>-5.3472786668910872E-2</v>
      </c>
      <c r="AC96" s="59">
        <f t="shared" ca="1" si="48"/>
        <v>-0.16541336266262269</v>
      </c>
      <c r="AD96" s="60">
        <f t="shared" ca="1" si="43"/>
        <v>0.84754328891803643</v>
      </c>
      <c r="AE96" s="60">
        <f t="shared" ca="1" si="49"/>
        <v>0.153135299043059</v>
      </c>
      <c r="AF96" s="60"/>
      <c r="AG96" s="96">
        <f t="shared" ca="1" si="50"/>
        <v>0.57517538657808154</v>
      </c>
      <c r="AH96" s="96">
        <f t="shared" ca="1" si="51"/>
        <v>0.57641874212923994</v>
      </c>
      <c r="AI96" s="96">
        <f t="shared" ca="1" si="52"/>
        <v>0.5739314091936627</v>
      </c>
      <c r="AJ96" s="62"/>
      <c r="AK96" s="96">
        <f t="shared" ca="1" si="53"/>
        <v>0.34481873440023009</v>
      </c>
      <c r="AL96" s="96"/>
      <c r="AM96" s="94"/>
      <c r="AN96" s="95"/>
      <c r="AX96" s="106">
        <f t="shared" ca="1" si="54"/>
        <v>0.60945216114</v>
      </c>
      <c r="AY96" s="106">
        <f t="shared" ca="1" si="55"/>
        <v>0.60950309235532008</v>
      </c>
      <c r="AZ96" s="106">
        <f t="shared" ca="1" si="56"/>
        <v>0.60940122992468004</v>
      </c>
      <c r="BB96" s="109">
        <f ca="1">_xll.EURO(UnderlyingPrice,$D96,IntRate,Yield,AX96,$D$6,1,0)</f>
        <v>0.49551790016282071</v>
      </c>
      <c r="BC96" s="109">
        <f ca="1">_xll.EURO(UnderlyingPrice,$D96*(1+$P$8),IntRate,Yield,AY96,$D$6,1,0)</f>
        <v>0.49481549945213565</v>
      </c>
      <c r="BD96" s="109">
        <f ca="1">_xll.EURO(UnderlyingPrice,$D96*(1-$P$8),IntRate,Yield,AZ96,$D$6,1,0)</f>
        <v>0.49622138610522737</v>
      </c>
      <c r="BF96" s="59">
        <f t="shared" ca="1" si="57"/>
        <v>0.1439200873783881</v>
      </c>
      <c r="BG96" s="62">
        <f t="shared" ca="1" si="58"/>
        <v>0.14652953104977873</v>
      </c>
      <c r="BI96" s="96">
        <f t="shared" ca="1" si="59"/>
        <v>0.57505036648289243</v>
      </c>
      <c r="BJ96" s="96">
        <f t="shared" ca="1" si="60"/>
        <v>0.57629282347457689</v>
      </c>
      <c r="BK96" s="96">
        <f t="shared" ca="1" si="61"/>
        <v>0.57380728810733961</v>
      </c>
      <c r="BL96" s="62"/>
      <c r="BM96" s="96">
        <f t="shared" ca="1" si="62"/>
        <v>0.32376935574240867</v>
      </c>
      <c r="BO96" s="58">
        <f t="shared" ca="1" si="63"/>
        <v>-1.8962317325290634E-3</v>
      </c>
      <c r="BP96" s="46">
        <f t="shared" ca="1" si="64"/>
        <v>-3.8267673718870429E-3</v>
      </c>
    </row>
    <row r="97" spans="3:68" x14ac:dyDescent="0.2">
      <c r="C97" s="56">
        <v>84</v>
      </c>
      <c r="D97" s="63">
        <f t="shared" ca="1" si="65"/>
        <v>5.5160000000000018</v>
      </c>
      <c r="E97" s="45">
        <f t="shared" ca="1" si="44"/>
        <v>0.16740740740740789</v>
      </c>
      <c r="F97" s="45">
        <f t="shared" ca="1" si="36"/>
        <v>0.16799111111111165</v>
      </c>
      <c r="G97" s="45">
        <f t="shared" ca="1" si="37"/>
        <v>0.16682370370370414</v>
      </c>
      <c r="H97" s="45">
        <f t="shared" ca="1" si="38"/>
        <v>0.61165124187428777</v>
      </c>
      <c r="I97" s="45">
        <f t="shared" ca="1" si="41"/>
        <v>0.61158237823209882</v>
      </c>
      <c r="J97" s="45">
        <f t="shared" ca="1" si="39"/>
        <v>0.61151358092819386</v>
      </c>
      <c r="L97" s="58">
        <f ca="1">_xll.EURO(UnderlyingPrice,$D97,IntRate,Yield,$I97,$D$6,L$12,0)</f>
        <v>0.49149533956369007</v>
      </c>
      <c r="M97" s="58">
        <f ca="1">_xll.EURO(UnderlyingPrice,$D97,IntRate,Yield,$I97,$D$6,M$12,0)</f>
        <v>1.2684089644194985</v>
      </c>
      <c r="O97" s="58">
        <f ca="1">_xll.EURO(UnderlyingPrice,$D97*(1+$P$8),IntRate,Yield,$H97,Expiry-Today,O$12,0)</f>
        <v>0.49082078119340555</v>
      </c>
      <c r="P97" s="58">
        <f ca="1">_xll.EURO(UnderlyingPrice,$D97*(1+$P$8),IntRate,Yield,$H97,Expiry-Today,P$12,0)</f>
        <v>1.270443290723489</v>
      </c>
      <c r="R97" s="58">
        <f ca="1">_xll.EURO(UnderlyingPrice,$D97*(1-$P$8),IntRate,Yield,$J97,Expiry-Today,R$12,0)</f>
        <v>0.49217104996471162</v>
      </c>
      <c r="S97" s="58">
        <f ca="1">_xll.EURO(UnderlyingPrice,$D97*(1-$P$8),IntRate,Yield,$J97,Expiry-Today,S$12,0)</f>
        <v>1.266375790146244</v>
      </c>
      <c r="U97" s="59">
        <f t="shared" ca="1" si="45"/>
        <v>0.15145218485354189</v>
      </c>
      <c r="V97" s="59"/>
      <c r="W97" s="62">
        <f t="shared" ca="1" si="40"/>
        <v>0.15419819447932331</v>
      </c>
      <c r="Z97" s="59">
        <f t="shared" ca="1" si="46"/>
        <v>0.17989524850342101</v>
      </c>
      <c r="AA97" s="59">
        <f t="shared" ca="1" si="47"/>
        <v>0.23560230792210538</v>
      </c>
      <c r="AB97" s="59">
        <f t="shared" ca="1" si="42"/>
        <v>-5.5508447498222556E-2</v>
      </c>
      <c r="AC97" s="59">
        <f t="shared" ca="1" si="48"/>
        <v>-0.1717105004030203</v>
      </c>
      <c r="AD97" s="60">
        <f t="shared" ca="1" si="43"/>
        <v>0.84222296108634687</v>
      </c>
      <c r="AE97" s="60">
        <f t="shared" ca="1" si="49"/>
        <v>0.15151190887991545</v>
      </c>
      <c r="AF97" s="60"/>
      <c r="AG97" s="96">
        <f t="shared" ca="1" si="50"/>
        <v>0.58602133135752044</v>
      </c>
      <c r="AH97" s="96">
        <f t="shared" ca="1" si="51"/>
        <v>0.58726468690867917</v>
      </c>
      <c r="AI97" s="96">
        <f t="shared" ca="1" si="52"/>
        <v>0.58477735397310182</v>
      </c>
      <c r="AJ97" s="62"/>
      <c r="AK97" s="96">
        <f t="shared" ca="1" si="53"/>
        <v>0.34195552536698143</v>
      </c>
      <c r="AL97" s="96"/>
      <c r="AM97" s="94"/>
      <c r="AN97" s="95"/>
      <c r="AX97" s="106">
        <f t="shared" ca="1" si="54"/>
        <v>0.60989729922000002</v>
      </c>
      <c r="AY97" s="106">
        <f t="shared" ca="1" si="55"/>
        <v>0.60994845300436007</v>
      </c>
      <c r="AZ97" s="106">
        <f t="shared" ca="1" si="56"/>
        <v>0.60984614543563997</v>
      </c>
      <c r="BB97" s="109">
        <f ca="1">_xll.EURO(UnderlyingPrice,$D97,IntRate,Yield,AX97,$D$6,1,0)</f>
        <v>0.48941546336912056</v>
      </c>
      <c r="BC97" s="109">
        <f ca="1">_xll.EURO(UnderlyingPrice,$D97*(1+$P$8),IntRate,Yield,AY97,$D$6,1,0)</f>
        <v>0.48871945523214988</v>
      </c>
      <c r="BD97" s="109">
        <f ca="1">_xll.EURO(UnderlyingPrice,$D97*(1-$P$8),IntRate,Yield,AZ97,$D$6,1,0)</f>
        <v>0.49011255251445651</v>
      </c>
      <c r="BF97" s="59">
        <f t="shared" ca="1" si="57"/>
        <v>0.14211520014382453</v>
      </c>
      <c r="BG97" s="62">
        <f t="shared" ca="1" si="58"/>
        <v>0.14469191904650777</v>
      </c>
      <c r="BI97" s="96">
        <f t="shared" ca="1" si="59"/>
        <v>0.58588847301652425</v>
      </c>
      <c r="BJ97" s="96">
        <f t="shared" ca="1" si="60"/>
        <v>0.58713093000820915</v>
      </c>
      <c r="BK97" s="96">
        <f t="shared" ca="1" si="61"/>
        <v>0.58464539464097176</v>
      </c>
      <c r="BL97" s="62"/>
      <c r="BM97" s="96">
        <f t="shared" ca="1" si="62"/>
        <v>0.32110612304327335</v>
      </c>
      <c r="BO97" s="58">
        <f t="shared" ca="1" si="63"/>
        <v>-2.0798761945695077E-3</v>
      </c>
      <c r="BP97" s="46">
        <f t="shared" ca="1" si="64"/>
        <v>-4.2497149155274047E-3</v>
      </c>
    </row>
    <row r="98" spans="3:68" x14ac:dyDescent="0.2">
      <c r="C98" s="56">
        <v>85</v>
      </c>
      <c r="D98" s="63">
        <f t="shared" ca="1" si="65"/>
        <v>5.5400000000000018</v>
      </c>
      <c r="E98" s="45">
        <f t="shared" ca="1" si="44"/>
        <v>0.17248677248677291</v>
      </c>
      <c r="F98" s="45">
        <f t="shared" ca="1" si="36"/>
        <v>0.17307301587301627</v>
      </c>
      <c r="G98" s="45">
        <f t="shared" ca="1" si="37"/>
        <v>0.17190052910052955</v>
      </c>
      <c r="H98" s="45">
        <f t="shared" ca="1" si="38"/>
        <v>0.61225359301212789</v>
      </c>
      <c r="I98" s="45">
        <f t="shared" ca="1" si="41"/>
        <v>0.61218384981607465</v>
      </c>
      <c r="J98" s="45">
        <f t="shared" ca="1" si="39"/>
        <v>0.61211417353683428</v>
      </c>
      <c r="L98" s="58">
        <f ca="1">_xll.EURO(UnderlyingPrice,$D98,IntRate,Yield,$I98,$D$6,L$12,0)</f>
        <v>0.4856637842603897</v>
      </c>
      <c r="M98" s="58">
        <f ca="1">_xll.EURO(UnderlyingPrice,$D98,IntRate,Yield,$I98,$D$6,M$12,0)</f>
        <v>1.2861500096175114</v>
      </c>
      <c r="O98" s="58">
        <f ca="1">_xll.EURO(UnderlyingPrice,$D98*(1+$P$8),IntRate,Yield,$H98,Expiry-Today,O$12,0)</f>
        <v>0.48499629057436144</v>
      </c>
      <c r="P98" s="58">
        <f ca="1">_xll.EURO(UnderlyingPrice,$D98*(1+$P$8),IntRate,Yield,$H98,Expiry-Today,P$12,0)</f>
        <v>1.2882031869060104</v>
      </c>
      <c r="R98" s="58">
        <f ca="1">_xll.EURO(UnderlyingPrice,$D98*(1-$P$8),IntRate,Yield,$J98,Expiry-Today,R$12,0)</f>
        <v>0.48633242526529386</v>
      </c>
      <c r="S98" s="58">
        <f ca="1">_xll.EURO(UnderlyingPrice,$D98*(1-$P$8),IntRate,Yield,$J98,Expiry-Today,S$12,0)</f>
        <v>1.2840979796478895</v>
      </c>
      <c r="U98" s="59">
        <f t="shared" ca="1" si="45"/>
        <v>0.1495287148151026</v>
      </c>
      <c r="V98" s="59"/>
      <c r="W98" s="62">
        <f t="shared" ca="1" si="40"/>
        <v>0.1522398496238217</v>
      </c>
      <c r="Z98" s="59">
        <f t="shared" ca="1" si="46"/>
        <v>0.17911591890701628</v>
      </c>
      <c r="AA98" s="59">
        <f t="shared" ca="1" si="47"/>
        <v>0.23994384875024238</v>
      </c>
      <c r="AB98" s="59">
        <f t="shared" ca="1" si="42"/>
        <v>-5.7573050553079194E-2</v>
      </c>
      <c r="AC98" s="59">
        <f t="shared" ca="1" si="48"/>
        <v>-0.17809716837269085</v>
      </c>
      <c r="AD98" s="60">
        <f t="shared" ca="1" si="43"/>
        <v>0.83686110310639028</v>
      </c>
      <c r="AE98" s="60">
        <f t="shared" ca="1" si="49"/>
        <v>0.14989514548044039</v>
      </c>
      <c r="AF98" s="60"/>
      <c r="AG98" s="96">
        <f t="shared" ca="1" si="50"/>
        <v>0.59682018795059355</v>
      </c>
      <c r="AH98" s="96">
        <f t="shared" ca="1" si="51"/>
        <v>0.59806354350175217</v>
      </c>
      <c r="AI98" s="96">
        <f t="shared" ca="1" si="52"/>
        <v>0.59557621056617516</v>
      </c>
      <c r="AJ98" s="62"/>
      <c r="AK98" s="96">
        <f t="shared" ca="1" si="53"/>
        <v>0.33908157402351036</v>
      </c>
      <c r="AL98" s="96"/>
      <c r="AM98" s="94"/>
      <c r="AN98" s="95"/>
      <c r="AX98" s="106">
        <f t="shared" ca="1" si="54"/>
        <v>0.61034243730000004</v>
      </c>
      <c r="AY98" s="106">
        <f t="shared" ca="1" si="55"/>
        <v>0.61039381365340006</v>
      </c>
      <c r="AZ98" s="106">
        <f t="shared" ca="1" si="56"/>
        <v>0.61029106094660002</v>
      </c>
      <c r="BB98" s="109">
        <f ca="1">_xll.EURO(UnderlyingPrice,$D98,IntRate,Yield,AX98,$D$6,1,0)</f>
        <v>0.4833948856228456</v>
      </c>
      <c r="BC98" s="109">
        <f ca="1">_xll.EURO(UnderlyingPrice,$D98*(1+$P$8),IntRate,Yield,AY98,$D$6,1,0)</f>
        <v>0.48270523288985467</v>
      </c>
      <c r="BD98" s="109">
        <f ca="1">_xll.EURO(UnderlyingPrice,$D98*(1-$P$8),IntRate,Yield,AZ98,$D$6,1,0)</f>
        <v>0.48408561505497394</v>
      </c>
      <c r="BF98" s="59">
        <f t="shared" ca="1" si="57"/>
        <v>0.14032492765491278</v>
      </c>
      <c r="BG98" s="62">
        <f t="shared" ca="1" si="58"/>
        <v>0.14286918677174296</v>
      </c>
      <c r="BI98" s="96">
        <f t="shared" ca="1" si="59"/>
        <v>0.59667952539390834</v>
      </c>
      <c r="BJ98" s="96">
        <f t="shared" ca="1" si="60"/>
        <v>0.59792198238559302</v>
      </c>
      <c r="BK98" s="96">
        <f t="shared" ca="1" si="61"/>
        <v>0.59543644701835596</v>
      </c>
      <c r="BL98" s="62"/>
      <c r="BM98" s="96">
        <f t="shared" ca="1" si="62"/>
        <v>0.31844056823672934</v>
      </c>
      <c r="BO98" s="58">
        <f t="shared" ca="1" si="63"/>
        <v>-2.2688986375440923E-3</v>
      </c>
      <c r="BP98" s="46">
        <f t="shared" ca="1" si="64"/>
        <v>-4.6936753056885513E-3</v>
      </c>
    </row>
    <row r="99" spans="3:68" x14ac:dyDescent="0.2">
      <c r="C99" s="56">
        <v>86</v>
      </c>
      <c r="D99" s="63">
        <f t="shared" ca="1" si="65"/>
        <v>5.5640000000000018</v>
      </c>
      <c r="E99" s="45">
        <f t="shared" ca="1" si="44"/>
        <v>0.17756613756613815</v>
      </c>
      <c r="F99" s="45">
        <f t="shared" ca="1" si="36"/>
        <v>0.17815492063492111</v>
      </c>
      <c r="G99" s="45">
        <f t="shared" ca="1" si="37"/>
        <v>0.17697735449735497</v>
      </c>
      <c r="H99" s="45">
        <f t="shared" ca="1" si="38"/>
        <v>0.61286097257961736</v>
      </c>
      <c r="I99" s="45">
        <f t="shared" ca="1" si="41"/>
        <v>0.61279034480503913</v>
      </c>
      <c r="J99" s="45">
        <f t="shared" ca="1" si="39"/>
        <v>0.6127197845283141</v>
      </c>
      <c r="L99" s="58">
        <f ca="1">_xll.EURO(UnderlyingPrice,$D99,IntRate,Yield,$I99,$D$6,L$12,0)</f>
        <v>0.47991835808637928</v>
      </c>
      <c r="M99" s="58">
        <f ca="1">_xll.EURO(UnderlyingPrice,$D99,IntRate,Yield,$I99,$D$6,M$12,0)</f>
        <v>1.3039771839448155</v>
      </c>
      <c r="O99" s="58">
        <f ca="1">_xll.EURO(UnderlyingPrice,$D99*(1+$P$8),IntRate,Yield,$H99,Expiry-Today,O$12,0)</f>
        <v>0.47925788769549516</v>
      </c>
      <c r="P99" s="58">
        <f ca="1">_xll.EURO(UnderlyingPrice,$D99*(1+$P$8),IntRate,Yield,$H99,Expiry-Today,P$12,0)</f>
        <v>1.3060491708287087</v>
      </c>
      <c r="R99" s="58">
        <f ca="1">_xll.EURO(UnderlyingPrice,$D99*(1-$P$8),IntRate,Yield,$J99,Expiry-Today,R$12,0)</f>
        <v>0.48057997096795191</v>
      </c>
      <c r="S99" s="58">
        <f ca="1">_xll.EURO(UnderlyingPrice,$D99*(1-$P$8),IntRate,Yield,$J99,Expiry-Today,S$12,0)</f>
        <v>1.3019063395516111</v>
      </c>
      <c r="U99" s="59">
        <f t="shared" ca="1" si="45"/>
        <v>0.14761769438267314</v>
      </c>
      <c r="V99" s="59"/>
      <c r="W99" s="62">
        <f t="shared" ca="1" si="40"/>
        <v>0.15029418010060763</v>
      </c>
      <c r="Z99" s="59">
        <f t="shared" ca="1" si="46"/>
        <v>0.17834331249907806</v>
      </c>
      <c r="AA99" s="59">
        <f t="shared" ca="1" si="47"/>
        <v>0.24426662205224656</v>
      </c>
      <c r="AB99" s="59">
        <f t="shared" ca="1" si="42"/>
        <v>-5.9666182648815062E-2</v>
      </c>
      <c r="AC99" s="59">
        <f t="shared" ca="1" si="48"/>
        <v>-0.18457208842121028</v>
      </c>
      <c r="AD99" s="60">
        <f t="shared" ca="1" si="43"/>
        <v>0.83145999910027657</v>
      </c>
      <c r="AE99" s="60">
        <f t="shared" ca="1" si="49"/>
        <v>0.14828533045002379</v>
      </c>
      <c r="AF99" s="60"/>
      <c r="AG99" s="96">
        <f t="shared" ca="1" si="50"/>
        <v>0.6075723634616873</v>
      </c>
      <c r="AH99" s="96">
        <f t="shared" ca="1" si="51"/>
        <v>0.60881571901284581</v>
      </c>
      <c r="AI99" s="96">
        <f t="shared" ca="1" si="52"/>
        <v>0.60632838607726858</v>
      </c>
      <c r="AJ99" s="62"/>
      <c r="AK99" s="96">
        <f t="shared" ca="1" si="53"/>
        <v>0.33619818485848002</v>
      </c>
      <c r="AL99" s="96"/>
      <c r="AM99" s="94"/>
      <c r="AN99" s="95"/>
      <c r="AX99" s="106">
        <f t="shared" ca="1" si="54"/>
        <v>0.61078757538000006</v>
      </c>
      <c r="AY99" s="106">
        <f t="shared" ca="1" si="55"/>
        <v>0.61083917430244006</v>
      </c>
      <c r="AZ99" s="106">
        <f t="shared" ca="1" si="56"/>
        <v>0.61073597645756006</v>
      </c>
      <c r="BB99" s="109">
        <f ca="1">_xll.EURO(UnderlyingPrice,$D99,IntRate,Yield,AX99,$D$6,1,0)</f>
        <v>0.47745513573670872</v>
      </c>
      <c r="BC99" s="109">
        <f ca="1">_xll.EURO(UnderlyingPrice,$D99*(1+$P$8),IntRate,Yield,AY99,$D$6,1,0)</f>
        <v>0.47677180066903224</v>
      </c>
      <c r="BD99" s="109">
        <f ca="1">_xll.EURO(UnderlyingPrice,$D99*(1-$P$8),IntRate,Yield,AZ99,$D$6,1,0)</f>
        <v>0.47813954311136619</v>
      </c>
      <c r="BF99" s="59">
        <f t="shared" ca="1" si="57"/>
        <v>0.13854947422955674</v>
      </c>
      <c r="BG99" s="62">
        <f t="shared" ca="1" si="58"/>
        <v>0.14106154224791667</v>
      </c>
      <c r="BI99" s="96">
        <f t="shared" ca="1" si="59"/>
        <v>0.60742393042522091</v>
      </c>
      <c r="BJ99" s="96">
        <f t="shared" ca="1" si="60"/>
        <v>0.60866638741690549</v>
      </c>
      <c r="BK99" s="96">
        <f t="shared" ca="1" si="61"/>
        <v>0.60618085204966832</v>
      </c>
      <c r="BL99" s="62"/>
      <c r="BM99" s="96">
        <f t="shared" ca="1" si="62"/>
        <v>0.31577358802173794</v>
      </c>
      <c r="BO99" s="58">
        <f t="shared" ca="1" si="63"/>
        <v>-2.4632223496705574E-3</v>
      </c>
      <c r="BP99" s="46">
        <f t="shared" ca="1" si="64"/>
        <v>-5.1590655651233674E-3</v>
      </c>
    </row>
    <row r="100" spans="3:68" x14ac:dyDescent="0.2">
      <c r="C100" s="56">
        <v>87</v>
      </c>
      <c r="D100" s="63">
        <f t="shared" ca="1" si="65"/>
        <v>5.5880000000000019</v>
      </c>
      <c r="E100" s="45">
        <f t="shared" ca="1" si="44"/>
        <v>0.18264550264550317</v>
      </c>
      <c r="F100" s="45">
        <f t="shared" ca="1" si="36"/>
        <v>0.18323682539682573</v>
      </c>
      <c r="G100" s="45">
        <f t="shared" ca="1" si="37"/>
        <v>0.18205417989418038</v>
      </c>
      <c r="H100" s="45">
        <f t="shared" ca="1" si="38"/>
        <v>0.61347338057675638</v>
      </c>
      <c r="I100" s="45">
        <f t="shared" ca="1" si="41"/>
        <v>0.61340186319899226</v>
      </c>
      <c r="J100" s="45">
        <f t="shared" ca="1" si="39"/>
        <v>0.61333041390263354</v>
      </c>
      <c r="L100" s="58">
        <f ca="1">_xll.EURO(UnderlyingPrice,$D100,IntRate,Yield,$I100,$D$6,L$12,0)</f>
        <v>0.47425796031279566</v>
      </c>
      <c r="M100" s="58">
        <f ca="1">_xll.EURO(UnderlyingPrice,$D100,IntRate,Yield,$I100,$D$6,M$12,0)</f>
        <v>1.3218893866725461</v>
      </c>
      <c r="O100" s="58">
        <f ca="1">_xll.EURO(UnderlyingPrice,$D100*(1+$P$8),IntRate,Yield,$H100,Expiry-Today,O$12,0)</f>
        <v>0.47360447102166914</v>
      </c>
      <c r="P100" s="58">
        <f ca="1">_xll.EURO(UnderlyingPrice,$D100*(1+$P$8),IntRate,Yield,$H100,Expiry-Today,P$12,0)</f>
        <v>1.3239801409564471</v>
      </c>
      <c r="R100" s="58">
        <f ca="1">_xll.EURO(UnderlyingPrice,$D100*(1-$P$8),IntRate,Yield,$J100,Expiry-Today,R$12,0)</f>
        <v>0.47491258715404183</v>
      </c>
      <c r="S100" s="58">
        <f ca="1">_xll.EURO(UnderlyingPrice,$D100*(1-$P$8),IntRate,Yield,$J100,Expiry-Today,S$12,0)</f>
        <v>1.3197997699387645</v>
      </c>
      <c r="U100" s="59">
        <f t="shared" ca="1" si="45"/>
        <v>0.14571952164296714</v>
      </c>
      <c r="V100" s="59"/>
      <c r="W100" s="62">
        <f t="shared" ca="1" si="40"/>
        <v>0.14836159121418399</v>
      </c>
      <c r="Z100" s="59">
        <f t="shared" ca="1" si="46"/>
        <v>0.17757734265298325</v>
      </c>
      <c r="AA100" s="59">
        <f t="shared" ca="1" si="47"/>
        <v>0.24857078938576541</v>
      </c>
      <c r="AB100" s="59">
        <f t="shared" ca="1" si="42"/>
        <v>-6.1787437335862547E-2</v>
      </c>
      <c r="AC100" s="59">
        <f t="shared" ca="1" si="48"/>
        <v>-0.19113400323258811</v>
      </c>
      <c r="AD100" s="60">
        <f t="shared" ca="1" si="43"/>
        <v>0.82602189113088009</v>
      </c>
      <c r="AE100" s="60">
        <f t="shared" ca="1" si="49"/>
        <v>0.14668277240021352</v>
      </c>
      <c r="AF100" s="60"/>
      <c r="AG100" s="96">
        <f t="shared" ca="1" si="50"/>
        <v>0.61827825973842576</v>
      </c>
      <c r="AH100" s="96">
        <f t="shared" ca="1" si="51"/>
        <v>0.61952161528958405</v>
      </c>
      <c r="AI100" s="96">
        <f t="shared" ca="1" si="52"/>
        <v>0.61703428235400726</v>
      </c>
      <c r="AJ100" s="62"/>
      <c r="AK100" s="96">
        <f t="shared" ca="1" si="53"/>
        <v>0.33330663533091198</v>
      </c>
      <c r="AL100" s="96"/>
      <c r="AM100" s="94"/>
      <c r="AN100" s="95"/>
      <c r="AX100" s="106">
        <f t="shared" ca="1" si="54"/>
        <v>0.61123271346000008</v>
      </c>
      <c r="AY100" s="106">
        <f t="shared" ca="1" si="55"/>
        <v>0.61128453495148005</v>
      </c>
      <c r="AZ100" s="106">
        <f t="shared" ca="1" si="56"/>
        <v>0.61118089196851999</v>
      </c>
      <c r="BB100" s="109">
        <f ca="1">_xll.EURO(UnderlyingPrice,$D100,IntRate,Yield,AX100,$D$6,1,0)</f>
        <v>0.47159519105847547</v>
      </c>
      <c r="BC100" s="109">
        <f ca="1">_xll.EURO(UnderlyingPrice,$D100*(1+$P$8),IntRate,Yield,AY100,$D$6,1,0)</f>
        <v>0.47091813537861027</v>
      </c>
      <c r="BD100" s="109">
        <f ca="1">_xll.EURO(UnderlyingPrice,$D100*(1-$P$8),IntRate,Yield,AZ100,$D$6,1,0)</f>
        <v>0.47227331457314325</v>
      </c>
      <c r="BF100" s="59">
        <f t="shared" ca="1" si="57"/>
        <v>0.1367890292806675</v>
      </c>
      <c r="BG100" s="62">
        <f t="shared" ca="1" si="58"/>
        <v>0.13926917832222308</v>
      </c>
      <c r="BI100" s="96">
        <f t="shared" ca="1" si="59"/>
        <v>0.61812208966767546</v>
      </c>
      <c r="BJ100" s="96">
        <f t="shared" ca="1" si="60"/>
        <v>0.61936454665935969</v>
      </c>
      <c r="BK100" s="96">
        <f t="shared" ca="1" si="61"/>
        <v>0.61687901129212297</v>
      </c>
      <c r="BL100" s="62"/>
      <c r="BM100" s="96">
        <f t="shared" ca="1" si="62"/>
        <v>0.31310605301496119</v>
      </c>
      <c r="BO100" s="58">
        <f t="shared" ca="1" si="63"/>
        <v>-2.6627692543201853E-3</v>
      </c>
      <c r="BP100" s="46">
        <f t="shared" ca="1" si="64"/>
        <v>-5.6463028139530263E-3</v>
      </c>
    </row>
    <row r="101" spans="3:68" x14ac:dyDescent="0.2">
      <c r="C101" s="56">
        <v>88</v>
      </c>
      <c r="D101" s="63">
        <f t="shared" ca="1" si="65"/>
        <v>5.6120000000000019</v>
      </c>
      <c r="E101" s="45">
        <f t="shared" ca="1" si="44"/>
        <v>0.18772486772486818</v>
      </c>
      <c r="F101" s="45">
        <f t="shared" ca="1" si="36"/>
        <v>0.18831873015873057</v>
      </c>
      <c r="G101" s="45">
        <f t="shared" ca="1" si="37"/>
        <v>0.18713100529100579</v>
      </c>
      <c r="H101" s="45">
        <f t="shared" ca="1" si="38"/>
        <v>0.61409081700354506</v>
      </c>
      <c r="I101" s="45">
        <f t="shared" ca="1" si="41"/>
        <v>0.61401840499793414</v>
      </c>
      <c r="J101" s="45">
        <f t="shared" ca="1" si="39"/>
        <v>0.6139460616597926</v>
      </c>
      <c r="L101" s="58">
        <f ca="1">_xll.EURO(UnderlyingPrice,$D101,IntRate,Yield,$I101,$D$6,L$12,0)</f>
        <v>0.46868149760998734</v>
      </c>
      <c r="M101" s="58">
        <f ca="1">_xll.EURO(UnderlyingPrice,$D101,IntRate,Yield,$I101,$D$6,M$12,0)</f>
        <v>1.3398855244710508</v>
      </c>
      <c r="O101" s="58">
        <f ca="1">_xll.EURO(UnderlyingPrice,$D101*(1+$P$8),IntRate,Yield,$H101,Expiry-Today,O$12,0)</f>
        <v>0.46803494645762456</v>
      </c>
      <c r="P101" s="58">
        <f ca="1">_xll.EURO(UnderlyingPrice,$D101*(1+$P$8),IntRate,Yield,$H101,Expiry-Today,P$12,0)</f>
        <v>1.3419950031939676</v>
      </c>
      <c r="R101" s="58">
        <f ca="1">_xll.EURO(UnderlyingPrice,$D101*(1-$P$8),IntRate,Yield,$J101,Expiry-Today,R$12,0)</f>
        <v>0.46932918126343415</v>
      </c>
      <c r="S101" s="58">
        <f ca="1">_xll.EURO(UnderlyingPrice,$D101*(1-$P$8),IntRate,Yield,$J101,Expiry-Today,S$12,0)</f>
        <v>1.3377771782492203</v>
      </c>
      <c r="U101" s="59">
        <f t="shared" ca="1" si="45"/>
        <v>0.14383457452470588</v>
      </c>
      <c r="V101" s="59"/>
      <c r="W101" s="62">
        <f t="shared" ca="1" si="40"/>
        <v>0.14644246774557268</v>
      </c>
      <c r="Z101" s="59">
        <f t="shared" ca="1" si="46"/>
        <v>0.1768179242239612</v>
      </c>
      <c r="AA101" s="59">
        <f t="shared" ca="1" si="47"/>
        <v>0.25285651023126449</v>
      </c>
      <c r="AB101" s="59">
        <f t="shared" ca="1" si="42"/>
        <v>-6.3936414766333563E-2</v>
      </c>
      <c r="AC101" s="59">
        <f t="shared" ca="1" si="48"/>
        <v>-0.19778167591254897</v>
      </c>
      <c r="AD101" s="60">
        <f t="shared" ca="1" si="43"/>
        <v>0.82054897919044412</v>
      </c>
      <c r="AE101" s="60">
        <f t="shared" ca="1" si="49"/>
        <v>0.14508776722454467</v>
      </c>
      <c r="AF101" s="60"/>
      <c r="AG101" s="96">
        <f t="shared" ca="1" si="50"/>
        <v>0.62893827346179054</v>
      </c>
      <c r="AH101" s="96">
        <f t="shared" ca="1" si="51"/>
        <v>0.63018162901294905</v>
      </c>
      <c r="AI101" s="96">
        <f t="shared" ca="1" si="52"/>
        <v>0.62769429607737226</v>
      </c>
      <c r="AJ101" s="62"/>
      <c r="AK101" s="96">
        <f t="shared" ca="1" si="53"/>
        <v>0.33040817223673263</v>
      </c>
      <c r="AL101" s="96"/>
      <c r="AM101" s="94"/>
      <c r="AN101" s="95"/>
      <c r="AX101" s="106">
        <f t="shared" ca="1" si="54"/>
        <v>0.61167785154000009</v>
      </c>
      <c r="AY101" s="106">
        <f t="shared" ca="1" si="55"/>
        <v>0.61172989560052005</v>
      </c>
      <c r="AZ101" s="106">
        <f t="shared" ca="1" si="56"/>
        <v>0.61162580747948003</v>
      </c>
      <c r="BB101" s="109">
        <f ca="1">_xll.EURO(UnderlyingPrice,$D101,IntRate,Yield,AX101,$D$6,1,0)</f>
        <v>0.46581403757982587</v>
      </c>
      <c r="BC101" s="109">
        <f ca="1">_xll.EURO(UnderlyingPrice,$D101*(1+$P$8),IntRate,Yield,AY101,$D$6,1,0)</f>
        <v>0.46514322250083473</v>
      </c>
      <c r="BD101" s="109">
        <f ca="1">_xll.EURO(UnderlyingPrice,$D101*(1-$P$8),IntRate,Yield,AZ101,$D$6,1,0)</f>
        <v>0.46648591594427335</v>
      </c>
      <c r="BF101" s="59">
        <f t="shared" ca="1" si="57"/>
        <v>0.13504376584701069</v>
      </c>
      <c r="BG101" s="62">
        <f t="shared" ca="1" si="58"/>
        <v>0.13749227117082802</v>
      </c>
      <c r="BI101" s="96">
        <f t="shared" ca="1" si="59"/>
        <v>0.62877439951557623</v>
      </c>
      <c r="BJ101" s="96">
        <f t="shared" ca="1" si="60"/>
        <v>0.63001685650726069</v>
      </c>
      <c r="BK101" s="96">
        <f t="shared" ca="1" si="61"/>
        <v>0.62753132114002386</v>
      </c>
      <c r="BL101" s="62"/>
      <c r="BM101" s="96">
        <f t="shared" ca="1" si="62"/>
        <v>0.31043880364031218</v>
      </c>
      <c r="BO101" s="58">
        <f t="shared" ca="1" si="63"/>
        <v>-2.8674600301614728E-3</v>
      </c>
      <c r="BP101" s="46">
        <f t="shared" ca="1" si="64"/>
        <v>-6.1558042455302359E-3</v>
      </c>
    </row>
    <row r="102" spans="3:68" x14ac:dyDescent="0.2">
      <c r="C102" s="56">
        <v>89</v>
      </c>
      <c r="D102" s="63">
        <f t="shared" ca="1" si="65"/>
        <v>5.6360000000000019</v>
      </c>
      <c r="E102" s="45">
        <f t="shared" ca="1" si="44"/>
        <v>0.1928042328042332</v>
      </c>
      <c r="F102" s="45">
        <f t="shared" ca="1" si="36"/>
        <v>0.19340063492063542</v>
      </c>
      <c r="G102" s="45">
        <f t="shared" ca="1" si="37"/>
        <v>0.1922078306878312</v>
      </c>
      <c r="H102" s="45">
        <f t="shared" ca="1" si="38"/>
        <v>0.61471328185998309</v>
      </c>
      <c r="I102" s="45">
        <f t="shared" ca="1" si="41"/>
        <v>0.61463997020186456</v>
      </c>
      <c r="J102" s="45">
        <f t="shared" ca="1" si="39"/>
        <v>0.61456672779979105</v>
      </c>
      <c r="L102" s="58">
        <f ca="1">_xll.EURO(UnderlyingPrice,$D102,IntRate,Yield,$I102,$D$6,L$12,0)</f>
        <v>0.46318788426526192</v>
      </c>
      <c r="M102" s="58">
        <f ca="1">_xll.EURO(UnderlyingPrice,$D102,IntRate,Yield,$I102,$D$6,M$12,0)</f>
        <v>1.3579645116276398</v>
      </c>
      <c r="O102" s="58">
        <f ca="1">_xll.EURO(UnderlyingPrice,$D102*(1+$P$8),IntRate,Yield,$H102,Expiry-Today,O$12,0)</f>
        <v>0.46254822756498881</v>
      </c>
      <c r="P102" s="58">
        <f ca="1">_xll.EURO(UnderlyingPrice,$D102*(1+$P$8),IntRate,Yield,$H102,Expiry-Today,P$12,0)</f>
        <v>1.3600926711028958</v>
      </c>
      <c r="R102" s="58">
        <f ca="1">_xll.EURO(UnderlyingPrice,$D102*(1-$P$8),IntRate,Yield,$J102,Expiry-Today,R$12,0)</f>
        <v>0.46382866831300373</v>
      </c>
      <c r="S102" s="58">
        <f ca="1">_xll.EURO(UnderlyingPrice,$D102*(1-$P$8),IntRate,Yield,$J102,Expiry-Today,S$12,0)</f>
        <v>1.3558374794998538</v>
      </c>
      <c r="U102" s="59">
        <f t="shared" ca="1" si="45"/>
        <v>0.14196321184634897</v>
      </c>
      <c r="V102" s="59"/>
      <c r="W102" s="62">
        <f t="shared" ca="1" si="40"/>
        <v>0.14453717501904206</v>
      </c>
      <c r="Z102" s="59">
        <f t="shared" ca="1" si="46"/>
        <v>0.17606497351754263</v>
      </c>
      <c r="AA102" s="59">
        <f t="shared" ca="1" si="47"/>
        <v>0.25712394202748368</v>
      </c>
      <c r="AB102" s="59">
        <f t="shared" ca="1" si="42"/>
        <v>-6.611272156375278E-2</v>
      </c>
      <c r="AC102" s="59">
        <f t="shared" ca="1" si="48"/>
        <v>-0.20451388958556357</v>
      </c>
      <c r="AD102" s="60">
        <f t="shared" ca="1" si="43"/>
        <v>0.81504342122355189</v>
      </c>
      <c r="AE102" s="60">
        <f t="shared" ca="1" si="49"/>
        <v>0.14350059837337201</v>
      </c>
      <c r="AF102" s="60"/>
      <c r="AG102" s="96">
        <f t="shared" ca="1" si="50"/>
        <v>0.63955279623431194</v>
      </c>
      <c r="AH102" s="96">
        <f t="shared" ca="1" si="51"/>
        <v>0.64079615178547089</v>
      </c>
      <c r="AI102" s="96">
        <f t="shared" ca="1" si="52"/>
        <v>0.63830881884989377</v>
      </c>
      <c r="AJ102" s="62"/>
      <c r="AK102" s="96">
        <f t="shared" ca="1" si="53"/>
        <v>0.3275040131361871</v>
      </c>
      <c r="AL102" s="96"/>
      <c r="AM102" s="94"/>
      <c r="AN102" s="95"/>
      <c r="AX102" s="106">
        <f t="shared" ca="1" si="54"/>
        <v>0.61212298962</v>
      </c>
      <c r="AY102" s="106">
        <f t="shared" ca="1" si="55"/>
        <v>0.61217525624956004</v>
      </c>
      <c r="AZ102" s="106">
        <f t="shared" ca="1" si="56"/>
        <v>0.61207072299044007</v>
      </c>
      <c r="BB102" s="109">
        <f ca="1">_xll.EURO(UnderlyingPrice,$D102,IntRate,Yield,AX102,$D$6,1,0)</f>
        <v>0.46011067003697348</v>
      </c>
      <c r="BC102" s="109">
        <f ca="1">_xll.EURO(UnderlyingPrice,$D102*(1+$P$8),IntRate,Yield,AY102,$D$6,1,0)</f>
        <v>0.45944605629120994</v>
      </c>
      <c r="BD102" s="109">
        <f ca="1">_xll.EURO(UnderlyingPrice,$D102*(1-$P$8),IntRate,Yield,AZ102,$D$6,1,0)</f>
        <v>0.46077634244452481</v>
      </c>
      <c r="BF102" s="59">
        <f t="shared" ca="1" si="57"/>
        <v>0.13331384672868227</v>
      </c>
      <c r="BG102" s="62">
        <f t="shared" ca="1" si="58"/>
        <v>0.13573098654558832</v>
      </c>
      <c r="BI102" s="96">
        <f t="shared" ca="1" si="59"/>
        <v>0.63938125128844692</v>
      </c>
      <c r="BJ102" s="96">
        <f t="shared" ca="1" si="60"/>
        <v>0.64062370828013182</v>
      </c>
      <c r="BK102" s="96">
        <f t="shared" ca="1" si="61"/>
        <v>0.63813817291289465</v>
      </c>
      <c r="BL102" s="62"/>
      <c r="BM102" s="96">
        <f t="shared" ca="1" si="62"/>
        <v>0.30777266348909782</v>
      </c>
      <c r="BO102" s="58">
        <f t="shared" ca="1" si="63"/>
        <v>-3.0772142282884385E-3</v>
      </c>
      <c r="BP102" s="46">
        <f t="shared" ca="1" si="64"/>
        <v>-6.6879871054526087E-3</v>
      </c>
    </row>
    <row r="103" spans="3:68" x14ac:dyDescent="0.2">
      <c r="C103" s="56">
        <v>90</v>
      </c>
      <c r="D103" s="63">
        <f t="shared" ca="1" si="65"/>
        <v>5.6600000000000019</v>
      </c>
      <c r="E103" s="45">
        <f t="shared" ca="1" si="44"/>
        <v>0.19788359788359844</v>
      </c>
      <c r="F103" s="45">
        <f t="shared" ca="1" si="36"/>
        <v>0.19848253968254004</v>
      </c>
      <c r="G103" s="45">
        <f t="shared" ca="1" si="37"/>
        <v>0.19728465608465662</v>
      </c>
      <c r="H103" s="45">
        <f t="shared" ca="1" si="38"/>
        <v>0.61534077514607066</v>
      </c>
      <c r="I103" s="45">
        <f t="shared" ca="1" si="41"/>
        <v>0.61526655881078374</v>
      </c>
      <c r="J103" s="45">
        <f t="shared" ca="1" si="39"/>
        <v>0.615192412322629</v>
      </c>
      <c r="L103" s="58">
        <f ca="1">_xll.EURO(UnderlyingPrice,$D103,IntRate,Yield,$I103,$D$6,L$12,0)</f>
        <v>0.45777604238959557</v>
      </c>
      <c r="M103" s="58">
        <f ca="1">_xll.EURO(UnderlyingPrice,$D103,IntRate,Yield,$I103,$D$6,M$12,0)</f>
        <v>1.3761252702532878</v>
      </c>
      <c r="O103" s="58">
        <f ca="1">_xll.EURO(UnderlyingPrice,$D103*(1+$P$8),IntRate,Yield,$H103,Expiry-Today,O$12,0)</f>
        <v>0.45714323576820637</v>
      </c>
      <c r="P103" s="58">
        <f ca="1">_xll.EURO(UnderlyingPrice,$D103*(1+$P$8),IntRate,Yield,$H103,Expiry-Today,P$12,0)</f>
        <v>1.3782720661076779</v>
      </c>
      <c r="R103" s="58">
        <f ca="1">_xll.EURO(UnderlyingPrice,$D103*(1-$P$8),IntRate,Yield,$J103,Expiry-Today,R$12,0)</f>
        <v>0.45840997110410653</v>
      </c>
      <c r="S103" s="58">
        <f ca="1">_xll.EURO(UnderlyingPrice,$D103*(1-$P$8),IntRate,Yield,$J103,Expiry-Today,S$12,0)</f>
        <v>1.3739795964920201</v>
      </c>
      <c r="U103" s="59">
        <f t="shared" ca="1" si="45"/>
        <v>0.14010577254711606</v>
      </c>
      <c r="V103" s="59"/>
      <c r="W103" s="62">
        <f t="shared" ca="1" si="40"/>
        <v>0.14264605811918601</v>
      </c>
      <c r="Z103" s="59">
        <f t="shared" ca="1" si="46"/>
        <v>0.17531840825881101</v>
      </c>
      <c r="AA103" s="59">
        <f t="shared" ca="1" si="47"/>
        <v>0.26137324020614161</v>
      </c>
      <c r="AB103" s="59">
        <f t="shared" ca="1" si="42"/>
        <v>-6.8315970695857403E-2</v>
      </c>
      <c r="AC103" s="59">
        <f t="shared" ca="1" si="48"/>
        <v>-0.21132944700136627</v>
      </c>
      <c r="AD103" s="60">
        <f t="shared" ca="1" si="43"/>
        <v>0.80950733318287915</v>
      </c>
      <c r="AE103" s="60">
        <f t="shared" ca="1" si="49"/>
        <v>0.14192153712745736</v>
      </c>
      <c r="AF103" s="60"/>
      <c r="AG103" s="96">
        <f t="shared" ca="1" si="50"/>
        <v>0.65012221466639075</v>
      </c>
      <c r="AH103" s="96">
        <f t="shared" ca="1" si="51"/>
        <v>0.65136557021754904</v>
      </c>
      <c r="AI103" s="96">
        <f t="shared" ca="1" si="52"/>
        <v>0.64887823728197225</v>
      </c>
      <c r="AJ103" s="62"/>
      <c r="AK103" s="96">
        <f t="shared" ca="1" si="53"/>
        <v>0.32459534363354908</v>
      </c>
      <c r="AL103" s="96"/>
      <c r="AM103" s="94"/>
      <c r="AN103" s="95"/>
      <c r="AX103" s="106">
        <f t="shared" ca="1" si="54"/>
        <v>0.61256812770000002</v>
      </c>
      <c r="AY103" s="106">
        <f t="shared" ca="1" si="55"/>
        <v>0.61262061689860003</v>
      </c>
      <c r="AZ103" s="106">
        <f t="shared" ca="1" si="56"/>
        <v>0.61251563850140001</v>
      </c>
      <c r="BB103" s="109">
        <f ca="1">_xll.EURO(UnderlyingPrice,$D103,IntRate,Yield,AX103,$D$6,1,0)</f>
        <v>0.4544840920033264</v>
      </c>
      <c r="BC103" s="109">
        <f ca="1">_xll.EURO(UnderlyingPrice,$D103*(1+$P$8),IntRate,Yield,AY103,$D$6,1,0)</f>
        <v>0.45382563987045454</v>
      </c>
      <c r="BD103" s="109">
        <f ca="1">_xll.EURO(UnderlyingPrice,$D103*(1-$P$8),IntRate,Yield,AZ103,$D$6,1,0)</f>
        <v>0.45514359810278071</v>
      </c>
      <c r="BF103" s="59">
        <f t="shared" ca="1" si="57"/>
        <v>0.13159941845369824</v>
      </c>
      <c r="BG103" s="62">
        <f t="shared" ca="1" si="58"/>
        <v>0.13398547363124849</v>
      </c>
      <c r="BI103" s="96">
        <f t="shared" ca="1" si="59"/>
        <v>0.64994303131728903</v>
      </c>
      <c r="BJ103" s="96">
        <f t="shared" ca="1" si="60"/>
        <v>0.65118548830897349</v>
      </c>
      <c r="BK103" s="96">
        <f t="shared" ca="1" si="61"/>
        <v>0.64869995294173655</v>
      </c>
      <c r="BL103" s="62"/>
      <c r="BM103" s="96">
        <f t="shared" ca="1" si="62"/>
        <v>0.30510842482836914</v>
      </c>
      <c r="BO103" s="58">
        <f t="shared" ca="1" si="63"/>
        <v>-3.2919503862691712E-3</v>
      </c>
      <c r="BP103" s="46">
        <f t="shared" ca="1" si="64"/>
        <v>-7.2432686736262648E-3</v>
      </c>
    </row>
    <row r="104" spans="3:68" x14ac:dyDescent="0.2">
      <c r="C104" s="56">
        <v>91</v>
      </c>
      <c r="D104" s="63">
        <f t="shared" ca="1" si="65"/>
        <v>5.6840000000000019</v>
      </c>
      <c r="E104" s="45">
        <f t="shared" ca="1" si="44"/>
        <v>0.20296296296296346</v>
      </c>
      <c r="F104" s="45">
        <f t="shared" ca="1" si="36"/>
        <v>0.20356444444444488</v>
      </c>
      <c r="G104" s="45">
        <f t="shared" ca="1" si="37"/>
        <v>0.20236148148148203</v>
      </c>
      <c r="H104" s="45">
        <f t="shared" ca="1" si="38"/>
        <v>0.61597329686180768</v>
      </c>
      <c r="I104" s="45">
        <f t="shared" ca="1" si="41"/>
        <v>0.61589817082469145</v>
      </c>
      <c r="J104" s="45">
        <f t="shared" ca="1" si="39"/>
        <v>0.61582311522830657</v>
      </c>
      <c r="L104" s="58">
        <f ca="1">_xll.EURO(UnderlyingPrice,$D104,IntRate,Yield,$I104,$D$6,L$12,0)</f>
        <v>0.45244490211345312</v>
      </c>
      <c r="M104" s="58">
        <f ca="1">_xll.EURO(UnderlyingPrice,$D104,IntRate,Yield,$I104,$D$6,M$12,0)</f>
        <v>1.3943667304784602</v>
      </c>
      <c r="O104" s="58">
        <f ca="1">_xll.EURO(UnderlyingPrice,$D104*(1+$P$8),IntRate,Yield,$H104,Expiry-Today,O$12,0)</f>
        <v>0.45181890054960938</v>
      </c>
      <c r="P104" s="58">
        <f ca="1">_xll.EURO(UnderlyingPrice,$D104*(1+$P$8),IntRate,Yield,$H104,Expiry-Today,P$12,0)</f>
        <v>1.3965321176906458</v>
      </c>
      <c r="R104" s="58">
        <f ca="1">_xll.EURO(UnderlyingPrice,$D104*(1-$P$8),IntRate,Yield,$J104,Expiry-Today,R$12,0)</f>
        <v>0.45307202041917982</v>
      </c>
      <c r="S104" s="58">
        <f ca="1">_xll.EURO(UnderlyingPrice,$D104*(1-$P$8),IntRate,Yield,$J104,Expiry-Today,S$12,0)</f>
        <v>1.3922024600081566</v>
      </c>
      <c r="U104" s="59">
        <f t="shared" ca="1" si="45"/>
        <v>0.13826258021791046</v>
      </c>
      <c r="V104" s="59"/>
      <c r="W104" s="62">
        <f t="shared" ca="1" si="40"/>
        <v>0.14076944650399878</v>
      </c>
      <c r="Z104" s="59">
        <f t="shared" ca="1" si="46"/>
        <v>0.17457814756243317</v>
      </c>
      <c r="AA104" s="59">
        <f t="shared" ca="1" si="47"/>
        <v>0.26560455822590423</v>
      </c>
      <c r="AB104" s="59">
        <f t="shared" ca="1" si="42"/>
        <v>-7.0545781350377756E-2</v>
      </c>
      <c r="AC104" s="59">
        <f t="shared" ca="1" si="48"/>
        <v>-0.21822717015069298</v>
      </c>
      <c r="AD104" s="60">
        <f t="shared" ca="1" si="43"/>
        <v>0.80394278911618944</v>
      </c>
      <c r="AE104" s="60">
        <f t="shared" ca="1" si="49"/>
        <v>0.14035084287008021</v>
      </c>
      <c r="AF104" s="60"/>
      <c r="AG104" s="96">
        <f t="shared" ca="1" si="50"/>
        <v>0.66064691046078927</v>
      </c>
      <c r="AH104" s="96">
        <f t="shared" ca="1" si="51"/>
        <v>0.66189026601194767</v>
      </c>
      <c r="AI104" s="96">
        <f t="shared" ca="1" si="52"/>
        <v>0.65940293307637077</v>
      </c>
      <c r="AJ104" s="62"/>
      <c r="AK104" s="96">
        <f t="shared" ca="1" si="53"/>
        <v>0.32168332694197588</v>
      </c>
      <c r="AL104" s="96"/>
      <c r="AM104" s="94"/>
      <c r="AN104" s="95"/>
      <c r="AX104" s="106">
        <f t="shared" ca="1" si="54"/>
        <v>0.61301326578000004</v>
      </c>
      <c r="AY104" s="106">
        <f t="shared" ca="1" si="55"/>
        <v>0.61306597754764003</v>
      </c>
      <c r="AZ104" s="106">
        <f t="shared" ca="1" si="56"/>
        <v>0.61296055401236005</v>
      </c>
      <c r="BB104" s="109">
        <f ca="1">_xll.EURO(UnderlyingPrice,$D104,IntRate,Yield,AX104,$D$6,1,0)</f>
        <v>0.44893331597436115</v>
      </c>
      <c r="BC104" s="109">
        <f ca="1">_xll.EURO(UnderlyingPrice,$D104*(1+$P$8),IntRate,Yield,AY104,$D$6,1,0)</f>
        <v>0.44828098530869598</v>
      </c>
      <c r="BD104" s="109">
        <f ca="1">_xll.EURO(UnderlyingPrice,$D104*(1-$P$8),IntRate,Yield,AZ104,$D$6,1,0)</f>
        <v>0.44958669584261712</v>
      </c>
      <c r="BF104" s="59">
        <f t="shared" ca="1" si="57"/>
        <v>0.12990061498456673</v>
      </c>
      <c r="BG104" s="62">
        <f t="shared" ca="1" si="58"/>
        <v>0.13225586881921753</v>
      </c>
      <c r="BI104" s="96">
        <f t="shared" ca="1" si="59"/>
        <v>0.66046012102901253</v>
      </c>
      <c r="BJ104" s="96">
        <f t="shared" ca="1" si="60"/>
        <v>0.6617025780206971</v>
      </c>
      <c r="BK104" s="96">
        <f t="shared" ca="1" si="61"/>
        <v>0.65921704265346015</v>
      </c>
      <c r="BL104" s="62"/>
      <c r="BM104" s="96">
        <f t="shared" ca="1" si="62"/>
        <v>0.30244685643081781</v>
      </c>
      <c r="BO104" s="58">
        <f t="shared" ca="1" si="63"/>
        <v>-3.5115861390919711E-3</v>
      </c>
      <c r="BP104" s="46">
        <f t="shared" ca="1" si="64"/>
        <v>-7.8220662493503155E-3</v>
      </c>
    </row>
    <row r="105" spans="3:68" x14ac:dyDescent="0.2">
      <c r="C105" s="56">
        <v>92</v>
      </c>
      <c r="D105" s="63">
        <f t="shared" ca="1" si="65"/>
        <v>5.708000000000002</v>
      </c>
      <c r="E105" s="45">
        <f t="shared" ca="1" si="44"/>
        <v>0.20804232804232847</v>
      </c>
      <c r="F105" s="45">
        <f t="shared" ca="1" si="36"/>
        <v>0.2086463492063495</v>
      </c>
      <c r="G105" s="45">
        <f t="shared" ca="1" si="37"/>
        <v>0.20743830687830744</v>
      </c>
      <c r="H105" s="45">
        <f t="shared" ca="1" si="38"/>
        <v>0.61661084700719437</v>
      </c>
      <c r="I105" s="45">
        <f t="shared" ca="1" si="41"/>
        <v>0.61653480624358792</v>
      </c>
      <c r="J105" s="45">
        <f t="shared" ca="1" si="39"/>
        <v>0.61645883651682365</v>
      </c>
      <c r="L105" s="58">
        <f ca="1">_xll.EURO(UnderlyingPrice,$D105,IntRate,Yield,$I105,$D$6,L$12,0)</f>
        <v>0.44719340177198874</v>
      </c>
      <c r="M105" s="58">
        <f ca="1">_xll.EURO(UnderlyingPrice,$D105,IntRate,Yield,$I105,$D$6,M$12,0)</f>
        <v>1.4126878306383088</v>
      </c>
      <c r="O105" s="58">
        <f ca="1">_xll.EURO(UnderlyingPrice,$D105*(1+$P$8),IntRate,Yield,$H105,Expiry-Today,O$12,0)</f>
        <v>0.44657415963380886</v>
      </c>
      <c r="P105" s="58">
        <f ca="1">_xll.EURO(UnderlyingPrice,$D105*(1+$P$8),IntRate,Yield,$H105,Expiry-Today,P$12,0)</f>
        <v>1.4148717635764094</v>
      </c>
      <c r="R105" s="58">
        <f ca="1">_xll.EURO(UnderlyingPrice,$D105*(1-$P$8),IntRate,Yield,$J105,Expiry-Today,R$12,0)</f>
        <v>0.44781375520769218</v>
      </c>
      <c r="S105" s="58">
        <f ca="1">_xll.EURO(UnderlyingPrice,$D105*(1-$P$8),IntRate,Yield,$J105,Expiry-Today,S$12,0)</f>
        <v>1.410505008997732</v>
      </c>
      <c r="U105" s="59">
        <f t="shared" ca="1" si="45"/>
        <v>0.13643393621063055</v>
      </c>
      <c r="V105" s="59"/>
      <c r="W105" s="62">
        <f t="shared" ca="1" si="40"/>
        <v>0.13890764698924979</v>
      </c>
      <c r="Z105" s="59">
        <f t="shared" ca="1" si="46"/>
        <v>0.17384411190344609</v>
      </c>
      <c r="AA105" s="59">
        <f t="shared" ca="1" si="47"/>
        <v>0.26981804760563993</v>
      </c>
      <c r="AB105" s="59">
        <f t="shared" ca="1" si="42"/>
        <v>-7.2801778813719381E-2</v>
      </c>
      <c r="AC105" s="59">
        <f t="shared" ca="1" si="48"/>
        <v>-0.22520589988999509</v>
      </c>
      <c r="AD105" s="60">
        <f t="shared" ca="1" si="43"/>
        <v>0.79835182128306714</v>
      </c>
      <c r="AE105" s="60">
        <f t="shared" ca="1" si="49"/>
        <v>0.13878876335745352</v>
      </c>
      <c r="AF105" s="60"/>
      <c r="AG105" s="96">
        <f t="shared" ca="1" si="50"/>
        <v>0.67112726049534766</v>
      </c>
      <c r="AH105" s="96">
        <f t="shared" ca="1" si="51"/>
        <v>0.67237061604650605</v>
      </c>
      <c r="AI105" s="96">
        <f t="shared" ca="1" si="52"/>
        <v>0.66988328311092948</v>
      </c>
      <c r="AJ105" s="62"/>
      <c r="AK105" s="96">
        <f t="shared" ca="1" si="53"/>
        <v>0.31876908703050061</v>
      </c>
      <c r="AL105" s="96"/>
      <c r="AM105" s="94"/>
      <c r="AN105" s="95"/>
      <c r="AX105" s="106">
        <f t="shared" ca="1" si="54"/>
        <v>0.61345840386000006</v>
      </c>
      <c r="AY105" s="106">
        <f t="shared" ca="1" si="55"/>
        <v>0.61351133819668002</v>
      </c>
      <c r="AZ105" s="106">
        <f t="shared" ca="1" si="56"/>
        <v>0.61340546952332009</v>
      </c>
      <c r="BB105" s="109">
        <f ca="1">_xll.EURO(UnderlyingPrice,$D105,IntRate,Yield,AX105,$D$6,1,0)</f>
        <v>0.44345736344494657</v>
      </c>
      <c r="BC105" s="109">
        <f ca="1">_xll.EURO(UnderlyingPrice,$D105*(1+$P$8),IntRate,Yield,AY105,$D$6,1,0)</f>
        <v>0.44281111370212045</v>
      </c>
      <c r="BD105" s="109">
        <f ca="1">_xll.EURO(UnderlyingPrice,$D105*(1-$P$8),IntRate,Yield,AZ105,$D$6,1,0)</f>
        <v>0.44410465756030293</v>
      </c>
      <c r="BF105" s="59">
        <f t="shared" ca="1" si="57"/>
        <v>0.12821755843904428</v>
      </c>
      <c r="BG105" s="62">
        <f t="shared" ca="1" si="58"/>
        <v>0.13054229644139323</v>
      </c>
      <c r="BI105" s="96">
        <f t="shared" ca="1" si="59"/>
        <v>0.67093289702909231</v>
      </c>
      <c r="BJ105" s="96">
        <f t="shared" ca="1" si="60"/>
        <v>0.67217535402077677</v>
      </c>
      <c r="BK105" s="96">
        <f t="shared" ca="1" si="61"/>
        <v>0.66968981865354027</v>
      </c>
      <c r="BL105" s="62"/>
      <c r="BM105" s="96">
        <f t="shared" ca="1" si="62"/>
        <v>0.29978870464270974</v>
      </c>
      <c r="BO105" s="58">
        <f t="shared" ca="1" si="63"/>
        <v>-3.7360383270421682E-3</v>
      </c>
      <c r="BP105" s="46">
        <f t="shared" ca="1" si="64"/>
        <v>-8.4247971395021888E-3</v>
      </c>
    </row>
    <row r="106" spans="3:68" x14ac:dyDescent="0.2">
      <c r="C106" s="56">
        <v>93</v>
      </c>
      <c r="D106" s="63">
        <f t="shared" ca="1" si="65"/>
        <v>5.732000000000002</v>
      </c>
      <c r="E106" s="45">
        <f t="shared" ca="1" si="44"/>
        <v>0.21312169312169371</v>
      </c>
      <c r="F106" s="45">
        <f t="shared" ca="1" si="36"/>
        <v>0.21372825396825457</v>
      </c>
      <c r="G106" s="45">
        <f t="shared" ca="1" si="37"/>
        <v>0.21251513227513286</v>
      </c>
      <c r="H106" s="45">
        <f t="shared" ca="1" si="38"/>
        <v>0.6172534255822304</v>
      </c>
      <c r="I106" s="45">
        <f t="shared" ca="1" si="41"/>
        <v>0.61717646506747303</v>
      </c>
      <c r="J106" s="45">
        <f t="shared" ca="1" si="39"/>
        <v>0.61709957618818012</v>
      </c>
      <c r="L106" s="58">
        <f ca="1">_xll.EURO(UnderlyingPrice,$D106,IntRate,Yield,$I106,$D$6,L$12,0)</f>
        <v>0.44202048807974736</v>
      </c>
      <c r="M106" s="58">
        <f ca="1">_xll.EURO(UnderlyingPrice,$D106,IntRate,Yield,$I106,$D$6,M$12,0)</f>
        <v>1.4310875174473812</v>
      </c>
      <c r="O106" s="58">
        <f ca="1">_xll.EURO(UnderlyingPrice,$D106*(1+$P$8),IntRate,Yield,$H106,Expiry-Today,O$12,0)</f>
        <v>0.44140795916163422</v>
      </c>
      <c r="P106" s="58">
        <f ca="1">_xll.EURO(UnderlyingPrice,$D106*(1+$P$8),IntRate,Yield,$H106,Expiry-Today,P$12,0)</f>
        <v>1.4332899499058001</v>
      </c>
      <c r="R106" s="58">
        <f ca="1">_xll.EURO(UnderlyingPrice,$D106*(1-$P$8),IntRate,Yield,$J106,Expiry-Today,R$12,0)</f>
        <v>0.44263412276165992</v>
      </c>
      <c r="S106" s="58">
        <f ca="1">_xll.EURO(UnderlyingPrice,$D106*(1-$P$8),IntRate,Yield,$J106,Expiry-Today,S$12,0)</f>
        <v>1.4288861907527624</v>
      </c>
      <c r="U106" s="59">
        <f t="shared" ca="1" si="45"/>
        <v>0.13462012694173786</v>
      </c>
      <c r="V106" s="59"/>
      <c r="W106" s="62">
        <f t="shared" ca="1" si="40"/>
        <v>0.13706095118447434</v>
      </c>
      <c r="Z106" s="59">
        <f t="shared" ca="1" si="46"/>
        <v>0.17311622308877708</v>
      </c>
      <c r="AA106" s="59">
        <f t="shared" ca="1" si="47"/>
        <v>0.27401385795697553</v>
      </c>
      <c r="AB106" s="59">
        <f t="shared" ca="1" si="42"/>
        <v>-7.508359435246556E-2</v>
      </c>
      <c r="AC106" s="59">
        <f t="shared" ca="1" si="48"/>
        <v>-0.23226449557487783</v>
      </c>
      <c r="AD106" s="60">
        <f t="shared" ca="1" si="43"/>
        <v>0.79273642029993374</v>
      </c>
      <c r="AE106" s="60">
        <f t="shared" ca="1" si="49"/>
        <v>0.13723553498724189</v>
      </c>
      <c r="AF106" s="60"/>
      <c r="AG106" s="96">
        <f t="shared" ca="1" si="50"/>
        <v>0.68156363690396204</v>
      </c>
      <c r="AH106" s="96">
        <f t="shared" ca="1" si="51"/>
        <v>0.68280699245512066</v>
      </c>
      <c r="AI106" s="96">
        <f t="shared" ca="1" si="52"/>
        <v>0.68031965951954343</v>
      </c>
      <c r="AJ106" s="62"/>
      <c r="AK106" s="96">
        <f t="shared" ca="1" si="53"/>
        <v>0.31585372466717454</v>
      </c>
      <c r="AL106" s="96"/>
      <c r="AM106" s="94"/>
      <c r="AN106" s="95"/>
      <c r="AX106" s="106">
        <f t="shared" ca="1" si="54"/>
        <v>0.61383847806000003</v>
      </c>
      <c r="AY106" s="106">
        <f t="shared" ca="1" si="55"/>
        <v>0.61386499595428001</v>
      </c>
      <c r="AZ106" s="106">
        <f t="shared" ca="1" si="56"/>
        <v>0.61381196016572004</v>
      </c>
      <c r="BB106" s="109">
        <f ca="1">_xll.EURO(UnderlyingPrice,$D106,IntRate,Yield,AX106,$D$6,1,0)</f>
        <v>0.43797647548389618</v>
      </c>
      <c r="BC106" s="109">
        <f ca="1">_xll.EURO(UnderlyingPrice,$D106*(1+$P$8),IntRate,Yield,AY106,$D$6,1,0)</f>
        <v>0.43730404037726056</v>
      </c>
      <c r="BD106" s="109">
        <f ca="1">_xll.EURO(UnderlyingPrice,$D106*(1-$P$8),IntRate,Yield,AZ106,$D$6,1,0)</f>
        <v>0.43864996946646406</v>
      </c>
      <c r="BF106" s="59">
        <f t="shared" ca="1" si="57"/>
        <v>0.12891180964073665</v>
      </c>
      <c r="BG106" s="62">
        <f t="shared" ca="1" si="58"/>
        <v>0.1312491352494275</v>
      </c>
      <c r="BI106" s="96">
        <f t="shared" ca="1" si="59"/>
        <v>0.68136173118248688</v>
      </c>
      <c r="BJ106" s="96">
        <f t="shared" ca="1" si="60"/>
        <v>0.68260418817417157</v>
      </c>
      <c r="BK106" s="96">
        <f t="shared" ca="1" si="61"/>
        <v>0.68011865280693451</v>
      </c>
      <c r="BL106" s="62"/>
      <c r="BM106" s="96">
        <f t="shared" ca="1" si="62"/>
        <v>0.30267927512373488</v>
      </c>
      <c r="BO106" s="58">
        <f t="shared" ca="1" si="63"/>
        <v>-4.0440125958511874E-3</v>
      </c>
      <c r="BP106" s="46">
        <f t="shared" ca="1" si="64"/>
        <v>-9.2334013861890187E-3</v>
      </c>
    </row>
    <row r="107" spans="3:68" x14ac:dyDescent="0.2">
      <c r="C107" s="56">
        <v>94</v>
      </c>
      <c r="D107" s="63">
        <f t="shared" ca="1" si="65"/>
        <v>5.756000000000002</v>
      </c>
      <c r="E107" s="45">
        <f t="shared" ca="1" si="44"/>
        <v>0.21820105820105873</v>
      </c>
      <c r="F107" s="45">
        <f t="shared" ca="1" si="36"/>
        <v>0.21881015873015919</v>
      </c>
      <c r="G107" s="45">
        <f t="shared" ca="1" si="37"/>
        <v>0.21759195767195827</v>
      </c>
      <c r="H107" s="45">
        <f t="shared" ca="1" si="38"/>
        <v>0.61790103258691598</v>
      </c>
      <c r="I107" s="45">
        <f t="shared" ca="1" si="41"/>
        <v>0.6178231472963468</v>
      </c>
      <c r="J107" s="45">
        <f t="shared" ca="1" si="39"/>
        <v>0.61774533424237621</v>
      </c>
      <c r="L107" s="58">
        <f ca="1">_xll.EURO(UnderlyingPrice,$D107,IntRate,Yield,$I107,$D$6,L$12,0)</f>
        <v>0.43692511629516551</v>
      </c>
      <c r="M107" s="58">
        <f ca="1">_xll.EURO(UnderlyingPrice,$D107,IntRate,Yield,$I107,$D$6,M$12,0)</f>
        <v>1.4495647461641141</v>
      </c>
      <c r="O107" s="58">
        <f ca="1">_xll.EURO(UnderlyingPrice,$D107*(1+$P$8),IntRate,Yield,$H107,Expiry-Today,O$12,0)</f>
        <v>0.43631925385382764</v>
      </c>
      <c r="P107" s="58">
        <f ca="1">_xll.EURO(UnderlyingPrice,$D107*(1+$P$8),IntRate,Yield,$H107,Expiry-Today,P$12,0)</f>
        <v>1.4517856313995581</v>
      </c>
      <c r="R107" s="58">
        <f ca="1">_xll.EURO(UnderlyingPrice,$D107*(1-$P$8),IntRate,Yield,$J107,Expiry-Today,R$12,0)</f>
        <v>0.43753207888091894</v>
      </c>
      <c r="S107" s="58">
        <f ca="1">_xll.EURO(UnderlyingPrice,$D107*(1-$P$8),IntRate,Yield,$J107,Expiry-Today,S$12,0)</f>
        <v>1.4473449610730844</v>
      </c>
      <c r="U107" s="59">
        <f t="shared" ca="1" si="45"/>
        <v>0.132821420119697</v>
      </c>
      <c r="V107" s="59"/>
      <c r="W107" s="62">
        <f t="shared" ca="1" si="40"/>
        <v>0.13522963165201229</v>
      </c>
      <c r="Z107" s="59">
        <f t="shared" ca="1" si="46"/>
        <v>0.17239440422947711</v>
      </c>
      <c r="AA107" s="59">
        <f t="shared" ca="1" si="47"/>
        <v>0.2781921370161714</v>
      </c>
      <c r="AB107" s="59">
        <f t="shared" ca="1" si="42"/>
        <v>-7.7390865097624287E-2</v>
      </c>
      <c r="AC107" s="59">
        <f t="shared" ca="1" si="48"/>
        <v>-0.23940183470202853</v>
      </c>
      <c r="AD107" s="60">
        <f t="shared" ca="1" si="43"/>
        <v>0.78709853531192708</v>
      </c>
      <c r="AE107" s="60">
        <f t="shared" ca="1" si="49"/>
        <v>0.1356913830649937</v>
      </c>
      <c r="AF107" s="60"/>
      <c r="AG107" s="96">
        <f t="shared" ca="1" si="50"/>
        <v>0.69195640715586781</v>
      </c>
      <c r="AH107" s="96">
        <f t="shared" ca="1" si="51"/>
        <v>0.69319976270702643</v>
      </c>
      <c r="AI107" s="96">
        <f t="shared" ca="1" si="52"/>
        <v>0.69071242977144953</v>
      </c>
      <c r="AJ107" s="62"/>
      <c r="AK107" s="96">
        <f t="shared" ca="1" si="53"/>
        <v>0.3129383077977248</v>
      </c>
      <c r="AL107" s="96"/>
      <c r="AM107" s="94"/>
      <c r="AN107" s="95"/>
      <c r="AX107" s="106">
        <f t="shared" ca="1" si="54"/>
        <v>0.6140605399800001</v>
      </c>
      <c r="AY107" s="106">
        <f t="shared" ca="1" si="55"/>
        <v>0.61408716890524007</v>
      </c>
      <c r="AZ107" s="106">
        <f t="shared" ca="1" si="56"/>
        <v>0.61403391105476002</v>
      </c>
      <c r="BB107" s="109">
        <f ca="1">_xll.EURO(UnderlyingPrice,$D107,IntRate,Yield,AX107,$D$6,1,0)</f>
        <v>0.43237802292516325</v>
      </c>
      <c r="BC107" s="109">
        <f ca="1">_xll.EURO(UnderlyingPrice,$D107*(1+$P$8),IntRate,Yield,AY107,$D$6,1,0)</f>
        <v>0.43171161877815178</v>
      </c>
      <c r="BD107" s="109">
        <f ca="1">_xll.EURO(UnderlyingPrice,$D107*(1-$P$8),IntRate,Yield,AZ107,$D$6,1,0)</f>
        <v>0.43304548200771142</v>
      </c>
      <c r="BF107" s="59">
        <f t="shared" ca="1" si="57"/>
        <v>0.1273633117044731</v>
      </c>
      <c r="BG107" s="62">
        <f t="shared" ca="1" si="58"/>
        <v>0.12967256118971554</v>
      </c>
      <c r="BI107" s="96">
        <f t="shared" ca="1" si="59"/>
        <v>0.69174699069286616</v>
      </c>
      <c r="BJ107" s="96">
        <f t="shared" ca="1" si="60"/>
        <v>0.69298944768455084</v>
      </c>
      <c r="BK107" s="96">
        <f t="shared" ca="1" si="61"/>
        <v>0.69050391231731401</v>
      </c>
      <c r="BL107" s="62"/>
      <c r="BM107" s="96">
        <f t="shared" ca="1" si="62"/>
        <v>0.30029557094485004</v>
      </c>
      <c r="BO107" s="58">
        <f t="shared" ca="1" si="63"/>
        <v>-4.5470933700022531E-3</v>
      </c>
      <c r="BP107" s="46">
        <f t="shared" ca="1" si="64"/>
        <v>-1.0516476622099898E-2</v>
      </c>
    </row>
    <row r="108" spans="3:68" x14ac:dyDescent="0.2">
      <c r="C108" s="56">
        <v>95</v>
      </c>
      <c r="D108" s="63">
        <f t="shared" ca="1" si="65"/>
        <v>5.780000000000002</v>
      </c>
      <c r="E108" s="45">
        <f t="shared" ca="1" si="44"/>
        <v>0.22328042328042375</v>
      </c>
      <c r="F108" s="45">
        <f t="shared" ca="1" si="36"/>
        <v>0.22389206349206403</v>
      </c>
      <c r="G108" s="45">
        <f t="shared" ca="1" si="37"/>
        <v>0.22266878306878368</v>
      </c>
      <c r="H108" s="45">
        <f t="shared" ca="1" si="38"/>
        <v>0.61855366802125111</v>
      </c>
      <c r="I108" s="45">
        <f t="shared" ca="1" si="41"/>
        <v>0.61847485293020921</v>
      </c>
      <c r="J108" s="45">
        <f t="shared" ca="1" si="39"/>
        <v>0.6183961106794118</v>
      </c>
      <c r="L108" s="58">
        <f ca="1">_xll.EURO(UnderlyingPrice,$D108,IntRate,Yield,$I108,$D$6,L$12,0)</f>
        <v>0.43190625037502595</v>
      </c>
      <c r="M108" s="58">
        <f ca="1">_xll.EURO(UnderlyingPrice,$D108,IntRate,Yield,$I108,$D$6,M$12,0)</f>
        <v>1.4681184807452881</v>
      </c>
      <c r="O108" s="58">
        <f ca="1">_xll.EURO(UnderlyingPrice,$D108*(1+$P$8),IntRate,Yield,$H108,Expiry-Today,O$12,0)</f>
        <v>0.43130700716471093</v>
      </c>
      <c r="P108" s="58">
        <f ca="1">_xll.EURO(UnderlyingPrice,$D108*(1+$P$8),IntRate,Yield,$H108,Expiry-Today,P$12,0)</f>
        <v>1.4703577715120066</v>
      </c>
      <c r="R108" s="58">
        <f ca="1">_xll.EURO(UnderlyingPrice,$D108*(1-$P$8),IntRate,Yield,$J108,Expiry-Today,R$12,0)</f>
        <v>0.43250658802838138</v>
      </c>
      <c r="S108" s="58">
        <f ca="1">_xll.EURO(UnderlyingPrice,$D108*(1-$P$8),IntRate,Yield,$J108,Expiry-Today,S$12,0)</f>
        <v>1.4658802844216101</v>
      </c>
      <c r="U108" s="59">
        <f t="shared" ca="1" si="45"/>
        <v>0.13103806712287297</v>
      </c>
      <c r="V108" s="59"/>
      <c r="W108" s="62">
        <f t="shared" ca="1" si="40"/>
        <v>0.13341394432801973</v>
      </c>
      <c r="Z108" s="59">
        <f t="shared" ca="1" si="46"/>
        <v>0.17167857971364536</v>
      </c>
      <c r="AA108" s="59">
        <f t="shared" ca="1" si="47"/>
        <v>0.28235303067533607</v>
      </c>
      <c r="AB108" s="59">
        <f t="shared" ca="1" si="42"/>
        <v>-7.9723233931547274E-2</v>
      </c>
      <c r="AC108" s="59">
        <f t="shared" ca="1" si="48"/>
        <v>-0.24661681255941048</v>
      </c>
      <c r="AD108" s="60">
        <f t="shared" ca="1" si="43"/>
        <v>0.78144007419026207</v>
      </c>
      <c r="AE108" s="60">
        <f t="shared" ca="1" si="49"/>
        <v>0.13415652206830986</v>
      </c>
      <c r="AF108" s="60"/>
      <c r="AG108" s="96">
        <f t="shared" ca="1" si="50"/>
        <v>0.70230593413328146</v>
      </c>
      <c r="AH108" s="96">
        <f t="shared" ca="1" si="51"/>
        <v>0.7035492896844403</v>
      </c>
      <c r="AI108" s="96">
        <f t="shared" ca="1" si="52"/>
        <v>0.70106195674886329</v>
      </c>
      <c r="AJ108" s="62"/>
      <c r="AK108" s="96">
        <f t="shared" ca="1" si="53"/>
        <v>0.31002387625163913</v>
      </c>
      <c r="AL108" s="96"/>
      <c r="AM108" s="94"/>
      <c r="AN108" s="95"/>
      <c r="AX108" s="106">
        <f t="shared" ca="1" si="54"/>
        <v>0.61428260190000006</v>
      </c>
      <c r="AY108" s="106">
        <f t="shared" ca="1" si="55"/>
        <v>0.61430934185620001</v>
      </c>
      <c r="AZ108" s="106">
        <f t="shared" ca="1" si="56"/>
        <v>0.6142558619438</v>
      </c>
      <c r="BB108" s="109">
        <f ca="1">_xll.EURO(UnderlyingPrice,$D108,IntRate,Yield,AX108,$D$6,1,0)</f>
        <v>0.42685293221604037</v>
      </c>
      <c r="BC108" s="109">
        <f ca="1">_xll.EURO(UnderlyingPrice,$D108*(1+$P$8),IntRate,Yield,AY108,$D$6,1,0)</f>
        <v>0.4261925258203203</v>
      </c>
      <c r="BD108" s="109">
        <f ca="1">_xll.EURO(UnderlyingPrice,$D108*(1-$P$8),IntRate,Yield,AZ108,$D$6,1,0)</f>
        <v>0.42751438953245224</v>
      </c>
      <c r="BF108" s="59">
        <f t="shared" ca="1" si="57"/>
        <v>0.12582712034135293</v>
      </c>
      <c r="BG108" s="62">
        <f t="shared" ca="1" si="58"/>
        <v>0.12810851683606736</v>
      </c>
      <c r="BI108" s="96">
        <f t="shared" ca="1" si="59"/>
        <v>0.70208903818019541</v>
      </c>
      <c r="BJ108" s="96">
        <f t="shared" ca="1" si="60"/>
        <v>0.70333149517188009</v>
      </c>
      <c r="BK108" s="96">
        <f t="shared" ca="1" si="61"/>
        <v>0.70084595980464326</v>
      </c>
      <c r="BL108" s="62"/>
      <c r="BM108" s="96">
        <f t="shared" ca="1" si="62"/>
        <v>0.29791055765005892</v>
      </c>
      <c r="BO108" s="58">
        <f t="shared" ca="1" si="63"/>
        <v>-5.0533181589855758E-3</v>
      </c>
      <c r="BP108" s="46">
        <f t="shared" ca="1" si="64"/>
        <v>-1.1838546200797731E-2</v>
      </c>
    </row>
    <row r="109" spans="3:68" x14ac:dyDescent="0.2">
      <c r="C109" s="56">
        <v>96</v>
      </c>
      <c r="D109" s="63">
        <f t="shared" ca="1" si="65"/>
        <v>5.804000000000002</v>
      </c>
      <c r="E109" s="45">
        <f t="shared" ca="1" si="44"/>
        <v>0.22835978835978898</v>
      </c>
      <c r="F109" s="45">
        <f t="shared" ca="1" si="36"/>
        <v>0.22897396825396865</v>
      </c>
      <c r="G109" s="45">
        <f t="shared" ca="1" si="37"/>
        <v>0.2277456084656091</v>
      </c>
      <c r="H109" s="45">
        <f t="shared" ca="1" si="38"/>
        <v>0.61921133188523569</v>
      </c>
      <c r="I109" s="45">
        <f t="shared" ca="1" si="41"/>
        <v>0.61913158196906037</v>
      </c>
      <c r="J109" s="45">
        <f t="shared" ca="1" si="39"/>
        <v>0.61905190549928701</v>
      </c>
      <c r="L109" s="58">
        <f ca="1">_xll.EURO(UnderlyingPrice,$D109,IntRate,Yield,$I109,$D$6,L$12,0)</f>
        <v>0.42696286311913467</v>
      </c>
      <c r="M109" s="58">
        <f ca="1">_xll.EURO(UnderlyingPrice,$D109,IntRate,Yield,$I109,$D$6,M$12,0)</f>
        <v>1.4867476939907109</v>
      </c>
      <c r="O109" s="58">
        <f ca="1">_xll.EURO(UnderlyingPrice,$D109*(1+$P$8),IntRate,Yield,$H109,Expiry-Today,O$12,0)</f>
        <v>0.42637019142606181</v>
      </c>
      <c r="P109" s="58">
        <f ca="1">_xll.EURO(UnderlyingPrice,$D109*(1+$P$8),IntRate,Yield,$H109,Expiry-Today,P$12,0)</f>
        <v>1.489005342574921</v>
      </c>
      <c r="R109" s="58">
        <f ca="1">_xll.EURO(UnderlyingPrice,$D109*(1-$P$8),IntRate,Yield,$J109,Expiry-Today,R$12,0)</f>
        <v>0.4275566234755066</v>
      </c>
      <c r="S109" s="58">
        <f ca="1">_xll.EURO(UnderlyingPrice,$D109*(1-$P$8),IntRate,Yield,$J109,Expiry-Today,S$12,0)</f>
        <v>1.4844911340697982</v>
      </c>
      <c r="U109" s="59">
        <f t="shared" ca="1" si="45"/>
        <v>0.12927030279086527</v>
      </c>
      <c r="V109" s="59"/>
      <c r="W109" s="62">
        <f t="shared" ca="1" si="40"/>
        <v>0.13161412831001951</v>
      </c>
      <c r="Z109" s="59">
        <f t="shared" ca="1" si="46"/>
        <v>0.1709686751800259</v>
      </c>
      <c r="AA109" s="59">
        <f t="shared" ca="1" si="47"/>
        <v>0.28649668301299147</v>
      </c>
      <c r="AB109" s="59">
        <f t="shared" ca="1" si="42"/>
        <v>-8.2080349377446515E-2</v>
      </c>
      <c r="AC109" s="59">
        <f t="shared" ca="1" si="48"/>
        <v>-0.25390834188449218</v>
      </c>
      <c r="AD109" s="60">
        <f t="shared" ca="1" si="43"/>
        <v>0.77576290375374091</v>
      </c>
      <c r="AE109" s="60">
        <f t="shared" ca="1" si="49"/>
        <v>0.13263115590858701</v>
      </c>
      <c r="AF109" s="60"/>
      <c r="AG109" s="96">
        <f t="shared" ca="1" si="50"/>
        <v>0.71261257620742602</v>
      </c>
      <c r="AH109" s="96">
        <f t="shared" ca="1" si="51"/>
        <v>0.71385593175858442</v>
      </c>
      <c r="AI109" s="96">
        <f t="shared" ca="1" si="52"/>
        <v>0.71136859882300751</v>
      </c>
      <c r="AJ109" s="62"/>
      <c r="AK109" s="96">
        <f t="shared" ca="1" si="53"/>
        <v>0.30711144044501631</v>
      </c>
      <c r="AL109" s="96"/>
      <c r="AM109" s="94"/>
      <c r="AN109" s="95"/>
      <c r="AX109" s="106">
        <f t="shared" ca="1" si="54"/>
        <v>0.61450466382000002</v>
      </c>
      <c r="AY109" s="106">
        <f t="shared" ca="1" si="55"/>
        <v>0.61453151480716006</v>
      </c>
      <c r="AZ109" s="106">
        <f t="shared" ca="1" si="56"/>
        <v>0.61447781283284009</v>
      </c>
      <c r="BB109" s="109">
        <f ca="1">_xll.EURO(UnderlyingPrice,$D109,IntRate,Yield,AX109,$D$6,1,0)</f>
        <v>0.42140031851662019</v>
      </c>
      <c r="BC109" s="109">
        <f ca="1">_xll.EURO(UnderlyingPrice,$D109*(1+$P$8),IntRate,Yield,AY109,$D$6,1,0)</f>
        <v>0.42074587619410186</v>
      </c>
      <c r="BD109" s="109">
        <f ca="1">_xll.EURO(UnderlyingPrice,$D109*(1-$P$8),IntRate,Yield,AZ109,$D$6,1,0)</f>
        <v>0.42205580767285045</v>
      </c>
      <c r="BF109" s="59">
        <f t="shared" ca="1" si="57"/>
        <v>0.12430336452976969</v>
      </c>
      <c r="BG109" s="62">
        <f t="shared" ca="1" si="58"/>
        <v>0.1265571335054094</v>
      </c>
      <c r="BI109" s="96">
        <f t="shared" ca="1" si="59"/>
        <v>0.71238823175670651</v>
      </c>
      <c r="BJ109" s="96">
        <f t="shared" ca="1" si="60"/>
        <v>0.71363068874839075</v>
      </c>
      <c r="BK109" s="96">
        <f t="shared" ca="1" si="61"/>
        <v>0.71114515338115403</v>
      </c>
      <c r="BL109" s="62"/>
      <c r="BM109" s="96">
        <f t="shared" ca="1" si="62"/>
        <v>0.29552490483449173</v>
      </c>
      <c r="BO109" s="58">
        <f t="shared" ca="1" si="63"/>
        <v>-5.5625446025144853E-3</v>
      </c>
      <c r="BP109" s="46">
        <f t="shared" ca="1" si="64"/>
        <v>-1.3200143327122559E-2</v>
      </c>
    </row>
    <row r="110" spans="3:68" x14ac:dyDescent="0.2">
      <c r="C110" s="56">
        <v>97</v>
      </c>
      <c r="D110" s="63">
        <f t="shared" ca="1" si="65"/>
        <v>5.8280000000000021</v>
      </c>
      <c r="E110" s="45">
        <f t="shared" ca="1" si="44"/>
        <v>0.233439153439154</v>
      </c>
      <c r="F110" s="45">
        <f t="shared" ca="1" si="36"/>
        <v>0.23405587301587349</v>
      </c>
      <c r="G110" s="45">
        <f t="shared" ca="1" si="37"/>
        <v>0.23282243386243451</v>
      </c>
      <c r="H110" s="45">
        <f t="shared" ca="1" si="38"/>
        <v>0.61987402417886983</v>
      </c>
      <c r="I110" s="45">
        <f t="shared" ca="1" si="41"/>
        <v>0.61979333441290008</v>
      </c>
      <c r="J110" s="45">
        <f t="shared" ca="1" si="39"/>
        <v>0.61971271870200162</v>
      </c>
      <c r="L110" s="58">
        <f ca="1">_xll.EURO(UnderlyingPrice,$D110,IntRate,Yield,$I110,$D$6,L$12,0)</f>
        <v>0.42209393630540615</v>
      </c>
      <c r="M110" s="58">
        <f ca="1">_xll.EURO(UnderlyingPrice,$D110,IntRate,Yield,$I110,$D$6,M$12,0)</f>
        <v>1.505451367678297</v>
      </c>
      <c r="O110" s="58">
        <f ca="1">_xll.EURO(UnderlyingPrice,$D110*(1+$P$8),IntRate,Yield,$H110,Expiry-Today,O$12,0)</f>
        <v>0.42150778798139443</v>
      </c>
      <c r="P110" s="58">
        <f ca="1">_xll.EURO(UnderlyingPrice,$D110*(1+$P$8),IntRate,Yield,$H110,Expiry-Today,P$12,0)</f>
        <v>1.5077273259318189</v>
      </c>
      <c r="R110" s="58">
        <f ca="1">_xll.EURO(UnderlyingPrice,$D110*(1-$P$8),IntRate,Yield,$J110,Expiry-Today,R$12,0)</f>
        <v>0.42268116743818296</v>
      </c>
      <c r="S110" s="58">
        <f ca="1">_xll.EURO(UnderlyingPrice,$D110*(1-$P$8),IntRate,Yield,$J110,Expiry-Today,S$12,0)</f>
        <v>1.5031764922335382</v>
      </c>
      <c r="U110" s="59">
        <f t="shared" ca="1" si="45"/>
        <v>0.12751834505139459</v>
      </c>
      <c r="V110" s="59"/>
      <c r="W110" s="62">
        <f t="shared" ca="1" si="40"/>
        <v>0.1298304054770231</v>
      </c>
      <c r="Z110" s="59">
        <f t="shared" ca="1" si="46"/>
        <v>0.17026461749225638</v>
      </c>
      <c r="AA110" s="59">
        <f t="shared" ca="1" si="47"/>
        <v>0.29062323632400844</v>
      </c>
      <c r="AB110" s="59">
        <f t="shared" ca="1" si="42"/>
        <v>-8.4461865491440455E-2</v>
      </c>
      <c r="AC110" s="59">
        <f t="shared" ca="1" si="48"/>
        <v>-0.26127535253030154</v>
      </c>
      <c r="AD110" s="60">
        <f t="shared" ca="1" si="43"/>
        <v>0.77006885001311076</v>
      </c>
      <c r="AE110" s="60">
        <f t="shared" ca="1" si="49"/>
        <v>0.13111547819018404</v>
      </c>
      <c r="AF110" s="60"/>
      <c r="AG110" s="96">
        <f t="shared" ca="1" si="50"/>
        <v>0.7228766873129906</v>
      </c>
      <c r="AH110" s="96">
        <f t="shared" ca="1" si="51"/>
        <v>0.72412004286414922</v>
      </c>
      <c r="AI110" s="96">
        <f t="shared" ca="1" si="52"/>
        <v>0.72163270992857231</v>
      </c>
      <c r="AJ110" s="62"/>
      <c r="AK110" s="96">
        <f t="shared" ca="1" si="53"/>
        <v>0.30420197967772095</v>
      </c>
      <c r="AL110" s="96"/>
      <c r="AM110" s="94"/>
      <c r="AN110" s="95"/>
      <c r="AX110" s="106">
        <f t="shared" ca="1" si="54"/>
        <v>0.61472672574000009</v>
      </c>
      <c r="AY110" s="106">
        <f t="shared" ca="1" si="55"/>
        <v>0.61475368775812</v>
      </c>
      <c r="AZ110" s="106">
        <f t="shared" ca="1" si="56"/>
        <v>0.61469976372188007</v>
      </c>
      <c r="BB110" s="109">
        <f ca="1">_xll.EURO(UnderlyingPrice,$D110,IntRate,Yield,AX110,$D$6,1,0)</f>
        <v>0.41601930414900612</v>
      </c>
      <c r="BC110" s="109">
        <f ca="1">_xll.EURO(UnderlyingPrice,$D110*(1+$P$8),IntRate,Yield,AY110,$D$6,1,0)</f>
        <v>0.41537079177464475</v>
      </c>
      <c r="BD110" s="109">
        <f ca="1">_xll.EURO(UnderlyingPrice,$D110*(1-$P$8),IntRate,Yield,AZ110,$D$6,1,0)</f>
        <v>0.41666885920023722</v>
      </c>
      <c r="BF110" s="59">
        <f t="shared" ca="1" si="57"/>
        <v>0.1227921615872799</v>
      </c>
      <c r="BG110" s="62">
        <f t="shared" ca="1" si="58"/>
        <v>0.12501853064240612</v>
      </c>
      <c r="BI110" s="96">
        <f t="shared" ca="1" si="59"/>
        <v>0.72264492510130396</v>
      </c>
      <c r="BJ110" s="96">
        <f t="shared" ca="1" si="60"/>
        <v>0.72388738209298864</v>
      </c>
      <c r="BK110" s="96">
        <f t="shared" ca="1" si="61"/>
        <v>0.72140184672575181</v>
      </c>
      <c r="BL110" s="62"/>
      <c r="BM110" s="96">
        <f t="shared" ca="1" si="62"/>
        <v>0.29313925932743223</v>
      </c>
      <c r="BO110" s="58">
        <f t="shared" ca="1" si="63"/>
        <v>-6.0746321564000283E-3</v>
      </c>
      <c r="BP110" s="46">
        <f t="shared" ca="1" si="64"/>
        <v>-1.4601803560116216E-2</v>
      </c>
    </row>
    <row r="111" spans="3:68" x14ac:dyDescent="0.2">
      <c r="C111" s="56">
        <v>98</v>
      </c>
      <c r="D111" s="63">
        <f t="shared" ca="1" si="65"/>
        <v>5.8520000000000021</v>
      </c>
      <c r="E111" s="45">
        <f t="shared" ca="1" si="44"/>
        <v>0.23851851851851902</v>
      </c>
      <c r="F111" s="45">
        <f t="shared" ca="1" si="36"/>
        <v>0.23913777777777812</v>
      </c>
      <c r="G111" s="45">
        <f t="shared" ca="1" si="37"/>
        <v>0.23789925925925992</v>
      </c>
      <c r="H111" s="45">
        <f t="shared" ca="1" si="38"/>
        <v>0.6205417449021533</v>
      </c>
      <c r="I111" s="45">
        <f t="shared" ca="1" si="41"/>
        <v>0.62046011026172854</v>
      </c>
      <c r="J111" s="45">
        <f t="shared" ca="1" si="39"/>
        <v>0.62037855028755584</v>
      </c>
      <c r="L111" s="58">
        <f ca="1">_xll.EURO(UnderlyingPrice,$D111,IntRate,Yield,$I111,$D$6,L$12,0)</f>
        <v>0.41729846081562805</v>
      </c>
      <c r="M111" s="58">
        <f ca="1">_xll.EURO(UnderlyingPrice,$D111,IntRate,Yield,$I111,$D$6,M$12,0)</f>
        <v>1.5242284926898311</v>
      </c>
      <c r="O111" s="58">
        <f ca="1">_xll.EURO(UnderlyingPrice,$D111*(1+$P$8),IntRate,Yield,$H111,Expiry-Today,O$12,0)</f>
        <v>0.41671878731093104</v>
      </c>
      <c r="P111" s="58">
        <f ca="1">_xll.EURO(UnderlyingPrice,$D111*(1+$P$8),IntRate,Yield,$H111,Expiry-Today,P$12,0)</f>
        <v>1.5265227120629197</v>
      </c>
      <c r="R111" s="58">
        <f ca="1">_xll.EURO(UnderlyingPrice,$D111*(1-$P$8),IntRate,Yield,$J111,Expiry-Today,R$12,0)</f>
        <v>0.41787921120329341</v>
      </c>
      <c r="S111" s="58">
        <f ca="1">_xll.EURO(UnderlyingPrice,$D111*(1-$P$8),IntRate,Yield,$J111,Expiry-Today,S$12,0)</f>
        <v>1.5219353501997128</v>
      </c>
      <c r="U111" s="59">
        <f t="shared" ca="1" si="45"/>
        <v>0.12578239644120265</v>
      </c>
      <c r="V111" s="59"/>
      <c r="W111" s="62">
        <f t="shared" ca="1" si="40"/>
        <v>0.12806298203800609</v>
      </c>
      <c r="Z111" s="59">
        <f t="shared" ca="1" si="46"/>
        <v>0.1695663347137509</v>
      </c>
      <c r="AA111" s="59">
        <f t="shared" ca="1" si="47"/>
        <v>0.2947328311489279</v>
      </c>
      <c r="AB111" s="59">
        <f t="shared" ca="1" si="42"/>
        <v>-8.6867441757062444E-2</v>
      </c>
      <c r="AC111" s="59">
        <f t="shared" ca="1" si="48"/>
        <v>-0.26871679113909719</v>
      </c>
      <c r="AD111" s="60">
        <f t="shared" ca="1" si="43"/>
        <v>0.76435969843700879</v>
      </c>
      <c r="AE111" s="60">
        <f t="shared" ca="1" si="49"/>
        <v>0.12960967246687155</v>
      </c>
      <c r="AF111" s="60"/>
      <c r="AG111" s="96">
        <f t="shared" ca="1" si="50"/>
        <v>0.7330986170210626</v>
      </c>
      <c r="AH111" s="96">
        <f t="shared" ca="1" si="51"/>
        <v>0.73434197257222078</v>
      </c>
      <c r="AI111" s="96">
        <f t="shared" ca="1" si="52"/>
        <v>0.73185463963664443</v>
      </c>
      <c r="AJ111" s="62"/>
      <c r="AK111" s="96">
        <f t="shared" ca="1" si="53"/>
        <v>0.3012964449460645</v>
      </c>
      <c r="AL111" s="96"/>
      <c r="AM111" s="94"/>
      <c r="AN111" s="95"/>
      <c r="AX111" s="106">
        <f t="shared" ca="1" si="54"/>
        <v>0.61494878766000005</v>
      </c>
      <c r="AY111" s="106">
        <f t="shared" ca="1" si="55"/>
        <v>0.61497586070908006</v>
      </c>
      <c r="AZ111" s="106">
        <f t="shared" ca="1" si="56"/>
        <v>0.61492171461092004</v>
      </c>
      <c r="BB111" s="109">
        <f ca="1">_xll.EURO(UnderlyingPrice,$D111,IntRate,Yield,AX111,$D$6,1,0)</f>
        <v>0.41070901866521781</v>
      </c>
      <c r="BC111" s="109">
        <f ca="1">_xll.EURO(UnderlyingPrice,$D111*(1+$P$8),IntRate,Yield,AY111,$D$6,1,0)</f>
        <v>0.4100664016893536</v>
      </c>
      <c r="BD111" s="109">
        <f ca="1">_xll.EURO(UnderlyingPrice,$D111*(1-$P$8),IntRate,Yield,AZ111,$D$6,1,0)</f>
        <v>0.41135267409349452</v>
      </c>
      <c r="BF111" s="59">
        <f t="shared" ca="1" si="57"/>
        <v>0.12129361952367884</v>
      </c>
      <c r="BG111" s="62">
        <f t="shared" ca="1" si="58"/>
        <v>0.12349281821519975</v>
      </c>
      <c r="BI111" s="96">
        <f t="shared" ca="1" si="59"/>
        <v>0.73285946753244402</v>
      </c>
      <c r="BJ111" s="96">
        <f t="shared" ca="1" si="60"/>
        <v>0.73410192452412848</v>
      </c>
      <c r="BK111" s="96">
        <f t="shared" ca="1" si="61"/>
        <v>0.73161638915689187</v>
      </c>
      <c r="BL111" s="62"/>
      <c r="BM111" s="96">
        <f t="shared" ca="1" si="62"/>
        <v>0.29075425025990104</v>
      </c>
      <c r="BO111" s="58">
        <f t="shared" ca="1" si="63"/>
        <v>-6.5894421504102407E-3</v>
      </c>
      <c r="BP111" s="46">
        <f t="shared" ca="1" si="64"/>
        <v>-1.6044064899829989E-2</v>
      </c>
    </row>
    <row r="112" spans="3:68" x14ac:dyDescent="0.2">
      <c r="C112" s="56">
        <v>99</v>
      </c>
      <c r="D112" s="63">
        <f t="shared" ca="1" si="65"/>
        <v>5.8760000000000021</v>
      </c>
      <c r="E112" s="45">
        <f t="shared" ca="1" si="44"/>
        <v>0.24359788359788404</v>
      </c>
      <c r="F112" s="45">
        <f t="shared" ca="1" si="36"/>
        <v>0.24421968253968296</v>
      </c>
      <c r="G112" s="45">
        <f t="shared" ca="1" si="37"/>
        <v>0.24297608465608533</v>
      </c>
      <c r="H112" s="45">
        <f t="shared" ca="1" si="38"/>
        <v>0.62121449405508644</v>
      </c>
      <c r="I112" s="45">
        <f t="shared" ca="1" si="41"/>
        <v>0.62113190951554553</v>
      </c>
      <c r="J112" s="45">
        <f t="shared" ca="1" si="39"/>
        <v>0.62104940025594957</v>
      </c>
      <c r="L112" s="58">
        <f ca="1">_xll.EURO(UnderlyingPrice,$D112,IntRate,Yield,$I112,$D$6,L$12,0)</f>
        <v>0.41257543675208685</v>
      </c>
      <c r="M112" s="58">
        <f ca="1">_xll.EURO(UnderlyingPrice,$D112,IntRate,Yield,$I112,$D$6,M$12,0)</f>
        <v>1.5430780691276058</v>
      </c>
      <c r="O112" s="58">
        <f ca="1">_xll.EURO(UnderlyingPrice,$D112*(1+$P$8),IntRate,Yield,$H112,Expiry-Today,O$12,0)</f>
        <v>0.41200218914742726</v>
      </c>
      <c r="P112" s="58">
        <f ca="1">_xll.EURO(UnderlyingPrice,$D112*(1+$P$8),IntRate,Yield,$H112,Expiry-Today,P$12,0)</f>
        <v>1.5453905007009805</v>
      </c>
      <c r="R112" s="58">
        <f ca="1">_xll.EURO(UnderlyingPrice,$D112*(1-$P$8),IntRate,Yield,$J112,Expiry-Today,R$12,0)</f>
        <v>0.4131497552461354</v>
      </c>
      <c r="S112" s="58">
        <f ca="1">_xll.EURO(UnderlyingPrice,$D112*(1-$P$8),IntRate,Yield,$J112,Expiry-Today,S$12,0)</f>
        <v>1.5407667084436185</v>
      </c>
      <c r="U112" s="59">
        <f t="shared" ca="1" si="45"/>
        <v>0.12406264396614272</v>
      </c>
      <c r="V112" s="59"/>
      <c r="W112" s="62">
        <f t="shared" ca="1" si="40"/>
        <v>0.12631204838946197</v>
      </c>
      <c r="Z112" s="59">
        <f t="shared" ca="1" si="46"/>
        <v>0.1688737560831978</v>
      </c>
      <c r="AA112" s="59">
        <f t="shared" ca="1" si="47"/>
        <v>0.29882560630268085</v>
      </c>
      <c r="AB112" s="59">
        <f t="shared" ca="1" si="42"/>
        <v>-8.9296742982164806E-2</v>
      </c>
      <c r="AC112" s="59">
        <f t="shared" ca="1" si="48"/>
        <v>-0.27623162082345026</v>
      </c>
      <c r="AD112" s="60">
        <f t="shared" ca="1" si="43"/>
        <v>0.75863719423827858</v>
      </c>
      <c r="AE112" s="60">
        <f t="shared" ca="1" si="49"/>
        <v>0.1281139124954366</v>
      </c>
      <c r="AF112" s="60"/>
      <c r="AG112" s="96">
        <f t="shared" ca="1" si="50"/>
        <v>0.74327871061056283</v>
      </c>
      <c r="AH112" s="96">
        <f t="shared" ca="1" si="51"/>
        <v>0.74452206616172134</v>
      </c>
      <c r="AI112" s="96">
        <f t="shared" ca="1" si="52"/>
        <v>0.74203473322614466</v>
      </c>
      <c r="AJ112" s="62"/>
      <c r="AK112" s="96">
        <f t="shared" ca="1" si="53"/>
        <v>0.29839575784992362</v>
      </c>
      <c r="AL112" s="96"/>
      <c r="AM112" s="94"/>
      <c r="AN112" s="95"/>
      <c r="AX112" s="106">
        <f t="shared" ca="1" si="54"/>
        <v>0.61517084958000001</v>
      </c>
      <c r="AY112" s="106">
        <f t="shared" ca="1" si="55"/>
        <v>0.61519803366004</v>
      </c>
      <c r="AZ112" s="106">
        <f t="shared" ca="1" si="56"/>
        <v>0.61514366549996002</v>
      </c>
      <c r="BB112" s="109">
        <f ca="1">_xll.EURO(UnderlyingPrice,$D112,IntRate,Yield,AX112,$D$6,1,0)</f>
        <v>0.40546859890976616</v>
      </c>
      <c r="BC112" s="109">
        <f ca="1">_xll.EURO(UnderlyingPrice,$D112*(1+$P$8),IntRate,Yield,AY112,$D$6,1,0)</f>
        <v>0.40483184237997372</v>
      </c>
      <c r="BD112" s="109">
        <f ca="1">_xll.EURO(UnderlyingPrice,$D112*(1-$P$8),IntRate,Yield,AZ112,$D$6,1,0)</f>
        <v>0.40610638960213152</v>
      </c>
      <c r="BF112" s="59">
        <f t="shared" ca="1" si="57"/>
        <v>0.11980783861599513</v>
      </c>
      <c r="BG112" s="62">
        <f t="shared" ca="1" si="58"/>
        <v>0.12198009831896169</v>
      </c>
      <c r="BI112" s="96">
        <f t="shared" ca="1" si="59"/>
        <v>0.7430322040795182</v>
      </c>
      <c r="BJ112" s="96">
        <f t="shared" ca="1" si="60"/>
        <v>0.74427466107120288</v>
      </c>
      <c r="BK112" s="96">
        <f t="shared" ca="1" si="61"/>
        <v>0.74178912570396616</v>
      </c>
      <c r="BL112" s="62"/>
      <c r="BM112" s="96">
        <f t="shared" ca="1" si="62"/>
        <v>0.28837049239780738</v>
      </c>
      <c r="BO112" s="58">
        <f t="shared" ca="1" si="63"/>
        <v>-7.1068378423206902E-3</v>
      </c>
      <c r="BP112" s="46">
        <f t="shared" ca="1" si="64"/>
        <v>-1.7527467876500741E-2</v>
      </c>
    </row>
    <row r="113" spans="3:68" x14ac:dyDescent="0.2">
      <c r="C113" s="51">
        <v>100</v>
      </c>
      <c r="D113" s="110">
        <f t="shared" ca="1" si="65"/>
        <v>5.9000000000000021</v>
      </c>
      <c r="E113" s="111">
        <f t="shared" ca="1" si="44"/>
        <v>0.24867724867724927</v>
      </c>
      <c r="F113" s="111">
        <f t="shared" ca="1" si="36"/>
        <v>0.2493015873015878</v>
      </c>
      <c r="G113" s="111">
        <f t="shared" ca="1" si="37"/>
        <v>0.24805291005291075</v>
      </c>
      <c r="H113" s="111">
        <f t="shared" ca="1" si="38"/>
        <v>0.62189227163766903</v>
      </c>
      <c r="I113" s="111">
        <f t="shared" ca="1" si="41"/>
        <v>0.6218087321743514</v>
      </c>
      <c r="J113" s="111">
        <f t="shared" ca="1" si="39"/>
        <v>0.6217252686071828</v>
      </c>
      <c r="K113" s="52"/>
      <c r="L113" s="112">
        <f ca="1">_xll.EURO(UnderlyingPrice,$D113,IntRate,Yield,$I113,$D$6,L$12,0)</f>
        <v>0.4079238735453421</v>
      </c>
      <c r="M113" s="112">
        <f ca="1">_xll.EURO(UnderlyingPrice,$D113,IntRate,Yield,$I113,$D$6,M$12,0)</f>
        <v>1.5619991064221743</v>
      </c>
      <c r="N113" s="52"/>
      <c r="O113" s="112">
        <f ca="1">_xll.EURO(UnderlyingPrice,$D113*(1+$P$8),IntRate,Yield,$H113,Expiry-Today,O$12,0)</f>
        <v>0.40735700258314322</v>
      </c>
      <c r="P113" s="112">
        <f ca="1">_xll.EURO(UnderlyingPrice,$D113*(1+$P$8),IntRate,Yield,$H113,Expiry-Today,P$12,0)</f>
        <v>1.5643297009382606</v>
      </c>
      <c r="Q113" s="52"/>
      <c r="R113" s="112">
        <f ca="1">_xll.EURO(UnderlyingPrice,$D113*(1-$P$8),IntRate,Yield,$J113,Expiry-Today,R$12,0)</f>
        <v>0.40849180933899643</v>
      </c>
      <c r="S113" s="112">
        <f ca="1">_xll.EURO(UnderlyingPrice,$D113*(1-$P$8),IntRate,Yield,$J113,Expiry-Today,S$12,0)</f>
        <v>1.5596695767375426</v>
      </c>
      <c r="T113" s="52"/>
      <c r="U113" s="113">
        <f t="shared" ca="1" si="45"/>
        <v>0.12235925946051199</v>
      </c>
      <c r="V113" s="113"/>
      <c r="W113" s="114">
        <f ca="1">U113/$D$9</f>
        <v>0.12457777948124971</v>
      </c>
      <c r="Z113" s="59">
        <f t="shared" ca="1" si="46"/>
        <v>0.16818681199065597</v>
      </c>
      <c r="AA113" s="59">
        <f t="shared" ca="1" si="47"/>
        <v>0.30290169890272384</v>
      </c>
      <c r="AB113" s="59">
        <f t="shared" ca="1" si="42"/>
        <v>-9.1749439198156368E-2</v>
      </c>
      <c r="AC113" s="59">
        <f t="shared" ca="1" si="48"/>
        <v>-0.28381882085454452</v>
      </c>
      <c r="AD113" s="60">
        <f t="shared" ca="1" si="43"/>
        <v>0.7529030426794725</v>
      </c>
      <c r="AE113" s="60">
        <f t="shared" ca="1" si="49"/>
        <v>0.12662836248632525</v>
      </c>
      <c r="AF113" s="60"/>
      <c r="AG113" s="96">
        <f t="shared" ca="1" si="50"/>
        <v>0.75341730913822857</v>
      </c>
      <c r="AH113" s="96">
        <f t="shared" ca="1" si="51"/>
        <v>0.7546606646893872</v>
      </c>
      <c r="AI113" s="96">
        <f t="shared" ca="1" si="52"/>
        <v>0.75217333175381029</v>
      </c>
      <c r="AJ113" s="62"/>
      <c r="AK113" s="96">
        <f t="shared" ca="1" si="53"/>
        <v>0.29550081069822626</v>
      </c>
      <c r="AL113" s="96"/>
      <c r="AM113" s="94"/>
      <c r="AN113" s="95"/>
      <c r="AX113" s="106">
        <f t="shared" ca="1" si="54"/>
        <v>0.61539291149999997</v>
      </c>
      <c r="AY113" s="106">
        <f t="shared" ca="1" si="55"/>
        <v>0.61542020661100005</v>
      </c>
      <c r="AZ113" s="106">
        <f t="shared" ca="1" si="56"/>
        <v>0.615365616389</v>
      </c>
      <c r="BB113" s="109">
        <f ca="1">_xll.EURO(UnderlyingPrice,$D113,IntRate,Yield,AX113,$D$6,1,0)</f>
        <v>0.40029718907701284</v>
      </c>
      <c r="BC113" s="109">
        <f ca="1">_xll.EURO(UnderlyingPrice,$D113*(1+$P$8),IntRate,Yield,AY113,$D$6,1,0)</f>
        <v>0.39966625765946961</v>
      </c>
      <c r="BD113" s="109">
        <f ca="1">_xll.EURO(UnderlyingPrice,$D113*(1-$P$8),IntRate,Yield,AZ113,$D$6,1,0)</f>
        <v>0.40092915030410636</v>
      </c>
      <c r="BF113" s="59">
        <f t="shared" ca="1" si="57"/>
        <v>0.11833490954339643</v>
      </c>
      <c r="BG113" s="62">
        <f t="shared" ca="1" si="58"/>
        <v>0.12048046327698154</v>
      </c>
      <c r="BI113" s="96">
        <f t="shared" ca="1" si="59"/>
        <v>0.75316347555278607</v>
      </c>
      <c r="BJ113" s="96">
        <f t="shared" ca="1" si="60"/>
        <v>0.75440593254447053</v>
      </c>
      <c r="BK113" s="96">
        <f t="shared" ca="1" si="61"/>
        <v>0.75192039717723358</v>
      </c>
      <c r="BL113" s="62"/>
      <c r="BM113" s="96">
        <f t="shared" ca="1" si="62"/>
        <v>0.28598858125458632</v>
      </c>
      <c r="BO113" s="58">
        <f t="shared" ca="1" si="63"/>
        <v>-7.6266844683292589E-3</v>
      </c>
      <c r="BP113" s="46">
        <f t="shared" ca="1" si="64"/>
        <v>-1.9052555642258003E-2</v>
      </c>
    </row>
    <row r="114" spans="3:68" x14ac:dyDescent="0.2">
      <c r="C114" s="97" t="s">
        <v>94</v>
      </c>
      <c r="D114" s="63">
        <f ca="1">MinStrike</f>
        <v>3.5</v>
      </c>
      <c r="E114" s="45">
        <f t="shared" ca="1" si="44"/>
        <v>-0.25925925925925919</v>
      </c>
      <c r="F114" s="45">
        <f t="shared" ref="F114:F164" ca="1" si="66">+D114*(1+$P$8)/UnderlyingPrice-1</f>
        <v>-0.25888888888888884</v>
      </c>
      <c r="G114" s="45">
        <f t="shared" ref="G114:G164" ca="1" si="67">+D114*(1-$P$8)/UnderlyingPrice-1</f>
        <v>-0.25962962962962954</v>
      </c>
      <c r="H114" s="45">
        <f t="shared" ref="H114:H164" ca="1" si="68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0.57900524014444454</v>
      </c>
      <c r="I114" s="45">
        <f t="shared" ref="I114:I164" ca="1" si="69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0.5789923209876543</v>
      </c>
      <c r="J114" s="45">
        <f t="shared" ref="J114:J164" ca="1" si="70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0.57897942853950624</v>
      </c>
      <c r="L114" s="58"/>
      <c r="M114" s="58"/>
      <c r="O114" s="58"/>
      <c r="P114" s="58"/>
      <c r="R114" s="59">
        <f ca="1">(1/($D114*SQRT(2*PI()*T/365.25*$I$114^2)))</f>
        <v>0.2911428267771734</v>
      </c>
      <c r="S114" s="59">
        <f ca="1">LN($D114/UnderlyingPrice)+0.5*T/365.25*$I$114^2</f>
        <v>-0.22346699902615449</v>
      </c>
      <c r="T114" s="59">
        <f t="shared" ref="T114:T164" ca="1" si="71">-(S114^2)</f>
        <v>-4.9937499653755331E-2</v>
      </c>
      <c r="U114" s="59">
        <f ca="1">T114/(2*T/365.25*$I$114^2)</f>
        <v>-0.16290144765296488</v>
      </c>
      <c r="V114" s="59"/>
      <c r="W114" s="104">
        <f ca="1">(Alpha1*R114)*EXP(Gamma2^2*U114)</f>
        <v>0.26272836192715526</v>
      </c>
      <c r="Z114" s="59">
        <f ca="1">(1/($D114*SQRT(2*PI()*T/365.25*ATMImpVol^2)))</f>
        <v>0.28351491164139159</v>
      </c>
      <c r="AA114" s="59">
        <f ca="1">LN($D114/UnderlyingPrice)+0.5*T/365.25*ATMImpVol^2</f>
        <v>-0.21928768351358233</v>
      </c>
      <c r="AB114" s="59">
        <f t="shared" ca="1" si="42"/>
        <v>-4.8087088140753048E-2</v>
      </c>
      <c r="AC114" s="59">
        <f t="shared" ca="1" si="48"/>
        <v>-0.14875317793453419</v>
      </c>
      <c r="AD114" s="60">
        <f t="shared" ca="1" si="43"/>
        <v>0.86178179541348143</v>
      </c>
      <c r="AE114" s="60">
        <f t="shared" ca="1" si="49"/>
        <v>0.24432798958081298</v>
      </c>
      <c r="AF114" s="60"/>
      <c r="AG114" s="96">
        <f t="shared" ca="1" si="50"/>
        <v>-0.54544143211628915</v>
      </c>
      <c r="AH114" s="96">
        <f t="shared" ca="1" si="51"/>
        <v>-0.54419807656513042</v>
      </c>
      <c r="AI114" s="96">
        <f t="shared" ca="1" si="52"/>
        <v>-0.54668540950070754</v>
      </c>
      <c r="AJ114" s="62"/>
      <c r="AK114" s="96">
        <f t="shared" ca="1" si="53"/>
        <v>0.36969287608925766</v>
      </c>
      <c r="AL114" s="62"/>
      <c r="AM114" s="94"/>
      <c r="AN114" s="95"/>
      <c r="AX114" s="106">
        <f t="shared" ca="1" si="54"/>
        <v>0.59072499999999994</v>
      </c>
      <c r="AY114" s="106">
        <f t="shared" ca="1" si="55"/>
        <v>0.59072324999999992</v>
      </c>
      <c r="AZ114" s="106">
        <f t="shared" ca="1" si="56"/>
        <v>0.59072674999999997</v>
      </c>
      <c r="BB114" s="109">
        <f ca="1">_xll.EURO(UnderlyingPrice,$D114,IntRate,Yield,AX114,$D$6,1,0)</f>
        <v>1.4095859677604632</v>
      </c>
      <c r="BC114" s="109">
        <f ca="1">_xll.EURO(UnderlyingPrice,$D114*(1+$P$8),IntRate,Yield,AY114,$D$6,1,0)</f>
        <v>1.4083656225945744</v>
      </c>
      <c r="BD114" s="109">
        <f ca="1">_xll.EURO(UnderlyingPrice,$D114*(1-$P$8),IntRate,Yield,AZ114,$D$6,1,0)</f>
        <v>1.4108070468374869</v>
      </c>
      <c r="BF114" s="59">
        <f t="shared" ca="1" si="57"/>
        <v>0.23964445223699077</v>
      </c>
      <c r="BG114" s="62">
        <f t="shared" ca="1" si="58"/>
        <v>0.24398949336825118</v>
      </c>
      <c r="BI114" s="96">
        <f t="shared" ca="1" si="59"/>
        <v>-0.54475659467864035</v>
      </c>
      <c r="BJ114" s="96">
        <f t="shared" ca="1" si="60"/>
        <v>-0.54351413768695556</v>
      </c>
      <c r="BK114" s="96">
        <f t="shared" ca="1" si="61"/>
        <v>-0.54599967305419272</v>
      </c>
      <c r="BL114" s="62"/>
      <c r="BM114" s="96">
        <f t="shared" ca="1" si="62"/>
        <v>0.34357315451846254</v>
      </c>
      <c r="BO114" s="58"/>
    </row>
    <row r="115" spans="3:68" x14ac:dyDescent="0.2">
      <c r="C115" s="97">
        <v>4</v>
      </c>
      <c r="D115" s="63">
        <f ca="1">+D114-LTFactor*(ROUNDUP(MAX(StrikeRange),1)-ROUNDDOWN(MIN(StrikeRange),1))/100</f>
        <v>3.4039999999999999</v>
      </c>
      <c r="E115" s="45">
        <f t="shared" ca="1" si="44"/>
        <v>-0.27957671957671959</v>
      </c>
      <c r="F115" s="45">
        <f t="shared" ca="1" si="66"/>
        <v>-0.27921650793650787</v>
      </c>
      <c r="G115" s="45">
        <f t="shared" ca="1" si="67"/>
        <v>-0.2799369312169312</v>
      </c>
      <c r="H115" s="45">
        <f t="shared" ca="1" si="68"/>
        <v>0.57833567225181193</v>
      </c>
      <c r="I115" s="45">
        <f t="shared" ca="1" si="69"/>
        <v>0.57832453277782825</v>
      </c>
      <c r="J115" s="45">
        <f t="shared" ca="1" si="70"/>
        <v>0.57831341856742036</v>
      </c>
      <c r="L115" s="58"/>
      <c r="M115" s="58"/>
      <c r="O115" s="58"/>
      <c r="P115" s="58"/>
      <c r="R115" s="59">
        <f t="shared" ref="R115:R139" ca="1" si="72">(1/($D115*SQRT(2*PI()*T/365.25*$I$114^2)))</f>
        <v>0.29935367030555432</v>
      </c>
      <c r="S115" s="59">
        <f t="shared" ref="S115:S139" ca="1" si="73">LN($D115/UnderlyingPrice)+0.5*T/365.25*$I$114^2</f>
        <v>-0.25127875681039491</v>
      </c>
      <c r="T115" s="59">
        <f t="shared" ca="1" si="71"/>
        <v>-6.314101362417758E-2</v>
      </c>
      <c r="U115" s="59">
        <f t="shared" ref="U115:U139" ca="1" si="74">T115/(2*T/365.25*$I$114^2)</f>
        <v>-0.20597271783671711</v>
      </c>
      <c r="V115" s="59"/>
      <c r="W115" s="104">
        <f t="shared" ref="W115:W139" ca="1" si="75">(Alpha1*R115)*EXP(Gamma2^2*U115)</f>
        <v>0.25707735037359136</v>
      </c>
      <c r="Z115" s="59">
        <f t="shared" ref="Z115:Z164" ca="1" si="76">(1/(D115*SQRT(2*PI()*T/365.25*ATMImpVol^2)))</f>
        <v>0.29151063182869291</v>
      </c>
      <c r="AA115" s="59">
        <f t="shared" ref="AA115:AA164" ca="1" si="77">LN(D115/UnderlyingPrice)+0.5*T/365.25*ATMImpVol^2</f>
        <v>-0.24709944129782271</v>
      </c>
      <c r="AB115" s="59">
        <f t="shared" ca="1" si="42"/>
        <v>-6.1058133889696137E-2</v>
      </c>
      <c r="AC115" s="59">
        <f t="shared" ca="1" si="48"/>
        <v>-0.1888779671636476</v>
      </c>
      <c r="AD115" s="60">
        <f t="shared" ca="1" si="43"/>
        <v>0.82788752999399429</v>
      </c>
      <c r="AE115" s="60">
        <f t="shared" ca="1" si="49"/>
        <v>0.24133801695164522</v>
      </c>
      <c r="AF115" s="60"/>
      <c r="AG115" s="96">
        <f t="shared" ca="1" si="50"/>
        <v>-0.61461852748456525</v>
      </c>
      <c r="AH115" s="96">
        <f t="shared" ca="1" si="51"/>
        <v>-0.61337517193340629</v>
      </c>
      <c r="AI115" s="96">
        <f t="shared" ca="1" si="52"/>
        <v>-0.61586250486898364</v>
      </c>
      <c r="AJ115" s="62"/>
      <c r="AK115" s="96">
        <f t="shared" ca="1" si="53"/>
        <v>0.35181912648480385</v>
      </c>
      <c r="AL115" s="62"/>
      <c r="AM115" s="94"/>
      <c r="AN115" s="95"/>
      <c r="AX115" s="106">
        <f t="shared" ca="1" si="54"/>
        <v>0.59082099999999993</v>
      </c>
      <c r="AY115" s="106">
        <f t="shared" ca="1" si="55"/>
        <v>0.59081929799999999</v>
      </c>
      <c r="AZ115" s="106">
        <f t="shared" ca="1" si="56"/>
        <v>0.59082270199999998</v>
      </c>
      <c r="BB115" s="109">
        <f ca="1">_xll.EURO(UnderlyingPrice,$D115,IntRate,Yield,AX115,$D$6,1,0)</f>
        <v>1.4776506380009296</v>
      </c>
      <c r="BC115" s="109">
        <f ca="1">_xll.EURO(UnderlyingPrice,$D115*(1+$P$8),IntRate,Yield,AY115,$D$6,1,0)</f>
        <v>1.4764248364825123</v>
      </c>
      <c r="BD115" s="109">
        <f ca="1">_xll.EURO(UnderlyingPrice,$D115*(1-$P$8),IntRate,Yield,AZ115,$D$6,1,0)</f>
        <v>1.4788771245790482</v>
      </c>
      <c r="BF115" s="59">
        <f t="shared" ca="1" si="57"/>
        <v>0.2364881094512265</v>
      </c>
      <c r="BG115" s="62">
        <f t="shared" ca="1" si="58"/>
        <v>0.2407759223049262</v>
      </c>
      <c r="BI115" s="96">
        <f t="shared" ca="1" si="59"/>
        <v>-0.61388369651580998</v>
      </c>
      <c r="BJ115" s="96">
        <f t="shared" ca="1" si="60"/>
        <v>-0.61264123952412497</v>
      </c>
      <c r="BK115" s="96">
        <f t="shared" ca="1" si="61"/>
        <v>-0.61512677489136236</v>
      </c>
      <c r="BL115" s="62"/>
      <c r="BM115" s="96">
        <f t="shared" ca="1" si="62"/>
        <v>0.32974837144922015</v>
      </c>
      <c r="BO115" s="58"/>
    </row>
    <row r="116" spans="3:68" x14ac:dyDescent="0.2">
      <c r="C116" s="97"/>
      <c r="D116" s="63">
        <f t="shared" ref="D116:D139" ca="1" si="78">+D115-LTFactor*(ROUNDUP(MAX(StrikeRange),1)-ROUNDDOWN(MIN(StrikeRange),1))/100</f>
        <v>3.3079999999999998</v>
      </c>
      <c r="E116" s="45">
        <f t="shared" ca="1" si="44"/>
        <v>-0.29989417989417988</v>
      </c>
      <c r="F116" s="45">
        <f t="shared" ca="1" si="66"/>
        <v>-0.29954412698412702</v>
      </c>
      <c r="G116" s="45">
        <f t="shared" ca="1" si="67"/>
        <v>-0.30024423280423274</v>
      </c>
      <c r="H116" s="45">
        <f t="shared" ca="1" si="68"/>
        <v>0.57774655923357143</v>
      </c>
      <c r="I116" s="45">
        <f t="shared" ca="1" si="69"/>
        <v>0.57773711904782066</v>
      </c>
      <c r="J116" s="45">
        <f t="shared" ca="1" si="70"/>
        <v>0.57772770272076679</v>
      </c>
      <c r="L116" s="58"/>
      <c r="M116" s="58"/>
      <c r="O116" s="58"/>
      <c r="P116" s="58"/>
      <c r="R116" s="59">
        <f t="shared" ca="1" si="72"/>
        <v>0.30804108032651362</v>
      </c>
      <c r="S116" s="59">
        <f t="shared" ca="1" si="73"/>
        <v>-0.27988619036007767</v>
      </c>
      <c r="T116" s="59">
        <f t="shared" ca="1" si="71"/>
        <v>-7.8336279554277632E-2</v>
      </c>
      <c r="U116" s="59">
        <f t="shared" ca="1" si="74"/>
        <v>-0.25554129525144414</v>
      </c>
      <c r="V116" s="59"/>
      <c r="W116" s="104">
        <f t="shared" ca="1" si="75"/>
        <v>0.24987320533516935</v>
      </c>
      <c r="Z116" s="59">
        <f t="shared" ca="1" si="76"/>
        <v>0.29997043251054128</v>
      </c>
      <c r="AA116" s="59">
        <f t="shared" ca="1" si="77"/>
        <v>-0.27570687484750556</v>
      </c>
      <c r="AB116" s="59">
        <f t="shared" ca="1" si="42"/>
        <v>-7.6014280838178086E-2</v>
      </c>
      <c r="AC116" s="59">
        <f t="shared" ca="1" si="48"/>
        <v>-0.23514349236514373</v>
      </c>
      <c r="AD116" s="60">
        <f t="shared" ca="1" si="43"/>
        <v>0.79045741688626947</v>
      </c>
      <c r="AE116" s="60">
        <f t="shared" ca="1" si="49"/>
        <v>0.23711385322453948</v>
      </c>
      <c r="AF116" s="60"/>
      <c r="AG116" s="96">
        <f t="shared" ca="1" si="50"/>
        <v>-0.68577473322534099</v>
      </c>
      <c r="AH116" s="96">
        <f t="shared" ca="1" si="51"/>
        <v>-0.68453137767418226</v>
      </c>
      <c r="AI116" s="96">
        <f t="shared" ca="1" si="52"/>
        <v>-0.68701871060975916</v>
      </c>
      <c r="AJ116" s="62"/>
      <c r="AK116" s="96">
        <f t="shared" ca="1" si="53"/>
        <v>0.33231601263585014</v>
      </c>
      <c r="AL116" s="62"/>
      <c r="AM116" s="94"/>
      <c r="AN116" s="95"/>
      <c r="AX116" s="106">
        <f t="shared" ca="1" si="54"/>
        <v>0.59091699999999991</v>
      </c>
      <c r="AY116" s="106">
        <f t="shared" ca="1" si="55"/>
        <v>0.59091534599999995</v>
      </c>
      <c r="AZ116" s="106">
        <f t="shared" ca="1" si="56"/>
        <v>0.59091865399999999</v>
      </c>
      <c r="BB116" s="109">
        <f ca="1">_xll.EURO(UnderlyingPrice,$D116,IntRate,Yield,AX116,$D$6,1,0)</f>
        <v>1.547893851174555</v>
      </c>
      <c r="BC116" s="109">
        <f ca="1">_xll.EURO(UnderlyingPrice,$D116*(1+$P$8),IntRate,Yield,AY116,$D$6,1,0)</f>
        <v>1.5466653844910216</v>
      </c>
      <c r="BD116" s="109">
        <f ca="1">_xll.EURO(UnderlyingPrice,$D116*(1-$P$8),IntRate,Yield,AZ116,$D$6,1,0)</f>
        <v>1.549122952870456</v>
      </c>
      <c r="BF116" s="59">
        <f t="shared" ca="1" si="57"/>
        <v>0.23211925783890361</v>
      </c>
      <c r="BG116" s="62">
        <f t="shared" ca="1" si="58"/>
        <v>0.23632785817683372</v>
      </c>
      <c r="BI116" s="96">
        <f t="shared" ca="1" si="59"/>
        <v>-0.68498847844403343</v>
      </c>
      <c r="BJ116" s="96">
        <f t="shared" ca="1" si="60"/>
        <v>-0.68374602145234886</v>
      </c>
      <c r="BK116" s="96">
        <f t="shared" ca="1" si="61"/>
        <v>-0.68623155681958559</v>
      </c>
      <c r="BL116" s="62"/>
      <c r="BM116" s="96">
        <f t="shared" ca="1" si="62"/>
        <v>0.31452883960291256</v>
      </c>
      <c r="BO116" s="58"/>
    </row>
    <row r="117" spans="3:68" x14ac:dyDescent="0.2">
      <c r="C117" s="97"/>
      <c r="D117" s="63">
        <f t="shared" ca="1" si="78"/>
        <v>3.2119999999999997</v>
      </c>
      <c r="E117" s="45">
        <f t="shared" ca="1" si="44"/>
        <v>-0.32021164021164017</v>
      </c>
      <c r="F117" s="45">
        <f t="shared" ca="1" si="66"/>
        <v>-0.31987174603174606</v>
      </c>
      <c r="G117" s="45">
        <f t="shared" ca="1" si="67"/>
        <v>-0.32055153439153439</v>
      </c>
      <c r="H117" s="45">
        <f t="shared" ca="1" si="68"/>
        <v>0.57723790108972295</v>
      </c>
      <c r="I117" s="45">
        <f t="shared" ca="1" si="69"/>
        <v>0.57723007979763175</v>
      </c>
      <c r="J117" s="45">
        <f t="shared" ca="1" si="70"/>
        <v>0.57722228099954564</v>
      </c>
      <c r="L117" s="58"/>
      <c r="M117" s="58"/>
      <c r="O117" s="58"/>
      <c r="P117" s="58"/>
      <c r="R117" s="59">
        <f t="shared" ca="1" si="72"/>
        <v>0.31724778758409311</v>
      </c>
      <c r="S117" s="59">
        <f t="shared" ca="1" si="73"/>
        <v>-0.30933617143700731</v>
      </c>
      <c r="T117" s="59">
        <f t="shared" ca="1" si="71"/>
        <v>-9.5688866959305577E-2</v>
      </c>
      <c r="U117" s="59">
        <f t="shared" ca="1" si="74"/>
        <v>-0.31214728530707725</v>
      </c>
      <c r="V117" s="59"/>
      <c r="W117" s="104">
        <f t="shared" ca="1" si="75"/>
        <v>0.24111545877795262</v>
      </c>
      <c r="Z117" s="59">
        <f t="shared" ca="1" si="76"/>
        <v>0.30893592488943672</v>
      </c>
      <c r="AA117" s="59">
        <f t="shared" ca="1" si="77"/>
        <v>-0.30515685592443509</v>
      </c>
      <c r="AB117" s="59">
        <f t="shared" ca="1" si="42"/>
        <v>-9.3120706717686436E-2</v>
      </c>
      <c r="AC117" s="59">
        <f t="shared" ca="1" si="48"/>
        <v>-0.28806071632410263</v>
      </c>
      <c r="AD117" s="60">
        <f t="shared" ca="1" si="43"/>
        <v>0.74971607085316683</v>
      </c>
      <c r="AE117" s="60">
        <f t="shared" ca="1" si="49"/>
        <v>0.23161422775349758</v>
      </c>
      <c r="AF117" s="60"/>
      <c r="AG117" s="96">
        <f t="shared" ca="1" si="50"/>
        <v>-0.75902663500578516</v>
      </c>
      <c r="AH117" s="96">
        <f t="shared" ca="1" si="51"/>
        <v>-0.75778327945462676</v>
      </c>
      <c r="AI117" s="96">
        <f t="shared" ca="1" si="52"/>
        <v>-0.76027061239020388</v>
      </c>
      <c r="AJ117" s="62"/>
      <c r="AK117" s="96">
        <f t="shared" ca="1" si="53"/>
        <v>0.3113627623055169</v>
      </c>
      <c r="AL117" s="62"/>
      <c r="AM117" s="94"/>
      <c r="AN117" s="95"/>
      <c r="AX117" s="106">
        <f t="shared" ca="1" si="54"/>
        <v>0.59110399999999996</v>
      </c>
      <c r="AY117" s="106">
        <f t="shared" ca="1" si="55"/>
        <v>0.59109115199999995</v>
      </c>
      <c r="AZ117" s="106">
        <f t="shared" ca="1" si="56"/>
        <v>0.59111684799999997</v>
      </c>
      <c r="BB117" s="109">
        <f ca="1">_xll.EURO(UnderlyingPrice,$D117,IntRate,Yield,AX117,$D$6,1,0)</f>
        <v>1.6203330725396312</v>
      </c>
      <c r="BC117" s="109">
        <f ca="1">_xll.EURO(UnderlyingPrice,$D117*(1+$P$8),IntRate,Yield,AY117,$D$6,1,0)</f>
        <v>1.6190978081820182</v>
      </c>
      <c r="BD117" s="109">
        <f ca="1">_xll.EURO(UnderlyingPrice,$D117*(1-$P$8),IntRate,Yield,AZ117,$D$6,1,0)</f>
        <v>1.6215689004362615</v>
      </c>
      <c r="BF117" s="59">
        <f t="shared" ca="1" si="57"/>
        <v>0.21849067600976424</v>
      </c>
      <c r="BG117" s="62">
        <f t="shared" ca="1" si="58"/>
        <v>0.22245217382537183</v>
      </c>
      <c r="BI117" s="96">
        <f t="shared" ca="1" si="59"/>
        <v>-0.75818744187529197</v>
      </c>
      <c r="BJ117" s="96">
        <f t="shared" ca="1" si="60"/>
        <v>-0.75694498488360751</v>
      </c>
      <c r="BK117" s="96">
        <f t="shared" ca="1" si="61"/>
        <v>-0.75943052025084445</v>
      </c>
      <c r="BL117" s="62"/>
      <c r="BM117" s="96">
        <f t="shared" ca="1" si="62"/>
        <v>0.28746981102964098</v>
      </c>
      <c r="BO117" s="58"/>
    </row>
    <row r="118" spans="3:68" x14ac:dyDescent="0.2">
      <c r="C118" s="97"/>
      <c r="D118" s="63">
        <f t="shared" ca="1" si="78"/>
        <v>3.1159999999999997</v>
      </c>
      <c r="E118" s="45">
        <f t="shared" ca="1" si="44"/>
        <v>-0.34052910052910057</v>
      </c>
      <c r="F118" s="45">
        <f t="shared" ca="1" si="66"/>
        <v>-0.34019936507936521</v>
      </c>
      <c r="G118" s="45">
        <f t="shared" ca="1" si="67"/>
        <v>-0.34085883597883593</v>
      </c>
      <c r="H118" s="45">
        <f t="shared" ca="1" si="68"/>
        <v>0.57680969782026648</v>
      </c>
      <c r="I118" s="45">
        <f t="shared" ca="1" si="69"/>
        <v>0.57680341502726129</v>
      </c>
      <c r="J118" s="45">
        <f t="shared" ca="1" si="70"/>
        <v>0.57679715340375692</v>
      </c>
      <c r="L118" s="58"/>
      <c r="M118" s="58"/>
      <c r="O118" s="58"/>
      <c r="P118" s="58"/>
      <c r="R118" s="59">
        <f t="shared" ca="1" si="72"/>
        <v>0.32702178874201127</v>
      </c>
      <c r="S118" s="59">
        <f t="shared" ca="1" si="73"/>
        <v>-0.33967983951302083</v>
      </c>
      <c r="T118" s="59">
        <f t="shared" ca="1" si="71"/>
        <v>-0.11538239337159159</v>
      </c>
      <c r="U118" s="59">
        <f t="shared" ca="1" si="74"/>
        <v>-0.37638966796934259</v>
      </c>
      <c r="V118" s="59"/>
      <c r="W118" s="104">
        <f t="shared" ca="1" si="75"/>
        <v>0.23083562364488194</v>
      </c>
      <c r="Z118" s="59">
        <f t="shared" ca="1" si="76"/>
        <v>0.31845384812094696</v>
      </c>
      <c r="AA118" s="59">
        <f t="shared" ca="1" si="77"/>
        <v>-0.33550052400044861</v>
      </c>
      <c r="AB118" s="59">
        <f t="shared" ca="1" si="42"/>
        <v>-0.11256060160457559</v>
      </c>
      <c r="AC118" s="59">
        <f t="shared" ca="1" si="48"/>
        <v>-0.34819632143027573</v>
      </c>
      <c r="AD118" s="60">
        <f t="shared" ca="1" si="43"/>
        <v>0.70596026747946761</v>
      </c>
      <c r="AE118" s="60">
        <f t="shared" ca="1" si="49"/>
        <v>0.22481576379932947</v>
      </c>
      <c r="AF118" s="60"/>
      <c r="AG118" s="96">
        <f t="shared" ca="1" si="50"/>
        <v>-0.83450143370790664</v>
      </c>
      <c r="AH118" s="96">
        <f t="shared" ca="1" si="51"/>
        <v>-0.83325807815674846</v>
      </c>
      <c r="AI118" s="96">
        <f t="shared" ca="1" si="52"/>
        <v>-0.83574541109232481</v>
      </c>
      <c r="AJ118" s="62"/>
      <c r="AK118" s="96">
        <f t="shared" ca="1" si="53"/>
        <v>0.28917873960077028</v>
      </c>
      <c r="AL118" s="62"/>
      <c r="AM118" s="94"/>
      <c r="AN118" s="95"/>
      <c r="AX118" s="106">
        <f t="shared" ca="1" si="54"/>
        <v>0.59187199999999995</v>
      </c>
      <c r="AY118" s="106">
        <f t="shared" ca="1" si="55"/>
        <v>0.59185953599999996</v>
      </c>
      <c r="AZ118" s="106">
        <f t="shared" ca="1" si="56"/>
        <v>0.59188446399999994</v>
      </c>
      <c r="BB118" s="109">
        <f ca="1">_xll.EURO(UnderlyingPrice,$D118,IntRate,Yield,AX118,$D$6,1,0)</f>
        <v>1.695185559697844</v>
      </c>
      <c r="BC118" s="109">
        <f ca="1">_xll.EURO(UnderlyingPrice,$D118*(1+$P$8),IntRate,Yield,AY118,$D$6,1,0)</f>
        <v>1.6939550192222739</v>
      </c>
      <c r="BD118" s="109">
        <f ca="1">_xll.EURO(UnderlyingPrice,$D118*(1-$P$8),IntRate,Yield,AZ118,$D$6,1,0)</f>
        <v>1.6964166138448333</v>
      </c>
      <c r="BF118" s="59">
        <f t="shared" ca="1" si="57"/>
        <v>0.21161697181708097</v>
      </c>
      <c r="BG118" s="62">
        <f t="shared" ca="1" si="58"/>
        <v>0.2154538411375887</v>
      </c>
      <c r="BI118" s="96">
        <f t="shared" ca="1" si="59"/>
        <v>-0.8336076957649059</v>
      </c>
      <c r="BJ118" s="96">
        <f t="shared" ca="1" si="60"/>
        <v>-0.83236523877322166</v>
      </c>
      <c r="BK118" s="96">
        <f t="shared" ca="1" si="61"/>
        <v>-0.83485077414045805</v>
      </c>
      <c r="BL118" s="62"/>
      <c r="BM118" s="96">
        <f t="shared" ca="1" si="62"/>
        <v>0.27010445227789676</v>
      </c>
      <c r="BO118" s="58"/>
    </row>
    <row r="119" spans="3:68" x14ac:dyDescent="0.2">
      <c r="C119" s="97"/>
      <c r="D119" s="63">
        <f t="shared" ca="1" si="78"/>
        <v>3.0199999999999996</v>
      </c>
      <c r="E119" s="45">
        <f t="shared" ca="1" si="44"/>
        <v>-0.36084656084656086</v>
      </c>
      <c r="F119" s="45">
        <f t="shared" ca="1" si="66"/>
        <v>-0.36052698412698425</v>
      </c>
      <c r="G119" s="45">
        <f t="shared" ca="1" si="67"/>
        <v>-0.36116613756613758</v>
      </c>
      <c r="H119" s="45">
        <f t="shared" ca="1" si="68"/>
        <v>0.57646194942520201</v>
      </c>
      <c r="I119" s="45">
        <f t="shared" ca="1" si="69"/>
        <v>0.57645712473670951</v>
      </c>
      <c r="J119" s="45">
        <f t="shared" ca="1" si="70"/>
        <v>0.57645231993340051</v>
      </c>
      <c r="L119" s="58"/>
      <c r="M119" s="58"/>
      <c r="O119" s="58"/>
      <c r="P119" s="58"/>
      <c r="R119" s="59">
        <f t="shared" ca="1" si="72"/>
        <v>0.33741718335102888</v>
      </c>
      <c r="S119" s="59">
        <f t="shared" ca="1" si="73"/>
        <v>-0.37097313613474436</v>
      </c>
      <c r="T119" s="59">
        <f t="shared" ca="1" si="71"/>
        <v>-0.13762106773364757</v>
      </c>
      <c r="U119" s="59">
        <f t="shared" ca="1" si="74"/>
        <v>-0.44893459457920665</v>
      </c>
      <c r="V119" s="59"/>
      <c r="W119" s="104">
        <f t="shared" ca="1" si="75"/>
        <v>0.21910104736045194</v>
      </c>
      <c r="Z119" s="59">
        <f t="shared" ca="1" si="76"/>
        <v>0.32857688435260618</v>
      </c>
      <c r="AA119" s="59">
        <f t="shared" ca="1" si="77"/>
        <v>-0.36679382062217214</v>
      </c>
      <c r="AB119" s="59">
        <f t="shared" ca="1" si="42"/>
        <v>-0.13453770684661021</v>
      </c>
      <c r="AC119" s="59">
        <f t="shared" ca="1" si="48"/>
        <v>-0.4161805636240507</v>
      </c>
      <c r="AD119" s="60">
        <f t="shared" ca="1" si="43"/>
        <v>0.65956116697723965</v>
      </c>
      <c r="AE119" s="60">
        <f t="shared" ca="1" si="49"/>
        <v>0.21671655328535044</v>
      </c>
      <c r="AF119" s="60"/>
      <c r="AG119" s="96">
        <f t="shared" ca="1" si="50"/>
        <v>-0.91233827457149985</v>
      </c>
      <c r="AH119" s="96">
        <f t="shared" ca="1" si="51"/>
        <v>-0.91109491902034179</v>
      </c>
      <c r="AI119" s="96">
        <f t="shared" ca="1" si="52"/>
        <v>-0.91358225195591836</v>
      </c>
      <c r="AJ119" s="62"/>
      <c r="AK119" s="96">
        <f t="shared" ca="1" si="53"/>
        <v>0.26602195209351204</v>
      </c>
      <c r="AL119" s="62"/>
      <c r="AM119" s="94"/>
      <c r="AN119" s="95"/>
      <c r="AX119" s="106">
        <f t="shared" ca="1" si="54"/>
        <v>0.59263999999999994</v>
      </c>
      <c r="AY119" s="106">
        <f t="shared" ca="1" si="55"/>
        <v>0.59262791999999997</v>
      </c>
      <c r="AZ119" s="106">
        <f t="shared" ca="1" si="56"/>
        <v>0.59265208000000003</v>
      </c>
      <c r="BB119" s="109">
        <f ca="1">_xll.EURO(UnderlyingPrice,$D119,IntRate,Yield,AX119,$D$6,1,0)</f>
        <v>1.7719874572936214</v>
      </c>
      <c r="BC119" s="109">
        <f ca="1">_xll.EURO(UnderlyingPrice,$D119*(1+$P$8),IntRate,Yield,AY119,$D$6,1,0)</f>
        <v>1.7707647007137108</v>
      </c>
      <c r="BD119" s="109">
        <f ca="1">_xll.EURO(UnderlyingPrice,$D119*(1-$P$8),IntRate,Yield,AZ119,$D$6,1,0)</f>
        <v>1.7732106781820933</v>
      </c>
      <c r="BF119" s="59">
        <f t="shared" ca="1" si="57"/>
        <v>0.20363517449957011</v>
      </c>
      <c r="BG119" s="62">
        <f t="shared" ca="1" si="58"/>
        <v>0.207327324268583</v>
      </c>
      <c r="BI119" s="96">
        <f t="shared" ca="1" si="59"/>
        <v>-0.91138828479392553</v>
      </c>
      <c r="BJ119" s="96">
        <f t="shared" ca="1" si="60"/>
        <v>-0.91014582780224118</v>
      </c>
      <c r="BK119" s="96">
        <f t="shared" ca="1" si="61"/>
        <v>-0.9126313631694779</v>
      </c>
      <c r="BL119" s="62"/>
      <c r="BM119" s="96">
        <f t="shared" ca="1" si="62"/>
        <v>0.2519089156985983</v>
      </c>
      <c r="BO119" s="58"/>
    </row>
    <row r="120" spans="3:68" x14ac:dyDescent="0.2">
      <c r="C120" s="97"/>
      <c r="D120" s="63">
        <f t="shared" ca="1" si="78"/>
        <v>2.9239999999999995</v>
      </c>
      <c r="E120" s="45">
        <f t="shared" ca="1" si="44"/>
        <v>-0.38116402116402126</v>
      </c>
      <c r="F120" s="45">
        <f t="shared" ca="1" si="66"/>
        <v>-0.38085460317460329</v>
      </c>
      <c r="G120" s="45">
        <f t="shared" ca="1" si="67"/>
        <v>-0.38147343915343912</v>
      </c>
      <c r="H120" s="45">
        <f t="shared" ca="1" si="68"/>
        <v>0.57619465590452967</v>
      </c>
      <c r="I120" s="45">
        <f t="shared" ca="1" si="69"/>
        <v>0.57619120892597642</v>
      </c>
      <c r="J120" s="45">
        <f t="shared" ca="1" si="70"/>
        <v>0.57618778058847664</v>
      </c>
      <c r="L120" s="58"/>
      <c r="M120" s="58"/>
      <c r="O120" s="58"/>
      <c r="P120" s="58"/>
      <c r="R120" s="59">
        <f t="shared" ca="1" si="72"/>
        <v>0.34849517569087113</v>
      </c>
      <c r="S120" s="59">
        <f t="shared" ca="1" si="73"/>
        <v>-0.40327742563399072</v>
      </c>
      <c r="T120" s="59">
        <f t="shared" ca="1" si="71"/>
        <v>-0.16263268202597891</v>
      </c>
      <c r="U120" s="59">
        <f t="shared" ca="1" si="74"/>
        <v>-0.53052514686173291</v>
      </c>
      <c r="V120" s="59"/>
      <c r="W120" s="104">
        <f t="shared" ca="1" si="75"/>
        <v>0.20601804945060145</v>
      </c>
      <c r="Z120" s="59">
        <f t="shared" ca="1" si="76"/>
        <v>0.33936463431767128</v>
      </c>
      <c r="AA120" s="59">
        <f t="shared" ca="1" si="77"/>
        <v>-0.39909811012141849</v>
      </c>
      <c r="AB120" s="59">
        <f t="shared" ca="1" si="42"/>
        <v>-0.15927930150248787</v>
      </c>
      <c r="AC120" s="59">
        <f t="shared" ca="1" si="48"/>
        <v>-0.49271651068445954</v>
      </c>
      <c r="AD120" s="60">
        <f t="shared" ca="1" si="43"/>
        <v>0.61096444641049352</v>
      </c>
      <c r="AE120" s="60">
        <f t="shared" ca="1" si="49"/>
        <v>0.2073397259371956</v>
      </c>
      <c r="AF120" s="60"/>
      <c r="AG120" s="96">
        <f t="shared" ca="1" si="50"/>
        <v>-0.99268979110743327</v>
      </c>
      <c r="AH120" s="96">
        <f t="shared" ca="1" si="51"/>
        <v>-0.99144643555627454</v>
      </c>
      <c r="AI120" s="96">
        <f t="shared" ca="1" si="52"/>
        <v>-0.99393376849185111</v>
      </c>
      <c r="AJ120" s="62"/>
      <c r="AK120" s="96">
        <f t="shared" ca="1" si="53"/>
        <v>0.24218582401150154</v>
      </c>
      <c r="AL120" s="62"/>
      <c r="AM120" s="94"/>
      <c r="AN120" s="95"/>
      <c r="AX120" s="106">
        <f t="shared" ca="1" si="54"/>
        <v>0.59340799999999994</v>
      </c>
      <c r="AY120" s="106">
        <f t="shared" ca="1" si="55"/>
        <v>0.59339630399999999</v>
      </c>
      <c r="AZ120" s="106">
        <f t="shared" ca="1" si="56"/>
        <v>0.593419696</v>
      </c>
      <c r="BB120" s="109">
        <f ca="1">_xll.EURO(UnderlyingPrice,$D120,IntRate,Yield,AX120,$D$6,1,0)</f>
        <v>1.8506652284231744</v>
      </c>
      <c r="BC120" s="109">
        <f ca="1">_xll.EURO(UnderlyingPrice,$D120*(1+$P$8),IntRate,Yield,AY120,$D$6,1,0)</f>
        <v>1.8494533669013591</v>
      </c>
      <c r="BD120" s="109">
        <f ca="1">_xll.EURO(UnderlyingPrice,$D120*(1-$P$8),IntRate,Yield,AZ120,$D$6,1,0)</f>
        <v>1.8518775058398891</v>
      </c>
      <c r="BF120" s="59">
        <f t="shared" ca="1" si="57"/>
        <v>0.19457581083209055</v>
      </c>
      <c r="BG120" s="62">
        <f t="shared" ca="1" si="58"/>
        <v>0.19810370348022788</v>
      </c>
      <c r="BI120" s="96">
        <f t="shared" ca="1" si="59"/>
        <v>-0.99168173216664801</v>
      </c>
      <c r="BJ120" s="96">
        <f t="shared" ca="1" si="60"/>
        <v>-0.99043927517496333</v>
      </c>
      <c r="BK120" s="96">
        <f t="shared" ca="1" si="61"/>
        <v>-0.99292481054219994</v>
      </c>
      <c r="BL120" s="62"/>
      <c r="BM120" s="96">
        <f t="shared" ca="1" si="62"/>
        <v>0.2330504874771486</v>
      </c>
      <c r="BO120" s="58"/>
    </row>
    <row r="121" spans="3:68" x14ac:dyDescent="0.2">
      <c r="C121" s="97"/>
      <c r="D121" s="63">
        <f t="shared" ca="1" si="78"/>
        <v>2.8279999999999994</v>
      </c>
      <c r="E121" s="45">
        <f t="shared" ca="1" si="44"/>
        <v>-0.40148148148148155</v>
      </c>
      <c r="F121" s="45">
        <f t="shared" ca="1" si="66"/>
        <v>-0.40118222222222233</v>
      </c>
      <c r="G121" s="45">
        <f t="shared" ca="1" si="67"/>
        <v>-0.40178074074074088</v>
      </c>
      <c r="H121" s="45">
        <f t="shared" ca="1" si="68"/>
        <v>0.57600781725824923</v>
      </c>
      <c r="I121" s="45">
        <f t="shared" ca="1" si="69"/>
        <v>0.57600566759506178</v>
      </c>
      <c r="J121" s="45">
        <f t="shared" ca="1" si="70"/>
        <v>0.57600353536898508</v>
      </c>
      <c r="L121" s="58"/>
      <c r="M121" s="58"/>
      <c r="O121" s="58"/>
      <c r="P121" s="58"/>
      <c r="R121" s="59">
        <f t="shared" ca="1" si="72"/>
        <v>0.36032528066481867</v>
      </c>
      <c r="S121" s="59">
        <f t="shared" ca="1" si="73"/>
        <v>-0.43666021948719635</v>
      </c>
      <c r="T121" s="59">
        <f t="shared" ca="1" si="71"/>
        <v>-0.19067214728260651</v>
      </c>
      <c r="U121" s="59">
        <f t="shared" ca="1" si="74"/>
        <v>-0.62199287178568508</v>
      </c>
      <c r="V121" s="59"/>
      <c r="W121" s="104">
        <f t="shared" ca="1" si="75"/>
        <v>0.19173398595889291</v>
      </c>
      <c r="Z121" s="59">
        <f t="shared" ca="1" si="76"/>
        <v>0.35088479163538572</v>
      </c>
      <c r="AA121" s="59">
        <f t="shared" ca="1" si="77"/>
        <v>-0.43248090397462424</v>
      </c>
      <c r="AB121" s="59">
        <f t="shared" ca="1" si="42"/>
        <v>-0.18703973230270815</v>
      </c>
      <c r="AC121" s="59">
        <f t="shared" ca="1" si="48"/>
        <v>-0.57859096185266923</v>
      </c>
      <c r="AD121" s="60">
        <f t="shared" ca="1" si="43"/>
        <v>0.56068784079155365</v>
      </c>
      <c r="AE121" s="60">
        <f t="shared" ca="1" si="49"/>
        <v>0.19673683618863863</v>
      </c>
      <c r="AF121" s="60"/>
      <c r="AG121" s="96">
        <f t="shared" ca="1" si="50"/>
        <v>-1.0757239068205833</v>
      </c>
      <c r="AH121" s="96">
        <f t="shared" ca="1" si="51"/>
        <v>-1.0744805512694249</v>
      </c>
      <c r="AI121" s="96">
        <f t="shared" ca="1" si="52"/>
        <v>-1.0769678842050019</v>
      </c>
      <c r="AJ121" s="62"/>
      <c r="AK121" s="96">
        <f t="shared" ca="1" si="53"/>
        <v>0.21799402264818379</v>
      </c>
      <c r="AL121" s="62"/>
      <c r="AM121" s="94"/>
      <c r="AN121" s="95"/>
      <c r="AX121" s="106">
        <f t="shared" ca="1" si="54"/>
        <v>0.59417599999999993</v>
      </c>
      <c r="AY121" s="106">
        <f t="shared" ca="1" si="55"/>
        <v>0.594164688</v>
      </c>
      <c r="AZ121" s="106">
        <f t="shared" ca="1" si="56"/>
        <v>0.59418731199999997</v>
      </c>
      <c r="BB121" s="109">
        <f ca="1">_xll.EURO(UnderlyingPrice,$D121,IntRate,Yield,AX121,$D$6,1,0)</f>
        <v>1.931135422586558</v>
      </c>
      <c r="BC121" s="109">
        <f ca="1">_xll.EURO(UnderlyingPrice,$D121*(1+$P$8),IntRate,Yield,AY121,$D$6,1,0)</f>
        <v>1.9299375926129656</v>
      </c>
      <c r="BD121" s="109">
        <f ca="1">_xll.EURO(UnderlyingPrice,$D121*(1-$P$8),IntRate,Yield,AZ121,$D$6,1,0)</f>
        <v>1.9323336214324476</v>
      </c>
      <c r="BF121" s="59">
        <f t="shared" ca="1" si="57"/>
        <v>0.18449186511914994</v>
      </c>
      <c r="BG121" s="62">
        <f t="shared" ca="1" si="58"/>
        <v>0.18783692374597311</v>
      </c>
      <c r="BI121" s="96">
        <f t="shared" ca="1" si="59"/>
        <v>-1.0746558400314674</v>
      </c>
      <c r="BJ121" s="96">
        <f t="shared" ca="1" si="60"/>
        <v>-1.073413383039783</v>
      </c>
      <c r="BK121" s="96">
        <f t="shared" ca="1" si="61"/>
        <v>-1.07589891840702</v>
      </c>
      <c r="BL121" s="62"/>
      <c r="BM121" s="96">
        <f t="shared" ca="1" si="62"/>
        <v>0.21371766716966956</v>
      </c>
      <c r="BO121" s="58"/>
    </row>
    <row r="122" spans="3:68" x14ac:dyDescent="0.2">
      <c r="C122" s="97"/>
      <c r="D122" s="63">
        <f t="shared" ca="1" si="78"/>
        <v>2.7319999999999993</v>
      </c>
      <c r="E122" s="45">
        <f t="shared" ca="1" si="44"/>
        <v>-0.42179894179894195</v>
      </c>
      <c r="F122" s="45">
        <f t="shared" ca="1" si="66"/>
        <v>-0.42150984126984137</v>
      </c>
      <c r="G122" s="45">
        <f t="shared" ca="1" si="67"/>
        <v>-0.42208804232804242</v>
      </c>
      <c r="H122" s="45">
        <f t="shared" ca="1" si="68"/>
        <v>0.57590143348636091</v>
      </c>
      <c r="I122" s="45">
        <f t="shared" ca="1" si="69"/>
        <v>0.5759005007439657</v>
      </c>
      <c r="J122" s="45">
        <f t="shared" ca="1" si="70"/>
        <v>0.57589958427492594</v>
      </c>
      <c r="L122" s="58"/>
      <c r="M122" s="58"/>
      <c r="O122" s="58"/>
      <c r="P122" s="58"/>
      <c r="R122" s="59">
        <f t="shared" ca="1" si="72"/>
        <v>0.37298678393854584</v>
      </c>
      <c r="S122" s="59">
        <f t="shared" ca="1" si="73"/>
        <v>-0.47119602581297915</v>
      </c>
      <c r="T122" s="59">
        <f t="shared" ca="1" si="71"/>
        <v>-0.22202569474194572</v>
      </c>
      <c r="U122" s="59">
        <f t="shared" ca="1" si="74"/>
        <v>-0.72427148616557435</v>
      </c>
      <c r="V122" s="59"/>
      <c r="W122" s="104">
        <f t="shared" ca="1" si="75"/>
        <v>0.17643784586815817</v>
      </c>
      <c r="Z122" s="59">
        <f t="shared" ca="1" si="76"/>
        <v>0.36321456469431584</v>
      </c>
      <c r="AA122" s="59">
        <f t="shared" ca="1" si="77"/>
        <v>-0.46701671030040703</v>
      </c>
      <c r="AB122" s="59">
        <f t="shared" ca="1" si="42"/>
        <v>-0.2181046076998143</v>
      </c>
      <c r="AC122" s="59">
        <f t="shared" ca="1" si="48"/>
        <v>-0.67468742175754004</v>
      </c>
      <c r="AD122" s="60">
        <f t="shared" ca="1" si="43"/>
        <v>0.50931559670283588</v>
      </c>
      <c r="AE122" s="60">
        <f t="shared" ca="1" si="49"/>
        <v>0.18499084274844627</v>
      </c>
      <c r="AF122" s="60"/>
      <c r="AG122" s="96">
        <f t="shared" ca="1" si="50"/>
        <v>-1.1616259481929114</v>
      </c>
      <c r="AH122" s="96">
        <f t="shared" ca="1" si="51"/>
        <v>-1.1603825926417528</v>
      </c>
      <c r="AI122" s="96">
        <f t="shared" ca="1" si="52"/>
        <v>-1.1628699255773298</v>
      </c>
      <c r="AJ122" s="62"/>
      <c r="AK122" s="96">
        <f t="shared" ca="1" si="53"/>
        <v>0.1937931943155759</v>
      </c>
      <c r="AL122" s="62"/>
      <c r="AM122" s="94"/>
      <c r="AN122" s="95"/>
      <c r="AX122" s="106">
        <f t="shared" ca="1" si="54"/>
        <v>0.59494400000000003</v>
      </c>
      <c r="AY122" s="106">
        <f t="shared" ca="1" si="55"/>
        <v>0.59493307200000001</v>
      </c>
      <c r="AZ122" s="106">
        <f t="shared" ca="1" si="56"/>
        <v>0.59495492799999994</v>
      </c>
      <c r="BB122" s="109">
        <f ca="1">_xll.EURO(UnderlyingPrice,$D122,IntRate,Yield,AX122,$D$6,1,0)</f>
        <v>2.0133051655061518</v>
      </c>
      <c r="BC122" s="109">
        <f ca="1">_xll.EURO(UnderlyingPrice,$D122*(1+$P$8),IntRate,Yield,AY122,$D$6,1,0)</f>
        <v>2.0121245009532363</v>
      </c>
      <c r="BD122" s="109">
        <f ca="1">_xll.EURO(UnderlyingPrice,$D122*(1-$P$8),IntRate,Yield,AZ122,$D$6,1,0)</f>
        <v>2.014486153729163</v>
      </c>
      <c r="BF122" s="59">
        <f t="shared" ca="1" si="57"/>
        <v>0.173460732820235</v>
      </c>
      <c r="BG122" s="62">
        <f t="shared" ca="1" si="58"/>
        <v>0.17660578379774372</v>
      </c>
      <c r="BI122" s="96">
        <f t="shared" ca="1" si="59"/>
        <v>-1.1604958009369215</v>
      </c>
      <c r="BJ122" s="96">
        <f t="shared" ca="1" si="60"/>
        <v>-1.1592533439452366</v>
      </c>
      <c r="BK122" s="96">
        <f t="shared" ca="1" si="61"/>
        <v>-1.1617388793124739</v>
      </c>
      <c r="BL122" s="62"/>
      <c r="BM122" s="96">
        <f t="shared" ca="1" si="62"/>
        <v>0.19411793841088221</v>
      </c>
      <c r="BO122" s="58"/>
    </row>
    <row r="123" spans="3:68" x14ac:dyDescent="0.2">
      <c r="C123" s="97"/>
      <c r="D123" s="63">
        <f t="shared" ca="1" si="78"/>
        <v>2.6359999999999992</v>
      </c>
      <c r="E123" s="45">
        <f t="shared" ca="1" si="44"/>
        <v>-0.44211640211640224</v>
      </c>
      <c r="F123" s="45">
        <f t="shared" ca="1" si="66"/>
        <v>-0.44183746031746041</v>
      </c>
      <c r="G123" s="45">
        <f t="shared" ca="1" si="67"/>
        <v>-0.44239534391534407</v>
      </c>
      <c r="H123" s="45">
        <f t="shared" ca="1" si="68"/>
        <v>0.57587550458886461</v>
      </c>
      <c r="I123" s="45">
        <f t="shared" ca="1" si="69"/>
        <v>0.57587570837268842</v>
      </c>
      <c r="J123" s="45">
        <f t="shared" ca="1" si="70"/>
        <v>0.57587592730629911</v>
      </c>
      <c r="L123" s="58"/>
      <c r="M123" s="58"/>
      <c r="O123" s="58"/>
      <c r="P123" s="58"/>
      <c r="R123" s="59">
        <f t="shared" ca="1" si="72"/>
        <v>0.38657052113812873</v>
      </c>
      <c r="S123" s="59">
        <f t="shared" ca="1" si="73"/>
        <v>-0.50696735088126199</v>
      </c>
      <c r="T123" s="59">
        <f t="shared" ca="1" si="71"/>
        <v>-0.25701589485956461</v>
      </c>
      <c r="U123" s="59">
        <f t="shared" ca="1" si="74"/>
        <v>-0.83841324921634852</v>
      </c>
      <c r="V123" s="59"/>
      <c r="W123" s="104">
        <f t="shared" ca="1" si="75"/>
        <v>0.16035896819811923</v>
      </c>
      <c r="Z123" s="59">
        <f t="shared" ca="1" si="76"/>
        <v>0.37644240923553524</v>
      </c>
      <c r="AA123" s="59">
        <f t="shared" ca="1" si="77"/>
        <v>-0.50278803536868988</v>
      </c>
      <c r="AB123" s="59">
        <f t="shared" ca="1" si="42"/>
        <v>-0.25279580850990696</v>
      </c>
      <c r="AC123" s="59">
        <f t="shared" ca="1" si="48"/>
        <v>-0.78200160039446587</v>
      </c>
      <c r="AD123" s="60">
        <f t="shared" ca="1" si="43"/>
        <v>0.45748938331967004</v>
      </c>
      <c r="AE123" s="60">
        <f t="shared" ca="1" si="49"/>
        <v>0.17221840565653587</v>
      </c>
      <c r="AF123" s="60"/>
      <c r="AG123" s="96">
        <f t="shared" ca="1" si="50"/>
        <v>-1.2506011357698872</v>
      </c>
      <c r="AH123" s="96">
        <f t="shared" ca="1" si="51"/>
        <v>-1.2493577802187283</v>
      </c>
      <c r="AI123" s="96">
        <f t="shared" ca="1" si="52"/>
        <v>-1.251845113154306</v>
      </c>
      <c r="AJ123" s="62"/>
      <c r="AK123" s="96">
        <f t="shared" ca="1" si="53"/>
        <v>0.16994357053052461</v>
      </c>
      <c r="AL123" s="62"/>
      <c r="AM123" s="94"/>
      <c r="AN123" s="95"/>
      <c r="AX123" s="106">
        <f t="shared" ca="1" si="54"/>
        <v>0.59589000000000003</v>
      </c>
      <c r="AY123" s="106">
        <f t="shared" ca="1" si="55"/>
        <v>0.59587681999999997</v>
      </c>
      <c r="AZ123" s="106">
        <f t="shared" ca="1" si="56"/>
        <v>0.59590317999999998</v>
      </c>
      <c r="BB123" s="109">
        <f ca="1">_xll.EURO(UnderlyingPrice,$D123,IntRate,Yield,AX123,$D$6,1,0)</f>
        <v>2.0971299903460094</v>
      </c>
      <c r="BC123" s="109">
        <f ca="1">_xll.EURO(UnderlyingPrice,$D123*(1+$P$8),IntRate,Yield,AY123,$D$6,1,0)</f>
        <v>2.0959688599607782</v>
      </c>
      <c r="BD123" s="109">
        <f ca="1">_xll.EURO(UnderlyingPrice,$D123*(1-$P$8),IntRate,Yield,AZ123,$D$6,1,0)</f>
        <v>2.0982913981222331</v>
      </c>
      <c r="BF123" s="59">
        <f t="shared" ca="1" si="57"/>
        <v>0.15968404785956991</v>
      </c>
      <c r="BG123" s="62">
        <f t="shared" ca="1" si="58"/>
        <v>0.16257931102748099</v>
      </c>
      <c r="BI123" s="96">
        <f t="shared" ca="1" si="59"/>
        <v>-1.2494066871178335</v>
      </c>
      <c r="BJ123" s="96">
        <f t="shared" ca="1" si="60"/>
        <v>-1.2481642301261484</v>
      </c>
      <c r="BK123" s="96">
        <f t="shared" ca="1" si="61"/>
        <v>-1.2506497654933859</v>
      </c>
      <c r="BL123" s="62"/>
      <c r="BM123" s="96">
        <f t="shared" ca="1" si="62"/>
        <v>0.17242122945317542</v>
      </c>
      <c r="BO123" s="58"/>
    </row>
    <row r="124" spans="3:68" x14ac:dyDescent="0.2">
      <c r="C124" s="97"/>
      <c r="D124" s="63">
        <f t="shared" ca="1" si="78"/>
        <v>2.5399999999999991</v>
      </c>
      <c r="E124" s="45">
        <f t="shared" ca="1" si="44"/>
        <v>-0.46243386243386253</v>
      </c>
      <c r="F124" s="45">
        <f t="shared" ca="1" si="66"/>
        <v>-0.46216507936507956</v>
      </c>
      <c r="G124" s="45">
        <f t="shared" ca="1" si="67"/>
        <v>-0.46270264550264562</v>
      </c>
      <c r="H124" s="45">
        <f t="shared" ca="1" si="68"/>
        <v>0.57593003056576042</v>
      </c>
      <c r="I124" s="45">
        <f t="shared" ca="1" si="69"/>
        <v>0.57593129048122949</v>
      </c>
      <c r="J124" s="45">
        <f t="shared" ca="1" si="70"/>
        <v>0.57593256446310481</v>
      </c>
      <c r="L124" s="58"/>
      <c r="M124" s="58"/>
      <c r="O124" s="58"/>
      <c r="P124" s="58"/>
      <c r="R124" s="59">
        <f t="shared" ca="1" si="72"/>
        <v>0.40118106051972729</v>
      </c>
      <c r="S124" s="59">
        <f t="shared" ca="1" si="73"/>
        <v>-0.54406588649107757</v>
      </c>
      <c r="T124" s="59">
        <f t="shared" ca="1" si="71"/>
        <v>-0.29600768884332213</v>
      </c>
      <c r="U124" s="59">
        <f t="shared" ca="1" si="74"/>
        <v>-0.96560863806402797</v>
      </c>
      <c r="V124" s="59"/>
      <c r="W124" s="104">
        <f t="shared" ca="1" si="75"/>
        <v>0.14376348419395438</v>
      </c>
      <c r="Z124" s="59">
        <f t="shared" ca="1" si="76"/>
        <v>0.39067015383656339</v>
      </c>
      <c r="AA124" s="59">
        <f t="shared" ca="1" si="77"/>
        <v>-0.53988657097850545</v>
      </c>
      <c r="AB124" s="59">
        <f t="shared" ca="1" si="42"/>
        <v>-0.29147750952292878</v>
      </c>
      <c r="AC124" s="59">
        <f t="shared" ca="1" si="48"/>
        <v>-0.90166004044719261</v>
      </c>
      <c r="AD124" s="60">
        <f t="shared" ca="1" si="43"/>
        <v>0.40589529754994824</v>
      </c>
      <c r="AE124" s="60">
        <f t="shared" ca="1" si="49"/>
        <v>0.15857117833537596</v>
      </c>
      <c r="AF124" s="60"/>
      <c r="AG124" s="96">
        <f t="shared" ca="1" si="50"/>
        <v>-1.3428775375641615</v>
      </c>
      <c r="AH124" s="96">
        <f t="shared" ca="1" si="51"/>
        <v>-1.3416341820130031</v>
      </c>
      <c r="AI124" s="96">
        <f t="shared" ca="1" si="52"/>
        <v>-1.3441215149485799</v>
      </c>
      <c r="AJ124" s="62"/>
      <c r="AK124" s="96">
        <f t="shared" ca="1" si="53"/>
        <v>0.14680754820945055</v>
      </c>
      <c r="AL124" s="62"/>
      <c r="AM124" s="94"/>
      <c r="AN124" s="95"/>
      <c r="AX124" s="106">
        <f t="shared" ca="1" si="54"/>
        <v>0.59684999999999999</v>
      </c>
      <c r="AY124" s="106">
        <f t="shared" ca="1" si="55"/>
        <v>0.59683730000000002</v>
      </c>
      <c r="AZ124" s="106">
        <f t="shared" ca="1" si="56"/>
        <v>0.59686269999999997</v>
      </c>
      <c r="BB124" s="109">
        <f ca="1">_xll.EURO(UnderlyingPrice,$D124,IntRate,Yield,AX124,$D$6,1,0)</f>
        <v>2.182431107774399</v>
      </c>
      <c r="BC124" s="109">
        <f ca="1">_xll.EURO(UnderlyingPrice,$D124*(1+$P$8),IntRate,Yield,AY124,$D$6,1,0)</f>
        <v>2.1812935301766054</v>
      </c>
      <c r="BD124" s="109">
        <f ca="1">_xll.EURO(UnderlyingPrice,$D124*(1-$P$8),IntRate,Yield,AZ124,$D$6,1,0)</f>
        <v>2.1835689229367152</v>
      </c>
      <c r="BF124" s="59">
        <f t="shared" ca="1" si="57"/>
        <v>0.14729029866723947</v>
      </c>
      <c r="BG124" s="62">
        <f t="shared" ca="1" si="58"/>
        <v>0.14996084830847167</v>
      </c>
      <c r="BI124" s="96">
        <f t="shared" ca="1" si="59"/>
        <v>-1.3416164017645922</v>
      </c>
      <c r="BJ124" s="96">
        <f t="shared" ca="1" si="60"/>
        <v>-1.3403739447729077</v>
      </c>
      <c r="BK124" s="96">
        <f t="shared" ca="1" si="61"/>
        <v>-1.3428594801401446</v>
      </c>
      <c r="BL124" s="62"/>
      <c r="BM124" s="96">
        <f t="shared" ca="1" si="62"/>
        <v>0.15324688585178506</v>
      </c>
      <c r="BO124" s="58"/>
    </row>
    <row r="125" spans="3:68" x14ac:dyDescent="0.2">
      <c r="C125" s="97"/>
      <c r="D125" s="63">
        <f t="shared" ca="1" si="78"/>
        <v>2.4439999999999991</v>
      </c>
      <c r="E125" s="45">
        <f t="shared" ca="1" si="44"/>
        <v>-0.48275132275132293</v>
      </c>
      <c r="F125" s="45">
        <f t="shared" ca="1" si="66"/>
        <v>-0.4824926984126986</v>
      </c>
      <c r="G125" s="45">
        <f t="shared" ca="1" si="67"/>
        <v>-0.48300994708994727</v>
      </c>
      <c r="H125" s="45">
        <f t="shared" ca="1" si="68"/>
        <v>0.57606501141704813</v>
      </c>
      <c r="I125" s="45">
        <f t="shared" ca="1" si="69"/>
        <v>0.57606724706958934</v>
      </c>
      <c r="J125" s="45">
        <f t="shared" ca="1" si="70"/>
        <v>0.57606949574534283</v>
      </c>
      <c r="L125" s="58"/>
      <c r="M125" s="58"/>
      <c r="O125" s="58"/>
      <c r="P125" s="58"/>
      <c r="R125" s="59">
        <f t="shared" ca="1" si="72"/>
        <v>0.41693940004914382</v>
      </c>
      <c r="S125" s="59">
        <f t="shared" ca="1" si="73"/>
        <v>-0.58259392621217398</v>
      </c>
      <c r="T125" s="59">
        <f t="shared" ca="1" si="71"/>
        <v>-0.339415682859316</v>
      </c>
      <c r="U125" s="59">
        <f t="shared" ca="1" si="74"/>
        <v>-1.1072101422231349</v>
      </c>
      <c r="V125" s="59"/>
      <c r="W125" s="104">
        <f t="shared" ca="1" si="75"/>
        <v>0.12694815003589405</v>
      </c>
      <c r="Z125" s="59">
        <f t="shared" ca="1" si="76"/>
        <v>0.40601562632768867</v>
      </c>
      <c r="AA125" s="59">
        <f t="shared" ca="1" si="77"/>
        <v>-0.57841461069960187</v>
      </c>
      <c r="AB125" s="59">
        <f t="shared" ca="1" si="42"/>
        <v>-0.33456346187077196</v>
      </c>
      <c r="AC125" s="59">
        <f t="shared" ca="1" si="48"/>
        <v>-1.0349426446530794</v>
      </c>
      <c r="AD125" s="60">
        <f t="shared" ca="1" si="43"/>
        <v>0.35524675564155866</v>
      </c>
      <c r="AE125" s="60">
        <f t="shared" ca="1" si="49"/>
        <v>0.1442357339926868</v>
      </c>
      <c r="AF125" s="60"/>
      <c r="AG125" s="96">
        <f t="shared" ca="1" si="50"/>
        <v>-1.4387095917196631</v>
      </c>
      <c r="AH125" s="96">
        <f t="shared" ca="1" si="51"/>
        <v>-1.4374662361685042</v>
      </c>
      <c r="AI125" s="96">
        <f t="shared" ca="1" si="52"/>
        <v>-1.4399535691040815</v>
      </c>
      <c r="AJ125" s="62"/>
      <c r="AK125" s="96">
        <f t="shared" ca="1" si="53"/>
        <v>0.12473652973831691</v>
      </c>
      <c r="AL125" s="62"/>
      <c r="AM125" s="94"/>
      <c r="AN125" s="95"/>
      <c r="AX125" s="106">
        <f t="shared" ca="1" si="54"/>
        <v>0.59780999999999995</v>
      </c>
      <c r="AY125" s="106">
        <f t="shared" ca="1" si="55"/>
        <v>0.59779777999999995</v>
      </c>
      <c r="AZ125" s="106">
        <f t="shared" ca="1" si="56"/>
        <v>0.59782221999999996</v>
      </c>
      <c r="BB125" s="109">
        <f ca="1">_xll.EURO(UnderlyingPrice,$D125,IntRate,Yield,AX125,$D$6,1,0)</f>
        <v>2.2690892452031073</v>
      </c>
      <c r="BC125" s="109">
        <f ca="1">_xll.EURO(UnderlyingPrice,$D125*(1+$P$8),IntRate,Yield,AY125,$D$6,1,0)</f>
        <v>2.2679781234249514</v>
      </c>
      <c r="BD125" s="109">
        <f ca="1">_xll.EURO(UnderlyingPrice,$D125*(1-$P$8),IntRate,Yield,AZ125,$D$6,1,0)</f>
        <v>2.2702005676296242</v>
      </c>
      <c r="BF125" s="59">
        <f t="shared" ca="1" si="57"/>
        <v>0.13436718068182696</v>
      </c>
      <c r="BG125" s="62">
        <f t="shared" ca="1" si="58"/>
        <v>0.13680341870571691</v>
      </c>
      <c r="BI125" s="96">
        <f t="shared" ca="1" si="59"/>
        <v>-1.4373791991414606</v>
      </c>
      <c r="BJ125" s="96">
        <f t="shared" ca="1" si="60"/>
        <v>-1.4361367421497755</v>
      </c>
      <c r="BK125" s="96">
        <f t="shared" ca="1" si="61"/>
        <v>-1.438622277517013</v>
      </c>
      <c r="BL125" s="62"/>
      <c r="BM125" s="96">
        <f t="shared" ca="1" si="62"/>
        <v>0.13451731957786459</v>
      </c>
      <c r="BO125" s="58"/>
    </row>
    <row r="126" spans="3:68" x14ac:dyDescent="0.2">
      <c r="C126" s="97"/>
      <c r="D126" s="63">
        <f t="shared" ca="1" si="78"/>
        <v>2.347999999999999</v>
      </c>
      <c r="E126" s="45">
        <f t="shared" ca="1" si="44"/>
        <v>-0.50306878306878322</v>
      </c>
      <c r="F126" s="45">
        <f t="shared" ca="1" si="66"/>
        <v>-0.50282031746031763</v>
      </c>
      <c r="G126" s="45">
        <f t="shared" ca="1" si="67"/>
        <v>-0.50331724867724881</v>
      </c>
      <c r="H126" s="45">
        <f t="shared" ca="1" si="68"/>
        <v>0.57628044714272797</v>
      </c>
      <c r="I126" s="45">
        <f t="shared" ca="1" si="69"/>
        <v>0.57628357813776776</v>
      </c>
      <c r="J126" s="45">
        <f t="shared" ca="1" si="70"/>
        <v>0.57628672115301327</v>
      </c>
      <c r="L126" s="58"/>
      <c r="M126" s="58"/>
      <c r="O126" s="58"/>
      <c r="P126" s="58"/>
      <c r="R126" s="59">
        <f t="shared" ca="1" si="72"/>
        <v>0.43398632611588905</v>
      </c>
      <c r="S126" s="59">
        <f t="shared" ca="1" si="73"/>
        <v>-0.62266606555567283</v>
      </c>
      <c r="T126" s="59">
        <f t="shared" ca="1" si="71"/>
        <v>-0.38771302919458145</v>
      </c>
      <c r="U126" s="59">
        <f t="shared" ca="1" si="74"/>
        <v>-1.264761234896228</v>
      </c>
      <c r="V126" s="59"/>
      <c r="W126" s="104">
        <f t="shared" ca="1" si="75"/>
        <v>0.11023135526652868</v>
      </c>
      <c r="Z126" s="59">
        <f t="shared" ca="1" si="76"/>
        <v>0.42261592450803703</v>
      </c>
      <c r="AA126" s="59">
        <f t="shared" ca="1" si="77"/>
        <v>-0.61848675004310072</v>
      </c>
      <c r="AB126" s="59">
        <f t="shared" ca="1" si="42"/>
        <v>-0.38252585997887695</v>
      </c>
      <c r="AC126" s="59">
        <f t="shared" ca="1" si="48"/>
        <v>-1.1833101049380259</v>
      </c>
      <c r="AD126" s="60">
        <f t="shared" ca="1" si="43"/>
        <v>0.30626329527029594</v>
      </c>
      <c r="AE126" s="60">
        <f t="shared" ca="1" si="49"/>
        <v>0.12943174567353405</v>
      </c>
      <c r="AF126" s="60"/>
      <c r="AG126" s="96">
        <f t="shared" ca="1" si="50"/>
        <v>-1.5383823354017208</v>
      </c>
      <c r="AH126" s="96">
        <f t="shared" ca="1" si="51"/>
        <v>-1.5371389798505626</v>
      </c>
      <c r="AI126" s="96">
        <f t="shared" ca="1" si="52"/>
        <v>-1.5396263127861392</v>
      </c>
      <c r="AJ126" s="62"/>
      <c r="AK126" s="96">
        <f t="shared" ca="1" si="53"/>
        <v>0.10405652514942211</v>
      </c>
      <c r="AL126" s="62"/>
      <c r="AM126" s="94"/>
      <c r="AN126" s="95"/>
      <c r="AX126" s="106">
        <f t="shared" ca="1" si="54"/>
        <v>0.59877000000000002</v>
      </c>
      <c r="AY126" s="106">
        <f t="shared" ca="1" si="55"/>
        <v>0.59875825999999999</v>
      </c>
      <c r="AZ126" s="106">
        <f t="shared" ca="1" si="56"/>
        <v>0.59878173999999995</v>
      </c>
      <c r="BB126" s="109">
        <f ca="1">_xll.EURO(UnderlyingPrice,$D126,IntRate,Yield,AX126,$D$6,1,0)</f>
        <v>2.3569854365989831</v>
      </c>
      <c r="BC126" s="109">
        <f ca="1">_xll.EURO(UnderlyingPrice,$D126*(1+$P$8),IntRate,Yield,AY126,$D$6,1,0)</f>
        <v>2.3559035487100046</v>
      </c>
      <c r="BD126" s="109">
        <f ca="1">_xll.EURO(UnderlyingPrice,$D126*(1-$P$8),IntRate,Yield,AZ126,$D$6,1,0)</f>
        <v>2.3580674913810955</v>
      </c>
      <c r="BF126" s="59">
        <f t="shared" ca="1" si="57"/>
        <v>0.12108832627088412</v>
      </c>
      <c r="BG126" s="62">
        <f t="shared" ca="1" si="58"/>
        <v>0.12328380274968932</v>
      </c>
      <c r="BI126" s="96">
        <f t="shared" ca="1" si="59"/>
        <v>-1.5369799104205213</v>
      </c>
      <c r="BJ126" s="96">
        <f t="shared" ca="1" si="60"/>
        <v>-1.5357374534288368</v>
      </c>
      <c r="BK126" s="96">
        <f t="shared" ca="1" si="61"/>
        <v>-1.5382229887960737</v>
      </c>
      <c r="BL126" s="62"/>
      <c r="BM126" s="96">
        <f t="shared" ca="1" si="62"/>
        <v>0.11646197944794244</v>
      </c>
      <c r="BO126" s="58"/>
    </row>
    <row r="127" spans="3:68" x14ac:dyDescent="0.2">
      <c r="C127" s="97"/>
      <c r="D127" s="63">
        <f t="shared" ca="1" si="78"/>
        <v>2.2519999999999989</v>
      </c>
      <c r="E127" s="45">
        <f t="shared" ca="1" si="44"/>
        <v>-0.52338624338624351</v>
      </c>
      <c r="F127" s="45">
        <f t="shared" ca="1" si="66"/>
        <v>-0.52314793650793678</v>
      </c>
      <c r="G127" s="45">
        <f t="shared" ca="1" si="67"/>
        <v>-0.52362455026455046</v>
      </c>
      <c r="H127" s="45">
        <f t="shared" ca="1" si="68"/>
        <v>0.57657633774279982</v>
      </c>
      <c r="I127" s="45">
        <f t="shared" ca="1" si="69"/>
        <v>0.57658028368576475</v>
      </c>
      <c r="J127" s="45">
        <f t="shared" ca="1" si="70"/>
        <v>0.57658424068611613</v>
      </c>
      <c r="L127" s="58"/>
      <c r="M127" s="58"/>
      <c r="O127" s="58"/>
      <c r="P127" s="58"/>
      <c r="R127" s="59">
        <f t="shared" ca="1" si="72"/>
        <v>0.4524866313144349</v>
      </c>
      <c r="S127" s="59">
        <f t="shared" ca="1" si="73"/>
        <v>-0.66441125724407901</v>
      </c>
      <c r="T127" s="59">
        <f t="shared" ca="1" si="71"/>
        <v>-0.44144231875265771</v>
      </c>
      <c r="U127" s="59">
        <f t="shared" ca="1" si="74"/>
        <v>-1.4400319054556772</v>
      </c>
      <c r="V127" s="59"/>
      <c r="W127" s="104">
        <f t="shared" ca="1" si="75"/>
        <v>9.3941282569533935E-2</v>
      </c>
      <c r="Z127" s="59">
        <f t="shared" ca="1" si="76"/>
        <v>0.44063152342134598</v>
      </c>
      <c r="AA127" s="59">
        <f t="shared" ca="1" si="77"/>
        <v>-0.6602319417315069</v>
      </c>
      <c r="AB127" s="59">
        <f t="shared" ca="1" si="42"/>
        <v>-0.43590621688255593</v>
      </c>
      <c r="AC127" s="59">
        <f t="shared" ca="1" si="48"/>
        <v>-1.348437544251043</v>
      </c>
      <c r="AD127" s="60">
        <f t="shared" ca="1" si="43"/>
        <v>0.25964562868384178</v>
      </c>
      <c r="AE127" s="60">
        <f t="shared" ca="1" si="49"/>
        <v>0.11440804891665433</v>
      </c>
      <c r="AF127" s="60"/>
      <c r="AG127" s="96">
        <f t="shared" ca="1" si="50"/>
        <v>-1.6422165169374245</v>
      </c>
      <c r="AH127" s="96">
        <f t="shared" ca="1" si="51"/>
        <v>-1.6409731613862666</v>
      </c>
      <c r="AI127" s="96">
        <f t="shared" ca="1" si="52"/>
        <v>-1.6434604943218427</v>
      </c>
      <c r="AJ127" s="62"/>
      <c r="AK127" s="96">
        <f t="shared" ca="1" si="53"/>
        <v>8.5053257374887364E-2</v>
      </c>
      <c r="AL127" s="62"/>
      <c r="AM127" s="94"/>
      <c r="AN127" s="95"/>
      <c r="AX127" s="106">
        <f t="shared" ca="1" si="54"/>
        <v>0.59972999999999999</v>
      </c>
      <c r="AY127" s="106">
        <f t="shared" ca="1" si="55"/>
        <v>0.59971874000000003</v>
      </c>
      <c r="AZ127" s="106">
        <f t="shared" ca="1" si="56"/>
        <v>0.59974125999999994</v>
      </c>
      <c r="BB127" s="109">
        <f ca="1">_xll.EURO(UnderlyingPrice,$D127,IntRate,Yield,AX127,$D$6,1,0)</f>
        <v>2.4459974536461844</v>
      </c>
      <c r="BC127" s="109">
        <f ca="1">_xll.EURO(UnderlyingPrice,$D127*(1+$P$8),IntRate,Yield,AY127,$D$6,1,0)</f>
        <v>2.4449474245963416</v>
      </c>
      <c r="BD127" s="109">
        <f ca="1">_xll.EURO(UnderlyingPrice,$D127*(1-$P$8),IntRate,Yield,AZ127,$D$6,1,0)</f>
        <v>2.4470476191807946</v>
      </c>
      <c r="BF127" s="59">
        <f t="shared" ca="1" si="57"/>
        <v>0.10764835637542115</v>
      </c>
      <c r="BG127" s="62">
        <f t="shared" ca="1" si="58"/>
        <v>0.10960015009231149</v>
      </c>
      <c r="BI127" s="96">
        <f t="shared" ca="1" si="59"/>
        <v>-1.6407390521275522</v>
      </c>
      <c r="BJ127" s="96">
        <f t="shared" ca="1" si="60"/>
        <v>-1.6394965951358678</v>
      </c>
      <c r="BK127" s="96">
        <f t="shared" ca="1" si="61"/>
        <v>-1.6419821305031042</v>
      </c>
      <c r="BL127" s="62"/>
      <c r="BM127" s="96">
        <f t="shared" ca="1" si="62"/>
        <v>9.9302364094830092E-2</v>
      </c>
      <c r="BO127" s="58"/>
    </row>
    <row r="128" spans="3:68" x14ac:dyDescent="0.2">
      <c r="C128" s="97"/>
      <c r="D128" s="63">
        <f t="shared" ca="1" si="78"/>
        <v>2.1559999999999988</v>
      </c>
      <c r="E128" s="45">
        <f t="shared" ca="1" si="44"/>
        <v>-0.54370370370370391</v>
      </c>
      <c r="F128" s="45">
        <f t="shared" ca="1" si="66"/>
        <v>-0.54347555555555582</v>
      </c>
      <c r="G128" s="45">
        <f t="shared" ca="1" si="67"/>
        <v>-0.543931851851852</v>
      </c>
      <c r="H128" s="45">
        <f t="shared" ca="1" si="68"/>
        <v>0.57695268321726367</v>
      </c>
      <c r="I128" s="45">
        <f t="shared" ca="1" si="69"/>
        <v>0.57695736371358031</v>
      </c>
      <c r="J128" s="45">
        <f t="shared" ca="1" si="70"/>
        <v>0.57696205434465142</v>
      </c>
      <c r="L128" s="58"/>
      <c r="M128" s="58"/>
      <c r="O128" s="58"/>
      <c r="P128" s="58"/>
      <c r="R128" s="59">
        <f t="shared" ca="1" si="72"/>
        <v>0.47263445905385326</v>
      </c>
      <c r="S128" s="59">
        <f t="shared" ca="1" si="73"/>
        <v>-0.70797531447477224</v>
      </c>
      <c r="T128" s="59">
        <f t="shared" ca="1" si="71"/>
        <v>-0.50122904590565265</v>
      </c>
      <c r="U128" s="59">
        <f t="shared" ca="1" si="74"/>
        <v>-1.6350625832265713</v>
      </c>
      <c r="V128" s="59"/>
      <c r="W128" s="104">
        <f t="shared" ca="1" si="75"/>
        <v>7.8401462786441473E-2</v>
      </c>
      <c r="Z128" s="59">
        <f t="shared" ca="1" si="76"/>
        <v>0.46025147993732435</v>
      </c>
      <c r="AA128" s="59">
        <f t="shared" ca="1" si="77"/>
        <v>-0.70379599896220013</v>
      </c>
      <c r="AB128" s="59">
        <f t="shared" ca="1" si="42"/>
        <v>-0.49532880815520119</v>
      </c>
      <c r="AC128" s="59">
        <f t="shared" ca="1" si="48"/>
        <v>-1.532256104173779</v>
      </c>
      <c r="AD128" s="60">
        <f t="shared" ca="1" si="43"/>
        <v>0.21604769096293036</v>
      </c>
      <c r="AE128" s="60">
        <f t="shared" ca="1" si="49"/>
        <v>9.9436269502730393E-2</v>
      </c>
      <c r="AF128" s="60"/>
      <c r="AG128" s="96">
        <f t="shared" ca="1" si="50"/>
        <v>-1.750574822264835</v>
      </c>
      <c r="AH128" s="96">
        <f t="shared" ca="1" si="51"/>
        <v>-1.749331466713677</v>
      </c>
      <c r="AI128" s="96">
        <f t="shared" ca="1" si="52"/>
        <v>-1.7518187996492531</v>
      </c>
      <c r="AJ128" s="62"/>
      <c r="AK128" s="96">
        <f t="shared" ca="1" si="53"/>
        <v>6.7957751594044477E-2</v>
      </c>
      <c r="AL128" s="62"/>
      <c r="AM128" s="94"/>
      <c r="AN128" s="95"/>
      <c r="AX128" s="106">
        <f t="shared" ca="1" si="54"/>
        <v>0.60138000000000003</v>
      </c>
      <c r="AY128" s="106">
        <f t="shared" ca="1" si="55"/>
        <v>0.60135844000000005</v>
      </c>
      <c r="AZ128" s="106">
        <f t="shared" ca="1" si="56"/>
        <v>0.60140156</v>
      </c>
      <c r="BB128" s="109">
        <f ca="1">_xll.EURO(UnderlyingPrice,$D128,IntRate,Yield,AX128,$D$6,1,0)</f>
        <v>2.5360902575203763</v>
      </c>
      <c r="BC128" s="109">
        <f ca="1">_xll.EURO(UnderlyingPrice,$D128*(1+$P$8),IntRate,Yield,AY128,$D$6,1,0)</f>
        <v>2.5350733686986131</v>
      </c>
      <c r="BD128" s="109">
        <f ca="1">_xll.EURO(UnderlyingPrice,$D128*(1-$P$8),IntRate,Yield,AZ128,$D$6,1,0)</f>
        <v>2.5371072492181872</v>
      </c>
      <c r="BF128" s="59">
        <f t="shared" ca="1" si="57"/>
        <v>8.8527203916909269E-2</v>
      </c>
      <c r="BG128" s="62">
        <f t="shared" ca="1" si="58"/>
        <v>9.0132308223158986E-2</v>
      </c>
      <c r="BI128" s="96">
        <f t="shared" ca="1" si="59"/>
        <v>-1.7490190480914487</v>
      </c>
      <c r="BJ128" s="96">
        <f t="shared" ca="1" si="60"/>
        <v>-1.7477765910997642</v>
      </c>
      <c r="BK128" s="96">
        <f t="shared" ca="1" si="61"/>
        <v>-1.7502621264670006</v>
      </c>
      <c r="BL128" s="62"/>
      <c r="BM128" s="96">
        <f t="shared" ca="1" si="62"/>
        <v>7.8182454810609439E-2</v>
      </c>
      <c r="BO128" s="58"/>
    </row>
    <row r="129" spans="3:67" x14ac:dyDescent="0.2">
      <c r="C129" s="97"/>
      <c r="D129" s="63">
        <f t="shared" ca="1" si="78"/>
        <v>2.0599999999999987</v>
      </c>
      <c r="E129" s="45">
        <f t="shared" ca="1" si="44"/>
        <v>-0.56402116402116431</v>
      </c>
      <c r="F129" s="45">
        <f t="shared" ca="1" si="66"/>
        <v>-0.56380317460317486</v>
      </c>
      <c r="G129" s="45">
        <f t="shared" ca="1" si="67"/>
        <v>-0.56423915343915376</v>
      </c>
      <c r="H129" s="45">
        <f t="shared" ca="1" si="68"/>
        <v>0.57740948356611954</v>
      </c>
      <c r="I129" s="45">
        <f t="shared" ca="1" si="69"/>
        <v>0.57741481822121443</v>
      </c>
      <c r="J129" s="45">
        <f t="shared" ca="1" si="70"/>
        <v>0.57742016212861891</v>
      </c>
      <c r="L129" s="58"/>
      <c r="M129" s="58"/>
      <c r="O129" s="58"/>
      <c r="P129" s="58"/>
      <c r="R129" s="59">
        <f t="shared" ca="1" si="72"/>
        <v>0.49466014258257651</v>
      </c>
      <c r="S129" s="59">
        <f t="shared" ca="1" si="73"/>
        <v>-0.75352398472003335</v>
      </c>
      <c r="T129" s="59">
        <f t="shared" ca="1" si="71"/>
        <v>-0.56779839554835709</v>
      </c>
      <c r="U129" s="59">
        <f t="shared" ca="1" si="74"/>
        <v>-1.8522188986468897</v>
      </c>
      <c r="V129" s="59"/>
      <c r="W129" s="104">
        <f t="shared" ca="1" si="75"/>
        <v>6.3914312992298911E-2</v>
      </c>
      <c r="Z129" s="59">
        <f t="shared" ca="1" si="76"/>
        <v>0.48170009259459767</v>
      </c>
      <c r="AA129" s="59">
        <f t="shared" ca="1" si="77"/>
        <v>-0.74934466920746123</v>
      </c>
      <c r="AB129" s="59">
        <f t="shared" ca="1" si="42"/>
        <v>-0.56151743326963954</v>
      </c>
      <c r="AC129" s="59">
        <f t="shared" ca="1" si="48"/>
        <v>-1.7370047947177192</v>
      </c>
      <c r="AD129" s="60">
        <f t="shared" ca="1" si="43"/>
        <v>0.17604690835383069</v>
      </c>
      <c r="AE129" s="60">
        <f t="shared" ca="1" si="49"/>
        <v>8.4801812055032899E-2</v>
      </c>
      <c r="AF129" s="60"/>
      <c r="AG129" s="96">
        <f t="shared" ca="1" si="50"/>
        <v>-1.8638695204963891</v>
      </c>
      <c r="AH129" s="96">
        <f t="shared" ca="1" si="51"/>
        <v>-1.8626261649452303</v>
      </c>
      <c r="AI129" s="96">
        <f t="shared" ca="1" si="52"/>
        <v>-1.8651134978808077</v>
      </c>
      <c r="AJ129" s="62"/>
      <c r="AK129" s="96">
        <f t="shared" ca="1" si="53"/>
        <v>5.2933599230281084E-2</v>
      </c>
      <c r="AL129" s="62"/>
      <c r="AM129" s="94"/>
      <c r="AN129" s="95"/>
      <c r="AX129" s="106">
        <f t="shared" ca="1" si="54"/>
        <v>0.60329999999999995</v>
      </c>
      <c r="AY129" s="106">
        <f t="shared" ca="1" si="55"/>
        <v>0.60327940000000002</v>
      </c>
      <c r="AZ129" s="106">
        <f t="shared" ca="1" si="56"/>
        <v>0.60332059999999998</v>
      </c>
      <c r="BB129" s="109">
        <f ca="1">_xll.EURO(UnderlyingPrice,$D129,IntRate,Yield,AX129,$D$6,1,0)</f>
        <v>2.6270421580194476</v>
      </c>
      <c r="BC129" s="109">
        <f ca="1">_xll.EURO(UnderlyingPrice,$D129*(1+$P$8),IntRate,Yield,AY129,$D$6,1,0)</f>
        <v>2.6260623779136685</v>
      </c>
      <c r="BD129" s="109">
        <f ca="1">_xll.EURO(UnderlyingPrice,$D129*(1-$P$8),IntRate,Yield,AZ129,$D$6,1,0)</f>
        <v>2.6280220194073074</v>
      </c>
      <c r="BF129" s="59">
        <f t="shared" ca="1" si="57"/>
        <v>7.6616156679939151E-2</v>
      </c>
      <c r="BG129" s="62">
        <f t="shared" ca="1" si="58"/>
        <v>7.8005299424475608E-2</v>
      </c>
      <c r="BI129" s="96">
        <f t="shared" ca="1" si="59"/>
        <v>-1.8622318694822637</v>
      </c>
      <c r="BJ129" s="96">
        <f t="shared" ca="1" si="60"/>
        <v>-1.8609894124905793</v>
      </c>
      <c r="BK129" s="96">
        <f t="shared" ca="1" si="61"/>
        <v>-1.8634749478578165</v>
      </c>
      <c r="BL129" s="62"/>
      <c r="BM129" s="96">
        <f t="shared" ca="1" si="62"/>
        <v>6.4650424585601746E-2</v>
      </c>
      <c r="BO129" s="58"/>
    </row>
    <row r="130" spans="3:67" x14ac:dyDescent="0.2">
      <c r="C130" s="97"/>
      <c r="D130" s="63">
        <f t="shared" ca="1" si="78"/>
        <v>1.9639999999999986</v>
      </c>
      <c r="E130" s="45">
        <f t="shared" ca="1" si="44"/>
        <v>-0.5843386243386246</v>
      </c>
      <c r="F130" s="45">
        <f t="shared" ca="1" si="66"/>
        <v>-0.58413079365079401</v>
      </c>
      <c r="G130" s="45">
        <f t="shared" ca="1" si="67"/>
        <v>-0.58454645502645519</v>
      </c>
      <c r="H130" s="45">
        <f t="shared" ca="1" si="68"/>
        <v>0.57794673878936753</v>
      </c>
      <c r="I130" s="45">
        <f t="shared" ca="1" si="69"/>
        <v>0.57795264720866724</v>
      </c>
      <c r="J130" s="45">
        <f t="shared" ca="1" si="70"/>
        <v>0.57795856403801893</v>
      </c>
      <c r="L130" s="58"/>
      <c r="M130" s="58"/>
      <c r="O130" s="58"/>
      <c r="P130" s="58"/>
      <c r="R130" s="59">
        <f t="shared" ca="1" si="72"/>
        <v>0.51883904975565565</v>
      </c>
      <c r="S130" s="59">
        <f t="shared" ca="1" si="73"/>
        <v>-0.80124675758924901</v>
      </c>
      <c r="T130" s="59">
        <f t="shared" ca="1" si="71"/>
        <v>-0.64199636654728476</v>
      </c>
      <c r="U130" s="59">
        <f t="shared" ca="1" si="74"/>
        <v>-2.0942605902102174</v>
      </c>
      <c r="V130" s="59"/>
      <c r="W130" s="104">
        <f t="shared" ca="1" si="75"/>
        <v>5.0743647976270914E-2</v>
      </c>
      <c r="Z130" s="59">
        <f t="shared" ca="1" si="76"/>
        <v>0.50524551463588152</v>
      </c>
      <c r="AA130" s="59">
        <f t="shared" ca="1" si="77"/>
        <v>-0.7970674420766769</v>
      </c>
      <c r="AB130" s="59">
        <f t="shared" ca="1" si="42"/>
        <v>-0.63531650721865673</v>
      </c>
      <c r="AC130" s="59">
        <f t="shared" ca="1" si="48"/>
        <v>-1.9652957393972839</v>
      </c>
      <c r="AD130" s="60">
        <f t="shared" ca="1" si="43"/>
        <v>0.14011444312692009</v>
      </c>
      <c r="AE130" s="60">
        <f t="shared" ca="1" si="49"/>
        <v>7.0792193925580699E-2</v>
      </c>
      <c r="AF130" s="60"/>
      <c r="AG130" s="96">
        <f t="shared" ca="1" si="50"/>
        <v>-1.9825719353391869</v>
      </c>
      <c r="AH130" s="96">
        <f t="shared" ca="1" si="51"/>
        <v>-1.9813285797880282</v>
      </c>
      <c r="AI130" s="96">
        <f t="shared" ca="1" si="52"/>
        <v>-1.9838159127236048</v>
      </c>
      <c r="AJ130" s="62"/>
      <c r="AK130" s="96">
        <f t="shared" ca="1" si="53"/>
        <v>4.0067223490648021E-2</v>
      </c>
      <c r="AL130" s="62"/>
      <c r="AM130" s="94"/>
      <c r="AN130" s="95"/>
      <c r="AX130" s="106">
        <f t="shared" ca="1" si="54"/>
        <v>0.60521999999999998</v>
      </c>
      <c r="AY130" s="106">
        <f t="shared" ca="1" si="55"/>
        <v>0.60520035999999999</v>
      </c>
      <c r="AZ130" s="106">
        <f t="shared" ca="1" si="56"/>
        <v>0.60523963999999997</v>
      </c>
      <c r="BB130" s="109">
        <f ca="1">_xll.EURO(UnderlyingPrice,$D130,IntRate,Yield,AX130,$D$6,1,0)</f>
        <v>2.7187005015198569</v>
      </c>
      <c r="BC130" s="109">
        <f ca="1">_xll.EURO(UnderlyingPrice,$D130*(1+$P$8),IntRate,Yield,AY130,$D$6,1,0)</f>
        <v>2.7177596952943084</v>
      </c>
      <c r="BD130" s="109">
        <f ca="1">_xll.EURO(UnderlyingPrice,$D130*(1-$P$8),IntRate,Yield,AZ130,$D$6,1,0)</f>
        <v>2.7196413705795646</v>
      </c>
      <c r="BF130" s="59">
        <f t="shared" ca="1" si="57"/>
        <v>6.5158763246633417E-2</v>
      </c>
      <c r="BG130" s="62">
        <f t="shared" ca="1" si="58"/>
        <v>6.634016971661795E-2</v>
      </c>
      <c r="BI130" s="96">
        <f t="shared" ca="1" si="59"/>
        <v>-1.9808484993866038</v>
      </c>
      <c r="BJ130" s="96">
        <f t="shared" ca="1" si="60"/>
        <v>-1.9796060423949193</v>
      </c>
      <c r="BK130" s="96">
        <f t="shared" ca="1" si="61"/>
        <v>-1.9820915777621557</v>
      </c>
      <c r="BL130" s="62"/>
      <c r="BM130" s="96">
        <f t="shared" ca="1" si="62"/>
        <v>5.2420132515879792E-2</v>
      </c>
      <c r="BO130" s="58"/>
    </row>
    <row r="131" spans="3:67" x14ac:dyDescent="0.2">
      <c r="C131" s="97"/>
      <c r="D131" s="63">
        <f t="shared" ca="1" si="78"/>
        <v>1.8679999999999986</v>
      </c>
      <c r="E131" s="45">
        <f t="shared" ca="1" si="44"/>
        <v>-0.60465608465608489</v>
      </c>
      <c r="F131" s="45">
        <f t="shared" ca="1" si="66"/>
        <v>-0.60445841269841294</v>
      </c>
      <c r="G131" s="45">
        <f t="shared" ca="1" si="67"/>
        <v>-0.60485375661375684</v>
      </c>
      <c r="H131" s="45">
        <f t="shared" ca="1" si="68"/>
        <v>0.57856444888700753</v>
      </c>
      <c r="I131" s="45">
        <f t="shared" ca="1" si="69"/>
        <v>0.57857085067593861</v>
      </c>
      <c r="J131" s="45">
        <f t="shared" ca="1" si="70"/>
        <v>0.57857726007285137</v>
      </c>
      <c r="L131" s="58"/>
      <c r="M131" s="58"/>
      <c r="O131" s="58"/>
      <c r="P131" s="58"/>
      <c r="R131" s="59">
        <f t="shared" ca="1" si="72"/>
        <v>0.54550315509641745</v>
      </c>
      <c r="S131" s="59">
        <f t="shared" ca="1" si="73"/>
        <v>-0.85136162771487245</v>
      </c>
      <c r="T131" s="59">
        <f t="shared" ca="1" si="71"/>
        <v>-0.72481662114531709</v>
      </c>
      <c r="U131" s="59">
        <f t="shared" ca="1" si="74"/>
        <v>-2.3644290900860816</v>
      </c>
      <c r="V131" s="59"/>
      <c r="W131" s="104">
        <f t="shared" ca="1" si="75"/>
        <v>3.9097578330216091E-2</v>
      </c>
      <c r="Z131" s="59">
        <f t="shared" ca="1" si="76"/>
        <v>0.5312110228826934</v>
      </c>
      <c r="AA131" s="59">
        <f t="shared" ca="1" si="77"/>
        <v>-0.84718231220230034</v>
      </c>
      <c r="AB131" s="59">
        <f t="shared" ca="1" si="42"/>
        <v>-0.71771787010843591</v>
      </c>
      <c r="AC131" s="59">
        <f t="shared" ca="1" si="48"/>
        <v>-2.2201971083492422</v>
      </c>
      <c r="AD131" s="60">
        <f t="shared" ca="1" si="43"/>
        <v>0.10858770317249054</v>
      </c>
      <c r="AE131" s="60">
        <f t="shared" ca="1" si="49"/>
        <v>5.7682984874740995E-2</v>
      </c>
      <c r="AF131" s="60"/>
      <c r="AG131" s="96">
        <f t="shared" ca="1" si="50"/>
        <v>-2.1072242919771225</v>
      </c>
      <c r="AH131" s="96">
        <f t="shared" ca="1" si="51"/>
        <v>-2.1059809364259641</v>
      </c>
      <c r="AI131" s="96">
        <f t="shared" ca="1" si="52"/>
        <v>-2.1084682693615413</v>
      </c>
      <c r="AJ131" s="62"/>
      <c r="AK131" s="96">
        <f t="shared" ca="1" si="53"/>
        <v>2.9362485124611808E-2</v>
      </c>
      <c r="AL131" s="62"/>
      <c r="AM131" s="94"/>
      <c r="AN131" s="95"/>
      <c r="AX131" s="106">
        <f t="shared" ca="1" si="54"/>
        <v>0.60714000000000001</v>
      </c>
      <c r="AY131" s="106">
        <f t="shared" ca="1" si="55"/>
        <v>0.60712131999999996</v>
      </c>
      <c r="AZ131" s="106">
        <f t="shared" ca="1" si="56"/>
        <v>0.60715867999999995</v>
      </c>
      <c r="BB131" s="109">
        <f ca="1">_xll.EURO(UnderlyingPrice,$D131,IntRate,Yield,AX131,$D$6,1,0)</f>
        <v>2.8109598310032413</v>
      </c>
      <c r="BC131" s="109">
        <f ca="1">_xll.EURO(UnderlyingPrice,$D131*(1+$P$8),IntRate,Yield,AY131,$D$6,1,0)</f>
        <v>2.8100596534712965</v>
      </c>
      <c r="BD131" s="109">
        <f ca="1">_xll.EURO(UnderlyingPrice,$D131*(1-$P$8),IntRate,Yield,AZ131,$D$6,1,0)</f>
        <v>2.8118600559298965</v>
      </c>
      <c r="BF131" s="59">
        <f t="shared" ca="1" si="57"/>
        <v>5.4329551672152476E-2</v>
      </c>
      <c r="BG131" s="62">
        <f t="shared" ca="1" si="58"/>
        <v>5.5314611557557167E-2</v>
      </c>
      <c r="BI131" s="96">
        <f t="shared" ca="1" si="59"/>
        <v>-2.1054107711281458</v>
      </c>
      <c r="BJ131" s="96">
        <f t="shared" ca="1" si="60"/>
        <v>-2.1041683141364613</v>
      </c>
      <c r="BK131" s="96">
        <f t="shared" ca="1" si="61"/>
        <v>-2.1066538495036982</v>
      </c>
      <c r="BL131" s="62"/>
      <c r="BM131" s="96">
        <f t="shared" ca="1" si="62"/>
        <v>4.1571604955428935E-2</v>
      </c>
      <c r="BO131" s="58"/>
    </row>
    <row r="132" spans="3:67" x14ac:dyDescent="0.2">
      <c r="C132" s="97"/>
      <c r="D132" s="63">
        <f t="shared" ca="1" si="78"/>
        <v>1.7719999999999985</v>
      </c>
      <c r="E132" s="45">
        <f t="shared" ca="1" si="44"/>
        <v>-0.62497354497354529</v>
      </c>
      <c r="F132" s="45">
        <f t="shared" ca="1" si="66"/>
        <v>-0.62478603174603209</v>
      </c>
      <c r="G132" s="45">
        <f t="shared" ca="1" si="67"/>
        <v>-0.62516105820105849</v>
      </c>
      <c r="H132" s="45">
        <f t="shared" ca="1" si="68"/>
        <v>0.57926261385903954</v>
      </c>
      <c r="I132" s="45">
        <f t="shared" ca="1" si="69"/>
        <v>0.57926942862302844</v>
      </c>
      <c r="J132" s="45">
        <f t="shared" ca="1" si="70"/>
        <v>0.57927625023311624</v>
      </c>
      <c r="L132" s="58"/>
      <c r="M132" s="58"/>
      <c r="O132" s="58"/>
      <c r="P132" s="58"/>
      <c r="R132" s="59">
        <f t="shared" ca="1" si="72"/>
        <v>0.57505637343121208</v>
      </c>
      <c r="S132" s="59">
        <f t="shared" ca="1" si="73"/>
        <v>-0.90412111533863415</v>
      </c>
      <c r="T132" s="59">
        <f t="shared" ca="1" si="71"/>
        <v>-0.8174349912011758</v>
      </c>
      <c r="U132" s="59">
        <f t="shared" ca="1" si="74"/>
        <v>-2.6665600871517867</v>
      </c>
      <c r="V132" s="59"/>
      <c r="W132" s="104">
        <f t="shared" ca="1" si="75"/>
        <v>2.911358680722604E-2</v>
      </c>
      <c r="Z132" s="59">
        <f t="shared" ca="1" si="76"/>
        <v>0.5599899496302887</v>
      </c>
      <c r="AA132" s="59">
        <f t="shared" ca="1" si="77"/>
        <v>-0.89994179982606204</v>
      </c>
      <c r="AB132" s="59">
        <f t="shared" ca="1" si="42"/>
        <v>-0.80989524307417193</v>
      </c>
      <c r="AC132" s="59">
        <f t="shared" ca="1" si="48"/>
        <v>-2.5053397046772914</v>
      </c>
      <c r="AD132" s="60">
        <f t="shared" ca="1" si="43"/>
        <v>8.1647857114755792E-2</v>
      </c>
      <c r="AE132" s="60">
        <f t="shared" ca="1" si="49"/>
        <v>4.5721979393113107E-2</v>
      </c>
      <c r="AF132" s="60"/>
      <c r="AG132" s="96">
        <f t="shared" ca="1" si="50"/>
        <v>-2.2384546922720112</v>
      </c>
      <c r="AH132" s="96">
        <f t="shared" ca="1" si="51"/>
        <v>-2.2372113367208524</v>
      </c>
      <c r="AI132" s="96">
        <f t="shared" ca="1" si="52"/>
        <v>-2.2396986696564296</v>
      </c>
      <c r="AJ132" s="62"/>
      <c r="AK132" s="96">
        <f t="shared" ca="1" si="53"/>
        <v>2.0740800350650349E-2</v>
      </c>
      <c r="AL132" s="62"/>
      <c r="AM132" s="94"/>
      <c r="AN132" s="95"/>
      <c r="AX132" s="106">
        <f t="shared" ca="1" si="54"/>
        <v>0.60906000000000005</v>
      </c>
      <c r="AY132" s="106">
        <f t="shared" ca="1" si="55"/>
        <v>0.60904228000000005</v>
      </c>
      <c r="AZ132" s="106">
        <f t="shared" ca="1" si="56"/>
        <v>0.60907772000000004</v>
      </c>
      <c r="BB132" s="109">
        <f ca="1">_xll.EURO(UnderlyingPrice,$D132,IntRate,Yield,AX132,$D$6,1,0)</f>
        <v>2.9037204702628454</v>
      </c>
      <c r="BC132" s="109">
        <f ca="1">_xll.EURO(UnderlyingPrice,$D132*(1+$P$8),IntRate,Yield,AY132,$D$6,1,0)</f>
        <v>2.9028623614119295</v>
      </c>
      <c r="BD132" s="109">
        <f ca="1">_xll.EURO(UnderlyingPrice,$D132*(1-$P$8),IntRate,Yield,AZ132,$D$6,1,0)</f>
        <v>2.9045786138827507</v>
      </c>
      <c r="BF132" s="59">
        <f t="shared" ca="1" si="57"/>
        <v>4.4291932016603759E-2</v>
      </c>
      <c r="BG132" s="62">
        <f t="shared" ca="1" si="58"/>
        <v>4.5094997827636235E-2</v>
      </c>
      <c r="BI132" s="96">
        <f t="shared" ca="1" si="59"/>
        <v>-2.2365463326463506</v>
      </c>
      <c r="BJ132" s="96">
        <f t="shared" ca="1" si="60"/>
        <v>-2.2353038756546657</v>
      </c>
      <c r="BK132" s="96">
        <f t="shared" ca="1" si="61"/>
        <v>-2.237789411021903</v>
      </c>
      <c r="BL132" s="62"/>
      <c r="BM132" s="96">
        <f t="shared" ca="1" si="62"/>
        <v>3.214934585275727E-2</v>
      </c>
      <c r="BO132" s="58"/>
    </row>
    <row r="133" spans="3:67" x14ac:dyDescent="0.2">
      <c r="C133" s="97"/>
      <c r="D133" s="63">
        <f t="shared" ca="1" si="78"/>
        <v>1.6759999999999984</v>
      </c>
      <c r="E133" s="45">
        <f t="shared" ca="1" si="44"/>
        <v>-0.64529100529100558</v>
      </c>
      <c r="F133" s="45">
        <f t="shared" ca="1" si="66"/>
        <v>-0.64511365079365113</v>
      </c>
      <c r="G133" s="45">
        <f t="shared" ca="1" si="67"/>
        <v>-0.64546835978836015</v>
      </c>
      <c r="H133" s="45">
        <f t="shared" ca="1" si="68"/>
        <v>0.58004123370546357</v>
      </c>
      <c r="I133" s="45">
        <f t="shared" ca="1" si="69"/>
        <v>0.58004838104993706</v>
      </c>
      <c r="J133" s="45">
        <f t="shared" ca="1" si="70"/>
        <v>0.58005553451881342</v>
      </c>
      <c r="L133" s="58"/>
      <c r="M133" s="58"/>
      <c r="O133" s="58"/>
      <c r="P133" s="58"/>
      <c r="R133" s="59">
        <f t="shared" ca="1" si="72"/>
        <v>0.60799516331748693</v>
      </c>
      <c r="S133" s="59">
        <f t="shared" ca="1" si="73"/>
        <v>-0.95981996546163206</v>
      </c>
      <c r="T133" s="59">
        <f t="shared" ca="1" si="71"/>
        <v>-0.92125436609876854</v>
      </c>
      <c r="U133" s="59">
        <f t="shared" ca="1" si="74"/>
        <v>-3.0052299561381473</v>
      </c>
      <c r="V133" s="59"/>
      <c r="W133" s="104">
        <f t="shared" ca="1" si="75"/>
        <v>2.0847815674449183E-2</v>
      </c>
      <c r="Z133" s="59">
        <f t="shared" ca="1" si="76"/>
        <v>0.59206574626782316</v>
      </c>
      <c r="AA133" s="59">
        <f t="shared" ca="1" si="77"/>
        <v>-0.95564064994905995</v>
      </c>
      <c r="AB133" s="59">
        <f t="shared" ca="1" si="42"/>
        <v>-0.91324905183506178</v>
      </c>
      <c r="AC133" s="59">
        <f t="shared" ca="1" si="48"/>
        <v>-2.8250556221772132</v>
      </c>
      <c r="AD133" s="60">
        <f t="shared" ca="1" si="43"/>
        <v>5.930535804456194E-2</v>
      </c>
      <c r="AE133" s="60">
        <f t="shared" ca="1" si="49"/>
        <v>3.5112671068334017E-2</v>
      </c>
      <c r="AF133" s="60"/>
      <c r="AG133" s="96">
        <f t="shared" ca="1" si="50"/>
        <v>-2.3769962651115857</v>
      </c>
      <c r="AH133" s="96">
        <f t="shared" ca="1" si="51"/>
        <v>-2.3757529095604273</v>
      </c>
      <c r="AI133" s="96">
        <f t="shared" ca="1" si="52"/>
        <v>-2.3782402424960041</v>
      </c>
      <c r="AJ133" s="62"/>
      <c r="AK133" s="96">
        <f t="shared" ca="1" si="53"/>
        <v>1.4047552127264495E-2</v>
      </c>
      <c r="AL133" s="62"/>
      <c r="AM133" s="94"/>
      <c r="AN133" s="95"/>
      <c r="AX133" s="106">
        <f t="shared" ca="1" si="54"/>
        <v>0.61097999999999997</v>
      </c>
      <c r="AY133" s="106">
        <f t="shared" ca="1" si="55"/>
        <v>0.61096324000000002</v>
      </c>
      <c r="AZ133" s="106">
        <f t="shared" ca="1" si="56"/>
        <v>0.61099676000000003</v>
      </c>
      <c r="BB133" s="109">
        <f ca="1">_xll.EURO(UnderlyingPrice,$D133,IntRate,Yield,AX133,$D$6,1,0)</f>
        <v>2.996890023549879</v>
      </c>
      <c r="BC133" s="109">
        <f ca="1">_xll.EURO(UnderlyingPrice,$D133*(1+$P$8),IntRate,Yield,AY133,$D$6,1,0)</f>
        <v>2.9960752091999407</v>
      </c>
      <c r="BD133" s="109">
        <f ca="1">_xll.EURO(UnderlyingPrice,$D133*(1-$P$8),IntRate,Yield,AZ133,$D$6,1,0)</f>
        <v>2.9977048626117386</v>
      </c>
      <c r="BF133" s="59">
        <f t="shared" ca="1" si="57"/>
        <v>3.5189935973934397E-2</v>
      </c>
      <c r="BG133" s="62">
        <f t="shared" ca="1" si="58"/>
        <v>3.5827971688034539E-2</v>
      </c>
      <c r="BI133" s="96">
        <f t="shared" ca="1" si="59"/>
        <v>-2.374987783004713</v>
      </c>
      <c r="BJ133" s="96">
        <f t="shared" ca="1" si="60"/>
        <v>-2.3737453260130286</v>
      </c>
      <c r="BK133" s="96">
        <f t="shared" ca="1" si="61"/>
        <v>-2.3762308613802654</v>
      </c>
      <c r="BL133" s="62"/>
      <c r="BM133" s="96">
        <f t="shared" ca="1" si="62"/>
        <v>2.4158851787291491E-2</v>
      </c>
      <c r="BO133" s="58"/>
    </row>
    <row r="134" spans="3:67" x14ac:dyDescent="0.2">
      <c r="C134" s="97"/>
      <c r="D134" s="63">
        <f t="shared" ca="1" si="78"/>
        <v>1.5799999999999983</v>
      </c>
      <c r="E134" s="45">
        <f t="shared" ca="1" si="44"/>
        <v>-0.66560846560846598</v>
      </c>
      <c r="F134" s="45">
        <f t="shared" ca="1" si="66"/>
        <v>-0.66544126984127017</v>
      </c>
      <c r="G134" s="45">
        <f t="shared" ca="1" si="67"/>
        <v>-0.66577566137566169</v>
      </c>
      <c r="H134" s="45">
        <f t="shared" ca="1" si="68"/>
        <v>0.5809003084262796</v>
      </c>
      <c r="I134" s="45">
        <f t="shared" ca="1" si="69"/>
        <v>0.58090770795666413</v>
      </c>
      <c r="J134" s="45">
        <f t="shared" ca="1" si="70"/>
        <v>0.58091511292994302</v>
      </c>
      <c r="L134" s="58"/>
      <c r="M134" s="58"/>
      <c r="O134" s="58"/>
      <c r="P134" s="58"/>
      <c r="R134" s="59">
        <f t="shared" ca="1" si="72"/>
        <v>0.64493664159500508</v>
      </c>
      <c r="S134" s="59">
        <f t="shared" ca="1" si="73"/>
        <v>-1.0188051204826483</v>
      </c>
      <c r="T134" s="59">
        <f t="shared" ca="1" si="71"/>
        <v>-1.0379638735216634</v>
      </c>
      <c r="U134" s="59">
        <f t="shared" ca="1" si="74"/>
        <v>-3.385948811625024</v>
      </c>
      <c r="V134" s="59"/>
      <c r="W134" s="104">
        <f t="shared" ca="1" si="75"/>
        <v>1.4270585795523431E-2</v>
      </c>
      <c r="Z134" s="59">
        <f t="shared" ca="1" si="76"/>
        <v>0.62803936123093151</v>
      </c>
      <c r="AA134" s="59">
        <f t="shared" ca="1" si="77"/>
        <v>-1.014625804970076</v>
      </c>
      <c r="AB134" s="59">
        <f t="shared" ca="1" si="42"/>
        <v>-1.0294655241111748</v>
      </c>
      <c r="AC134" s="59">
        <f t="shared" ca="1" si="48"/>
        <v>-3.1845610579983843</v>
      </c>
      <c r="AD134" s="60">
        <f t="shared" ca="1" si="43"/>
        <v>4.1396412437763881E-2</v>
      </c>
      <c r="AE134" s="60">
        <f t="shared" ca="1" si="49"/>
        <v>2.5998576424665416E-2</v>
      </c>
      <c r="AF134" s="60"/>
      <c r="AG134" s="96">
        <f t="shared" ca="1" si="50"/>
        <v>-2.5237119716791714</v>
      </c>
      <c r="AH134" s="96">
        <f t="shared" ca="1" si="51"/>
        <v>-2.522468616128013</v>
      </c>
      <c r="AI134" s="96">
        <f t="shared" ca="1" si="52"/>
        <v>-2.5249559490635898</v>
      </c>
      <c r="AJ134" s="62"/>
      <c r="AK134" s="96">
        <f t="shared" ca="1" si="53"/>
        <v>9.0649406978959221E-3</v>
      </c>
      <c r="AL134" s="62"/>
      <c r="AM134" s="94"/>
      <c r="AN134" s="95"/>
      <c r="AX134" s="106">
        <f t="shared" ca="1" si="54"/>
        <v>0.6129</v>
      </c>
      <c r="AY134" s="106">
        <f t="shared" ca="1" si="55"/>
        <v>0.61288419999999999</v>
      </c>
      <c r="AZ134" s="106">
        <f t="shared" ca="1" si="56"/>
        <v>0.61291580000000001</v>
      </c>
      <c r="BB134" s="109">
        <f ca="1">_xll.EURO(UnderlyingPrice,$D134,IntRate,Yield,AX134,$D$6,1,0)</f>
        <v>3.0903846962326291</v>
      </c>
      <c r="BC134" s="109">
        <f ca="1">_xll.EURO(UnderlyingPrice,$D134*(1+$P$8),IntRate,Yield,AY134,$D$6,1,0)</f>
        <v>3.0896141940572797</v>
      </c>
      <c r="BD134" s="109">
        <f ca="1">_xll.EURO(UnderlyingPrice,$D134*(1-$P$8),IntRate,Yield,AZ134,$D$6,1,0)</f>
        <v>3.0911552153457347</v>
      </c>
      <c r="BF134" s="59">
        <f t="shared" ca="1" si="57"/>
        <v>2.7139490604994265E-2</v>
      </c>
      <c r="BG134" s="62">
        <f t="shared" ca="1" si="58"/>
        <v>2.7631562096152921E-2</v>
      </c>
      <c r="BI134" s="96">
        <f t="shared" ca="1" si="59"/>
        <v>-2.5215974597339392</v>
      </c>
      <c r="BJ134" s="96">
        <f t="shared" ca="1" si="60"/>
        <v>-2.5203550027422548</v>
      </c>
      <c r="BK134" s="96">
        <f t="shared" ca="1" si="61"/>
        <v>-2.5228405381094916</v>
      </c>
      <c r="BL134" s="62"/>
      <c r="BM134" s="96">
        <f t="shared" ca="1" si="62"/>
        <v>1.7564774449560915E-2</v>
      </c>
      <c r="BO134" s="58"/>
    </row>
    <row r="135" spans="3:67" x14ac:dyDescent="0.2">
      <c r="C135" s="97"/>
      <c r="D135" s="63">
        <f t="shared" ca="1" si="78"/>
        <v>1.4839999999999982</v>
      </c>
      <c r="E135" s="45">
        <f t="shared" ca="1" si="44"/>
        <v>-0.68592592592592627</v>
      </c>
      <c r="F135" s="45">
        <f t="shared" ca="1" si="66"/>
        <v>-0.68576888888888932</v>
      </c>
      <c r="G135" s="45">
        <f t="shared" ca="1" si="67"/>
        <v>-0.68608296296296334</v>
      </c>
      <c r="H135" s="45">
        <f t="shared" ca="1" si="68"/>
        <v>0.58183983802148775</v>
      </c>
      <c r="I135" s="45">
        <f t="shared" ca="1" si="69"/>
        <v>0.58184740934321</v>
      </c>
      <c r="J135" s="45">
        <f t="shared" ca="1" si="70"/>
        <v>0.58185498546650505</v>
      </c>
      <c r="L135" s="58"/>
      <c r="M135" s="58"/>
      <c r="O135" s="58"/>
      <c r="P135" s="58"/>
      <c r="R135" s="59">
        <f t="shared" ca="1" si="72"/>
        <v>0.68665761032352313</v>
      </c>
      <c r="S135" s="59">
        <f t="shared" ca="1" si="73"/>
        <v>-1.0814888227763351</v>
      </c>
      <c r="T135" s="59">
        <f t="shared" ca="1" si="71"/>
        <v>-1.1696180737901432</v>
      </c>
      <c r="U135" s="59">
        <f t="shared" ca="1" si="74"/>
        <v>-3.8154188484116154</v>
      </c>
      <c r="V135" s="59"/>
      <c r="W135" s="104">
        <f t="shared" ca="1" si="75"/>
        <v>9.2697827621097493E-3</v>
      </c>
      <c r="Z135" s="59">
        <f t="shared" ca="1" si="76"/>
        <v>0.66866724443724512</v>
      </c>
      <c r="AA135" s="59">
        <f t="shared" ca="1" si="77"/>
        <v>-1.0773095072637628</v>
      </c>
      <c r="AB135" s="59">
        <f t="shared" ca="1" si="42"/>
        <v>-1.1605957744408915</v>
      </c>
      <c r="AC135" s="59">
        <f t="shared" ca="1" si="48"/>
        <v>-3.5902009545710629</v>
      </c>
      <c r="AD135" s="60">
        <f t="shared" ca="1" si="43"/>
        <v>2.7592784969807799E-2</v>
      </c>
      <c r="AE135" s="60">
        <f t="shared" ca="1" si="49"/>
        <v>1.8450391492110814E-2</v>
      </c>
      <c r="AF135" s="60"/>
      <c r="AG135" s="96">
        <f t="shared" ca="1" si="50"/>
        <v>-2.6796271959252334</v>
      </c>
      <c r="AH135" s="96">
        <f t="shared" ca="1" si="51"/>
        <v>-2.678383840374075</v>
      </c>
      <c r="AI135" s="96">
        <f t="shared" ca="1" si="52"/>
        <v>-2.6808711733096517</v>
      </c>
      <c r="AJ135" s="62"/>
      <c r="AK135" s="96">
        <f t="shared" ca="1" si="53"/>
        <v>5.5305654591756006E-3</v>
      </c>
      <c r="AL135" s="62"/>
      <c r="AM135" s="94"/>
      <c r="AN135" s="95"/>
      <c r="AX135" s="106">
        <f t="shared" ca="1" si="54"/>
        <v>0.61482000000000003</v>
      </c>
      <c r="AY135" s="106">
        <f t="shared" ca="1" si="55"/>
        <v>0.61480516000000007</v>
      </c>
      <c r="AZ135" s="106">
        <f t="shared" ca="1" si="56"/>
        <v>0.61483483999999999</v>
      </c>
      <c r="BB135" s="109">
        <f ca="1">_xll.EURO(UnderlyingPrice,$D135,IntRate,Yield,AX135,$D$6,1,0)</f>
        <v>3.1841303566215533</v>
      </c>
      <c r="BC135" s="109">
        <f ca="1">_xll.EURO(UnderlyingPrice,$D135*(1+$P$8),IntRate,Yield,AY135,$D$6,1,0)</f>
        <v>3.1834049874953068</v>
      </c>
      <c r="BD135" s="109">
        <f ca="1">_xll.EURO(UnderlyingPrice,$D135*(1-$P$8),IntRate,Yield,AZ135,$D$6,1,0)</f>
        <v>3.1848557368801584</v>
      </c>
      <c r="BF135" s="59">
        <f t="shared" ca="1" si="57"/>
        <v>2.0219918183180627E-2</v>
      </c>
      <c r="BG135" s="62">
        <f t="shared" ca="1" si="58"/>
        <v>2.058652953327254E-2</v>
      </c>
      <c r="BI135" s="96">
        <f t="shared" ca="1" si="59"/>
        <v>-2.6774000057507137</v>
      </c>
      <c r="BJ135" s="96">
        <f t="shared" ca="1" si="60"/>
        <v>-2.6761575487590292</v>
      </c>
      <c r="BK135" s="96">
        <f t="shared" ca="1" si="61"/>
        <v>-2.6786430841262665</v>
      </c>
      <c r="BL135" s="62"/>
      <c r="BM135" s="96">
        <f t="shared" ca="1" si="62"/>
        <v>1.229127946842848E-2</v>
      </c>
      <c r="BO135" s="58"/>
    </row>
    <row r="136" spans="3:67" x14ac:dyDescent="0.2">
      <c r="D136" s="63">
        <f t="shared" ca="1" si="78"/>
        <v>1.3879999999999981</v>
      </c>
      <c r="E136" s="45">
        <f t="shared" ca="1" si="44"/>
        <v>-0.70624338624338656</v>
      </c>
      <c r="F136" s="45">
        <f t="shared" ca="1" si="66"/>
        <v>-0.70609650793650824</v>
      </c>
      <c r="G136" s="45">
        <f t="shared" ca="1" si="67"/>
        <v>-0.70639026455026488</v>
      </c>
      <c r="H136" s="45">
        <f t="shared" ca="1" si="68"/>
        <v>0.58285982249108781</v>
      </c>
      <c r="I136" s="45">
        <f t="shared" ca="1" si="69"/>
        <v>0.58286748520957421</v>
      </c>
      <c r="J136" s="45">
        <f t="shared" ca="1" si="70"/>
        <v>0.58287515212849939</v>
      </c>
      <c r="L136" s="58"/>
      <c r="M136" s="58"/>
      <c r="O136" s="58"/>
      <c r="P136" s="58"/>
      <c r="R136" s="59">
        <f t="shared" ca="1" si="72"/>
        <v>0.73414977933725389</v>
      </c>
      <c r="S136" s="59">
        <f t="shared" ca="1" si="73"/>
        <v>-1.1483661054369112</v>
      </c>
      <c r="T136" s="59">
        <f t="shared" ca="1" si="71"/>
        <v>-1.3187447121163391</v>
      </c>
      <c r="U136" s="59">
        <f t="shared" ca="1" si="74"/>
        <v>-4.3018858408600567</v>
      </c>
      <c r="V136" s="59"/>
      <c r="W136" s="104">
        <f t="shared" ca="1" si="75"/>
        <v>5.6628962964545325E-3</v>
      </c>
      <c r="Z136" s="59">
        <f t="shared" ca="1" si="76"/>
        <v>0.71491512301503735</v>
      </c>
      <c r="AA136" s="59">
        <f t="shared" ca="1" si="77"/>
        <v>-1.144186789924339</v>
      </c>
      <c r="AB136" s="59">
        <f t="shared" ca="1" si="42"/>
        <v>-1.3091634102373635</v>
      </c>
      <c r="AC136" s="59">
        <f t="shared" ca="1" si="48"/>
        <v>-4.0497818694781635</v>
      </c>
      <c r="AD136" s="60">
        <f t="shared" ca="1" si="43"/>
        <v>1.742617540568174E-2</v>
      </c>
      <c r="AE136" s="60">
        <f t="shared" ca="1" si="49"/>
        <v>1.2458236333834579E-2</v>
      </c>
      <c r="AF136" s="60"/>
      <c r="AG136" s="96">
        <f t="shared" ca="1" si="50"/>
        <v>-2.8459732498666126</v>
      </c>
      <c r="AH136" s="96">
        <f t="shared" ca="1" si="51"/>
        <v>-2.8447298943154538</v>
      </c>
      <c r="AI136" s="96">
        <f t="shared" ca="1" si="52"/>
        <v>-2.847217227251031</v>
      </c>
      <c r="AJ136" s="62"/>
      <c r="AK136" s="96">
        <f t="shared" ca="1" si="53"/>
        <v>3.1600514539300252E-3</v>
      </c>
      <c r="AL136" s="62"/>
      <c r="AM136" s="94"/>
      <c r="AN136" s="95"/>
      <c r="AX136" s="106">
        <f t="shared" ca="1" si="54"/>
        <v>0.61674000000000007</v>
      </c>
      <c r="AY136" s="106">
        <f t="shared" ca="1" si="55"/>
        <v>0.61672612000000004</v>
      </c>
      <c r="AZ136" s="106">
        <f t="shared" ca="1" si="56"/>
        <v>0.61675387999999998</v>
      </c>
      <c r="BB136" s="109">
        <f ca="1">_xll.EURO(UnderlyingPrice,$D136,IntRate,Yield,AX136,$D$6,1,0)</f>
        <v>3.2780632612552001</v>
      </c>
      <c r="BC136" s="109">
        <f ca="1">_xll.EURO(UnderlyingPrice,$D136*(1+$P$8),IntRate,Yield,AY136,$D$6,1,0)</f>
        <v>3.2773836655670805</v>
      </c>
      <c r="BD136" s="109">
        <f ca="1">_xll.EURO(UnderlyingPrice,$D136*(1-$P$8),IntRate,Yield,AZ136,$D$6,1,0)</f>
        <v>3.278742863910924</v>
      </c>
      <c r="BF136" s="59">
        <f t="shared" ca="1" si="57"/>
        <v>1.4466535456909478E-2</v>
      </c>
      <c r="BG136" s="62">
        <f t="shared" ca="1" si="58"/>
        <v>1.4728831082785044E-2</v>
      </c>
      <c r="BI136" s="96">
        <f t="shared" ca="1" si="59"/>
        <v>-2.8436258432161359</v>
      </c>
      <c r="BJ136" s="96">
        <f t="shared" ca="1" si="60"/>
        <v>-2.8423833862244505</v>
      </c>
      <c r="BK136" s="96">
        <f t="shared" ca="1" si="61"/>
        <v>-2.8448689215916882</v>
      </c>
      <c r="BL136" s="62"/>
      <c r="BM136" s="96">
        <f t="shared" ca="1" si="62"/>
        <v>8.2250358664682534E-3</v>
      </c>
      <c r="BO136" s="58"/>
    </row>
    <row r="137" spans="3:67" x14ac:dyDescent="0.2">
      <c r="D137" s="63">
        <f t="shared" ca="1" si="78"/>
        <v>1.291999999999998</v>
      </c>
      <c r="E137" s="45">
        <f t="shared" ca="1" si="44"/>
        <v>-0.72656084656084696</v>
      </c>
      <c r="F137" s="45">
        <f t="shared" ca="1" si="66"/>
        <v>-0.72642412698412739</v>
      </c>
      <c r="G137" s="45">
        <f t="shared" ca="1" si="67"/>
        <v>-0.72669756613756653</v>
      </c>
      <c r="H137" s="45">
        <f t="shared" ca="1" si="68"/>
        <v>0.5839602618350801</v>
      </c>
      <c r="I137" s="45">
        <f t="shared" ca="1" si="69"/>
        <v>0.5839679355557571</v>
      </c>
      <c r="J137" s="45">
        <f t="shared" ca="1" si="70"/>
        <v>0.58397561291592615</v>
      </c>
      <c r="L137" s="58"/>
      <c r="M137" s="58"/>
      <c r="O137" s="58"/>
      <c r="P137" s="58"/>
      <c r="R137" s="59">
        <f t="shared" ca="1" si="72"/>
        <v>0.78869960814249884</v>
      </c>
      <c r="S137" s="59">
        <f t="shared" ca="1" si="73"/>
        <v>-1.2200385621611141</v>
      </c>
      <c r="T137" s="59">
        <f t="shared" ca="1" si="71"/>
        <v>-1.4884940931601587</v>
      </c>
      <c r="U137" s="59">
        <f t="shared" ca="1" si="74"/>
        <v>-4.8556264186215126</v>
      </c>
      <c r="V137" s="59"/>
      <c r="W137" s="104">
        <f t="shared" ca="1" si="75"/>
        <v>3.2171791914732996E-3</v>
      </c>
      <c r="Z137" s="59">
        <f t="shared" ca="1" si="76"/>
        <v>0.76803575135052027</v>
      </c>
      <c r="AA137" s="59">
        <f t="shared" ca="1" si="77"/>
        <v>-1.2158592466485418</v>
      </c>
      <c r="AB137" s="59">
        <f t="shared" ca="1" si="42"/>
        <v>-1.4783137076607598</v>
      </c>
      <c r="AC137" s="59">
        <f t="shared" ca="1" si="48"/>
        <v>-4.5730334378961262</v>
      </c>
      <c r="AD137" s="60">
        <f t="shared" ca="1" si="43"/>
        <v>1.0326587097583894E-2</v>
      </c>
      <c r="AE137" s="60">
        <f t="shared" ca="1" si="49"/>
        <v>7.9311880803794345E-3</v>
      </c>
      <c r="AF137" s="60"/>
      <c r="AG137" s="96">
        <f t="shared" ca="1" si="50"/>
        <v>-3.0242464971943432</v>
      </c>
      <c r="AH137" s="96">
        <f t="shared" ca="1" si="51"/>
        <v>-3.0230031416431848</v>
      </c>
      <c r="AI137" s="96">
        <f t="shared" ca="1" si="52"/>
        <v>-3.0254904745787616</v>
      </c>
      <c r="AJ137" s="62"/>
      <c r="AK137" s="96">
        <f t="shared" ca="1" si="53"/>
        <v>1.6711054060881551E-3</v>
      </c>
      <c r="AL137" s="62"/>
      <c r="AM137" s="94"/>
      <c r="AN137" s="95"/>
      <c r="AX137" s="106">
        <f t="shared" ca="1" si="54"/>
        <v>0.61865999999999999</v>
      </c>
      <c r="AY137" s="106">
        <f t="shared" ca="1" si="55"/>
        <v>0.61864708000000002</v>
      </c>
      <c r="AZ137" s="106">
        <f t="shared" ca="1" si="56"/>
        <v>0.61867292000000007</v>
      </c>
      <c r="BB137" s="109">
        <f ca="1">_xll.EURO(UnderlyingPrice,$D137,IntRate,Yield,AX137,$D$6,1,0)</f>
        <v>3.3721303764524082</v>
      </c>
      <c r="BC137" s="109">
        <f ca="1">_xll.EURO(UnderlyingPrice,$D137*(1+$P$8),IntRate,Yield,AY137,$D$6,1,0)</f>
        <v>3.3714970346628066</v>
      </c>
      <c r="BD137" s="109">
        <f ca="1">_xll.EURO(UnderlyingPrice,$D137*(1-$P$8),IntRate,Yield,AZ137,$D$6,1,0)</f>
        <v>3.3727637223590614</v>
      </c>
      <c r="BF137" s="59">
        <f t="shared" ca="1" si="57"/>
        <v>9.865549340396575E-3</v>
      </c>
      <c r="BG137" s="62">
        <f t="shared" ca="1" si="58"/>
        <v>1.0044423573730008E-2</v>
      </c>
      <c r="BI137" s="96">
        <f t="shared" ca="1" si="59"/>
        <v>-3.0217702544155456</v>
      </c>
      <c r="BJ137" s="96">
        <f t="shared" ca="1" si="60"/>
        <v>-3.0205277974238611</v>
      </c>
      <c r="BK137" s="96">
        <f t="shared" ca="1" si="61"/>
        <v>-3.023013332791098</v>
      </c>
      <c r="BL137" s="62"/>
      <c r="BM137" s="96">
        <f t="shared" ca="1" si="62"/>
        <v>5.2211670082514643E-3</v>
      </c>
      <c r="BO137" s="58"/>
    </row>
    <row r="138" spans="3:67" x14ac:dyDescent="0.2">
      <c r="D138" s="63">
        <f t="shared" ca="1" si="78"/>
        <v>1.195999999999998</v>
      </c>
      <c r="E138" s="45">
        <f t="shared" ca="1" si="44"/>
        <v>-0.74687830687830736</v>
      </c>
      <c r="F138" s="45">
        <f t="shared" ca="1" si="66"/>
        <v>-0.74675174603174654</v>
      </c>
      <c r="G138" s="45">
        <f t="shared" ca="1" si="67"/>
        <v>-0.74700486772486818</v>
      </c>
      <c r="H138" s="45">
        <f t="shared" ca="1" si="68"/>
        <v>0.58514115605346428</v>
      </c>
      <c r="I138" s="45">
        <f t="shared" ca="1" si="69"/>
        <v>0.58514876038175867</v>
      </c>
      <c r="J138" s="45">
        <f t="shared" ca="1" si="70"/>
        <v>0.58515636782878533</v>
      </c>
      <c r="L138" s="58"/>
      <c r="M138" s="58"/>
      <c r="O138" s="58"/>
      <c r="P138" s="58"/>
      <c r="R138" s="59">
        <f t="shared" ca="1" si="72"/>
        <v>0.85200660010042539</v>
      </c>
      <c r="S138" s="59">
        <f t="shared" ca="1" si="73"/>
        <v>-1.2972473119930843</v>
      </c>
      <c r="T138" s="59">
        <f t="shared" ca="1" si="71"/>
        <v>-1.6828505884732825</v>
      </c>
      <c r="U138" s="59">
        <f t="shared" ca="1" si="74"/>
        <v>-5.4896380264670732</v>
      </c>
      <c r="V138" s="59"/>
      <c r="W138" s="104">
        <f t="shared" ca="1" si="75"/>
        <v>1.6757408243460367E-3</v>
      </c>
      <c r="Z138" s="59">
        <f t="shared" ca="1" si="76"/>
        <v>0.82968410597397346</v>
      </c>
      <c r="AA138" s="59">
        <f t="shared" ca="1" si="77"/>
        <v>-1.2930679964805121</v>
      </c>
      <c r="AB138" s="59">
        <f t="shared" ca="1" si="42"/>
        <v>-1.6720248435221257</v>
      </c>
      <c r="AC138" s="59">
        <f t="shared" ca="1" si="48"/>
        <v>-5.1722617999117944</v>
      </c>
      <c r="AD138" s="60">
        <f t="shared" ca="1" si="43"/>
        <v>5.6717259913941619E-3</v>
      </c>
      <c r="AE138" s="60">
        <f t="shared" ca="1" si="49"/>
        <v>4.7057409084992133E-3</v>
      </c>
      <c r="AF138" s="60"/>
      <c r="AG138" s="96">
        <f t="shared" ca="1" si="50"/>
        <v>-3.2162903475624818</v>
      </c>
      <c r="AH138" s="96">
        <f t="shared" ca="1" si="51"/>
        <v>-3.2150469920113234</v>
      </c>
      <c r="AI138" s="96">
        <f t="shared" ca="1" si="52"/>
        <v>-3.2175343249469002</v>
      </c>
      <c r="AJ138" s="62"/>
      <c r="AK138" s="96">
        <f t="shared" ca="1" si="53"/>
        <v>8.0575704090578564E-4</v>
      </c>
      <c r="AL138" s="62"/>
      <c r="AM138" s="94"/>
      <c r="AX138" s="106">
        <f t="shared" ca="1" si="54"/>
        <v>0.62058000000000002</v>
      </c>
      <c r="AY138" s="106">
        <f t="shared" ca="1" si="55"/>
        <v>0.62056803999999999</v>
      </c>
      <c r="AZ138" s="106">
        <f t="shared" ca="1" si="56"/>
        <v>0.62059196000000005</v>
      </c>
      <c r="BB138" s="109">
        <f ca="1">_xll.EURO(UnderlyingPrice,$D138,IntRate,Yield,AX138,$D$6,1,0)</f>
        <v>3.4662892498883844</v>
      </c>
      <c r="BC138" s="109">
        <f ca="1">_xll.EURO(UnderlyingPrice,$D138*(1+$P$8),IntRate,Yield,AY138,$D$6,1,0)</f>
        <v>3.4657025062340665</v>
      </c>
      <c r="BD138" s="109">
        <f ca="1">_xll.EURO(UnderlyingPrice,$D138*(1-$P$8),IntRate,Yield,AZ138,$D$6,1,0)</f>
        <v>3.466875995814366</v>
      </c>
      <c r="BF138" s="59">
        <f t="shared" ca="1" si="57"/>
        <v>6.3524561973600626E-3</v>
      </c>
      <c r="BG138" s="62">
        <f t="shared" ca="1" si="58"/>
        <v>6.4676338415926259E-3</v>
      </c>
      <c r="BI138" s="96">
        <f t="shared" ca="1" si="59"/>
        <v>-3.2136753167909808</v>
      </c>
      <c r="BJ138" s="96">
        <f t="shared" ca="1" si="60"/>
        <v>-3.2124328597992964</v>
      </c>
      <c r="BK138" s="96">
        <f t="shared" ca="1" si="61"/>
        <v>-3.2149183951665332</v>
      </c>
      <c r="BL138" s="62"/>
      <c r="BM138" s="96">
        <f t="shared" ca="1" si="62"/>
        <v>3.1121223123628593E-3</v>
      </c>
      <c r="BO138" s="58"/>
    </row>
    <row r="139" spans="3:67" x14ac:dyDescent="0.2">
      <c r="C139" s="52"/>
      <c r="D139" s="110">
        <f t="shared" ca="1" si="78"/>
        <v>1.0999999999999979</v>
      </c>
      <c r="E139" s="111">
        <f t="shared" ca="1" si="44"/>
        <v>-0.76719576719576765</v>
      </c>
      <c r="F139" s="111">
        <f t="shared" ca="1" si="66"/>
        <v>-0.76707936507936558</v>
      </c>
      <c r="G139" s="111">
        <f t="shared" ca="1" si="67"/>
        <v>-0.76731216931216972</v>
      </c>
      <c r="H139" s="111">
        <f t="shared" ca="1" si="68"/>
        <v>0.58640250514624048</v>
      </c>
      <c r="I139" s="111">
        <f t="shared" ca="1" si="69"/>
        <v>0.58640995968757881</v>
      </c>
      <c r="J139" s="111">
        <f t="shared" ca="1" si="70"/>
        <v>0.58641741686707693</v>
      </c>
      <c r="K139" s="52"/>
      <c r="L139" s="112"/>
      <c r="M139" s="112"/>
      <c r="N139" s="52"/>
      <c r="O139" s="112"/>
      <c r="P139" s="112"/>
      <c r="Q139" s="52"/>
      <c r="R139" s="113">
        <f t="shared" ca="1" si="72"/>
        <v>0.92636353974555352</v>
      </c>
      <c r="S139" s="113">
        <f t="shared" ca="1" si="73"/>
        <v>-1.3809197877171997</v>
      </c>
      <c r="T139" s="113">
        <f t="shared" ca="1" si="71"/>
        <v>-1.9069394601089158</v>
      </c>
      <c r="U139" s="113">
        <f t="shared" ca="1" si="74"/>
        <v>-6.2206398156128966</v>
      </c>
      <c r="V139" s="113"/>
      <c r="W139" s="115">
        <f t="shared" ca="1" si="75"/>
        <v>7.857457543060766E-4</v>
      </c>
      <c r="Z139" s="59">
        <f t="shared" ca="1" si="76"/>
        <v>0.90209290067715675</v>
      </c>
      <c r="AA139" s="59">
        <f t="shared" ca="1" si="77"/>
        <v>-1.3767404722046275</v>
      </c>
      <c r="AB139" s="59">
        <f t="shared" ca="1" si="42"/>
        <v>-1.8954143278062205</v>
      </c>
      <c r="AC139" s="59">
        <f t="shared" ca="1" si="48"/>
        <v>-5.8632975225812647</v>
      </c>
      <c r="AD139" s="60">
        <f t="shared" ca="1" si="43"/>
        <v>2.8418571269465663E-3</v>
      </c>
      <c r="AE139" s="60">
        <f t="shared" ca="1" si="49"/>
        <v>2.5636191389572789E-3</v>
      </c>
      <c r="AF139" s="60"/>
      <c r="AG139" s="96">
        <f t="shared" ca="1" si="50"/>
        <v>-3.4244116348889091</v>
      </c>
      <c r="AH139" s="96">
        <f t="shared" ca="1" si="51"/>
        <v>-3.4231682793377507</v>
      </c>
      <c r="AI139" s="96">
        <f t="shared" ca="1" si="52"/>
        <v>-3.425655612273327</v>
      </c>
      <c r="AJ139" s="62"/>
      <c r="AK139" s="96">
        <f t="shared" ca="1" si="53"/>
        <v>3.4748879708634915E-4</v>
      </c>
      <c r="AL139" s="62"/>
      <c r="AM139" s="94"/>
      <c r="AX139" s="106">
        <f t="shared" ca="1" si="54"/>
        <v>0.62250000000000005</v>
      </c>
      <c r="AY139" s="106">
        <f t="shared" ca="1" si="55"/>
        <v>0.62248900000000007</v>
      </c>
      <c r="AZ139" s="106">
        <f t="shared" ca="1" si="56"/>
        <v>0.62251100000000004</v>
      </c>
      <c r="BB139" s="109">
        <f ca="1">_xll.EURO(UnderlyingPrice,$D139,IntRate,Yield,AX139,$D$6,1,0)</f>
        <v>3.5605074185631107</v>
      </c>
      <c r="BC139" s="109">
        <f ca="1">_xll.EURO(UnderlyingPrice,$D139*(1+$P$8),IntRate,Yield,AY139,$D$6,1,0)</f>
        <v>3.5599675064825602</v>
      </c>
      <c r="BD139" s="109">
        <f ca="1">_xll.EURO(UnderlyingPrice,$D139*(1-$P$8),IntRate,Yield,AZ139,$D$6,1,0)</f>
        <v>3.5610473317977727</v>
      </c>
      <c r="BF139" s="59">
        <f t="shared" ca="1" si="57"/>
        <v>3.8152445390288361E-3</v>
      </c>
      <c r="BG139" s="62">
        <f t="shared" ca="1" si="58"/>
        <v>3.8844194950653859E-3</v>
      </c>
      <c r="BI139" s="96">
        <f t="shared" ca="1" si="59"/>
        <v>-3.4216461971366514</v>
      </c>
      <c r="BJ139" s="96">
        <f t="shared" ca="1" si="60"/>
        <v>-3.420403740144967</v>
      </c>
      <c r="BK139" s="96">
        <f t="shared" ca="1" si="61"/>
        <v>-3.4228892755122033</v>
      </c>
      <c r="BL139" s="62"/>
      <c r="BM139" s="96">
        <f t="shared" ca="1" si="62"/>
        <v>1.7190909857471917E-3</v>
      </c>
      <c r="BO139" s="58"/>
    </row>
    <row r="140" spans="3:67" x14ac:dyDescent="0.2">
      <c r="C140" s="97" t="s">
        <v>95</v>
      </c>
      <c r="D140" s="63">
        <f ca="1">MaxStrike</f>
        <v>5.9000000000000021</v>
      </c>
      <c r="E140" s="45">
        <f t="shared" ca="1" si="44"/>
        <v>0.24867724867724927</v>
      </c>
      <c r="F140" s="45">
        <f t="shared" ca="1" si="66"/>
        <v>0.2493015873015878</v>
      </c>
      <c r="G140" s="45">
        <f t="shared" ca="1" si="67"/>
        <v>0.24805291005291075</v>
      </c>
      <c r="H140" s="45">
        <f t="shared" ca="1" si="68"/>
        <v>0.62189227163766903</v>
      </c>
      <c r="I140" s="45">
        <f t="shared" ca="1" si="69"/>
        <v>0.6218087321743514</v>
      </c>
      <c r="J140" s="45">
        <f t="shared" ca="1" si="70"/>
        <v>0.6217252686071828</v>
      </c>
      <c r="L140" s="58"/>
      <c r="M140" s="58"/>
      <c r="O140" s="58"/>
      <c r="P140" s="58"/>
      <c r="R140" s="59">
        <f ca="1">(1/($D140*SQRT(2*PI()*T/365.25*$I$140^2)))</f>
        <v>0.16081928032050419</v>
      </c>
      <c r="S140" s="59">
        <f ca="1">LN($D140/UnderlyingPrice)+0.5*T/365.25*$I$140^2</f>
        <v>0.31047616382111098</v>
      </c>
      <c r="T140" s="59">
        <f t="shared" ca="1" si="71"/>
        <v>-9.6395448301073342E-2</v>
      </c>
      <c r="U140" s="59">
        <f ca="1">T140/(2*T/365.25*$I$140^2)</f>
        <v>-0.27263816619438386</v>
      </c>
      <c r="V140" s="59"/>
      <c r="W140" s="104">
        <f ca="1">(Alpha2*R140)*EXP(Gamma2^2*U140)</f>
        <v>0.12457777948124969</v>
      </c>
      <c r="Z140" s="59">
        <f t="shared" ca="1" si="76"/>
        <v>0.16818681199065597</v>
      </c>
      <c r="AA140" s="59">
        <f t="shared" ca="1" si="77"/>
        <v>0.30290169890272384</v>
      </c>
      <c r="AB140" s="59">
        <f t="shared" ca="1" si="42"/>
        <v>-9.1749439198156368E-2</v>
      </c>
      <c r="AC140" s="59">
        <f t="shared" ca="1" si="48"/>
        <v>-0.28381882085454452</v>
      </c>
      <c r="AD140" s="60">
        <f t="shared" ca="1" si="43"/>
        <v>0.7529030426794725</v>
      </c>
      <c r="AE140" s="60">
        <f t="shared" ca="1" si="49"/>
        <v>0.12662836248632525</v>
      </c>
      <c r="AF140" s="60"/>
      <c r="AG140" s="96">
        <f t="shared" ca="1" si="50"/>
        <v>0.75341730913822857</v>
      </c>
      <c r="AH140" s="96">
        <f t="shared" ca="1" si="51"/>
        <v>0.7546606646893872</v>
      </c>
      <c r="AI140" s="96">
        <f t="shared" ca="1" si="52"/>
        <v>0.75217333175381029</v>
      </c>
      <c r="AJ140" s="62"/>
      <c r="AK140" s="96">
        <f t="shared" ca="1" si="53"/>
        <v>0.2955008106982262</v>
      </c>
      <c r="AL140" s="62"/>
      <c r="AM140" s="94"/>
      <c r="AX140" s="106">
        <f t="shared" ca="1" si="54"/>
        <v>0.61539291149999997</v>
      </c>
      <c r="AY140" s="106">
        <f t="shared" ca="1" si="55"/>
        <v>0.61542020661100005</v>
      </c>
      <c r="AZ140" s="106">
        <f t="shared" ca="1" si="56"/>
        <v>0.615365616389</v>
      </c>
      <c r="BB140" s="109">
        <f ca="1">_xll.EURO(UnderlyingPrice,$D140,IntRate,Yield,AX140,$D$6,1,0)</f>
        <v>0.40029718907701284</v>
      </c>
      <c r="BC140" s="109">
        <f ca="1">_xll.EURO(UnderlyingPrice,$D140*(1+$P$8),IntRate,Yield,AY140,$D$6,1,0)</f>
        <v>0.39966625765946961</v>
      </c>
      <c r="BD140" s="109">
        <f ca="1">_xll.EURO(UnderlyingPrice,$D140*(1-$P$8),IntRate,Yield,AZ140,$D$6,1,0)</f>
        <v>0.40092915030410636</v>
      </c>
      <c r="BF140" s="59">
        <f t="shared" ca="1" si="57"/>
        <v>0.11833490954339643</v>
      </c>
      <c r="BG140" s="62">
        <f t="shared" ca="1" si="58"/>
        <v>0.12048046327698154</v>
      </c>
      <c r="BI140" s="96">
        <f t="shared" ca="1" si="59"/>
        <v>0.75316347555278607</v>
      </c>
      <c r="BJ140" s="96">
        <f t="shared" ca="1" si="60"/>
        <v>0.75440593254447053</v>
      </c>
      <c r="BK140" s="96">
        <f t="shared" ca="1" si="61"/>
        <v>0.75192039717723358</v>
      </c>
      <c r="BL140" s="62"/>
      <c r="BM140" s="96">
        <f t="shared" ca="1" si="62"/>
        <v>0.28598858125458632</v>
      </c>
      <c r="BO140" s="58"/>
    </row>
    <row r="141" spans="3:67" x14ac:dyDescent="0.2">
      <c r="C141" s="56">
        <v>8</v>
      </c>
      <c r="D141" s="63">
        <f ca="1">+D140+UTFactor*(ROUNDUP(MAX(StrikeRange),1)-ROUNDDOWN(MIN(StrikeRange),1))/100</f>
        <v>6.0920000000000023</v>
      </c>
      <c r="E141" s="45">
        <f t="shared" ca="1" si="44"/>
        <v>0.28931216931216985</v>
      </c>
      <c r="F141" s="45">
        <f t="shared" ca="1" si="66"/>
        <v>0.28995682539682588</v>
      </c>
      <c r="G141" s="45">
        <f t="shared" ca="1" si="67"/>
        <v>0.28866751322751383</v>
      </c>
      <c r="H141" s="45">
        <f t="shared" ca="1" si="68"/>
        <v>0.62749551576571183</v>
      </c>
      <c r="I141" s="45">
        <f t="shared" ca="1" si="69"/>
        <v>0.62740415602438915</v>
      </c>
      <c r="J141" s="45">
        <f t="shared" ca="1" si="70"/>
        <v>0.62731287719927153</v>
      </c>
      <c r="L141" s="58"/>
      <c r="M141" s="58"/>
      <c r="O141" s="58"/>
      <c r="P141" s="58"/>
      <c r="R141" s="59">
        <f t="shared" ref="R141:R164" ca="1" si="79">(1/($D141*SQRT(2*PI()*T/365.25*$I$140^2)))</f>
        <v>0.15575078034979886</v>
      </c>
      <c r="S141" s="59">
        <f t="shared" ref="S141:S164" ca="1" si="80">LN($D141/UnderlyingPrice)+0.5*T/365.25*$I$140^2</f>
        <v>0.34250024794235251</v>
      </c>
      <c r="T141" s="59">
        <f t="shared" ca="1" si="71"/>
        <v>-0.11730641984057294</v>
      </c>
      <c r="U141" s="59">
        <f t="shared" ref="U141:U164" ca="1" si="81">T141/(2*T/365.25*$I$140^2)</f>
        <v>-0.33178130038123571</v>
      </c>
      <c r="V141" s="59"/>
      <c r="W141" s="104">
        <f t="shared" ref="W141:W164" ca="1" si="82">(Alpha2*R141)*EXP(Gamma2^2*U141)</f>
        <v>0.11271464781940581</v>
      </c>
      <c r="Z141" s="59">
        <f t="shared" ca="1" si="76"/>
        <v>0.16288611141576992</v>
      </c>
      <c r="AA141" s="59">
        <f t="shared" ca="1" si="77"/>
        <v>0.33492578302396536</v>
      </c>
      <c r="AB141" s="59">
        <f t="shared" ca="1" si="42"/>
        <v>-0.11217528013421632</v>
      </c>
      <c r="AC141" s="59">
        <f t="shared" ca="1" si="48"/>
        <v>-0.34700436335049811</v>
      </c>
      <c r="AD141" s="60">
        <f t="shared" ca="1" si="43"/>
        <v>0.70680224422509674</v>
      </c>
      <c r="AE141" s="60">
        <f t="shared" ca="1" si="49"/>
        <v>0.11512826910176532</v>
      </c>
      <c r="AF141" s="60"/>
      <c r="AG141" s="96">
        <f t="shared" ca="1" si="50"/>
        <v>0.83307186166680502</v>
      </c>
      <c r="AH141" s="96">
        <f t="shared" ca="1" si="51"/>
        <v>0.83431521721796376</v>
      </c>
      <c r="AI141" s="96">
        <f t="shared" ca="1" si="52"/>
        <v>0.83182788428238685</v>
      </c>
      <c r="AJ141" s="62"/>
      <c r="AK141" s="96">
        <f t="shared" ca="1" si="53"/>
        <v>0.27606181090371795</v>
      </c>
      <c r="AL141" s="62"/>
      <c r="AM141" s="94"/>
      <c r="AX141" s="106">
        <f t="shared" ca="1" si="54"/>
        <v>0.61716940685999999</v>
      </c>
      <c r="AY141" s="106">
        <f t="shared" ca="1" si="55"/>
        <v>0.61719759021868004</v>
      </c>
      <c r="AZ141" s="106">
        <f t="shared" ca="1" si="56"/>
        <v>0.61714122350131995</v>
      </c>
      <c r="BB141" s="109">
        <f ca="1">_xll.EURO(UnderlyingPrice,$D141,IntRate,Yield,AX141,$D$6,1,0)</f>
        <v>0.36131003340626333</v>
      </c>
      <c r="BC141" s="109">
        <f ca="1">_xll.EURO(UnderlyingPrice,$D141*(1+$P$8),IntRate,Yield,AY141,$D$6,1,0)</f>
        <v>0.36072439177659121</v>
      </c>
      <c r="BD141" s="109">
        <f ca="1">_xll.EURO(UnderlyingPrice,$D141*(1-$P$8),IntRate,Yield,AZ141,$D$6,1,0)</f>
        <v>0.36189666800151832</v>
      </c>
      <c r="BF141" s="59">
        <f t="shared" ca="1" si="57"/>
        <v>0.10702232898024509</v>
      </c>
      <c r="BG141" s="62">
        <f t="shared" ca="1" si="58"/>
        <v>0.10896277207017142</v>
      </c>
      <c r="BI141" s="96">
        <f t="shared" ca="1" si="59"/>
        <v>0.83276046260642589</v>
      </c>
      <c r="BJ141" s="96">
        <f t="shared" ca="1" si="60"/>
        <v>0.83400291959811046</v>
      </c>
      <c r="BK141" s="96">
        <f t="shared" ca="1" si="61"/>
        <v>0.83151738423087362</v>
      </c>
      <c r="BL141" s="62"/>
      <c r="BM141" s="96">
        <f t="shared" ca="1" si="62"/>
        <v>0.26706568580813683</v>
      </c>
      <c r="BO141" s="58"/>
    </row>
    <row r="142" spans="3:67" x14ac:dyDescent="0.2">
      <c r="C142" s="56"/>
      <c r="D142" s="63">
        <f t="shared" ref="D142:D164" ca="1" si="83">+D141+UTFactor*(ROUNDUP(MAX(StrikeRange),1)-ROUNDDOWN(MIN(StrikeRange),1))/100</f>
        <v>6.2840000000000025</v>
      </c>
      <c r="E142" s="45">
        <f t="shared" ca="1" si="44"/>
        <v>0.32994708994709065</v>
      </c>
      <c r="F142" s="45">
        <f t="shared" ca="1" si="66"/>
        <v>0.33061206349206396</v>
      </c>
      <c r="G142" s="45">
        <f t="shared" ca="1" si="67"/>
        <v>0.32928211640211713</v>
      </c>
      <c r="H142" s="45">
        <f t="shared" ca="1" si="68"/>
        <v>0.6334205793913229</v>
      </c>
      <c r="I142" s="45">
        <f t="shared" ca="1" si="69"/>
        <v>0.63332107779370128</v>
      </c>
      <c r="J142" s="45">
        <f t="shared" ca="1" si="70"/>
        <v>0.63322166229309007</v>
      </c>
      <c r="L142" s="58"/>
      <c r="M142" s="58"/>
      <c r="O142" s="58"/>
      <c r="P142" s="58"/>
      <c r="R142" s="59">
        <f t="shared" ca="1" si="79"/>
        <v>0.15099200412014238</v>
      </c>
      <c r="S142" s="59">
        <f t="shared" ca="1" si="80"/>
        <v>0.37353053330281194</v>
      </c>
      <c r="T142" s="59">
        <f t="shared" ca="1" si="71"/>
        <v>-0.13952505930948311</v>
      </c>
      <c r="U142" s="59">
        <f t="shared" ca="1" si="81"/>
        <v>-0.39462295138137304</v>
      </c>
      <c r="V142" s="59"/>
      <c r="W142" s="104">
        <f t="shared" ca="1" si="82"/>
        <v>0.10164913241350294</v>
      </c>
      <c r="Z142" s="59">
        <f t="shared" ca="1" si="76"/>
        <v>0.15790932379771963</v>
      </c>
      <c r="AA142" s="59">
        <f t="shared" ca="1" si="77"/>
        <v>0.36595606838442485</v>
      </c>
      <c r="AB142" s="59">
        <f t="shared" ca="1" si="42"/>
        <v>-0.13392384398738583</v>
      </c>
      <c r="AC142" s="59">
        <f t="shared" ref="AC142:AC164" ca="1" si="84">AB142/(2*T/365.25*ATMImpVol^2)</f>
        <v>-0.41428163285788899</v>
      </c>
      <c r="AD142" s="60">
        <f t="shared" ca="1" si="43"/>
        <v>0.66081481789080754</v>
      </c>
      <c r="AE142" s="60">
        <f t="shared" ref="AE142:AE164" ca="1" si="85">AD142*Z142</f>
        <v>0.10434882104865066</v>
      </c>
      <c r="AF142" s="60"/>
      <c r="AG142" s="96">
        <f t="shared" ref="AG142:AG164" ca="1" si="86">(LN($D142/UnderlyingPrice)+0.5*ATMImpVol^2*(T/365.25))/(ATMImpVol*SQRT(T/365.25))</f>
        <v>0.91025450601234503</v>
      </c>
      <c r="AH142" s="96">
        <f t="shared" ref="AH142:AH164" ca="1" si="87">(LN(($D142*(1+$P$8))/UnderlyingPrice)+0.5*ATMImpVol^2*(T/365.25))/(ATMImpVol*SQRT(T/365.25))</f>
        <v>0.9114978615635031</v>
      </c>
      <c r="AI142" s="96">
        <f t="shared" ref="AI142:AI164" ca="1" si="88">(LN($D142*(1-$P$8)/UnderlyingPrice)+0.5*ATMImpVol^2*(T/365.25))/(ATMImpVol*SQRT(T/365.25))</f>
        <v>0.90901052862792653</v>
      </c>
      <c r="AJ142" s="62"/>
      <c r="AK142" s="96">
        <f ca="1">W142/(AH142-AI142)*(D142*2*$P$8)</f>
        <v>0.25680645278730491</v>
      </c>
      <c r="AL142" s="62"/>
      <c r="AM142" s="94"/>
      <c r="AX142" s="106">
        <f t="shared" ref="AX142:AX164" ca="1" si="89">VLOOKUP(E142,ENAVolTable,4)+VLOOKUP(E142,ENAVolTable,5)*(E142-VLOOKUP(E142,ENAVolTable,1))</f>
        <v>0.61941480000000004</v>
      </c>
      <c r="AY142" s="106">
        <f t="shared" ref="AY142:AY164" ca="1" si="90">VLOOKUP(F142,ENAVolTable,4)+VLOOKUP(F142,ENAVolTable,5)*(F142-VLOOKUP(F142,ENAVolTable,1))</f>
        <v>0.6194688424</v>
      </c>
      <c r="AZ142" s="106">
        <f t="shared" ref="AZ142:AZ164" ca="1" si="91">VLOOKUP(G142,ENAVolTable,4)+VLOOKUP(G142,ENAVolTable,5)*(G142-VLOOKUP(G142,ENAVolTable,1))</f>
        <v>0.61936075759999998</v>
      </c>
      <c r="BB142" s="109">
        <f ca="1">_xll.EURO(UnderlyingPrice,$D142,IntRate,Yield,AX142,$D$6,1,0)</f>
        <v>0.32679597529538174</v>
      </c>
      <c r="BC142" s="109">
        <f ca="1">_xll.EURO(UnderlyingPrice,$D142*(1+$P$8),IntRate,Yield,AY142,$D$6,1,0)</f>
        <v>0.3262808781563229</v>
      </c>
      <c r="BD142" s="109">
        <f ca="1">_xll.EURO(UnderlyingPrice,$D142*(1-$P$8),IntRate,Yield,AZ142,$D$6,1,0)</f>
        <v>0.3273119954136019</v>
      </c>
      <c r="BF142" s="59">
        <f t="shared" ref="BF142:BF164" ca="1" si="92">(BC142+BD142-2*BB142)/($P$8*$D142)^2</f>
        <v>9.3493094454457012E-2</v>
      </c>
      <c r="BG142" s="62">
        <f t="shared" ref="BG142:BG164" ca="1" si="93">+BF142/$D$9</f>
        <v>9.5188236307737623E-2</v>
      </c>
      <c r="BI142" s="96">
        <f t="shared" ref="BI142:BI164" ca="1" si="94">(LN($D142/UnderlyingPrice)+0.5*ENAVol^2*(T/365.25))/(ENAVol*SQRT(T/365.25))</f>
        <v>0.90988732789806881</v>
      </c>
      <c r="BJ142" s="96">
        <f t="shared" ref="BJ142:BJ164" ca="1" si="95">(LN(($D142*(1+$P$8))/UnderlyingPrice)+0.5*ENAVol^2*(T/365.25))/(ENAVol*SQRT(T/365.25))</f>
        <v>0.91112978488975316</v>
      </c>
      <c r="BK142" s="96">
        <f t="shared" ref="BK142:BK164" ca="1" si="96">(LN($D142*(1-$P$8)/UnderlyingPrice)+0.5*ENAVol^2*(T/365.25))/(ENAVol*SQRT(T/365.25))</f>
        <v>0.90864424952251666</v>
      </c>
      <c r="BL142" s="62"/>
      <c r="BM142" s="96">
        <f t="shared" ref="BM142:BM164" ca="1" si="97">BG142/(BJ142-BK142)*(D142*2*$P$8)</f>
        <v>0.24065756007442374</v>
      </c>
      <c r="BO142" s="58"/>
    </row>
    <row r="143" spans="3:67" x14ac:dyDescent="0.2">
      <c r="C143" s="56"/>
      <c r="D143" s="63">
        <f t="shared" ca="1" si="83"/>
        <v>6.4760000000000026</v>
      </c>
      <c r="E143" s="45">
        <f t="shared" ca="1" si="44"/>
        <v>0.37058201058201123</v>
      </c>
      <c r="F143" s="45">
        <f t="shared" ca="1" si="66"/>
        <v>0.37126730158730226</v>
      </c>
      <c r="G143" s="45">
        <f t="shared" ca="1" si="67"/>
        <v>0.36989671957672021</v>
      </c>
      <c r="H143" s="45">
        <f t="shared" ca="1" si="68"/>
        <v>0.63966746251450202</v>
      </c>
      <c r="I143" s="45">
        <f t="shared" ca="1" si="69"/>
        <v>0.63955949748228791</v>
      </c>
      <c r="J143" s="45">
        <f t="shared" ca="1" si="70"/>
        <v>0.63945162388863797</v>
      </c>
      <c r="L143" s="58"/>
      <c r="M143" s="58"/>
      <c r="O143" s="58"/>
      <c r="P143" s="58"/>
      <c r="R143" s="59">
        <f t="shared" ca="1" si="79"/>
        <v>0.14651540362738955</v>
      </c>
      <c r="S143" s="59">
        <f t="shared" ca="1" si="80"/>
        <v>0.4036268487248259</v>
      </c>
      <c r="T143" s="59">
        <f t="shared" ca="1" si="71"/>
        <v>-0.1629146330115335</v>
      </c>
      <c r="U143" s="59">
        <f t="shared" ca="1" si="81"/>
        <v>-0.46077639114004676</v>
      </c>
      <c r="V143" s="59"/>
      <c r="W143" s="104">
        <f t="shared" ca="1" si="82"/>
        <v>9.1406650315416324E-2</v>
      </c>
      <c r="Z143" s="59">
        <f t="shared" ca="1" si="76"/>
        <v>0.15322763908969583</v>
      </c>
      <c r="AA143" s="59">
        <f t="shared" ca="1" si="77"/>
        <v>0.39605238380643881</v>
      </c>
      <c r="AB143" s="59">
        <f t="shared" ca="1" si="42"/>
        <v>-0.1568574907187627</v>
      </c>
      <c r="AC143" s="59">
        <f t="shared" ca="1" si="84"/>
        <v>-0.48522485202172727</v>
      </c>
      <c r="AD143" s="60">
        <f t="shared" ca="1" si="43"/>
        <v>0.61555877156799665</v>
      </c>
      <c r="AE143" s="60">
        <f t="shared" ca="1" si="85"/>
        <v>9.4320617288317518E-2</v>
      </c>
      <c r="AF143" s="60"/>
      <c r="AG143" s="96">
        <f t="shared" ca="1" si="86"/>
        <v>0.98511405636274163</v>
      </c>
      <c r="AH143" s="96">
        <f t="shared" ca="1" si="87"/>
        <v>0.98635741191390025</v>
      </c>
      <c r="AI143" s="96">
        <f t="shared" ca="1" si="88"/>
        <v>0.9838700789783229</v>
      </c>
      <c r="AJ143" s="62"/>
      <c r="AK143" s="96">
        <f t="shared" ref="AK143:AK164" ca="1" si="98">W143/(AH143-AI143)*(D143*2*$P$8)</f>
        <v>0.23798561864225712</v>
      </c>
      <c r="AL143" s="62"/>
      <c r="AM143" s="94"/>
      <c r="AX143" s="106">
        <f t="shared" ca="1" si="89"/>
        <v>0.62271720000000008</v>
      </c>
      <c r="AY143" s="106">
        <f t="shared" ca="1" si="90"/>
        <v>0.62277289359999999</v>
      </c>
      <c r="AZ143" s="106">
        <f t="shared" ca="1" si="91"/>
        <v>0.62266150640000006</v>
      </c>
      <c r="BB143" s="109">
        <f ca="1">_xll.EURO(UnderlyingPrice,$D143,IntRate,Yield,AX143,$D$6,1,0)</f>
        <v>0.29695258493753784</v>
      </c>
      <c r="BC143" s="109">
        <f ca="1">_xll.EURO(UnderlyingPrice,$D143*(1+$P$8),IntRate,Yield,AY143,$D$6,1,0)</f>
        <v>0.29647671852787627</v>
      </c>
      <c r="BD143" s="109">
        <f ca="1">_xll.EURO(UnderlyingPrice,$D143*(1-$P$8),IntRate,Yield,AZ143,$D$6,1,0)</f>
        <v>0.29742932812229483</v>
      </c>
      <c r="BF143" s="59">
        <f t="shared" ca="1" si="92"/>
        <v>8.3624689156377885E-2</v>
      </c>
      <c r="BG143" s="62">
        <f t="shared" ca="1" si="93"/>
        <v>8.5140904994389435E-2</v>
      </c>
      <c r="BI143" s="96">
        <f t="shared" ca="1" si="94"/>
        <v>0.98469277806922062</v>
      </c>
      <c r="BJ143" s="96">
        <f t="shared" ca="1" si="95"/>
        <v>0.98593523506090541</v>
      </c>
      <c r="BK143" s="96">
        <f t="shared" ca="1" si="96"/>
        <v>0.98344969969366813</v>
      </c>
      <c r="BL143" s="62"/>
      <c r="BM143" s="96">
        <f t="shared" ca="1" si="97"/>
        <v>0.22183249050144371</v>
      </c>
      <c r="BO143" s="58"/>
    </row>
    <row r="144" spans="3:67" x14ac:dyDescent="0.2">
      <c r="C144" s="56"/>
      <c r="D144" s="63">
        <f t="shared" ca="1" si="83"/>
        <v>6.6680000000000028</v>
      </c>
      <c r="E144" s="45">
        <f t="shared" ca="1" si="44"/>
        <v>0.41121693121693181</v>
      </c>
      <c r="F144" s="45">
        <f t="shared" ca="1" si="66"/>
        <v>0.41192253968254033</v>
      </c>
      <c r="G144" s="45">
        <f t="shared" ca="1" si="67"/>
        <v>0.41051132275132352</v>
      </c>
      <c r="H144" s="45">
        <f t="shared" ca="1" si="68"/>
        <v>0.64623616513524917</v>
      </c>
      <c r="I144" s="45">
        <f t="shared" ca="1" si="69"/>
        <v>0.64611941509014881</v>
      </c>
      <c r="J144" s="45">
        <f t="shared" ca="1" si="70"/>
        <v>0.64600276198591544</v>
      </c>
      <c r="L144" s="58"/>
      <c r="M144" s="58"/>
      <c r="O144" s="58"/>
      <c r="P144" s="58"/>
      <c r="R144" s="59">
        <f t="shared" ca="1" si="79"/>
        <v>0.14229660376289363</v>
      </c>
      <c r="S144" s="59">
        <f t="shared" ca="1" si="80"/>
        <v>0.43284377779798472</v>
      </c>
      <c r="T144" s="59">
        <f t="shared" ca="1" si="71"/>
        <v>-0.18735373597843116</v>
      </c>
      <c r="U144" s="59">
        <f t="shared" ca="1" si="81"/>
        <v>-0.52989824630814508</v>
      </c>
      <c r="V144" s="59"/>
      <c r="W144" s="104">
        <f t="shared" ca="1" si="82"/>
        <v>8.1988054605615396E-2</v>
      </c>
      <c r="Z144" s="59">
        <f t="shared" ca="1" si="76"/>
        <v>0.14881556549863081</v>
      </c>
      <c r="AA144" s="59">
        <f t="shared" ca="1" si="77"/>
        <v>0.42526931287959757</v>
      </c>
      <c r="AB144" s="59">
        <f t="shared" ref="AB144:AB164" ca="1" si="99">-(AA144^2)</f>
        <v>-0.18085398847708506</v>
      </c>
      <c r="AC144" s="59">
        <f t="shared" ca="1" si="84"/>
        <v>-0.55945590736034811</v>
      </c>
      <c r="AD144" s="60">
        <f t="shared" ref="AD144:AD164" ca="1" si="100">EXP(AC144)</f>
        <v>0.57151993906094567</v>
      </c>
      <c r="AE144" s="60">
        <f t="shared" ca="1" si="85"/>
        <v>8.5051062925097648E-2</v>
      </c>
      <c r="AF144" s="60"/>
      <c r="AG144" s="96">
        <f t="shared" ca="1" si="86"/>
        <v>1.057786280266811</v>
      </c>
      <c r="AH144" s="96">
        <f t="shared" ca="1" si="87"/>
        <v>1.0590296358179696</v>
      </c>
      <c r="AI144" s="96">
        <f t="shared" ca="1" si="88"/>
        <v>1.0565423028823928</v>
      </c>
      <c r="AJ144" s="62"/>
      <c r="AK144" s="96">
        <f t="shared" ca="1" si="98"/>
        <v>0.21979218796597066</v>
      </c>
      <c r="AL144" s="62"/>
      <c r="AM144" s="94"/>
      <c r="AX144" s="106">
        <f t="shared" ca="1" si="89"/>
        <v>0.62601960000000001</v>
      </c>
      <c r="AY144" s="106">
        <f t="shared" ca="1" si="90"/>
        <v>0.62607694480000009</v>
      </c>
      <c r="AZ144" s="106">
        <f t="shared" ca="1" si="91"/>
        <v>0.62596225520000004</v>
      </c>
      <c r="BB144" s="109">
        <f ca="1">_xll.EURO(UnderlyingPrice,$D144,IntRate,Yield,AX144,$D$6,1,0)</f>
        <v>0.27019485701314172</v>
      </c>
      <c r="BC144" s="109">
        <f ca="1">_xll.EURO(UnderlyingPrice,$D144*(1+$P$8),IntRate,Yield,AY144,$D$6,1,0)</f>
        <v>0.26975547302347369</v>
      </c>
      <c r="BD144" s="109">
        <f ca="1">_xll.EURO(UnderlyingPrice,$D144*(1-$P$8),IntRate,Yield,AZ144,$D$6,1,0)</f>
        <v>0.27063507141381904</v>
      </c>
      <c r="BF144" s="59">
        <f t="shared" ca="1" si="92"/>
        <v>7.4707105005757446E-2</v>
      </c>
      <c r="BG144" s="62">
        <f t="shared" ca="1" si="93"/>
        <v>7.6061634355455876E-2</v>
      </c>
      <c r="BI144" s="96">
        <f t="shared" ca="1" si="94"/>
        <v>1.057312482550973</v>
      </c>
      <c r="BJ144" s="96">
        <f t="shared" ca="1" si="95"/>
        <v>1.0585549395426577</v>
      </c>
      <c r="BK144" s="96">
        <f t="shared" ca="1" si="96"/>
        <v>1.0560694041754208</v>
      </c>
      <c r="BL144" s="62"/>
      <c r="BM144" s="96">
        <f t="shared" ca="1" si="97"/>
        <v>0.20405220724982476</v>
      </c>
      <c r="BO144" s="58"/>
    </row>
    <row r="145" spans="3:67" x14ac:dyDescent="0.2">
      <c r="C145" s="56"/>
      <c r="D145" s="63">
        <f t="shared" ca="1" si="83"/>
        <v>6.860000000000003</v>
      </c>
      <c r="E145" s="45">
        <f t="shared" ca="1" si="44"/>
        <v>0.45185185185185262</v>
      </c>
      <c r="F145" s="45">
        <f t="shared" ca="1" si="66"/>
        <v>0.45257777777777841</v>
      </c>
      <c r="G145" s="45">
        <f t="shared" ca="1" si="67"/>
        <v>0.4511259259259266</v>
      </c>
      <c r="H145" s="45">
        <f t="shared" ca="1" si="68"/>
        <v>0.6531266872535646</v>
      </c>
      <c r="I145" s="45">
        <f t="shared" ca="1" si="69"/>
        <v>0.6530008306172842</v>
      </c>
      <c r="J145" s="45">
        <f t="shared" ca="1" si="70"/>
        <v>0.65287507658492272</v>
      </c>
      <c r="L145" s="58"/>
      <c r="M145" s="58"/>
      <c r="O145" s="58"/>
      <c r="P145" s="58"/>
      <c r="R145" s="59">
        <f t="shared" ca="1" si="79"/>
        <v>0.138313958293145</v>
      </c>
      <c r="S145" s="59">
        <f t="shared" ca="1" si="80"/>
        <v>0.46123125464723108</v>
      </c>
      <c r="T145" s="59">
        <f t="shared" ca="1" si="71"/>
        <v>-0.21273427026345892</v>
      </c>
      <c r="U145" s="59">
        <f t="shared" ca="1" si="81"/>
        <v>-0.60168278018874133</v>
      </c>
      <c r="V145" s="59"/>
      <c r="W145" s="104">
        <f t="shared" ca="1" si="82"/>
        <v>7.3375846055533683E-2</v>
      </c>
      <c r="Z145" s="59">
        <f t="shared" ca="1" si="76"/>
        <v>0.14465046512315893</v>
      </c>
      <c r="AA145" s="59">
        <f t="shared" ca="1" si="77"/>
        <v>0.45365678972884393</v>
      </c>
      <c r="AB145" s="59">
        <f t="shared" ca="1" si="99"/>
        <v>-0.20580448286708053</v>
      </c>
      <c r="AC145" s="59">
        <f t="shared" ca="1" si="84"/>
        <v>-0.63663806737565132</v>
      </c>
      <c r="AD145" s="60">
        <f t="shared" ca="1" si="100"/>
        <v>0.52906812887350596</v>
      </c>
      <c r="AE145" s="60">
        <f t="shared" ca="1" si="85"/>
        <v>7.6529950923392029E-2</v>
      </c>
      <c r="AF145" s="60"/>
      <c r="AG145" s="96">
        <f t="shared" ca="1" si="86"/>
        <v>1.1283953805077824</v>
      </c>
      <c r="AH145" s="96">
        <f t="shared" ca="1" si="87"/>
        <v>1.1296387360589408</v>
      </c>
      <c r="AI145" s="96">
        <f t="shared" ca="1" si="88"/>
        <v>1.1271514031233638</v>
      </c>
      <c r="AJ145" s="62"/>
      <c r="AK145" s="96">
        <f t="shared" ca="1" si="98"/>
        <v>0.20236868846196168</v>
      </c>
      <c r="AL145" s="62"/>
      <c r="AM145" s="94"/>
      <c r="AX145" s="106">
        <f t="shared" ca="1" si="89"/>
        <v>0.62916000000000005</v>
      </c>
      <c r="AY145" s="106">
        <f t="shared" ca="1" si="90"/>
        <v>0.62921488000000003</v>
      </c>
      <c r="AZ145" s="106">
        <f t="shared" ca="1" si="91"/>
        <v>0.62910512000000007</v>
      </c>
      <c r="BB145" s="109">
        <f ca="1">_xll.EURO(UnderlyingPrice,$D145,IntRate,Yield,AX145,$D$6,1,0)</f>
        <v>0.24603113835953594</v>
      </c>
      <c r="BC145" s="109">
        <f ca="1">_xll.EURO(UnderlyingPrice,$D145*(1+$P$8),IntRate,Yield,AY145,$D$6,1,0)</f>
        <v>0.24562156163138826</v>
      </c>
      <c r="BD145" s="109">
        <f ca="1">_xll.EURO(UnderlyingPrice,$D145*(1-$P$8),IntRate,Yield,AZ145,$D$6,1,0)</f>
        <v>0.24644150552273858</v>
      </c>
      <c r="BF145" s="59">
        <f t="shared" ca="1" si="92"/>
        <v>6.7185871105133743E-2</v>
      </c>
      <c r="BG145" s="62">
        <f t="shared" ca="1" si="93"/>
        <v>6.8404031470067517E-2</v>
      </c>
      <c r="BI145" s="96">
        <f t="shared" ca="1" si="94"/>
        <v>1.1278705543665601</v>
      </c>
      <c r="BJ145" s="96">
        <f t="shared" ca="1" si="95"/>
        <v>1.1291130113582446</v>
      </c>
      <c r="BK145" s="96">
        <f t="shared" ca="1" si="96"/>
        <v>1.1266274759910075</v>
      </c>
      <c r="BL145" s="62"/>
      <c r="BM145" s="96">
        <f t="shared" ca="1" si="97"/>
        <v>0.18879299086630486</v>
      </c>
      <c r="BO145" s="58"/>
    </row>
    <row r="146" spans="3:67" x14ac:dyDescent="0.2">
      <c r="C146" s="56"/>
      <c r="D146" s="63">
        <f t="shared" ca="1" si="83"/>
        <v>7.0520000000000032</v>
      </c>
      <c r="E146" s="45">
        <f t="shared" ca="1" si="44"/>
        <v>0.49248677248677319</v>
      </c>
      <c r="F146" s="45">
        <f t="shared" ca="1" si="66"/>
        <v>0.49323301587301671</v>
      </c>
      <c r="G146" s="45">
        <f t="shared" ca="1" si="67"/>
        <v>0.4917405291005299</v>
      </c>
      <c r="H146" s="45">
        <f t="shared" ca="1" si="68"/>
        <v>0.66033902886944817</v>
      </c>
      <c r="I146" s="45">
        <f t="shared" ca="1" si="69"/>
        <v>0.66020374406369386</v>
      </c>
      <c r="J146" s="45">
        <f t="shared" ca="1" si="70"/>
        <v>0.66006856768565936</v>
      </c>
      <c r="L146" s="58"/>
      <c r="M146" s="58"/>
      <c r="O146" s="58"/>
      <c r="P146" s="58"/>
      <c r="R146" s="59">
        <f t="shared" ca="1" si="79"/>
        <v>0.13454817837364927</v>
      </c>
      <c r="S146" s="59">
        <f t="shared" ca="1" si="80"/>
        <v>0.48883507744506099</v>
      </c>
      <c r="T146" s="59">
        <f t="shared" ca="1" si="71"/>
        <v>-0.23895973294071879</v>
      </c>
      <c r="U146" s="59">
        <f t="shared" ca="1" si="81"/>
        <v>-0.6758570506334981</v>
      </c>
      <c r="V146" s="59"/>
      <c r="W146" s="104">
        <f t="shared" ca="1" si="82"/>
        <v>6.5539316391537525E-2</v>
      </c>
      <c r="Z146" s="59">
        <f t="shared" ca="1" si="76"/>
        <v>0.14071216544879042</v>
      </c>
      <c r="AA146" s="59">
        <f t="shared" ca="1" si="77"/>
        <v>0.48126061252667385</v>
      </c>
      <c r="AB146" s="59">
        <f t="shared" ca="1" si="99"/>
        <v>-0.23161177716954931</v>
      </c>
      <c r="AC146" s="59">
        <f t="shared" ca="1" si="84"/>
        <v>-0.71647066256518221</v>
      </c>
      <c r="AD146" s="60">
        <f t="shared" ca="1" si="100"/>
        <v>0.48847320403527028</v>
      </c>
      <c r="AE146" s="60">
        <f t="shared" ca="1" si="85"/>
        <v>6.873412230351171E-2</v>
      </c>
      <c r="AF146" s="60"/>
      <c r="AG146" s="96">
        <f t="shared" ca="1" si="86"/>
        <v>1.1970552723790011</v>
      </c>
      <c r="AH146" s="96">
        <f t="shared" ca="1" si="87"/>
        <v>1.1982986279301602</v>
      </c>
      <c r="AI146" s="96">
        <f t="shared" ca="1" si="88"/>
        <v>1.1958112949945829</v>
      </c>
      <c r="AJ146" s="62"/>
      <c r="AK146" s="96">
        <f t="shared" ca="1" si="98"/>
        <v>0.18581479486816826</v>
      </c>
      <c r="AL146" s="62"/>
      <c r="AM146" s="94"/>
      <c r="AX146" s="106">
        <f t="shared" ca="1" si="89"/>
        <v>0.63223200000000002</v>
      </c>
      <c r="AY146" s="106">
        <f t="shared" ca="1" si="90"/>
        <v>0.63228841600000008</v>
      </c>
      <c r="AZ146" s="106">
        <f t="shared" ca="1" si="91"/>
        <v>0.63217558400000007</v>
      </c>
      <c r="BB146" s="109">
        <f ca="1">_xll.EURO(UnderlyingPrice,$D146,IntRate,Yield,AX146,$D$6,1,0)</f>
        <v>0.22427522370263697</v>
      </c>
      <c r="BC146" s="109">
        <f ca="1">_xll.EURO(UnderlyingPrice,$D146*(1+$P$8),IntRate,Yield,AY146,$D$6,1,0)</f>
        <v>0.22389715374910102</v>
      </c>
      <c r="BD146" s="109">
        <f ca="1">_xll.EURO(UnderlyingPrice,$D146*(1-$P$8),IntRate,Yield,AZ146,$D$6,1,0)</f>
        <v>0.22465403946102613</v>
      </c>
      <c r="BF146" s="59">
        <f t="shared" ca="1" si="92"/>
        <v>5.9987476003420144E-2</v>
      </c>
      <c r="BG146" s="62">
        <f t="shared" ca="1" si="93"/>
        <v>6.1075120837933546E-2</v>
      </c>
      <c r="BI146" s="96">
        <f t="shared" ca="1" si="94"/>
        <v>1.1964808264839897</v>
      </c>
      <c r="BJ146" s="96">
        <f t="shared" ca="1" si="95"/>
        <v>1.1977232834756746</v>
      </c>
      <c r="BK146" s="96">
        <f t="shared" ca="1" si="96"/>
        <v>1.1952377481084373</v>
      </c>
      <c r="BL146" s="62"/>
      <c r="BM146" s="96">
        <f t="shared" ca="1" si="97"/>
        <v>0.17328329253582134</v>
      </c>
      <c r="BO146" s="58"/>
    </row>
    <row r="147" spans="3:67" x14ac:dyDescent="0.2">
      <c r="C147" s="56"/>
      <c r="D147" s="63">
        <f t="shared" ca="1" si="83"/>
        <v>7.2440000000000033</v>
      </c>
      <c r="E147" s="45">
        <f t="shared" ref="E147:E164" ca="1" si="101">+D147/UnderlyingPrice-1</f>
        <v>0.533121693121694</v>
      </c>
      <c r="F147" s="45">
        <f t="shared" ca="1" si="66"/>
        <v>0.53388825396825479</v>
      </c>
      <c r="G147" s="45">
        <f t="shared" ca="1" si="67"/>
        <v>0.53235513227513298</v>
      </c>
      <c r="H147" s="45">
        <f t="shared" ca="1" si="68"/>
        <v>0.6678731899828998</v>
      </c>
      <c r="I147" s="45">
        <f t="shared" ca="1" si="69"/>
        <v>0.66772815542937791</v>
      </c>
      <c r="J147" s="45">
        <f t="shared" ca="1" si="70"/>
        <v>0.66758323528812558</v>
      </c>
      <c r="L147" s="58"/>
      <c r="M147" s="58"/>
      <c r="O147" s="58"/>
      <c r="P147" s="58"/>
      <c r="R147" s="59">
        <f t="shared" ca="1" si="79"/>
        <v>0.13098202013956028</v>
      </c>
      <c r="S147" s="59">
        <f t="shared" ca="1" si="80"/>
        <v>0.51569735293060415</v>
      </c>
      <c r="T147" s="59">
        <f t="shared" ca="1" si="71"/>
        <v>-0.26594375981963209</v>
      </c>
      <c r="U147" s="59">
        <f t="shared" ca="1" si="81"/>
        <v>-0.75217679118627856</v>
      </c>
      <c r="V147" s="59"/>
      <c r="W147" s="104">
        <f t="shared" ca="1" si="82"/>
        <v>5.8438721307347022E-2</v>
      </c>
      <c r="Z147" s="59">
        <f t="shared" ca="1" si="76"/>
        <v>0.13698263262629351</v>
      </c>
      <c r="AA147" s="59">
        <f t="shared" ca="1" si="77"/>
        <v>0.50812288801221706</v>
      </c>
      <c r="AB147" s="59">
        <f t="shared" ca="1" si="99"/>
        <v>-0.25818886932187607</v>
      </c>
      <c r="AC147" s="59">
        <f t="shared" ca="1" si="84"/>
        <v>-0.79868455970001639</v>
      </c>
      <c r="AD147" s="60">
        <f t="shared" ca="1" si="100"/>
        <v>0.4499204184707305</v>
      </c>
      <c r="AE147" s="60">
        <f t="shared" ca="1" si="85"/>
        <v>6.1631283394444319E-2</v>
      </c>
      <c r="AF147" s="60"/>
      <c r="AG147" s="96">
        <f t="shared" ca="1" si="86"/>
        <v>1.2638706893507869</v>
      </c>
      <c r="AH147" s="96">
        <f t="shared" ca="1" si="87"/>
        <v>1.2651140449019456</v>
      </c>
      <c r="AI147" s="96">
        <f t="shared" ca="1" si="88"/>
        <v>1.2626267119663681</v>
      </c>
      <c r="AJ147" s="62"/>
      <c r="AK147" s="96">
        <f t="shared" ca="1" si="98"/>
        <v>0.17019438415152977</v>
      </c>
      <c r="AL147" s="62"/>
      <c r="AM147" s="94"/>
      <c r="AX147" s="106">
        <f t="shared" ca="1" si="89"/>
        <v>0.6352508</v>
      </c>
      <c r="AY147" s="106">
        <f t="shared" ca="1" si="90"/>
        <v>0.63529861040000002</v>
      </c>
      <c r="AZ147" s="106">
        <f t="shared" ca="1" si="91"/>
        <v>0.6352029896000001</v>
      </c>
      <c r="BB147" s="109">
        <f ca="1">_xll.EURO(UnderlyingPrice,$D147,IntRate,Yield,AX147,$D$6,1,0)</f>
        <v>0.20468385616372153</v>
      </c>
      <c r="BC147" s="109">
        <f ca="1">_xll.EURO(UnderlyingPrice,$D147*(1+$P$8),IntRate,Yield,AY147,$D$6,1,0)</f>
        <v>0.20432557584498889</v>
      </c>
      <c r="BD147" s="109">
        <f ca="1">_xll.EURO(UnderlyingPrice,$D147*(1-$P$8),IntRate,Yield,AZ147,$D$6,1,0)</f>
        <v>0.20504285438262593</v>
      </c>
      <c r="BF147" s="59">
        <f t="shared" ca="1" si="92"/>
        <v>5.4722655658353381E-2</v>
      </c>
      <c r="BG147" s="62">
        <f t="shared" ca="1" si="93"/>
        <v>5.5714842990160281E-2</v>
      </c>
      <c r="BI147" s="96">
        <f t="shared" ca="1" si="94"/>
        <v>1.2632479566838462</v>
      </c>
      <c r="BJ147" s="96">
        <f t="shared" ca="1" si="95"/>
        <v>1.2644904136755306</v>
      </c>
      <c r="BK147" s="96">
        <f t="shared" ca="1" si="96"/>
        <v>1.2620048783082933</v>
      </c>
      <c r="BL147" s="62"/>
      <c r="BM147" s="96">
        <f t="shared" ca="1" si="97"/>
        <v>0.16237882910084223</v>
      </c>
      <c r="BO147" s="58"/>
    </row>
    <row r="148" spans="3:67" x14ac:dyDescent="0.2">
      <c r="C148" s="56"/>
      <c r="D148" s="63">
        <f t="shared" ca="1" si="83"/>
        <v>7.4360000000000035</v>
      </c>
      <c r="E148" s="45">
        <f t="shared" ca="1" si="101"/>
        <v>0.57375661375661458</v>
      </c>
      <c r="F148" s="45">
        <f t="shared" ca="1" si="66"/>
        <v>0.57454349206349287</v>
      </c>
      <c r="G148" s="45">
        <f t="shared" ca="1" si="67"/>
        <v>0.57296973544973651</v>
      </c>
      <c r="H148" s="45">
        <f t="shared" ca="1" si="68"/>
        <v>0.67572917059391957</v>
      </c>
      <c r="I148" s="45">
        <f t="shared" ca="1" si="69"/>
        <v>0.67557406471433634</v>
      </c>
      <c r="J148" s="45">
        <f t="shared" ca="1" si="70"/>
        <v>0.6754190793923216</v>
      </c>
      <c r="L148" s="58"/>
      <c r="M148" s="58"/>
      <c r="O148" s="58"/>
      <c r="P148" s="58"/>
      <c r="R148" s="59">
        <f t="shared" ca="1" si="79"/>
        <v>0.12760002069539736</v>
      </c>
      <c r="S148" s="59">
        <f t="shared" ca="1" si="80"/>
        <v>0.54185688276863475</v>
      </c>
      <c r="T148" s="59">
        <f t="shared" ca="1" si="71"/>
        <v>-0.29360888140374197</v>
      </c>
      <c r="U148" s="59">
        <f t="shared" ca="1" si="81"/>
        <v>-0.83042289252374601</v>
      </c>
      <c r="V148" s="59"/>
      <c r="W148" s="104">
        <f t="shared" ca="1" si="82"/>
        <v>5.2028600766178913E-2</v>
      </c>
      <c r="Z148" s="59">
        <f t="shared" ca="1" si="76"/>
        <v>0.13344569536644299</v>
      </c>
      <c r="AA148" s="59">
        <f t="shared" ca="1" si="77"/>
        <v>0.53428241785024766</v>
      </c>
      <c r="AB148" s="59">
        <f t="shared" ca="1" si="99"/>
        <v>-0.28545770202390663</v>
      </c>
      <c r="AC148" s="59">
        <f t="shared" ca="1" si="84"/>
        <v>-0.8830382953872169</v>
      </c>
      <c r="AD148" s="60">
        <f t="shared" ca="1" si="100"/>
        <v>0.41352459121694241</v>
      </c>
      <c r="AE148" s="60">
        <f t="shared" ca="1" si="85"/>
        <v>5.5183076626068965E-2</v>
      </c>
      <c r="AF148" s="60"/>
      <c r="AG148" s="96">
        <f t="shared" ca="1" si="86"/>
        <v>1.3289381440738446</v>
      </c>
      <c r="AH148" s="96">
        <f t="shared" ca="1" si="87"/>
        <v>1.3301814996250032</v>
      </c>
      <c r="AI148" s="96">
        <f t="shared" ca="1" si="88"/>
        <v>1.3276941666894266</v>
      </c>
      <c r="AJ148" s="62"/>
      <c r="AK148" s="96">
        <f t="shared" ca="1" si="98"/>
        <v>0.1555419742020285</v>
      </c>
      <c r="AL148" s="62"/>
      <c r="AM148" s="94"/>
      <c r="AX148" s="106">
        <f t="shared" ca="1" si="89"/>
        <v>0.63778520000000005</v>
      </c>
      <c r="AY148" s="106">
        <f t="shared" ca="1" si="90"/>
        <v>0.6378342776</v>
      </c>
      <c r="AZ148" s="106">
        <f t="shared" ca="1" si="91"/>
        <v>0.63773612239999999</v>
      </c>
      <c r="BB148" s="109">
        <f ca="1">_xll.EURO(UnderlyingPrice,$D148,IntRate,Yield,AX148,$D$6,1,0)</f>
        <v>0.18664471198143184</v>
      </c>
      <c r="BC148" s="109">
        <f ca="1">_xll.EURO(UnderlyingPrice,$D148*(1+$P$8),IntRate,Yield,AY148,$D$6,1,0)</f>
        <v>0.18631386468566569</v>
      </c>
      <c r="BD148" s="109">
        <f ca="1">_xll.EURO(UnderlyingPrice,$D148*(1-$P$8),IntRate,Yield,AZ148,$D$6,1,0)</f>
        <v>0.18697623568585953</v>
      </c>
      <c r="BF148" s="59">
        <f t="shared" ca="1" si="92"/>
        <v>4.89317095645289E-2</v>
      </c>
      <c r="BG148" s="62">
        <f t="shared" ca="1" si="93"/>
        <v>4.9818900103246279E-2</v>
      </c>
      <c r="BI148" s="96">
        <f t="shared" ca="1" si="94"/>
        <v>1.3282683878681965</v>
      </c>
      <c r="BJ148" s="96">
        <f t="shared" ca="1" si="95"/>
        <v>1.3295108448598809</v>
      </c>
      <c r="BK148" s="96">
        <f t="shared" ca="1" si="96"/>
        <v>1.3270253094926443</v>
      </c>
      <c r="BL148" s="62"/>
      <c r="BM148" s="96">
        <f t="shared" ca="1" si="97"/>
        <v>0.14904368131345674</v>
      </c>
      <c r="BO148" s="58"/>
    </row>
    <row r="149" spans="3:67" x14ac:dyDescent="0.2">
      <c r="C149" s="56"/>
      <c r="D149" s="63">
        <f t="shared" ca="1" si="83"/>
        <v>7.6280000000000037</v>
      </c>
      <c r="E149" s="45">
        <f t="shared" ca="1" si="101"/>
        <v>0.61439153439153538</v>
      </c>
      <c r="F149" s="45">
        <f t="shared" ca="1" si="66"/>
        <v>0.61519873015873094</v>
      </c>
      <c r="G149" s="45">
        <f t="shared" ca="1" si="67"/>
        <v>0.61358433862433959</v>
      </c>
      <c r="H149" s="45">
        <f t="shared" ca="1" si="68"/>
        <v>0.68390697070250739</v>
      </c>
      <c r="I149" s="45">
        <f t="shared" ca="1" si="69"/>
        <v>0.68374147191856904</v>
      </c>
      <c r="J149" s="45">
        <f t="shared" ca="1" si="70"/>
        <v>0.68357609999824698</v>
      </c>
      <c r="L149" s="58"/>
      <c r="M149" s="58"/>
      <c r="O149" s="58"/>
      <c r="P149" s="58"/>
      <c r="R149" s="59">
        <f t="shared" ca="1" si="79"/>
        <v>0.1243882739762683</v>
      </c>
      <c r="S149" s="59">
        <f t="shared" ca="1" si="80"/>
        <v>0.56734950064760992</v>
      </c>
      <c r="T149" s="59">
        <f t="shared" ca="1" si="71"/>
        <v>-0.32188545588509232</v>
      </c>
      <c r="U149" s="59">
        <f t="shared" ca="1" si="81"/>
        <v>-0.9103983846110465</v>
      </c>
      <c r="V149" s="59"/>
      <c r="W149" s="104">
        <f t="shared" ca="1" si="82"/>
        <v>4.6260368821421045E-2</v>
      </c>
      <c r="Z149" s="59">
        <f t="shared" ca="1" si="76"/>
        <v>0.13008681053288806</v>
      </c>
      <c r="AA149" s="59">
        <f t="shared" ca="1" si="77"/>
        <v>0.55977503572922283</v>
      </c>
      <c r="AB149" s="59">
        <f t="shared" ca="1" si="99"/>
        <v>-0.31334809062565266</v>
      </c>
      <c r="AC149" s="59">
        <f t="shared" ca="1" si="84"/>
        <v>-0.96931475958474023</v>
      </c>
      <c r="AD149" s="60">
        <f t="shared" ca="1" si="100"/>
        <v>0.37934289014223832</v>
      </c>
      <c r="AE149" s="60">
        <f t="shared" ca="1" si="85"/>
        <v>4.9347506676931531E-2</v>
      </c>
      <c r="AF149" s="60"/>
      <c r="AG149" s="96">
        <f t="shared" ca="1" si="86"/>
        <v>1.3923467668542493</v>
      </c>
      <c r="AH149" s="96">
        <f t="shared" ca="1" si="87"/>
        <v>1.3935901224054077</v>
      </c>
      <c r="AI149" s="96">
        <f t="shared" ca="1" si="88"/>
        <v>1.3911027894698309</v>
      </c>
      <c r="AJ149" s="62"/>
      <c r="AK149" s="96">
        <f t="shared" ca="1" si="98"/>
        <v>0.14186846011749182</v>
      </c>
      <c r="AL149" s="62"/>
      <c r="AM149" s="94"/>
      <c r="AX149" s="106">
        <f t="shared" ca="1" si="89"/>
        <v>0.64031959999999999</v>
      </c>
      <c r="AY149" s="106">
        <f t="shared" ca="1" si="90"/>
        <v>0.64036994479999998</v>
      </c>
      <c r="AZ149" s="106">
        <f t="shared" ca="1" si="91"/>
        <v>0.6402692552</v>
      </c>
      <c r="BB149" s="109">
        <f ca="1">_xll.EURO(UnderlyingPrice,$D149,IntRate,Yield,AX149,$D$6,1,0)</f>
        <v>0.17041124648299166</v>
      </c>
      <c r="BC149" s="109">
        <f ca="1">_xll.EURO(UnderlyingPrice,$D149*(1+$P$8),IntRate,Yield,AY149,$D$6,1,0)</f>
        <v>0.17010572622538189</v>
      </c>
      <c r="BD149" s="109">
        <f ca="1">_xll.EURO(UnderlyingPrice,$D149*(1-$P$8),IntRate,Yield,AZ149,$D$6,1,0)</f>
        <v>0.17071740310484562</v>
      </c>
      <c r="BF149" s="59">
        <f t="shared" ca="1" si="92"/>
        <v>4.3746608772847542E-2</v>
      </c>
      <c r="BG149" s="62">
        <f t="shared" ca="1" si="93"/>
        <v>4.453978721990462E-2</v>
      </c>
      <c r="BI149" s="96">
        <f t="shared" ca="1" si="94"/>
        <v>1.3916311859296171</v>
      </c>
      <c r="BJ149" s="96">
        <f t="shared" ca="1" si="95"/>
        <v>1.3928736429213013</v>
      </c>
      <c r="BK149" s="96">
        <f t="shared" ca="1" si="96"/>
        <v>1.3903881075540645</v>
      </c>
      <c r="BL149" s="62"/>
      <c r="BM149" s="96">
        <f t="shared" ca="1" si="97"/>
        <v>0.13669067090810758</v>
      </c>
      <c r="BO149" s="58"/>
    </row>
    <row r="150" spans="3:67" x14ac:dyDescent="0.2">
      <c r="C150" s="56"/>
      <c r="D150" s="63">
        <f t="shared" ca="1" si="83"/>
        <v>7.8200000000000038</v>
      </c>
      <c r="E150" s="45">
        <f t="shared" ca="1" si="101"/>
        <v>0.65502645502645596</v>
      </c>
      <c r="F150" s="45">
        <f t="shared" ca="1" si="66"/>
        <v>0.65585396825396902</v>
      </c>
      <c r="G150" s="45">
        <f t="shared" ca="1" si="67"/>
        <v>0.65419894179894289</v>
      </c>
      <c r="H150" s="45">
        <f t="shared" ca="1" si="68"/>
        <v>0.69240659030866347</v>
      </c>
      <c r="I150" s="45">
        <f t="shared" ca="1" si="69"/>
        <v>0.69223037704207635</v>
      </c>
      <c r="J150" s="45">
        <f t="shared" ca="1" si="70"/>
        <v>0.69205429710590205</v>
      </c>
      <c r="L150" s="58"/>
      <c r="M150" s="58"/>
      <c r="O150" s="58"/>
      <c r="P150" s="58"/>
      <c r="R150" s="59">
        <f t="shared" ca="1" si="79"/>
        <v>0.12133423962800187</v>
      </c>
      <c r="S150" s="59">
        <f t="shared" ca="1" si="80"/>
        <v>0.59220836746665695</v>
      </c>
      <c r="T150" s="59">
        <f t="shared" ca="1" si="71"/>
        <v>-0.35071075049752298</v>
      </c>
      <c r="U150" s="59">
        <f t="shared" ca="1" si="81"/>
        <v>-0.99192583846550864</v>
      </c>
      <c r="V150" s="59"/>
      <c r="W150" s="104">
        <f t="shared" ca="1" si="82"/>
        <v>4.10842907212269E-2</v>
      </c>
      <c r="Z150" s="59">
        <f t="shared" ca="1" si="76"/>
        <v>0.12689286326660743</v>
      </c>
      <c r="AA150" s="59">
        <f t="shared" ca="1" si="77"/>
        <v>0.58463390254826986</v>
      </c>
      <c r="AB150" s="59">
        <f t="shared" ca="1" si="99"/>
        <v>-0.3417968000088199</v>
      </c>
      <c r="AC150" s="59">
        <f t="shared" ca="1" si="84"/>
        <v>-1.0573183400156319</v>
      </c>
      <c r="AD150" s="60">
        <f t="shared" ca="1" si="100"/>
        <v>0.3473861338611447</v>
      </c>
      <c r="AE150" s="60">
        <f t="shared" ca="1" si="85"/>
        <v>4.4080821184757618E-2</v>
      </c>
      <c r="AF150" s="60"/>
      <c r="AG150" s="96">
        <f t="shared" ca="1" si="86"/>
        <v>1.4541790398817005</v>
      </c>
      <c r="AH150" s="96">
        <f t="shared" ca="1" si="87"/>
        <v>1.4554223954328589</v>
      </c>
      <c r="AI150" s="96">
        <f t="shared" ca="1" si="88"/>
        <v>1.4529350624972823</v>
      </c>
      <c r="AJ150" s="62"/>
      <c r="AK150" s="96">
        <f t="shared" ca="1" si="98"/>
        <v>0.12916612361968394</v>
      </c>
      <c r="AL150" s="62"/>
      <c r="AM150" s="94"/>
      <c r="AX150" s="106">
        <f t="shared" ca="1" si="89"/>
        <v>0.642683</v>
      </c>
      <c r="AY150" s="106">
        <f t="shared" ca="1" si="90"/>
        <v>0.64272757400000002</v>
      </c>
      <c r="AZ150" s="106">
        <f t="shared" ca="1" si="91"/>
        <v>0.64263842599999998</v>
      </c>
      <c r="BB150" s="109">
        <f ca="1">_xll.EURO(UnderlyingPrice,$D150,IntRate,Yield,AX150,$D$6,1,0)</f>
        <v>0.15565476295243896</v>
      </c>
      <c r="BC150" s="109">
        <f ca="1">_xll.EURO(UnderlyingPrice,$D150*(1+$P$8),IntRate,Yield,AY150,$D$6,1,0)</f>
        <v>0.1553670810082215</v>
      </c>
      <c r="BD150" s="109">
        <f ca="1">_xll.EURO(UnderlyingPrice,$D150*(1-$P$8),IntRate,Yield,AZ150,$D$6,1,0)</f>
        <v>0.15594305391213359</v>
      </c>
      <c r="BF150" s="59">
        <f t="shared" ca="1" si="92"/>
        <v>3.9835916638421849E-2</v>
      </c>
      <c r="BG150" s="62">
        <f t="shared" ca="1" si="93"/>
        <v>4.0558189550144556E-2</v>
      </c>
      <c r="BI150" s="96">
        <f t="shared" ca="1" si="94"/>
        <v>1.45341877344883</v>
      </c>
      <c r="BJ150" s="96">
        <f t="shared" ca="1" si="95"/>
        <v>1.4546612304405144</v>
      </c>
      <c r="BK150" s="96">
        <f t="shared" ca="1" si="96"/>
        <v>1.4521756950732776</v>
      </c>
      <c r="BL150" s="62"/>
      <c r="BM150" s="96">
        <f t="shared" ca="1" si="97"/>
        <v>0.12760431674513742</v>
      </c>
      <c r="BO150" s="58"/>
    </row>
    <row r="151" spans="3:67" x14ac:dyDescent="0.2">
      <c r="C151" s="56"/>
      <c r="D151" s="63">
        <f t="shared" ca="1" si="83"/>
        <v>8.012000000000004</v>
      </c>
      <c r="E151" s="45">
        <f t="shared" ca="1" si="101"/>
        <v>0.69566137566137654</v>
      </c>
      <c r="F151" s="45">
        <f t="shared" ca="1" si="66"/>
        <v>0.69650920634920732</v>
      </c>
      <c r="G151" s="45">
        <f t="shared" ca="1" si="67"/>
        <v>0.69481354497354597</v>
      </c>
      <c r="H151" s="45">
        <f t="shared" ca="1" si="68"/>
        <v>0.7012280294123876</v>
      </c>
      <c r="I151" s="45">
        <f t="shared" ca="1" si="69"/>
        <v>0.70104078008485793</v>
      </c>
      <c r="J151" s="45">
        <f t="shared" ca="1" si="70"/>
        <v>0.7008536707152867</v>
      </c>
      <c r="L151" s="58"/>
      <c r="M151" s="58"/>
      <c r="O151" s="58"/>
      <c r="P151" s="58"/>
      <c r="R151" s="59">
        <f t="shared" ca="1" si="79"/>
        <v>0.11842657936732084</v>
      </c>
      <c r="S151" s="59">
        <f t="shared" ca="1" si="80"/>
        <v>0.61646423071300904</v>
      </c>
      <c r="T151" s="59">
        <f t="shared" ca="1" si="71"/>
        <v>-0.38002814774858207</v>
      </c>
      <c r="U151" s="59">
        <f t="shared" ca="1" si="81"/>
        <v>-1.0748451211183185</v>
      </c>
      <c r="V151" s="59"/>
      <c r="W151" s="104">
        <f t="shared" ca="1" si="82"/>
        <v>3.6450955372650723E-2</v>
      </c>
      <c r="Z151" s="59">
        <f t="shared" ca="1" si="76"/>
        <v>0.12385199584933476</v>
      </c>
      <c r="AA151" s="59">
        <f t="shared" ca="1" si="77"/>
        <v>0.60888976579462195</v>
      </c>
      <c r="AB151" s="59">
        <f t="shared" ca="1" si="99"/>
        <v>-0.37074674688942955</v>
      </c>
      <c r="AC151" s="59">
        <f t="shared" ca="1" si="84"/>
        <v>-1.1468724545613416</v>
      </c>
      <c r="AD151" s="60">
        <f t="shared" ca="1" si="100"/>
        <v>0.31762861547622301</v>
      </c>
      <c r="AE151" s="60">
        <f t="shared" ca="1" si="85"/>
        <v>3.9338937965591118E-2</v>
      </c>
      <c r="AF151" s="60"/>
      <c r="AG151" s="96">
        <f t="shared" ca="1" si="86"/>
        <v>1.5145114423875059</v>
      </c>
      <c r="AH151" s="96">
        <f t="shared" ca="1" si="87"/>
        <v>1.5157547979386647</v>
      </c>
      <c r="AI151" s="96">
        <f t="shared" ca="1" si="88"/>
        <v>1.5132674650030875</v>
      </c>
      <c r="AJ151" s="62"/>
      <c r="AK151" s="96">
        <f t="shared" ca="1" si="98"/>
        <v>0.11741293265105372</v>
      </c>
      <c r="AL151" s="62"/>
      <c r="AM151" s="94"/>
      <c r="AX151" s="106">
        <f t="shared" ca="1" si="89"/>
        <v>0.6448718</v>
      </c>
      <c r="AY151" s="106">
        <f t="shared" ca="1" si="90"/>
        <v>0.64491746839999997</v>
      </c>
      <c r="AZ151" s="106">
        <f t="shared" ca="1" si="91"/>
        <v>0.64482613160000002</v>
      </c>
      <c r="BB151" s="109">
        <f ca="1">_xll.EURO(UnderlyingPrice,$D151,IntRate,Yield,AX151,$D$6,1,0)</f>
        <v>0.14222113619542776</v>
      </c>
      <c r="BC151" s="109">
        <f ca="1">_xll.EURO(UnderlyingPrice,$D151*(1+$P$8),IntRate,Yield,AY151,$D$6,1,0)</f>
        <v>0.14195537017518156</v>
      </c>
      <c r="BD151" s="109">
        <f ca="1">_xll.EURO(UnderlyingPrice,$D151*(1-$P$8),IntRate,Yield,AZ151,$D$6,1,0)</f>
        <v>0.1424874745293927</v>
      </c>
      <c r="BF151" s="59">
        <f t="shared" ca="1" si="92"/>
        <v>3.566253956245246E-2</v>
      </c>
      <c r="BG151" s="62">
        <f t="shared" ca="1" si="93"/>
        <v>3.6309144146024534E-2</v>
      </c>
      <c r="BI151" s="96">
        <f t="shared" ca="1" si="94"/>
        <v>1.5137075743864379</v>
      </c>
      <c r="BJ151" s="96">
        <f t="shared" ca="1" si="95"/>
        <v>1.5149500313781223</v>
      </c>
      <c r="BK151" s="96">
        <f t="shared" ca="1" si="96"/>
        <v>1.5124644960108855</v>
      </c>
      <c r="BL151" s="62"/>
      <c r="BM151" s="96">
        <f t="shared" ca="1" si="97"/>
        <v>0.11704072560486295</v>
      </c>
      <c r="BO151" s="58"/>
    </row>
    <row r="152" spans="3:67" x14ac:dyDescent="0.2">
      <c r="C152" s="56"/>
      <c r="D152" s="63">
        <f t="shared" ca="1" si="83"/>
        <v>8.2040000000000042</v>
      </c>
      <c r="E152" s="45">
        <f t="shared" ca="1" si="101"/>
        <v>0.73629629629629734</v>
      </c>
      <c r="F152" s="45">
        <f t="shared" ca="1" si="66"/>
        <v>0.7371644444444454</v>
      </c>
      <c r="G152" s="45">
        <f t="shared" ca="1" si="67"/>
        <v>0.73542814814814927</v>
      </c>
      <c r="H152" s="45">
        <f t="shared" ca="1" si="68"/>
        <v>0.71037128801367988</v>
      </c>
      <c r="I152" s="45">
        <f t="shared" ca="1" si="69"/>
        <v>0.71017268104691389</v>
      </c>
      <c r="J152" s="45">
        <f t="shared" ca="1" si="70"/>
        <v>0.70997422082640094</v>
      </c>
      <c r="L152" s="58"/>
      <c r="M152" s="58"/>
      <c r="O152" s="58"/>
      <c r="P152" s="58"/>
      <c r="R152" s="59">
        <f t="shared" ca="1" si="79"/>
        <v>0.11565501632020656</v>
      </c>
      <c r="S152" s="59">
        <f t="shared" ca="1" si="80"/>
        <v>0.6401456531195715</v>
      </c>
      <c r="T152" s="59">
        <f t="shared" ca="1" si="71"/>
        <v>-0.40978645720788276</v>
      </c>
      <c r="U152" s="59">
        <f t="shared" ca="1" si="81"/>
        <v>-1.1590114491246835</v>
      </c>
      <c r="V152" s="59"/>
      <c r="W152" s="104">
        <f t="shared" ca="1" si="82"/>
        <v>3.2312339003661643E-2</v>
      </c>
      <c r="Z152" s="59">
        <f t="shared" ca="1" si="76"/>
        <v>0.12095346059786326</v>
      </c>
      <c r="AA152" s="59">
        <f t="shared" ca="1" si="77"/>
        <v>0.6325711882011843</v>
      </c>
      <c r="AB152" s="59">
        <f t="shared" ca="1" si="99"/>
        <v>-0.4001463081422581</v>
      </c>
      <c r="AC152" s="59">
        <f t="shared" ca="1" si="84"/>
        <v>-1.2378174116242118</v>
      </c>
      <c r="AD152" s="60">
        <f t="shared" ca="1" si="100"/>
        <v>0.29001651433964254</v>
      </c>
      <c r="AE152" s="60">
        <f t="shared" ca="1" si="85"/>
        <v>3.5078501039909601E-2</v>
      </c>
      <c r="AF152" s="60"/>
      <c r="AG152" s="96">
        <f t="shared" ca="1" si="86"/>
        <v>1.5734150193920307</v>
      </c>
      <c r="AH152" s="96">
        <f t="shared" ca="1" si="87"/>
        <v>1.5746583749431893</v>
      </c>
      <c r="AI152" s="96">
        <f t="shared" ca="1" si="88"/>
        <v>1.5721710420076125</v>
      </c>
      <c r="AJ152" s="62"/>
      <c r="AK152" s="96">
        <f t="shared" ca="1" si="98"/>
        <v>0.10657617458218074</v>
      </c>
      <c r="AL152" s="62"/>
      <c r="AM152" s="94"/>
      <c r="AX152" s="106">
        <f t="shared" ca="1" si="89"/>
        <v>0.64706059999999999</v>
      </c>
      <c r="AY152" s="106">
        <f t="shared" ca="1" si="90"/>
        <v>0.64710736280000003</v>
      </c>
      <c r="AZ152" s="106">
        <f t="shared" ca="1" si="91"/>
        <v>0.64701383720000005</v>
      </c>
      <c r="BB152" s="109">
        <f ca="1">_xll.EURO(UnderlyingPrice,$D152,IntRate,Yield,AX152,$D$6,1,0)</f>
        <v>0.13010353174822298</v>
      </c>
      <c r="BC152" s="109">
        <f ca="1">_xll.EURO(UnderlyingPrice,$D152*(1+$P$8),IntRate,Yield,AY152,$D$6,1,0)</f>
        <v>0.1298579630609995</v>
      </c>
      <c r="BD152" s="109">
        <f ca="1">_xll.EURO(UnderlyingPrice,$D152*(1-$P$8),IntRate,Yield,AZ152,$D$6,1,0)</f>
        <v>0.13034963773157027</v>
      </c>
      <c r="BF152" s="59">
        <f t="shared" ca="1" si="92"/>
        <v>3.193172610230989E-2</v>
      </c>
      <c r="BG152" s="62">
        <f t="shared" ca="1" si="93"/>
        <v>3.2510686566495681E-2</v>
      </c>
      <c r="BI152" s="96">
        <f t="shared" ca="1" si="94"/>
        <v>1.5725685824193456</v>
      </c>
      <c r="BJ152" s="96">
        <f t="shared" ca="1" si="95"/>
        <v>1.5738110394110307</v>
      </c>
      <c r="BK152" s="96">
        <f t="shared" ca="1" si="96"/>
        <v>1.5713255040437939</v>
      </c>
      <c r="BL152" s="62"/>
      <c r="BM152" s="96">
        <f t="shared" ca="1" si="97"/>
        <v>0.10730793699710667</v>
      </c>
      <c r="BO152" s="58"/>
    </row>
    <row r="153" spans="3:67" x14ac:dyDescent="0.2">
      <c r="C153" s="56"/>
      <c r="D153" s="63">
        <f t="shared" ca="1" si="83"/>
        <v>8.3960000000000043</v>
      </c>
      <c r="E153" s="45">
        <f t="shared" ca="1" si="101"/>
        <v>0.77693121693121792</v>
      </c>
      <c r="F153" s="45">
        <f t="shared" ca="1" si="66"/>
        <v>0.77781968253968325</v>
      </c>
      <c r="G153" s="45">
        <f t="shared" ca="1" si="67"/>
        <v>0.77604275132275258</v>
      </c>
      <c r="H153" s="45">
        <f t="shared" ca="1" si="68"/>
        <v>0.71983636611254032</v>
      </c>
      <c r="I153" s="45">
        <f t="shared" ca="1" si="69"/>
        <v>0.71962607992824412</v>
      </c>
      <c r="J153" s="45">
        <f t="shared" ca="1" si="70"/>
        <v>0.71941594743924475</v>
      </c>
      <c r="L153" s="58"/>
      <c r="M153" s="58"/>
      <c r="O153" s="58"/>
      <c r="P153" s="58"/>
      <c r="R153" s="59">
        <f t="shared" ca="1" si="79"/>
        <v>0.11301021366019232</v>
      </c>
      <c r="S153" s="59">
        <f t="shared" ca="1" si="80"/>
        <v>0.66327921486782371</v>
      </c>
      <c r="T153" s="59">
        <f t="shared" ca="1" si="71"/>
        <v>-0.43993931687567667</v>
      </c>
      <c r="U153" s="59">
        <f t="shared" ca="1" si="81"/>
        <v>-1.2442936954364356</v>
      </c>
      <c r="V153" s="59"/>
      <c r="W153" s="104">
        <f t="shared" ca="1" si="82"/>
        <v>2.8622542833863607E-2</v>
      </c>
      <c r="Z153" s="59">
        <f t="shared" ca="1" si="76"/>
        <v>0.11818749294245713</v>
      </c>
      <c r="AA153" s="59">
        <f t="shared" ca="1" si="77"/>
        <v>0.65570474994943662</v>
      </c>
      <c r="AB153" s="59">
        <f t="shared" ca="1" si="99"/>
        <v>-0.42994871910625321</v>
      </c>
      <c r="AC153" s="59">
        <f t="shared" ca="1" si="84"/>
        <v>-1.3300085488381992</v>
      </c>
      <c r="AD153" s="60">
        <f t="shared" ca="1" si="100"/>
        <v>0.26447500033617405</v>
      </c>
      <c r="AE153" s="60">
        <f t="shared" ca="1" si="85"/>
        <v>3.1257637235687918E-2</v>
      </c>
      <c r="AF153" s="60"/>
      <c r="AG153" s="96">
        <f t="shared" ca="1" si="86"/>
        <v>1.6309558846505932</v>
      </c>
      <c r="AH153" s="96">
        <f t="shared" ca="1" si="87"/>
        <v>1.6321992402017516</v>
      </c>
      <c r="AI153" s="96">
        <f t="shared" ca="1" si="88"/>
        <v>1.6297119072661754</v>
      </c>
      <c r="AJ153" s="62"/>
      <c r="AK153" s="96">
        <f t="shared" ca="1" si="98"/>
        <v>9.6615481665487751E-2</v>
      </c>
      <c r="AL153" s="62"/>
      <c r="AM153" s="94"/>
      <c r="AX153" s="106">
        <f t="shared" ca="1" si="89"/>
        <v>0.64924940000000009</v>
      </c>
      <c r="AY153" s="106">
        <f t="shared" ca="1" si="90"/>
        <v>0.64929725720000009</v>
      </c>
      <c r="AZ153" s="106">
        <f t="shared" ca="1" si="91"/>
        <v>0.64920154280000009</v>
      </c>
      <c r="BB153" s="109">
        <f ca="1">_xll.EURO(UnderlyingPrice,$D153,IntRate,Yield,AX153,$D$6,1,0)</f>
        <v>0.11916428093274156</v>
      </c>
      <c r="BC153" s="109">
        <f ca="1">_xll.EURO(UnderlyingPrice,$D153*(1+$P$8),IntRate,Yield,AY153,$D$6,1,0)</f>
        <v>0.11893731133204344</v>
      </c>
      <c r="BD153" s="109">
        <f ca="1">_xll.EURO(UnderlyingPrice,$D153*(1-$P$8),IntRate,Yield,AZ153,$D$6,1,0)</f>
        <v>0.11939175454317574</v>
      </c>
      <c r="BF153" s="59">
        <f t="shared" ca="1" si="92"/>
        <v>2.8599211361201696E-2</v>
      </c>
      <c r="BG153" s="62">
        <f t="shared" ca="1" si="93"/>
        <v>2.9117749339135534E-2</v>
      </c>
      <c r="BI153" s="96">
        <f t="shared" ca="1" si="94"/>
        <v>1.6300678635231838</v>
      </c>
      <c r="BJ153" s="96">
        <f t="shared" ca="1" si="95"/>
        <v>1.6313103205148682</v>
      </c>
      <c r="BK153" s="96">
        <f t="shared" ca="1" si="96"/>
        <v>1.6288247851476321</v>
      </c>
      <c r="BL153" s="62"/>
      <c r="BM153" s="96">
        <f t="shared" ca="1" si="97"/>
        <v>9.8358135101987029E-2</v>
      </c>
      <c r="BO153" s="58"/>
    </row>
    <row r="154" spans="3:67" x14ac:dyDescent="0.2">
      <c r="C154" s="56"/>
      <c r="D154" s="63">
        <f t="shared" ca="1" si="83"/>
        <v>8.5880000000000045</v>
      </c>
      <c r="E154" s="45">
        <f t="shared" ca="1" si="101"/>
        <v>0.81756613756613872</v>
      </c>
      <c r="F154" s="45">
        <f t="shared" ca="1" si="66"/>
        <v>0.81847492063492178</v>
      </c>
      <c r="G154" s="45">
        <f t="shared" ca="1" si="67"/>
        <v>0.81665735449735566</v>
      </c>
      <c r="H154" s="45">
        <f t="shared" ca="1" si="68"/>
        <v>0.72962326370896891</v>
      </c>
      <c r="I154" s="45">
        <f t="shared" ca="1" si="69"/>
        <v>0.72940097672884885</v>
      </c>
      <c r="J154" s="45">
        <f t="shared" ca="1" si="70"/>
        <v>0.72917885055381815</v>
      </c>
      <c r="L154" s="58"/>
      <c r="M154" s="58"/>
      <c r="O154" s="58"/>
      <c r="P154" s="58"/>
      <c r="R154" s="59">
        <f t="shared" ca="1" si="79"/>
        <v>0.11048366952619637</v>
      </c>
      <c r="S154" s="59">
        <f t="shared" ca="1" si="80"/>
        <v>0.68588969292597191</v>
      </c>
      <c r="T154" s="59">
        <f t="shared" ca="1" si="71"/>
        <v>-0.47044467086208402</v>
      </c>
      <c r="U154" s="59">
        <f t="shared" ca="1" si="81"/>
        <v>-1.3305729121063792</v>
      </c>
      <c r="V154" s="59"/>
      <c r="W154" s="104">
        <f t="shared" ca="1" si="82"/>
        <v>2.5338274841959899E-2</v>
      </c>
      <c r="Z154" s="59">
        <f t="shared" ca="1" si="76"/>
        <v>0.115545201530609</v>
      </c>
      <c r="AA154" s="59">
        <f t="shared" ca="1" si="77"/>
        <v>0.67831522800758481</v>
      </c>
      <c r="AB154" s="59">
        <f t="shared" ca="1" si="99"/>
        <v>-0.46011154854698177</v>
      </c>
      <c r="AC154" s="59">
        <f t="shared" ca="1" si="84"/>
        <v>-1.4233146089113855</v>
      </c>
      <c r="AD154" s="60">
        <f t="shared" ca="1" si="100"/>
        <v>0.2409141558082839</v>
      </c>
      <c r="AE154" s="60">
        <f t="shared" ca="1" si="85"/>
        <v>2.7836474684444702E-2</v>
      </c>
      <c r="AF154" s="60"/>
      <c r="AG154" s="96">
        <f t="shared" ca="1" si="86"/>
        <v>1.6871956667271202</v>
      </c>
      <c r="AH154" s="96">
        <f t="shared" ca="1" si="87"/>
        <v>1.6884390222782788</v>
      </c>
      <c r="AI154" s="96">
        <f t="shared" ca="1" si="88"/>
        <v>1.6859516893427018</v>
      </c>
      <c r="AJ154" s="62"/>
      <c r="AK154" s="96">
        <f t="shared" ca="1" si="98"/>
        <v>8.7485314583458262E-2</v>
      </c>
      <c r="AL154" s="62"/>
      <c r="AM154" s="94"/>
      <c r="AX154" s="106">
        <f t="shared" ca="1" si="89"/>
        <v>0.65143820000000008</v>
      </c>
      <c r="AY154" s="106">
        <f t="shared" ca="1" si="90"/>
        <v>0.65148715160000004</v>
      </c>
      <c r="AZ154" s="106">
        <f t="shared" ca="1" si="91"/>
        <v>0.65138924840000012</v>
      </c>
      <c r="BB154" s="109">
        <f ca="1">_xll.EURO(UnderlyingPrice,$D154,IntRate,Yield,AX154,$D$6,1,0)</f>
        <v>0.10928040862905969</v>
      </c>
      <c r="BC154" s="109">
        <f ca="1">_xll.EURO(UnderlyingPrice,$D154*(1+$P$8),IntRate,Yield,AY154,$D$6,1,0)</f>
        <v>0.10907055610426508</v>
      </c>
      <c r="BD154" s="109">
        <f ca="1">_xll.EURO(UnderlyingPrice,$D154*(1-$P$8),IntRate,Yield,AZ154,$D$6,1,0)</f>
        <v>0.10949073362398692</v>
      </c>
      <c r="BF154" s="59">
        <f t="shared" ca="1" si="92"/>
        <v>2.5624197878205742E-2</v>
      </c>
      <c r="BG154" s="62">
        <f t="shared" ca="1" si="93"/>
        <v>2.6088795296159963E-2</v>
      </c>
      <c r="BI154" s="96">
        <f t="shared" ca="1" si="94"/>
        <v>1.6862670017235883</v>
      </c>
      <c r="BJ154" s="96">
        <f t="shared" ca="1" si="95"/>
        <v>1.6875094587152728</v>
      </c>
      <c r="BK154" s="96">
        <f t="shared" ca="1" si="96"/>
        <v>1.685023923348036</v>
      </c>
      <c r="BL154" s="62"/>
      <c r="BM154" s="96">
        <f t="shared" ca="1" si="97"/>
        <v>9.0141776679886265E-2</v>
      </c>
      <c r="BO154" s="58"/>
    </row>
    <row r="155" spans="3:67" x14ac:dyDescent="0.2">
      <c r="C155" s="56"/>
      <c r="D155" s="63">
        <f t="shared" ca="1" si="83"/>
        <v>8.7800000000000047</v>
      </c>
      <c r="E155" s="45">
        <f t="shared" ca="1" si="101"/>
        <v>0.8582010582010593</v>
      </c>
      <c r="F155" s="45">
        <f t="shared" ca="1" si="66"/>
        <v>0.85913015873015963</v>
      </c>
      <c r="G155" s="45">
        <f t="shared" ca="1" si="67"/>
        <v>0.85727195767195896</v>
      </c>
      <c r="H155" s="45">
        <f t="shared" ca="1" si="68"/>
        <v>0.73973198080296554</v>
      </c>
      <c r="I155" s="45">
        <f t="shared" ca="1" si="69"/>
        <v>0.73949737144872796</v>
      </c>
      <c r="J155" s="45">
        <f t="shared" ca="1" si="70"/>
        <v>0.73926293017012112</v>
      </c>
      <c r="L155" s="58"/>
      <c r="M155" s="58"/>
      <c r="O155" s="58"/>
      <c r="P155" s="58"/>
      <c r="R155" s="59">
        <f t="shared" ca="1" si="79"/>
        <v>0.10806762572790142</v>
      </c>
      <c r="S155" s="59">
        <f t="shared" ca="1" si="80"/>
        <v>0.70800022055646261</v>
      </c>
      <c r="T155" s="59">
        <f t="shared" ca="1" si="71"/>
        <v>-0.50126431230799973</v>
      </c>
      <c r="U155" s="59">
        <f t="shared" ca="1" si="81"/>
        <v>-1.4177410375176422</v>
      </c>
      <c r="V155" s="59"/>
      <c r="W155" s="104">
        <f t="shared" ca="1" si="82"/>
        <v>2.2419133932141764E-2</v>
      </c>
      <c r="Z155" s="59">
        <f t="shared" ca="1" si="76"/>
        <v>0.11301847274998521</v>
      </c>
      <c r="AA155" s="59">
        <f t="shared" ca="1" si="77"/>
        <v>0.70042575563807541</v>
      </c>
      <c r="AB155" s="59">
        <f t="shared" ca="1" si="99"/>
        <v>-0.4905962391611689</v>
      </c>
      <c r="AC155" s="59">
        <f t="shared" ca="1" si="84"/>
        <v>-1.5176163182171798</v>
      </c>
      <c r="AD155" s="60">
        <f t="shared" ca="1" si="100"/>
        <v>0.21923384834060938</v>
      </c>
      <c r="AE155" s="60">
        <f t="shared" ca="1" si="85"/>
        <v>2.4777474714557553E-2</v>
      </c>
      <c r="AF155" s="60"/>
      <c r="AG155" s="96">
        <f t="shared" ca="1" si="86"/>
        <v>1.7421919057424071</v>
      </c>
      <c r="AH155" s="96">
        <f t="shared" ca="1" si="87"/>
        <v>1.7434352612935655</v>
      </c>
      <c r="AI155" s="96">
        <f t="shared" ca="1" si="88"/>
        <v>1.7409479283579889</v>
      </c>
      <c r="AJ155" s="62"/>
      <c r="AK155" s="96">
        <f t="shared" ca="1" si="98"/>
        <v>7.9136971616779905E-2</v>
      </c>
      <c r="AL155" s="62"/>
      <c r="AM155" s="94"/>
      <c r="AX155" s="106">
        <f t="shared" ca="1" si="89"/>
        <v>0.65366000000000013</v>
      </c>
      <c r="AY155" s="106">
        <f t="shared" ca="1" si="90"/>
        <v>0.65371268000000005</v>
      </c>
      <c r="AZ155" s="106">
        <f t="shared" ca="1" si="91"/>
        <v>0.6536073200000001</v>
      </c>
      <c r="BB155" s="109">
        <f ca="1">_xll.EURO(UnderlyingPrice,$D155,IntRate,Yield,AX155,$D$6,1,0)</f>
        <v>0.100362700757198</v>
      </c>
      <c r="BC155" s="109">
        <f ca="1">_xll.EURO(UnderlyingPrice,$D155*(1+$P$8),IntRate,Yield,AY155,$D$6,1,0)</f>
        <v>0.10017021009978161</v>
      </c>
      <c r="BD155" s="109">
        <f ca="1">_xll.EURO(UnderlyingPrice,$D155*(1-$P$8),IntRate,Yield,AZ155,$D$6,1,0)</f>
        <v>0.10055563021578695</v>
      </c>
      <c r="BF155" s="59">
        <f t="shared" ca="1" si="92"/>
        <v>2.2768726426504057E-2</v>
      </c>
      <c r="BG155" s="62">
        <f t="shared" ca="1" si="93"/>
        <v>2.3181550724776318E-2</v>
      </c>
      <c r="BI155" s="96">
        <f t="shared" ca="1" si="94"/>
        <v>1.7412234955577379</v>
      </c>
      <c r="BJ155" s="96">
        <f t="shared" ca="1" si="95"/>
        <v>1.7424659525494224</v>
      </c>
      <c r="BK155" s="96">
        <f t="shared" ca="1" si="96"/>
        <v>1.739980417182186</v>
      </c>
      <c r="BL155" s="62"/>
      <c r="BM155" s="96">
        <f t="shared" ca="1" si="97"/>
        <v>8.188739458165141E-2</v>
      </c>
      <c r="BO155" s="58"/>
    </row>
    <row r="156" spans="3:67" x14ac:dyDescent="0.2">
      <c r="C156" s="56"/>
      <c r="D156" s="63">
        <f t="shared" ca="1" si="83"/>
        <v>8.9720000000000049</v>
      </c>
      <c r="E156" s="45">
        <f t="shared" ca="1" si="101"/>
        <v>0.8988359788359801</v>
      </c>
      <c r="F156" s="45">
        <f t="shared" ca="1" si="66"/>
        <v>0.89978539682539793</v>
      </c>
      <c r="G156" s="45">
        <f t="shared" ca="1" si="67"/>
        <v>0.89788656084656204</v>
      </c>
      <c r="H156" s="45">
        <f t="shared" ca="1" si="68"/>
        <v>0.75016251739453044</v>
      </c>
      <c r="I156" s="45">
        <f t="shared" ca="1" si="69"/>
        <v>0.74991526408788145</v>
      </c>
      <c r="J156" s="45">
        <f t="shared" ca="1" si="70"/>
        <v>0.74966818628815357</v>
      </c>
      <c r="L156" s="58"/>
      <c r="M156" s="58"/>
      <c r="O156" s="58"/>
      <c r="P156" s="58"/>
      <c r="R156" s="59">
        <f t="shared" ca="1" si="79"/>
        <v>0.10575498817331415</v>
      </c>
      <c r="S156" s="59">
        <f t="shared" ca="1" si="80"/>
        <v>0.72963242956739927</v>
      </c>
      <c r="T156" s="59">
        <f t="shared" ca="1" si="71"/>
        <v>-0.53236348227642583</v>
      </c>
      <c r="U156" s="59">
        <f t="shared" ca="1" si="81"/>
        <v>-1.5056997619158847</v>
      </c>
      <c r="V156" s="59"/>
      <c r="W156" s="104">
        <f t="shared" ca="1" si="82"/>
        <v>1.9827744271255089E-2</v>
      </c>
      <c r="Z156" s="59">
        <f t="shared" ca="1" si="76"/>
        <v>0.11059988751057401</v>
      </c>
      <c r="AA156" s="59">
        <f t="shared" ca="1" si="77"/>
        <v>0.72205796464901206</v>
      </c>
      <c r="AB156" s="59">
        <f t="shared" ca="1" si="99"/>
        <v>-0.521367704313074</v>
      </c>
      <c r="AC156" s="59">
        <f t="shared" ca="1" si="84"/>
        <v>-1.6128051393337659</v>
      </c>
      <c r="AD156" s="60">
        <f t="shared" ca="1" si="100"/>
        <v>0.1993276871702252</v>
      </c>
      <c r="AE156" s="60">
        <f t="shared" ca="1" si="85"/>
        <v>2.2045619778769794E-2</v>
      </c>
      <c r="AF156" s="60"/>
      <c r="AG156" s="96">
        <f t="shared" ca="1" si="86"/>
        <v>1.7959984072007227</v>
      </c>
      <c r="AH156" s="96">
        <f t="shared" ca="1" si="87"/>
        <v>1.7972417627518813</v>
      </c>
      <c r="AI156" s="96">
        <f t="shared" ca="1" si="88"/>
        <v>1.7947544298163041</v>
      </c>
      <c r="AJ156" s="62"/>
      <c r="AK156" s="96">
        <f t="shared" ca="1" si="98"/>
        <v>7.1520188977201291E-2</v>
      </c>
      <c r="AL156" s="62"/>
      <c r="AM156" s="94"/>
      <c r="AX156" s="106">
        <f t="shared" ca="1" si="89"/>
        <v>0.6559640000000001</v>
      </c>
      <c r="AY156" s="106">
        <f t="shared" ca="1" si="90"/>
        <v>0.65601783200000008</v>
      </c>
      <c r="AZ156" s="106">
        <f t="shared" ca="1" si="91"/>
        <v>0.65591016800000013</v>
      </c>
      <c r="BB156" s="109">
        <f ca="1">_xll.EURO(UnderlyingPrice,$D156,IntRate,Yield,AX156,$D$6,1,0)</f>
        <v>9.2339177145771001E-2</v>
      </c>
      <c r="BC156" s="109">
        <f ca="1">_xll.EURO(UnderlyingPrice,$D156*(1+$P$8),IntRate,Yield,AY156,$D$6,1,0)</f>
        <v>9.2161035913309319E-2</v>
      </c>
      <c r="BD156" s="109">
        <f ca="1">_xll.EURO(UnderlyingPrice,$D156*(1-$P$8),IntRate,Yield,AZ156,$D$6,1,0)</f>
        <v>9.2517729196963383E-2</v>
      </c>
      <c r="BF156" s="59">
        <f t="shared" ca="1" si="92"/>
        <v>2.0414168630666796E-2</v>
      </c>
      <c r="BG156" s="62">
        <f t="shared" ca="1" si="93"/>
        <v>2.078430197417944E-2</v>
      </c>
      <c r="BI156" s="96">
        <f t="shared" ca="1" si="94"/>
        <v>1.7949911116452515</v>
      </c>
      <c r="BJ156" s="96">
        <f t="shared" ca="1" si="95"/>
        <v>1.7962335686369366</v>
      </c>
      <c r="BK156" s="96">
        <f t="shared" ca="1" si="96"/>
        <v>1.7937480332696991</v>
      </c>
      <c r="BL156" s="62"/>
      <c r="BM156" s="96">
        <f t="shared" ca="1" si="97"/>
        <v>7.5024785311984477E-2</v>
      </c>
      <c r="BO156" s="58"/>
    </row>
    <row r="157" spans="3:67" x14ac:dyDescent="0.2">
      <c r="C157" s="56"/>
      <c r="D157" s="63">
        <f t="shared" ca="1" si="83"/>
        <v>9.164000000000005</v>
      </c>
      <c r="E157" s="45">
        <f t="shared" ca="1" si="101"/>
        <v>0.93947089947090068</v>
      </c>
      <c r="F157" s="45">
        <f t="shared" ca="1" si="66"/>
        <v>0.94044063492063601</v>
      </c>
      <c r="G157" s="45">
        <f t="shared" ca="1" si="67"/>
        <v>0.93850116402116535</v>
      </c>
      <c r="H157" s="45">
        <f t="shared" ca="1" si="68"/>
        <v>0.76091487348366338</v>
      </c>
      <c r="I157" s="45">
        <f t="shared" ca="1" si="69"/>
        <v>0.76065465464630921</v>
      </c>
      <c r="J157" s="45">
        <f t="shared" ca="1" si="70"/>
        <v>0.76039461890791582</v>
      </c>
      <c r="L157" s="58"/>
      <c r="M157" s="58"/>
      <c r="O157" s="58"/>
      <c r="P157" s="58"/>
      <c r="R157" s="59">
        <f t="shared" ca="1" si="79"/>
        <v>0.10353925729932066</v>
      </c>
      <c r="S157" s="59">
        <f t="shared" ca="1" si="80"/>
        <v>0.75080657750068647</v>
      </c>
      <c r="T157" s="59">
        <f t="shared" ca="1" si="71"/>
        <v>-0.56371051681829432</v>
      </c>
      <c r="U157" s="59">
        <f t="shared" ca="1" si="81"/>
        <v>-1.5943595291948744</v>
      </c>
      <c r="V157" s="59"/>
      <c r="W157" s="104">
        <f t="shared" ca="1" si="82"/>
        <v>1.7529778407386842E-2</v>
      </c>
      <c r="Z157" s="59">
        <f t="shared" ca="1" si="76"/>
        <v>0.10828264848809145</v>
      </c>
      <c r="AA157" s="59">
        <f t="shared" ca="1" si="77"/>
        <v>0.74323211258229926</v>
      </c>
      <c r="AB157" s="59">
        <f t="shared" ca="1" si="99"/>
        <v>-0.55239397317354755</v>
      </c>
      <c r="AC157" s="59">
        <f t="shared" ca="1" si="84"/>
        <v>-1.7087821733129842</v>
      </c>
      <c r="AD157" s="60">
        <f t="shared" ca="1" si="100"/>
        <v>0.1810861899817964</v>
      </c>
      <c r="AE157" s="60">
        <f t="shared" ca="1" si="85"/>
        <v>1.9608492255846606E-2</v>
      </c>
      <c r="AF157" s="60"/>
      <c r="AG157" s="96">
        <f t="shared" ca="1" si="86"/>
        <v>1.8486655583490406</v>
      </c>
      <c r="AH157" s="96">
        <f t="shared" ca="1" si="87"/>
        <v>1.849908913900199</v>
      </c>
      <c r="AI157" s="96">
        <f t="shared" ca="1" si="88"/>
        <v>1.8474215809646224</v>
      </c>
      <c r="AJ157" s="62"/>
      <c r="AK157" s="96">
        <f t="shared" ca="1" si="98"/>
        <v>6.4584393599908543E-2</v>
      </c>
      <c r="AL157" s="62"/>
      <c r="AM157" s="62"/>
      <c r="AX157" s="106">
        <f t="shared" ca="1" si="89"/>
        <v>0.65826800000000008</v>
      </c>
      <c r="AY157" s="106">
        <f t="shared" ca="1" si="90"/>
        <v>0.65832298400000011</v>
      </c>
      <c r="AZ157" s="106">
        <f t="shared" ca="1" si="91"/>
        <v>0.65821301600000015</v>
      </c>
      <c r="BB157" s="109">
        <f ca="1">_xll.EURO(UnderlyingPrice,$D157,IntRate,Yield,AX157,$D$6,1,0)</f>
        <v>8.5068985013117215E-2</v>
      </c>
      <c r="BC157" s="109">
        <f ca="1">_xll.EURO(UnderlyingPrice,$D157*(1+$P$8),IntRate,Yield,AY157,$D$6,1,0)</f>
        <v>8.4904032236516214E-2</v>
      </c>
      <c r="BD157" s="109">
        <f ca="1">_xll.EURO(UnderlyingPrice,$D157*(1-$P$8),IntRate,Yield,AZ157,$D$6,1,0)</f>
        <v>8.5234322307518484E-2</v>
      </c>
      <c r="BF157" s="59">
        <f t="shared" ca="1" si="92"/>
        <v>1.8314972860183708E-2</v>
      </c>
      <c r="BG157" s="62">
        <f t="shared" ca="1" si="93"/>
        <v>1.864704526850601E-2</v>
      </c>
      <c r="BI157" s="96">
        <f t="shared" ca="1" si="94"/>
        <v>1.8476202008187899</v>
      </c>
      <c r="BJ157" s="96">
        <f t="shared" ca="1" si="95"/>
        <v>1.8488626578104743</v>
      </c>
      <c r="BK157" s="96">
        <f t="shared" ca="1" si="96"/>
        <v>1.8463771224432382</v>
      </c>
      <c r="BL157" s="62"/>
      <c r="BM157" s="96">
        <f t="shared" ca="1" si="97"/>
        <v>6.8750388786703781E-2</v>
      </c>
      <c r="BO157" s="58"/>
    </row>
    <row r="158" spans="3:67" x14ac:dyDescent="0.2">
      <c r="C158" s="56"/>
      <c r="D158" s="63">
        <f t="shared" ca="1" si="83"/>
        <v>9.3560000000000052</v>
      </c>
      <c r="E158" s="45">
        <f t="shared" ca="1" si="101"/>
        <v>0.98010582010582126</v>
      </c>
      <c r="F158" s="45">
        <f t="shared" ca="1" si="66"/>
        <v>0.98109587301587431</v>
      </c>
      <c r="G158" s="45">
        <f t="shared" ca="1" si="67"/>
        <v>0.97911576719576843</v>
      </c>
      <c r="H158" s="45">
        <f t="shared" ca="1" si="68"/>
        <v>0.77198904907036447</v>
      </c>
      <c r="I158" s="45">
        <f t="shared" ca="1" si="69"/>
        <v>0.77171554312401147</v>
      </c>
      <c r="J158" s="45">
        <f t="shared" ca="1" si="70"/>
        <v>0.77144222802940743</v>
      </c>
      <c r="L158" s="58"/>
      <c r="M158" s="58"/>
      <c r="O158" s="58"/>
      <c r="P158" s="58"/>
      <c r="R158" s="59">
        <f t="shared" ca="1" si="79"/>
        <v>0.1014144670682957</v>
      </c>
      <c r="S158" s="59">
        <f t="shared" ca="1" si="80"/>
        <v>0.77154166163136995</v>
      </c>
      <c r="T158" s="59">
        <f t="shared" ca="1" si="71"/>
        <v>-0.5952765356328954</v>
      </c>
      <c r="U158" s="59">
        <f t="shared" ca="1" si="81"/>
        <v>-1.6836386563253452</v>
      </c>
      <c r="V158" s="59"/>
      <c r="W158" s="104">
        <f t="shared" ca="1" si="82"/>
        <v>1.5493899974060693E-2</v>
      </c>
      <c r="Z158" s="59">
        <f t="shared" ca="1" si="76"/>
        <v>0.10606051632587324</v>
      </c>
      <c r="AA158" s="59">
        <f t="shared" ca="1" si="77"/>
        <v>0.76396719671298274</v>
      </c>
      <c r="AB158" s="59">
        <f t="shared" ca="1" si="99"/>
        <v>-0.58364587765349329</v>
      </c>
      <c r="AC158" s="59">
        <f t="shared" ca="1" si="84"/>
        <v>-1.8054571912365303</v>
      </c>
      <c r="AD158" s="60">
        <f t="shared" ca="1" si="100"/>
        <v>0.16439927748389557</v>
      </c>
      <c r="AE158" s="60">
        <f t="shared" ca="1" si="85"/>
        <v>1.7436272253542471E-2</v>
      </c>
      <c r="AF158" s="60"/>
      <c r="AG158" s="96">
        <f t="shared" ca="1" si="86"/>
        <v>1.9002406117313306</v>
      </c>
      <c r="AH158" s="96">
        <f t="shared" ca="1" si="87"/>
        <v>1.9014839672824895</v>
      </c>
      <c r="AI158" s="96">
        <f t="shared" ca="1" si="88"/>
        <v>1.898996634346912</v>
      </c>
      <c r="AJ158" s="62"/>
      <c r="AK158" s="96">
        <f t="shared" ca="1" si="98"/>
        <v>5.8279664167136473E-2</v>
      </c>
      <c r="AL158" s="62"/>
      <c r="AM158" s="62"/>
      <c r="AX158" s="106">
        <f t="shared" ca="1" si="89"/>
        <v>0.66057200000000005</v>
      </c>
      <c r="AY158" s="106">
        <f t="shared" ca="1" si="90"/>
        <v>0.66062813600000014</v>
      </c>
      <c r="AZ158" s="106">
        <f t="shared" ca="1" si="91"/>
        <v>0.66051586400000006</v>
      </c>
      <c r="BB158" s="109">
        <f ca="1">_xll.EURO(UnderlyingPrice,$D158,IntRate,Yield,AX158,$D$6,1,0)</f>
        <v>7.8474654026098045E-2</v>
      </c>
      <c r="BC158" s="109">
        <f ca="1">_xll.EURO(UnderlyingPrice,$D158*(1+$P$8),IntRate,Yield,AY158,$D$6,1,0)</f>
        <v>7.8321822320321699E-2</v>
      </c>
      <c r="BD158" s="109">
        <f ca="1">_xll.EURO(UnderlyingPrice,$D158*(1-$P$8),IntRate,Yield,AZ158,$D$6,1,0)</f>
        <v>7.8627845570961863E-2</v>
      </c>
      <c r="BF158" s="59">
        <f t="shared" ca="1" si="92"/>
        <v>1.6443259163836519E-2</v>
      </c>
      <c r="BG158" s="62">
        <f t="shared" ca="1" si="93"/>
        <v>1.6741395159608242E-2</v>
      </c>
      <c r="BI158" s="96">
        <f t="shared" ca="1" si="94"/>
        <v>1.8991579814734256</v>
      </c>
      <c r="BJ158" s="96">
        <f t="shared" ca="1" si="95"/>
        <v>1.9004004384651105</v>
      </c>
      <c r="BK158" s="96">
        <f t="shared" ca="1" si="96"/>
        <v>1.8979149030978733</v>
      </c>
      <c r="BL158" s="62"/>
      <c r="BM158" s="96">
        <f t="shared" ca="1" si="97"/>
        <v>6.301760786747318E-2</v>
      </c>
      <c r="BO158" s="58"/>
    </row>
    <row r="159" spans="3:67" x14ac:dyDescent="0.2">
      <c r="C159" s="56"/>
      <c r="D159" s="63">
        <f t="shared" ca="1" si="83"/>
        <v>9.5480000000000054</v>
      </c>
      <c r="E159" s="45">
        <f t="shared" ca="1" si="101"/>
        <v>1.0207407407407421</v>
      </c>
      <c r="F159" s="45">
        <f t="shared" ca="1" si="66"/>
        <v>1.0217511111111124</v>
      </c>
      <c r="G159" s="45">
        <f t="shared" ca="1" si="67"/>
        <v>1.0197303703703717</v>
      </c>
      <c r="H159" s="45">
        <f t="shared" ca="1" si="68"/>
        <v>0.78338504415463361</v>
      </c>
      <c r="I159" s="45">
        <f t="shared" ca="1" si="69"/>
        <v>0.783097929520988</v>
      </c>
      <c r="J159" s="45">
        <f t="shared" ca="1" si="70"/>
        <v>0.78281101365262873</v>
      </c>
      <c r="L159" s="58"/>
      <c r="M159" s="58"/>
      <c r="O159" s="58"/>
      <c r="P159" s="58"/>
      <c r="R159" s="59">
        <f t="shared" ca="1" si="79"/>
        <v>9.9375131324986862E-2</v>
      </c>
      <c r="S159" s="59">
        <f t="shared" ca="1" si="80"/>
        <v>0.791855521386021</v>
      </c>
      <c r="T159" s="59">
        <f t="shared" ca="1" si="71"/>
        <v>-0.6270351667495272</v>
      </c>
      <c r="U159" s="59">
        <f t="shared" ca="1" si="81"/>
        <v>-1.773462554663769</v>
      </c>
      <c r="V159" s="59"/>
      <c r="W159" s="104">
        <f t="shared" ca="1" si="82"/>
        <v>1.3691650243693603E-2</v>
      </c>
      <c r="Z159" s="59">
        <f t="shared" ca="1" si="76"/>
        <v>0.1039277535342344</v>
      </c>
      <c r="AA159" s="59">
        <f t="shared" ca="1" si="77"/>
        <v>0.78428105646763391</v>
      </c>
      <c r="AB159" s="59">
        <f t="shared" ca="1" si="99"/>
        <v>-0.615096775533988</v>
      </c>
      <c r="AC159" s="59">
        <f t="shared" ca="1" si="84"/>
        <v>-1.902747777743331</v>
      </c>
      <c r="AD159" s="60">
        <f t="shared" ca="1" si="100"/>
        <v>0.14915820202548469</v>
      </c>
      <c r="AE159" s="60">
        <f t="shared" ca="1" si="85"/>
        <v>1.5501676857714116E-2</v>
      </c>
      <c r="AF159" s="60"/>
      <c r="AG159" s="96">
        <f t="shared" ca="1" si="86"/>
        <v>1.950767939937158</v>
      </c>
      <c r="AH159" s="96">
        <f t="shared" ca="1" si="87"/>
        <v>1.9520112954883164</v>
      </c>
      <c r="AI159" s="96">
        <f t="shared" ca="1" si="88"/>
        <v>1.9495239625527394</v>
      </c>
      <c r="AJ159" s="62"/>
      <c r="AK159" s="96">
        <f t="shared" ca="1" si="98"/>
        <v>5.2557450053006376E-2</v>
      </c>
      <c r="AL159" s="62"/>
      <c r="AM159" s="62"/>
      <c r="AX159" s="106">
        <f t="shared" ca="1" si="89"/>
        <v>0.66287600000000013</v>
      </c>
      <c r="AY159" s="106">
        <f t="shared" ca="1" si="90"/>
        <v>0.66293328800000006</v>
      </c>
      <c r="AZ159" s="106">
        <f t="shared" ca="1" si="91"/>
        <v>0.66281871200000009</v>
      </c>
      <c r="BB159" s="109">
        <f ca="1">_xll.EURO(UnderlyingPrice,$D159,IntRate,Yield,AX159,$D$6,1,0)</f>
        <v>7.2487108574623149E-2</v>
      </c>
      <c r="BC159" s="109">
        <f ca="1">_xll.EURO(UnderlyingPrice,$D159*(1+$P$8),IntRate,Yield,AY159,$D$6,1,0)</f>
        <v>7.2345417695865E-2</v>
      </c>
      <c r="BD159" s="109">
        <f ca="1">_xll.EURO(UnderlyingPrice,$D159*(1-$P$8),IntRate,Yield,AZ159,$D$6,1,0)</f>
        <v>7.2629136169212849E-2</v>
      </c>
      <c r="BF159" s="59">
        <f t="shared" ca="1" si="92"/>
        <v>1.4774020829484799E-2</v>
      </c>
      <c r="BG159" s="62">
        <f t="shared" ca="1" si="93"/>
        <v>1.5041891533684229E-2</v>
      </c>
      <c r="BI159" s="96">
        <f t="shared" ca="1" si="94"/>
        <v>1.949648794131138</v>
      </c>
      <c r="BJ159" s="96">
        <f t="shared" ca="1" si="95"/>
        <v>1.9508912511228225</v>
      </c>
      <c r="BK159" s="96">
        <f t="shared" ca="1" si="96"/>
        <v>1.9484057157555856</v>
      </c>
      <c r="BL159" s="62"/>
      <c r="BM159" s="96">
        <f t="shared" ca="1" si="97"/>
        <v>5.7782312115429342E-2</v>
      </c>
      <c r="BO159" s="58"/>
    </row>
    <row r="160" spans="3:67" x14ac:dyDescent="0.2">
      <c r="C160" s="56"/>
      <c r="D160" s="63">
        <f t="shared" ca="1" si="83"/>
        <v>9.7400000000000055</v>
      </c>
      <c r="E160" s="45">
        <f t="shared" ca="1" si="101"/>
        <v>1.0613756613756626</v>
      </c>
      <c r="F160" s="45">
        <f t="shared" ca="1" si="66"/>
        <v>1.0624063492063502</v>
      </c>
      <c r="G160" s="45">
        <f t="shared" ca="1" si="67"/>
        <v>1.060344973544975</v>
      </c>
      <c r="H160" s="45">
        <f t="shared" ca="1" si="68"/>
        <v>0.79510285873647091</v>
      </c>
      <c r="I160" s="45">
        <f t="shared" ca="1" si="69"/>
        <v>0.79480181383723902</v>
      </c>
      <c r="J160" s="45">
        <f t="shared" ca="1" si="70"/>
        <v>0.79450097577757961</v>
      </c>
      <c r="L160" s="58"/>
      <c r="M160" s="58"/>
      <c r="O160" s="58"/>
      <c r="P160" s="58"/>
      <c r="R160" s="59">
        <f t="shared" ca="1" si="79"/>
        <v>9.741619649804667E-2</v>
      </c>
      <c r="S160" s="59">
        <f t="shared" ca="1" si="80"/>
        <v>0.81176493056388099</v>
      </c>
      <c r="T160" s="59">
        <f t="shared" ca="1" si="71"/>
        <v>-0.6589623024933825</v>
      </c>
      <c r="U160" s="59">
        <f t="shared" ca="1" si="81"/>
        <v>-1.8637630397432803</v>
      </c>
      <c r="V160" s="59"/>
      <c r="W160" s="104">
        <f t="shared" ca="1" si="82"/>
        <v>1.2097297391991363E-2</v>
      </c>
      <c r="Z160" s="59">
        <f t="shared" ca="1" si="76"/>
        <v>0.10187907502514067</v>
      </c>
      <c r="AA160" s="59">
        <f t="shared" ca="1" si="77"/>
        <v>0.8041904656454939</v>
      </c>
      <c r="AB160" s="59">
        <f t="shared" ca="1" si="99"/>
        <v>-0.6467223050351163</v>
      </c>
      <c r="AC160" s="59">
        <f t="shared" ca="1" si="84"/>
        <v>-2.0005785718098217</v>
      </c>
      <c r="AD160" s="60">
        <f t="shared" ca="1" si="100"/>
        <v>0.13525700470391752</v>
      </c>
      <c r="AE160" s="60">
        <f t="shared" ca="1" si="85"/>
        <v>1.3779858529906217E-2</v>
      </c>
      <c r="AF160" s="60"/>
      <c r="AG160" s="96">
        <f t="shared" ca="1" si="86"/>
        <v>2.0002892649863533</v>
      </c>
      <c r="AH160" s="96">
        <f t="shared" ca="1" si="87"/>
        <v>2.0015326205375117</v>
      </c>
      <c r="AI160" s="96">
        <f t="shared" ca="1" si="88"/>
        <v>1.9990452876019349</v>
      </c>
      <c r="AJ160" s="62"/>
      <c r="AK160" s="96">
        <f t="shared" ca="1" si="98"/>
        <v>4.7371091707380422E-2</v>
      </c>
      <c r="AL160" s="62"/>
      <c r="AM160" s="62"/>
      <c r="AX160" s="106">
        <f t="shared" ca="1" si="89"/>
        <v>0.66515000000000013</v>
      </c>
      <c r="AY160" s="106">
        <f t="shared" ca="1" si="90"/>
        <v>0.66519870000000003</v>
      </c>
      <c r="AZ160" s="106">
        <f t="shared" ca="1" si="91"/>
        <v>0.66510130000000012</v>
      </c>
      <c r="BB160" s="109">
        <f ca="1">_xll.EURO(UnderlyingPrice,$D160,IntRate,Yield,AX160,$D$6,1,0)</f>
        <v>6.7030320688108214E-2</v>
      </c>
      <c r="BC160" s="109">
        <f ca="1">_xll.EURO(UnderlyingPrice,$D160*(1+$P$8),IntRate,Yield,AY160,$D$6,1,0)</f>
        <v>6.6894213538977843E-2</v>
      </c>
      <c r="BD160" s="109">
        <f ca="1">_xll.EURO(UnderlyingPrice,$D160*(1-$P$8),IntRate,Yield,AZ160,$D$6,1,0)</f>
        <v>6.7166755378078702E-2</v>
      </c>
      <c r="BF160" s="59">
        <f t="shared" ca="1" si="92"/>
        <v>1.3810440661178387E-2</v>
      </c>
      <c r="BG160" s="62">
        <f t="shared" ca="1" si="93"/>
        <v>1.4060840502082313E-2</v>
      </c>
      <c r="BI160" s="96">
        <f t="shared" ca="1" si="94"/>
        <v>1.9991343306597096</v>
      </c>
      <c r="BJ160" s="96">
        <f t="shared" ca="1" si="95"/>
        <v>2.000376787651394</v>
      </c>
      <c r="BK160" s="96">
        <f t="shared" ca="1" si="96"/>
        <v>1.9978912522841572</v>
      </c>
      <c r="BL160" s="62"/>
      <c r="BM160" s="96">
        <f t="shared" ca="1" si="97"/>
        <v>5.5099834142586249E-2</v>
      </c>
      <c r="BO160" s="58"/>
    </row>
    <row r="161" spans="3:67" x14ac:dyDescent="0.2">
      <c r="C161" s="56"/>
      <c r="D161" s="63">
        <f t="shared" ca="1" si="83"/>
        <v>9.9320000000000057</v>
      </c>
      <c r="E161" s="45">
        <f t="shared" ca="1" si="101"/>
        <v>1.1020105820105832</v>
      </c>
      <c r="F161" s="45">
        <f t="shared" ca="1" si="66"/>
        <v>1.1030615873015885</v>
      </c>
      <c r="G161" s="45">
        <f t="shared" ca="1" si="67"/>
        <v>1.1009595767195783</v>
      </c>
      <c r="H161" s="45">
        <f t="shared" ca="1" si="68"/>
        <v>0.80714249281587647</v>
      </c>
      <c r="I161" s="45">
        <f t="shared" ca="1" si="69"/>
        <v>0.80682719607276432</v>
      </c>
      <c r="J161" s="45">
        <f t="shared" ca="1" si="70"/>
        <v>0.80651211440426007</v>
      </c>
      <c r="L161" s="58"/>
      <c r="M161" s="58"/>
      <c r="O161" s="58"/>
      <c r="P161" s="58"/>
      <c r="R161" s="59">
        <f t="shared" ca="1" si="79"/>
        <v>9.5532999787653505E-2</v>
      </c>
      <c r="S161" s="59">
        <f t="shared" ca="1" si="80"/>
        <v>0.83128568055535745</v>
      </c>
      <c r="T161" s="59">
        <f t="shared" ca="1" si="71"/>
        <v>-0.69103588269638383</v>
      </c>
      <c r="U161" s="59">
        <f t="shared" ca="1" si="81"/>
        <v>-1.9544777181223154</v>
      </c>
      <c r="V161" s="59"/>
      <c r="W161" s="104">
        <f t="shared" ca="1" si="82"/>
        <v>1.0687662929186858E-2</v>
      </c>
      <c r="Z161" s="59">
        <f t="shared" ca="1" si="76"/>
        <v>9.9909604384300243E-2</v>
      </c>
      <c r="AA161" s="59">
        <f t="shared" ca="1" si="77"/>
        <v>0.82371121563697036</v>
      </c>
      <c r="AB161" s="59">
        <f t="shared" ca="1" si="99"/>
        <v>-0.67850016676613545</v>
      </c>
      <c r="AC161" s="59">
        <f t="shared" ca="1" si="84"/>
        <v>-2.0988805922319571</v>
      </c>
      <c r="AD161" s="60">
        <f t="shared" ca="1" si="100"/>
        <v>0.12259358368211934</v>
      </c>
      <c r="AE161" s="60">
        <f t="shared" ca="1" si="85"/>
        <v>1.224827644573415E-2</v>
      </c>
      <c r="AF161" s="60"/>
      <c r="AG161" s="96">
        <f t="shared" ca="1" si="86"/>
        <v>2.0488438653211021</v>
      </c>
      <c r="AH161" s="96">
        <f t="shared" ca="1" si="87"/>
        <v>2.0500872208722609</v>
      </c>
      <c r="AI161" s="96">
        <f t="shared" ca="1" si="88"/>
        <v>2.0475998879366841</v>
      </c>
      <c r="AJ161" s="62"/>
      <c r="AK161" s="96">
        <f t="shared" ca="1" si="98"/>
        <v>4.2676180053905277E-2</v>
      </c>
      <c r="AL161" s="62"/>
      <c r="AM161" s="62"/>
      <c r="AX161" s="106">
        <f t="shared" ca="1" si="89"/>
        <v>0.66707000000000005</v>
      </c>
      <c r="AY161" s="106">
        <f t="shared" ca="1" si="90"/>
        <v>0.66711966000000011</v>
      </c>
      <c r="AZ161" s="106">
        <f t="shared" ca="1" si="91"/>
        <v>0.6670203400000001</v>
      </c>
      <c r="BB161" s="109">
        <f ca="1">_xll.EURO(UnderlyingPrice,$D161,IntRate,Yield,AX161,$D$6,1,0)</f>
        <v>6.1903733971291786E-2</v>
      </c>
      <c r="BC161" s="109">
        <f ca="1">_xll.EURO(UnderlyingPrice,$D161*(1+$P$8),IntRate,Yield,AY161,$D$6,1,0)</f>
        <v>6.1777432377472963E-2</v>
      </c>
      <c r="BD161" s="109">
        <f ca="1">_xll.EURO(UnderlyingPrice,$D161*(1-$P$8),IntRate,Yield,AZ161,$D$6,1,0)</f>
        <v>6.2030342339485678E-2</v>
      </c>
      <c r="BF161" s="59">
        <f t="shared" ca="1" si="92"/>
        <v>1.2439578058284873E-2</v>
      </c>
      <c r="BG161" s="62">
        <f t="shared" ca="1" si="93"/>
        <v>1.2665122517229078E-2</v>
      </c>
      <c r="BI161" s="96">
        <f t="shared" ca="1" si="94"/>
        <v>2.047653841115225</v>
      </c>
      <c r="BJ161" s="96">
        <f t="shared" ca="1" si="95"/>
        <v>2.0488962981069094</v>
      </c>
      <c r="BK161" s="96">
        <f t="shared" ca="1" si="96"/>
        <v>2.0464107627396726</v>
      </c>
      <c r="BL161" s="62"/>
      <c r="BM161" s="96">
        <f t="shared" ca="1" si="97"/>
        <v>5.0608813899501968E-2</v>
      </c>
      <c r="BO161" s="58"/>
    </row>
    <row r="162" spans="3:67" x14ac:dyDescent="0.2">
      <c r="C162" s="56"/>
      <c r="D162" s="63">
        <f t="shared" ca="1" si="83"/>
        <v>10.124000000000006</v>
      </c>
      <c r="E162" s="45">
        <f t="shared" ca="1" si="101"/>
        <v>1.1426455026455042</v>
      </c>
      <c r="F162" s="45">
        <f t="shared" ca="1" si="66"/>
        <v>1.1437168253968264</v>
      </c>
      <c r="G162" s="45">
        <f t="shared" ca="1" si="67"/>
        <v>1.1415741798941816</v>
      </c>
      <c r="H162" s="45">
        <f t="shared" ca="1" si="68"/>
        <v>0.81950394639284996</v>
      </c>
      <c r="I162" s="45">
        <f t="shared" ca="1" si="69"/>
        <v>0.81917407622756411</v>
      </c>
      <c r="J162" s="45">
        <f t="shared" ca="1" si="70"/>
        <v>0.81884442953267012</v>
      </c>
      <c r="L162" s="58"/>
      <c r="M162" s="58"/>
      <c r="O162" s="58"/>
      <c r="P162" s="58"/>
      <c r="R162" s="59">
        <f t="shared" ca="1" si="79"/>
        <v>9.3721232110922009E-2</v>
      </c>
      <c r="S162" s="59">
        <f t="shared" ca="1" si="80"/>
        <v>0.85043265559231518</v>
      </c>
      <c r="T162" s="59">
        <f t="shared" ca="1" si="71"/>
        <v>-0.72323570169779738</v>
      </c>
      <c r="U162" s="59">
        <f t="shared" ca="1" si="81"/>
        <v>-2.0455494415186029</v>
      </c>
      <c r="V162" s="59"/>
      <c r="W162" s="104">
        <f t="shared" ca="1" si="82"/>
        <v>9.4419362017410732E-3</v>
      </c>
      <c r="Z162" s="59">
        <f t="shared" ca="1" si="76"/>
        <v>9.8014835119011268E-2</v>
      </c>
      <c r="AA162" s="59">
        <f t="shared" ca="1" si="77"/>
        <v>0.84285819067392798</v>
      </c>
      <c r="AB162" s="59">
        <f t="shared" ca="1" si="99"/>
        <v>-0.71040992958612748</v>
      </c>
      <c r="AC162" s="59">
        <f t="shared" ca="1" si="84"/>
        <v>-2.1975906370722127</v>
      </c>
      <c r="AD162" s="60">
        <f t="shared" ca="1" si="100"/>
        <v>0.11107044525063303</v>
      </c>
      <c r="AE162" s="60">
        <f t="shared" ca="1" si="85"/>
        <v>1.0886551377835965E-2</v>
      </c>
      <c r="AF162" s="60"/>
      <c r="AG162" s="96">
        <f t="shared" ca="1" si="86"/>
        <v>2.096468762978458</v>
      </c>
      <c r="AH162" s="96">
        <f t="shared" ca="1" si="87"/>
        <v>2.0977121185296159</v>
      </c>
      <c r="AI162" s="96">
        <f t="shared" ca="1" si="88"/>
        <v>2.0952247855940396</v>
      </c>
      <c r="AJ162" s="62"/>
      <c r="AK162" s="96">
        <f t="shared" ca="1" si="98"/>
        <v>3.843078694420022E-2</v>
      </c>
      <c r="AL162" s="62"/>
      <c r="AM162" s="62"/>
      <c r="AX162" s="106">
        <f t="shared" ca="1" si="89"/>
        <v>0.66899000000000008</v>
      </c>
      <c r="AY162" s="106">
        <f t="shared" ca="1" si="90"/>
        <v>0.66904062000000009</v>
      </c>
      <c r="AZ162" s="106">
        <f t="shared" ca="1" si="91"/>
        <v>0.66893938000000008</v>
      </c>
      <c r="BB162" s="109">
        <f ca="1">_xll.EURO(UnderlyingPrice,$D162,IntRate,Yield,AX162,$D$6,1,0)</f>
        <v>5.7236163120986339E-2</v>
      </c>
      <c r="BC162" s="109">
        <f ca="1">_xll.EURO(UnderlyingPrice,$D162*(1+$P$8),IntRate,Yield,AY162,$D$6,1,0)</f>
        <v>5.7118890319105442E-2</v>
      </c>
      <c r="BD162" s="109">
        <f ca="1">_xll.EURO(UnderlyingPrice,$D162*(1-$P$8),IntRate,Yield,AZ162,$D$6,1,0)</f>
        <v>5.7353723248057487E-2</v>
      </c>
      <c r="BF162" s="59">
        <f t="shared" ca="1" si="92"/>
        <v>1.1213196203166055E-2</v>
      </c>
      <c r="BG162" s="62">
        <f t="shared" ca="1" si="93"/>
        <v>1.1416504889266859E-2</v>
      </c>
      <c r="BI162" s="96">
        <f t="shared" ca="1" si="94"/>
        <v>2.0952443207793157</v>
      </c>
      <c r="BJ162" s="96">
        <f t="shared" ca="1" si="95"/>
        <v>2.0964867777709997</v>
      </c>
      <c r="BK162" s="96">
        <f t="shared" ca="1" si="96"/>
        <v>2.0940012424037633</v>
      </c>
      <c r="BL162" s="62"/>
      <c r="BM162" s="96">
        <f t="shared" ca="1" si="97"/>
        <v>4.6501328052897209E-2</v>
      </c>
      <c r="BO162" s="58"/>
    </row>
    <row r="163" spans="3:67" x14ac:dyDescent="0.2">
      <c r="C163" s="56"/>
      <c r="D163" s="63">
        <f t="shared" ca="1" si="83"/>
        <v>10.316000000000006</v>
      </c>
      <c r="E163" s="45">
        <f t="shared" ca="1" si="101"/>
        <v>1.1832804232804248</v>
      </c>
      <c r="F163" s="45">
        <f t="shared" ca="1" si="66"/>
        <v>1.1843720634920647</v>
      </c>
      <c r="G163" s="45">
        <f t="shared" ca="1" si="67"/>
        <v>1.1821887830687845</v>
      </c>
      <c r="H163" s="45">
        <f t="shared" ca="1" si="68"/>
        <v>0.83218721946739171</v>
      </c>
      <c r="I163" s="45">
        <f t="shared" ca="1" si="69"/>
        <v>0.83184245430163817</v>
      </c>
      <c r="J163" s="45">
        <f t="shared" ca="1" si="70"/>
        <v>0.83149792116280963</v>
      </c>
      <c r="L163" s="58"/>
      <c r="M163" s="58"/>
      <c r="O163" s="58"/>
      <c r="P163" s="58"/>
      <c r="R163" s="59">
        <f t="shared" ca="1" si="79"/>
        <v>9.1976905185243749E-2</v>
      </c>
      <c r="S163" s="59">
        <f t="shared" ca="1" si="80"/>
        <v>0.86921990092853574</v>
      </c>
      <c r="T163" s="59">
        <f t="shared" ca="1" si="71"/>
        <v>-0.75554323617021346</v>
      </c>
      <c r="U163" s="59">
        <f t="shared" ca="1" si="81"/>
        <v>-2.1369258198441683</v>
      </c>
      <c r="V163" s="59"/>
      <c r="W163" s="104">
        <f t="shared" ca="1" si="82"/>
        <v>8.3414850348832205E-3</v>
      </c>
      <c r="Z163" s="59">
        <f t="shared" ca="1" si="76"/>
        <v>9.6190596233508147E-2</v>
      </c>
      <c r="AA163" s="59">
        <f t="shared" ca="1" si="77"/>
        <v>0.86164543601014865</v>
      </c>
      <c r="AB163" s="59">
        <f t="shared" ca="1" si="99"/>
        <v>-0.74243285739711917</v>
      </c>
      <c r="AC163" s="59">
        <f t="shared" ca="1" si="84"/>
        <v>-2.2966507478593363</v>
      </c>
      <c r="AD163" s="60">
        <f t="shared" ca="1" si="100"/>
        <v>0.10059519882436316</v>
      </c>
      <c r="AE163" s="60">
        <f t="shared" ca="1" si="85"/>
        <v>9.6763121531437905E-3</v>
      </c>
      <c r="AF163" s="60"/>
      <c r="AG163" s="96">
        <f t="shared" ca="1" si="86"/>
        <v>2.1431988931778299</v>
      </c>
      <c r="AH163" s="96">
        <f t="shared" ca="1" si="87"/>
        <v>2.1444422487289878</v>
      </c>
      <c r="AI163" s="96">
        <f t="shared" ca="1" si="88"/>
        <v>2.141954915793411</v>
      </c>
      <c r="AJ163" s="62"/>
      <c r="AK163" s="96">
        <f t="shared" ca="1" si="98"/>
        <v>3.4595593693572388E-2</v>
      </c>
      <c r="AL163" s="62"/>
      <c r="AM163" s="62"/>
      <c r="AX163" s="106">
        <f t="shared" ca="1" si="89"/>
        <v>0.67091000000000012</v>
      </c>
      <c r="AY163" s="106">
        <f t="shared" ca="1" si="90"/>
        <v>0.67096158000000006</v>
      </c>
      <c r="AZ163" s="106">
        <f t="shared" ca="1" si="91"/>
        <v>0.67085842000000007</v>
      </c>
      <c r="BB163" s="109">
        <f ca="1">_xll.EURO(UnderlyingPrice,$D163,IntRate,Yield,AX163,$D$6,1,0)</f>
        <v>5.2982350656433086E-2</v>
      </c>
      <c r="BC163" s="109">
        <f ca="1">_xll.EURO(UnderlyingPrice,$D163*(1+$P$8),IntRate,Yield,AY163,$D$6,1,0)</f>
        <v>5.2873393287128367E-2</v>
      </c>
      <c r="BD163" s="109">
        <f ca="1">_xll.EURO(UnderlyingPrice,$D163*(1-$P$8),IntRate,Yield,AZ163,$D$6,1,0)</f>
        <v>5.3091577151132552E-2</v>
      </c>
      <c r="BF163" s="59">
        <f t="shared" ca="1" si="92"/>
        <v>1.011560830329734E-2</v>
      </c>
      <c r="BG163" s="62">
        <f t="shared" ca="1" si="93"/>
        <v>1.0299016405322086E-2</v>
      </c>
      <c r="BI163" s="96">
        <f t="shared" ca="1" si="94"/>
        <v>2.1419406796240898</v>
      </c>
      <c r="BJ163" s="96">
        <f t="shared" ca="1" si="95"/>
        <v>2.1431831366157734</v>
      </c>
      <c r="BK163" s="96">
        <f t="shared" ca="1" si="96"/>
        <v>2.1406976012485366</v>
      </c>
      <c r="BL163" s="62"/>
      <c r="BM163" s="96">
        <f t="shared" ca="1" si="97"/>
        <v>4.2745178619371112E-2</v>
      </c>
      <c r="BO163" s="58"/>
    </row>
    <row r="164" spans="3:67" x14ac:dyDescent="0.2">
      <c r="C164" s="56"/>
      <c r="D164" s="63">
        <f t="shared" ca="1" si="83"/>
        <v>10.508000000000006</v>
      </c>
      <c r="E164" s="45">
        <f t="shared" ca="1" si="101"/>
        <v>1.2239153439153454</v>
      </c>
      <c r="F164" s="45">
        <f t="shared" ca="1" si="66"/>
        <v>1.225027301587303</v>
      </c>
      <c r="G164" s="45">
        <f t="shared" ca="1" si="67"/>
        <v>1.2228033862433878</v>
      </c>
      <c r="H164" s="45">
        <f t="shared" ca="1" si="68"/>
        <v>0.84519231203950163</v>
      </c>
      <c r="I164" s="45">
        <f t="shared" ca="1" si="69"/>
        <v>0.84483233029498661</v>
      </c>
      <c r="J164" s="45">
        <f t="shared" ca="1" si="70"/>
        <v>0.84447258929467894</v>
      </c>
      <c r="L164" s="58"/>
      <c r="M164" s="58"/>
      <c r="O164" s="58"/>
      <c r="P164" s="58"/>
      <c r="R164" s="59">
        <f t="shared" ca="1" si="79"/>
        <v>9.0296322220305911E-2</v>
      </c>
      <c r="S164" s="59">
        <f t="shared" ca="1" si="80"/>
        <v>0.88766068473273085</v>
      </c>
      <c r="T164" s="59">
        <f t="shared" ca="1" si="71"/>
        <v>-0.78794149122018065</v>
      </c>
      <c r="U164" s="59">
        <f t="shared" ca="1" si="81"/>
        <v>-2.2285587859270972</v>
      </c>
      <c r="V164" s="59"/>
      <c r="W164" s="104">
        <f t="shared" ca="1" si="82"/>
        <v>7.3696683505114552E-3</v>
      </c>
      <c r="Z164" s="59">
        <f t="shared" ca="1" si="76"/>
        <v>9.4433021578308907E-2</v>
      </c>
      <c r="AA164" s="59">
        <f t="shared" ca="1" si="77"/>
        <v>0.88008621981434365</v>
      </c>
      <c r="AB164" s="59">
        <f t="shared" ca="1" si="99"/>
        <v>-0.77455175430710121</v>
      </c>
      <c r="AC164" s="59">
        <f t="shared" ca="1" si="84"/>
        <v>-2.3960077306137655</v>
      </c>
      <c r="AD164" s="60">
        <f t="shared" ca="1" si="100"/>
        <v>9.1080847701246442E-2</v>
      </c>
      <c r="AE164" s="60">
        <f t="shared" ca="1" si="85"/>
        <v>8.601039656342473E-3</v>
      </c>
      <c r="AF164" s="60"/>
      <c r="AG164" s="96">
        <f t="shared" ca="1" si="86"/>
        <v>2.189067258269497</v>
      </c>
      <c r="AH164" s="96">
        <f t="shared" ca="1" si="87"/>
        <v>2.1903106138206558</v>
      </c>
      <c r="AI164" s="96">
        <f t="shared" ca="1" si="88"/>
        <v>2.1878232808850786</v>
      </c>
      <c r="AJ164" s="62"/>
      <c r="AK164" s="96">
        <f t="shared" ca="1" si="98"/>
        <v>3.1133940261681457E-2</v>
      </c>
      <c r="AL164" s="62"/>
      <c r="AM164" s="62"/>
      <c r="AX164" s="106">
        <f t="shared" ca="1" si="89"/>
        <v>0.67283000000000004</v>
      </c>
      <c r="AY164" s="106">
        <f t="shared" ca="1" si="90"/>
        <v>0.67288254000000003</v>
      </c>
      <c r="AZ164" s="106">
        <f t="shared" ca="1" si="91"/>
        <v>0.67277746000000005</v>
      </c>
      <c r="BB164" s="109">
        <f ca="1">_xll.EURO(UnderlyingPrice,$D164,IntRate,Yield,AX164,$D$6,1,0)</f>
        <v>4.9101792145172601E-2</v>
      </c>
      <c r="BC164" s="109">
        <f ca="1">_xll.EURO(UnderlyingPrice,$D164*(1+$P$8),IntRate,Yield,AY164,$D$6,1,0)</f>
        <v>4.900049535880624E-2</v>
      </c>
      <c r="BD164" s="109">
        <f ca="1">_xll.EURO(UnderlyingPrice,$D164*(1-$P$8),IntRate,Yield,AZ164,$D$6,1,0)</f>
        <v>4.9203341038543152E-2</v>
      </c>
      <c r="BF164" s="59">
        <f t="shared" ca="1" si="92"/>
        <v>9.1328174052907746E-3</v>
      </c>
      <c r="BG164" s="62">
        <f t="shared" ca="1" si="93"/>
        <v>9.2984063304666284E-3</v>
      </c>
      <c r="BI164" s="96">
        <f t="shared" ca="1" si="94"/>
        <v>2.1877758961493878</v>
      </c>
      <c r="BJ164" s="96">
        <f t="shared" ca="1" si="95"/>
        <v>2.1890183531410732</v>
      </c>
      <c r="BK164" s="96">
        <f t="shared" ca="1" si="96"/>
        <v>2.1865328177738355</v>
      </c>
      <c r="BL164" s="62"/>
      <c r="BM164" s="96">
        <f t="shared" ca="1" si="97"/>
        <v>3.9310506303167146E-2</v>
      </c>
      <c r="BO164" s="58"/>
    </row>
    <row r="165" spans="3:67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3"/>
      <c r="AH165" s="62"/>
      <c r="AI165" s="62"/>
      <c r="AJ165" s="62"/>
      <c r="AK165" s="62"/>
      <c r="AL165" s="62"/>
      <c r="AM165" s="62"/>
    </row>
    <row r="166" spans="3:67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3"/>
      <c r="AH166" s="62"/>
      <c r="AI166" s="62"/>
      <c r="AJ166" s="62"/>
      <c r="AK166" s="62"/>
      <c r="AL166" s="62"/>
      <c r="AM166" s="62"/>
    </row>
    <row r="167" spans="3:67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3"/>
      <c r="AH167" s="62"/>
      <c r="AI167" s="62"/>
      <c r="AJ167" s="62"/>
      <c r="AK167" s="62"/>
      <c r="AL167" s="62"/>
      <c r="AM167" s="62"/>
    </row>
    <row r="168" spans="3:67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3"/>
      <c r="AH168" s="62"/>
      <c r="AI168" s="62"/>
      <c r="AJ168" s="62"/>
      <c r="AK168" s="62"/>
      <c r="AL168" s="62"/>
      <c r="AM168" s="62"/>
    </row>
    <row r="169" spans="3:67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7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7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7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7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7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7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7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40"/>
  <sheetViews>
    <sheetView workbookViewId="0">
      <selection activeCell="X2" sqref="X2:AD7"/>
    </sheetView>
  </sheetViews>
  <sheetFormatPr defaultRowHeight="13.2" x14ac:dyDescent="0.25"/>
  <sheetData>
    <row r="1" spans="1:21" ht="13.8" thickBot="1" x14ac:dyDescent="0.3"/>
    <row r="2" spans="1:21" ht="13.8" thickBot="1" x14ac:dyDescent="0.3">
      <c r="A2" s="116"/>
      <c r="B2" s="117">
        <v>-5</v>
      </c>
      <c r="C2" s="118">
        <v>-4</v>
      </c>
      <c r="D2" s="119">
        <v>-3.5</v>
      </c>
      <c r="E2" s="119">
        <v>-3</v>
      </c>
      <c r="F2" s="119">
        <v>-2.5</v>
      </c>
      <c r="G2" s="119">
        <v>-2</v>
      </c>
      <c r="H2" s="119">
        <v>-1.5</v>
      </c>
      <c r="I2" s="119">
        <v>-1</v>
      </c>
      <c r="J2" s="119">
        <v>-0.5</v>
      </c>
      <c r="K2" s="119">
        <v>0</v>
      </c>
      <c r="L2" s="119">
        <v>0.5</v>
      </c>
      <c r="M2" s="119">
        <v>1</v>
      </c>
      <c r="N2" s="119">
        <v>1.5</v>
      </c>
      <c r="O2" s="119">
        <v>2</v>
      </c>
      <c r="P2" s="119">
        <v>2.5</v>
      </c>
      <c r="Q2" s="119">
        <v>3</v>
      </c>
      <c r="R2" s="119">
        <v>4</v>
      </c>
      <c r="S2" s="119">
        <v>5</v>
      </c>
      <c r="T2" s="120">
        <v>10</v>
      </c>
      <c r="U2" s="121">
        <v>40</v>
      </c>
    </row>
    <row r="3" spans="1:21" x14ac:dyDescent="0.25">
      <c r="A3" s="122">
        <v>37012</v>
      </c>
      <c r="B3" s="123">
        <v>8</v>
      </c>
      <c r="C3" s="124">
        <v>7</v>
      </c>
      <c r="D3" s="125">
        <v>6</v>
      </c>
      <c r="E3" s="126">
        <v>5</v>
      </c>
      <c r="F3" s="127">
        <v>4</v>
      </c>
      <c r="G3" s="127">
        <v>3</v>
      </c>
      <c r="H3" s="126">
        <v>2</v>
      </c>
      <c r="I3" s="127">
        <v>0.5</v>
      </c>
      <c r="J3" s="126">
        <v>0</v>
      </c>
      <c r="K3" s="126">
        <v>0</v>
      </c>
      <c r="L3" s="126">
        <v>1</v>
      </c>
      <c r="M3" s="127">
        <v>1.6</v>
      </c>
      <c r="N3" s="127">
        <v>2.4</v>
      </c>
      <c r="O3" s="126">
        <v>3.2</v>
      </c>
      <c r="P3" s="127">
        <v>5</v>
      </c>
      <c r="Q3" s="126">
        <v>7.8313054883898694</v>
      </c>
      <c r="R3" s="127">
        <v>9.7622269359815395</v>
      </c>
      <c r="S3" s="128">
        <v>11.522892895584299</v>
      </c>
      <c r="T3" s="129">
        <v>20.326222693598197</v>
      </c>
      <c r="U3" s="124">
        <v>73.004543839754703</v>
      </c>
    </row>
    <row r="4" spans="1:21" x14ac:dyDescent="0.25">
      <c r="A4" s="130">
        <v>37043</v>
      </c>
      <c r="B4" s="131">
        <v>8</v>
      </c>
      <c r="C4" s="132">
        <v>7</v>
      </c>
      <c r="D4" s="133">
        <v>6</v>
      </c>
      <c r="E4" s="134">
        <v>5</v>
      </c>
      <c r="F4" s="135">
        <v>4</v>
      </c>
      <c r="G4" s="135">
        <v>2.5</v>
      </c>
      <c r="H4" s="134">
        <v>1</v>
      </c>
      <c r="I4" s="135">
        <v>0.25</v>
      </c>
      <c r="J4" s="134">
        <v>-0.25</v>
      </c>
      <c r="K4" s="134">
        <v>0</v>
      </c>
      <c r="L4" s="134">
        <v>1</v>
      </c>
      <c r="M4" s="135">
        <v>2</v>
      </c>
      <c r="N4" s="135">
        <v>3.2</v>
      </c>
      <c r="O4" s="134">
        <v>4.4000000000000004</v>
      </c>
      <c r="P4" s="135">
        <v>5.6262645517511896</v>
      </c>
      <c r="Q4" s="134">
        <v>6.5260879069915596</v>
      </c>
      <c r="R4" s="135">
        <v>8.1351891133179404</v>
      </c>
      <c r="S4" s="136">
        <v>9.602410746320249</v>
      </c>
      <c r="T4" s="137">
        <v>16.938518911331798</v>
      </c>
      <c r="U4" s="132">
        <v>60.837119866461293</v>
      </c>
    </row>
    <row r="5" spans="1:21" x14ac:dyDescent="0.25">
      <c r="A5" s="130">
        <v>37073</v>
      </c>
      <c r="B5" s="131">
        <v>8</v>
      </c>
      <c r="C5" s="132">
        <v>7</v>
      </c>
      <c r="D5" s="133">
        <v>6</v>
      </c>
      <c r="E5" s="134">
        <v>4.5</v>
      </c>
      <c r="F5" s="135">
        <v>3</v>
      </c>
      <c r="G5" s="135">
        <v>1.5</v>
      </c>
      <c r="H5" s="134">
        <v>0.5</v>
      </c>
      <c r="I5" s="135">
        <v>0</v>
      </c>
      <c r="J5" s="134">
        <v>-0.5</v>
      </c>
      <c r="K5" s="134">
        <v>0</v>
      </c>
      <c r="L5" s="134">
        <v>1.25</v>
      </c>
      <c r="M5" s="135">
        <v>2.4702249999999997</v>
      </c>
      <c r="N5" s="135">
        <v>3.6044329049999999</v>
      </c>
      <c r="O5" s="134">
        <v>4.5999999999999996</v>
      </c>
      <c r="P5" s="135">
        <v>5.6262645517511896</v>
      </c>
      <c r="Q5" s="134">
        <v>6.5260879069915596</v>
      </c>
      <c r="R5" s="135">
        <v>8.1351891133179404</v>
      </c>
      <c r="S5" s="136">
        <v>9.602410746320249</v>
      </c>
      <c r="T5" s="137">
        <v>16.938518911331798</v>
      </c>
      <c r="U5" s="132">
        <v>60.837119866461293</v>
      </c>
    </row>
    <row r="6" spans="1:21" x14ac:dyDescent="0.25">
      <c r="A6" s="130">
        <v>37104</v>
      </c>
      <c r="B6" s="131">
        <v>7</v>
      </c>
      <c r="C6" s="132">
        <v>6</v>
      </c>
      <c r="D6" s="133">
        <v>5</v>
      </c>
      <c r="E6" s="134">
        <v>3.5</v>
      </c>
      <c r="F6" s="135">
        <v>2.5</v>
      </c>
      <c r="G6" s="135">
        <v>1</v>
      </c>
      <c r="H6" s="134">
        <v>0</v>
      </c>
      <c r="I6" s="135">
        <v>-0.25</v>
      </c>
      <c r="J6" s="134">
        <v>-0.5</v>
      </c>
      <c r="K6" s="134">
        <v>0</v>
      </c>
      <c r="L6" s="134">
        <v>1.25</v>
      </c>
      <c r="M6" s="135">
        <v>2.4702249999999997</v>
      </c>
      <c r="N6" s="135">
        <v>3.6044329049999999</v>
      </c>
      <c r="O6" s="134">
        <v>4.5999999999999996</v>
      </c>
      <c r="P6" s="135">
        <v>5.6262645517511896</v>
      </c>
      <c r="Q6" s="134">
        <v>6.5260879069915596</v>
      </c>
      <c r="R6" s="135">
        <v>8.1351891133179404</v>
      </c>
      <c r="S6" s="136">
        <v>9.602410746320249</v>
      </c>
      <c r="T6" s="137">
        <v>16.938518911331798</v>
      </c>
      <c r="U6" s="132">
        <v>60.837119866461293</v>
      </c>
    </row>
    <row r="7" spans="1:21" x14ac:dyDescent="0.25">
      <c r="A7" s="130">
        <v>37135</v>
      </c>
      <c r="B7" s="131">
        <v>6.5</v>
      </c>
      <c r="C7" s="132">
        <v>5.5</v>
      </c>
      <c r="D7" s="133">
        <v>4</v>
      </c>
      <c r="E7" s="134">
        <v>2.5</v>
      </c>
      <c r="F7" s="135">
        <v>1.5</v>
      </c>
      <c r="G7" s="135">
        <v>0.5</v>
      </c>
      <c r="H7" s="134">
        <v>-0.25</v>
      </c>
      <c r="I7" s="135">
        <v>-0.5</v>
      </c>
      <c r="J7" s="134">
        <v>-0.5</v>
      </c>
      <c r="K7" s="134">
        <v>0</v>
      </c>
      <c r="L7" s="134">
        <v>1.2</v>
      </c>
      <c r="M7" s="135">
        <v>2.371416</v>
      </c>
      <c r="N7" s="135">
        <v>3.4602555887999999</v>
      </c>
      <c r="O7" s="134">
        <v>4.45</v>
      </c>
      <c r="P7" s="135">
        <v>5.401213969681149</v>
      </c>
      <c r="Q7" s="134">
        <v>6.2650443907118998</v>
      </c>
      <c r="R7" s="135">
        <v>7.8097815487852404</v>
      </c>
      <c r="S7" s="136">
        <v>9.218314316467449</v>
      </c>
      <c r="T7" s="137">
        <v>16.260978154878497</v>
      </c>
      <c r="U7" s="132">
        <v>58.403635071802697</v>
      </c>
    </row>
    <row r="8" spans="1:21" x14ac:dyDescent="0.25">
      <c r="A8" s="130">
        <v>37165</v>
      </c>
      <c r="B8" s="131">
        <v>4.75</v>
      </c>
      <c r="C8" s="132">
        <v>3.75</v>
      </c>
      <c r="D8" s="133">
        <v>2.75</v>
      </c>
      <c r="E8" s="134">
        <v>1.75</v>
      </c>
      <c r="F8" s="135">
        <v>0.75</v>
      </c>
      <c r="G8" s="135">
        <v>0.25</v>
      </c>
      <c r="H8" s="134">
        <v>-0.4</v>
      </c>
      <c r="I8" s="135">
        <v>-0.75</v>
      </c>
      <c r="J8" s="134">
        <v>-0.5</v>
      </c>
      <c r="K8" s="134">
        <v>0</v>
      </c>
      <c r="L8" s="134">
        <v>1.2</v>
      </c>
      <c r="M8" s="135">
        <v>2.371416</v>
      </c>
      <c r="N8" s="135">
        <v>3.4602555887999999</v>
      </c>
      <c r="O8" s="134">
        <v>4.45</v>
      </c>
      <c r="P8" s="135">
        <v>5.401213969681149</v>
      </c>
      <c r="Q8" s="134">
        <v>6.2650443907118998</v>
      </c>
      <c r="R8" s="135">
        <v>7.8097815487852404</v>
      </c>
      <c r="S8" s="136">
        <v>9.218314316467449</v>
      </c>
      <c r="T8" s="137">
        <v>16.260978154878497</v>
      </c>
      <c r="U8" s="132">
        <v>58.403635071802697</v>
      </c>
    </row>
    <row r="9" spans="1:21" x14ac:dyDescent="0.25">
      <c r="A9" s="130">
        <v>37196</v>
      </c>
      <c r="B9" s="131">
        <v>4.5</v>
      </c>
      <c r="C9" s="132">
        <v>3.5</v>
      </c>
      <c r="D9" s="133">
        <v>2.5</v>
      </c>
      <c r="E9" s="134">
        <v>1.5</v>
      </c>
      <c r="F9" s="135">
        <v>0.5</v>
      </c>
      <c r="G9" s="135">
        <v>0</v>
      </c>
      <c r="H9" s="134">
        <v>-0.4</v>
      </c>
      <c r="I9" s="135">
        <v>-0.75</v>
      </c>
      <c r="J9" s="134">
        <v>-0.5</v>
      </c>
      <c r="K9" s="134">
        <v>0</v>
      </c>
      <c r="L9" s="134">
        <v>0.95</v>
      </c>
      <c r="M9" s="135">
        <v>1.8773709999999999</v>
      </c>
      <c r="N9" s="135">
        <v>2.34</v>
      </c>
      <c r="O9" s="134">
        <v>3.2</v>
      </c>
      <c r="P9" s="135">
        <v>4</v>
      </c>
      <c r="Q9" s="134">
        <v>4.66</v>
      </c>
      <c r="R9" s="135">
        <v>5.8</v>
      </c>
      <c r="S9" s="136">
        <v>7</v>
      </c>
      <c r="T9" s="137">
        <v>12</v>
      </c>
      <c r="U9" s="132">
        <v>44</v>
      </c>
    </row>
    <row r="10" spans="1:21" x14ac:dyDescent="0.25">
      <c r="A10" s="130">
        <v>37226</v>
      </c>
      <c r="B10" s="138">
        <v>4.5</v>
      </c>
      <c r="C10" s="139">
        <v>3.5</v>
      </c>
      <c r="D10" s="133">
        <v>2.5</v>
      </c>
      <c r="E10" s="134">
        <v>1.5</v>
      </c>
      <c r="F10" s="135">
        <v>0.5</v>
      </c>
      <c r="G10" s="135">
        <v>0</v>
      </c>
      <c r="H10" s="140">
        <v>-0.4</v>
      </c>
      <c r="I10" s="135">
        <v>-0.75</v>
      </c>
      <c r="J10" s="140">
        <v>-0.5</v>
      </c>
      <c r="K10" s="140">
        <v>0</v>
      </c>
      <c r="L10" s="140">
        <v>0.95</v>
      </c>
      <c r="M10" s="135">
        <v>1.8773709999999999</v>
      </c>
      <c r="N10" s="135">
        <v>2.34</v>
      </c>
      <c r="O10" s="140">
        <v>3.2</v>
      </c>
      <c r="P10" s="135">
        <v>4</v>
      </c>
      <c r="Q10" s="140">
        <v>4.66</v>
      </c>
      <c r="R10" s="135">
        <v>5.8</v>
      </c>
      <c r="S10" s="141">
        <v>7</v>
      </c>
      <c r="T10" s="142">
        <v>12</v>
      </c>
      <c r="U10" s="139">
        <v>44</v>
      </c>
    </row>
    <row r="11" spans="1:21" x14ac:dyDescent="0.25">
      <c r="A11" s="130">
        <v>37257</v>
      </c>
      <c r="B11" s="138">
        <v>4.5</v>
      </c>
      <c r="C11" s="139">
        <v>3.5</v>
      </c>
      <c r="D11" s="133">
        <v>2.5</v>
      </c>
      <c r="E11" s="134">
        <v>1.5</v>
      </c>
      <c r="F11" s="135">
        <v>0.5</v>
      </c>
      <c r="G11" s="135">
        <v>0</v>
      </c>
      <c r="H11" s="140">
        <v>-0.4</v>
      </c>
      <c r="I11" s="135">
        <v>-0.75</v>
      </c>
      <c r="J11" s="140">
        <v>-0.5</v>
      </c>
      <c r="K11" s="140">
        <v>0</v>
      </c>
      <c r="L11" s="140">
        <v>0.95</v>
      </c>
      <c r="M11" s="135">
        <v>1.8773709999999999</v>
      </c>
      <c r="N11" s="135">
        <v>2.34</v>
      </c>
      <c r="O11" s="140">
        <v>3.2</v>
      </c>
      <c r="P11" s="135">
        <v>4</v>
      </c>
      <c r="Q11" s="140">
        <v>4.66</v>
      </c>
      <c r="R11" s="135">
        <v>5.8</v>
      </c>
      <c r="S11" s="141">
        <v>7</v>
      </c>
      <c r="T11" s="142">
        <v>12</v>
      </c>
      <c r="U11" s="139">
        <v>44</v>
      </c>
    </row>
    <row r="12" spans="1:21" x14ac:dyDescent="0.25">
      <c r="A12" s="130">
        <v>37288</v>
      </c>
      <c r="B12" s="138">
        <v>4.5</v>
      </c>
      <c r="C12" s="139">
        <v>3.5</v>
      </c>
      <c r="D12" s="133">
        <v>2.5</v>
      </c>
      <c r="E12" s="134">
        <v>1.5</v>
      </c>
      <c r="F12" s="135">
        <v>0.5</v>
      </c>
      <c r="G12" s="135">
        <v>0</v>
      </c>
      <c r="H12" s="140">
        <v>-0.4</v>
      </c>
      <c r="I12" s="135">
        <v>-0.75</v>
      </c>
      <c r="J12" s="140">
        <v>-0.5</v>
      </c>
      <c r="K12" s="140">
        <v>0</v>
      </c>
      <c r="L12" s="140">
        <v>0.95</v>
      </c>
      <c r="M12" s="135">
        <v>1.8773709999999999</v>
      </c>
      <c r="N12" s="135">
        <v>2.34</v>
      </c>
      <c r="O12" s="140">
        <v>3.2</v>
      </c>
      <c r="P12" s="135">
        <v>4</v>
      </c>
      <c r="Q12" s="140">
        <v>4.66</v>
      </c>
      <c r="R12" s="135">
        <v>5.8</v>
      </c>
      <c r="S12" s="141">
        <v>7</v>
      </c>
      <c r="T12" s="142">
        <v>12</v>
      </c>
      <c r="U12" s="139">
        <v>44</v>
      </c>
    </row>
    <row r="13" spans="1:21" x14ac:dyDescent="0.25">
      <c r="A13" s="130">
        <v>37316</v>
      </c>
      <c r="B13" s="138">
        <v>4.5</v>
      </c>
      <c r="C13" s="139">
        <v>3.5</v>
      </c>
      <c r="D13" s="133">
        <v>2.5</v>
      </c>
      <c r="E13" s="134">
        <v>1.5</v>
      </c>
      <c r="F13" s="135">
        <v>0.5</v>
      </c>
      <c r="G13" s="135">
        <v>0</v>
      </c>
      <c r="H13" s="140">
        <v>-0.4</v>
      </c>
      <c r="I13" s="135">
        <v>-0.75</v>
      </c>
      <c r="J13" s="140">
        <v>-0.5</v>
      </c>
      <c r="K13" s="140">
        <v>0</v>
      </c>
      <c r="L13" s="140">
        <v>0.95</v>
      </c>
      <c r="M13" s="135">
        <v>1.8773709999999999</v>
      </c>
      <c r="N13" s="135">
        <v>2.34</v>
      </c>
      <c r="O13" s="140">
        <v>3.2</v>
      </c>
      <c r="P13" s="135">
        <v>4</v>
      </c>
      <c r="Q13" s="140">
        <v>4.66</v>
      </c>
      <c r="R13" s="135">
        <v>5.8</v>
      </c>
      <c r="S13" s="141">
        <v>7</v>
      </c>
      <c r="T13" s="143">
        <v>12</v>
      </c>
      <c r="U13" s="144">
        <v>44</v>
      </c>
    </row>
    <row r="14" spans="1:21" x14ac:dyDescent="0.25">
      <c r="A14" s="130">
        <v>37347</v>
      </c>
      <c r="B14" s="138">
        <v>4</v>
      </c>
      <c r="C14" s="139">
        <v>3</v>
      </c>
      <c r="D14" s="133">
        <v>2</v>
      </c>
      <c r="E14" s="134">
        <v>1</v>
      </c>
      <c r="F14" s="135">
        <v>0.35</v>
      </c>
      <c r="G14" s="135">
        <v>0</v>
      </c>
      <c r="H14" s="140">
        <v>-0.35</v>
      </c>
      <c r="I14" s="135">
        <v>-0.65</v>
      </c>
      <c r="J14" s="140">
        <v>-0.4</v>
      </c>
      <c r="K14" s="140">
        <v>0</v>
      </c>
      <c r="L14" s="140">
        <v>0.65</v>
      </c>
      <c r="M14" s="135">
        <v>1.1299999999999999</v>
      </c>
      <c r="N14" s="135">
        <v>1.62</v>
      </c>
      <c r="O14" s="140">
        <v>2.15</v>
      </c>
      <c r="P14" s="135">
        <v>2.68</v>
      </c>
      <c r="Q14" s="140">
        <v>3.14</v>
      </c>
      <c r="R14" s="135">
        <v>3.98</v>
      </c>
      <c r="S14" s="141">
        <v>4.74</v>
      </c>
      <c r="T14" s="142">
        <v>8.1999999999999993</v>
      </c>
      <c r="U14" s="139">
        <v>29</v>
      </c>
    </row>
    <row r="15" spans="1:21" x14ac:dyDescent="0.25">
      <c r="A15" s="130">
        <v>37377</v>
      </c>
      <c r="B15" s="138">
        <v>3</v>
      </c>
      <c r="C15" s="139">
        <v>2</v>
      </c>
      <c r="D15" s="133">
        <v>1</v>
      </c>
      <c r="E15" s="134">
        <v>0.75</v>
      </c>
      <c r="F15" s="135">
        <v>0.25</v>
      </c>
      <c r="G15" s="135">
        <v>0</v>
      </c>
      <c r="H15" s="140">
        <v>-0.3</v>
      </c>
      <c r="I15" s="135">
        <v>-0.6</v>
      </c>
      <c r="J15" s="140">
        <v>-0.4</v>
      </c>
      <c r="K15" s="140">
        <v>0</v>
      </c>
      <c r="L15" s="140">
        <v>0.65</v>
      </c>
      <c r="M15" s="135">
        <v>1.1299999999999999</v>
      </c>
      <c r="N15" s="135">
        <v>1.62</v>
      </c>
      <c r="O15" s="140">
        <v>2.15</v>
      </c>
      <c r="P15" s="135">
        <v>2.68</v>
      </c>
      <c r="Q15" s="140">
        <v>3.14</v>
      </c>
      <c r="R15" s="135">
        <v>3.98</v>
      </c>
      <c r="S15" s="141">
        <v>4.74</v>
      </c>
      <c r="T15" s="142">
        <v>8.1999999999999993</v>
      </c>
      <c r="U15" s="139">
        <v>29</v>
      </c>
    </row>
    <row r="16" spans="1:21" x14ac:dyDescent="0.25">
      <c r="A16" s="130">
        <v>37408</v>
      </c>
      <c r="B16" s="138">
        <v>3</v>
      </c>
      <c r="C16" s="139">
        <v>2</v>
      </c>
      <c r="D16" s="133">
        <v>1</v>
      </c>
      <c r="E16" s="134">
        <v>0.75</v>
      </c>
      <c r="F16" s="135">
        <v>0.25</v>
      </c>
      <c r="G16" s="135">
        <v>0</v>
      </c>
      <c r="H16" s="140">
        <v>-0.3</v>
      </c>
      <c r="I16" s="135">
        <v>-0.6</v>
      </c>
      <c r="J16" s="140">
        <v>-0.4</v>
      </c>
      <c r="K16" s="140">
        <v>0</v>
      </c>
      <c r="L16" s="140">
        <v>0.65</v>
      </c>
      <c r="M16" s="135">
        <v>1.1299999999999999</v>
      </c>
      <c r="N16" s="135">
        <v>1.62</v>
      </c>
      <c r="O16" s="140">
        <v>2.15</v>
      </c>
      <c r="P16" s="135">
        <v>2.68</v>
      </c>
      <c r="Q16" s="140">
        <v>3.14</v>
      </c>
      <c r="R16" s="135">
        <v>3.98</v>
      </c>
      <c r="S16" s="141">
        <v>4.74</v>
      </c>
      <c r="T16" s="142">
        <v>8.1999999999999993</v>
      </c>
      <c r="U16" s="139">
        <v>29</v>
      </c>
    </row>
    <row r="17" spans="1:21" x14ac:dyDescent="0.25">
      <c r="A17" s="130">
        <v>37438</v>
      </c>
      <c r="B17" s="138">
        <v>3</v>
      </c>
      <c r="C17" s="139">
        <v>2</v>
      </c>
      <c r="D17" s="133">
        <v>1</v>
      </c>
      <c r="E17" s="134">
        <v>0.75</v>
      </c>
      <c r="F17" s="135">
        <v>0.25</v>
      </c>
      <c r="G17" s="135">
        <v>0</v>
      </c>
      <c r="H17" s="140">
        <v>-0.3</v>
      </c>
      <c r="I17" s="135">
        <v>-0.6</v>
      </c>
      <c r="J17" s="140">
        <v>-0.4</v>
      </c>
      <c r="K17" s="140">
        <v>0</v>
      </c>
      <c r="L17" s="140">
        <v>0.65</v>
      </c>
      <c r="M17" s="135">
        <v>1.1299999999999999</v>
      </c>
      <c r="N17" s="135">
        <v>1.62</v>
      </c>
      <c r="O17" s="140">
        <v>2.15</v>
      </c>
      <c r="P17" s="135">
        <v>2.68</v>
      </c>
      <c r="Q17" s="140">
        <v>3.14</v>
      </c>
      <c r="R17" s="135">
        <v>3.98</v>
      </c>
      <c r="S17" s="141">
        <v>4.74</v>
      </c>
      <c r="T17" s="142">
        <v>8.1999999999999993</v>
      </c>
      <c r="U17" s="139">
        <v>29</v>
      </c>
    </row>
    <row r="18" spans="1:21" x14ac:dyDescent="0.25">
      <c r="A18" s="145">
        <v>37469</v>
      </c>
      <c r="B18" s="146">
        <v>3</v>
      </c>
      <c r="C18" s="147">
        <v>2</v>
      </c>
      <c r="D18" s="148">
        <v>1</v>
      </c>
      <c r="E18" s="149">
        <v>0.75</v>
      </c>
      <c r="F18" s="150">
        <v>0.25</v>
      </c>
      <c r="G18" s="150">
        <v>0</v>
      </c>
      <c r="H18" s="149">
        <v>-0.3</v>
      </c>
      <c r="I18" s="150">
        <v>-0.6</v>
      </c>
      <c r="J18" s="149">
        <v>-0.4</v>
      </c>
      <c r="K18" s="149">
        <v>0</v>
      </c>
      <c r="L18" s="149">
        <v>0.65</v>
      </c>
      <c r="M18" s="150">
        <v>1.1299999999999999</v>
      </c>
      <c r="N18" s="150">
        <v>1.62</v>
      </c>
      <c r="O18" s="149">
        <v>2.15</v>
      </c>
      <c r="P18" s="150">
        <v>2.68</v>
      </c>
      <c r="Q18" s="149">
        <v>3.14</v>
      </c>
      <c r="R18" s="150">
        <v>3.98</v>
      </c>
      <c r="S18" s="147">
        <v>4.74</v>
      </c>
      <c r="T18" s="151">
        <v>8.1999999999999993</v>
      </c>
      <c r="U18" s="152">
        <v>29</v>
      </c>
    </row>
    <row r="19" spans="1:21" x14ac:dyDescent="0.25">
      <c r="A19" s="145">
        <v>37500</v>
      </c>
      <c r="B19" s="146">
        <v>3</v>
      </c>
      <c r="C19" s="147">
        <v>2</v>
      </c>
      <c r="D19" s="148">
        <v>1</v>
      </c>
      <c r="E19" s="149">
        <v>0.75</v>
      </c>
      <c r="F19" s="150">
        <v>0.25</v>
      </c>
      <c r="G19" s="150">
        <v>0</v>
      </c>
      <c r="H19" s="149">
        <v>-0.3</v>
      </c>
      <c r="I19" s="150">
        <v>-0.6</v>
      </c>
      <c r="J19" s="149">
        <v>-0.4</v>
      </c>
      <c r="K19" s="149">
        <v>0</v>
      </c>
      <c r="L19" s="149">
        <v>0.65</v>
      </c>
      <c r="M19" s="150">
        <v>1.1299999999999999</v>
      </c>
      <c r="N19" s="150">
        <v>1.62</v>
      </c>
      <c r="O19" s="149">
        <v>2.15</v>
      </c>
      <c r="P19" s="150">
        <v>2.68</v>
      </c>
      <c r="Q19" s="149">
        <v>3.14</v>
      </c>
      <c r="R19" s="150">
        <v>3.98</v>
      </c>
      <c r="S19" s="147">
        <v>4.74</v>
      </c>
      <c r="T19" s="151">
        <v>8.1999999999999993</v>
      </c>
      <c r="U19" s="152">
        <v>29</v>
      </c>
    </row>
    <row r="20" spans="1:21" x14ac:dyDescent="0.25">
      <c r="A20" s="145">
        <v>37530</v>
      </c>
      <c r="B20" s="146">
        <v>3</v>
      </c>
      <c r="C20" s="147">
        <v>2</v>
      </c>
      <c r="D20" s="148">
        <v>1</v>
      </c>
      <c r="E20" s="149">
        <v>0.75</v>
      </c>
      <c r="F20" s="150">
        <v>0.25</v>
      </c>
      <c r="G20" s="150">
        <v>0</v>
      </c>
      <c r="H20" s="149">
        <v>-0.3</v>
      </c>
      <c r="I20" s="150">
        <v>-0.6</v>
      </c>
      <c r="J20" s="149">
        <v>-0.4</v>
      </c>
      <c r="K20" s="149">
        <v>0</v>
      </c>
      <c r="L20" s="149">
        <v>0.65</v>
      </c>
      <c r="M20" s="150">
        <v>1.1299999999999999</v>
      </c>
      <c r="N20" s="150">
        <v>1.62</v>
      </c>
      <c r="O20" s="149">
        <v>2.15</v>
      </c>
      <c r="P20" s="150">
        <v>2.68</v>
      </c>
      <c r="Q20" s="149">
        <v>3.14</v>
      </c>
      <c r="R20" s="150">
        <v>3.98</v>
      </c>
      <c r="S20" s="147">
        <v>4.74</v>
      </c>
      <c r="T20" s="151">
        <v>8.1999999999999993</v>
      </c>
      <c r="U20" s="152">
        <v>29</v>
      </c>
    </row>
    <row r="21" spans="1:21" x14ac:dyDescent="0.25">
      <c r="A21" s="145">
        <v>37561</v>
      </c>
      <c r="B21" s="146">
        <v>3</v>
      </c>
      <c r="C21" s="147">
        <v>2</v>
      </c>
      <c r="D21" s="148">
        <v>1</v>
      </c>
      <c r="E21" s="149">
        <v>0.75</v>
      </c>
      <c r="F21" s="150">
        <v>0.25</v>
      </c>
      <c r="G21" s="150">
        <v>0</v>
      </c>
      <c r="H21" s="149">
        <v>-0.3</v>
      </c>
      <c r="I21" s="150">
        <v>-0.6</v>
      </c>
      <c r="J21" s="149">
        <v>-0.4</v>
      </c>
      <c r="K21" s="149">
        <v>0</v>
      </c>
      <c r="L21" s="149">
        <v>0.65</v>
      </c>
      <c r="M21" s="150">
        <v>1.1299999999999999</v>
      </c>
      <c r="N21" s="150">
        <v>1.62</v>
      </c>
      <c r="O21" s="149">
        <v>2.15</v>
      </c>
      <c r="P21" s="150">
        <v>2.68</v>
      </c>
      <c r="Q21" s="149">
        <v>3.14</v>
      </c>
      <c r="R21" s="150">
        <v>3.98</v>
      </c>
      <c r="S21" s="147">
        <v>4.74</v>
      </c>
      <c r="T21" s="151">
        <v>8.1999999999999993</v>
      </c>
      <c r="U21" s="152">
        <v>29</v>
      </c>
    </row>
    <row r="22" spans="1:21" x14ac:dyDescent="0.25">
      <c r="A22" s="145">
        <v>37591</v>
      </c>
      <c r="B22" s="146">
        <v>3</v>
      </c>
      <c r="C22" s="147">
        <v>2</v>
      </c>
      <c r="D22" s="148">
        <v>1</v>
      </c>
      <c r="E22" s="149">
        <v>0.75</v>
      </c>
      <c r="F22" s="150">
        <v>0.25</v>
      </c>
      <c r="G22" s="150">
        <v>0</v>
      </c>
      <c r="H22" s="149">
        <v>-0.3</v>
      </c>
      <c r="I22" s="150">
        <v>-0.6</v>
      </c>
      <c r="J22" s="149">
        <v>-0.4</v>
      </c>
      <c r="K22" s="149">
        <v>0</v>
      </c>
      <c r="L22" s="149">
        <v>0.65</v>
      </c>
      <c r="M22" s="150">
        <v>1.1299999999999999</v>
      </c>
      <c r="N22" s="150">
        <v>1.62</v>
      </c>
      <c r="O22" s="149">
        <v>2.15</v>
      </c>
      <c r="P22" s="150">
        <v>2.68</v>
      </c>
      <c r="Q22" s="149">
        <v>3.14</v>
      </c>
      <c r="R22" s="150">
        <v>3.98</v>
      </c>
      <c r="S22" s="147">
        <v>4.74</v>
      </c>
      <c r="T22" s="151">
        <v>8.1999999999999993</v>
      </c>
      <c r="U22" s="152">
        <v>29</v>
      </c>
    </row>
    <row r="23" spans="1:21" x14ac:dyDescent="0.25">
      <c r="A23" s="145">
        <v>37622</v>
      </c>
      <c r="B23" s="146">
        <v>3</v>
      </c>
      <c r="C23" s="147">
        <v>2</v>
      </c>
      <c r="D23" s="148">
        <v>1</v>
      </c>
      <c r="E23" s="149">
        <v>0.75</v>
      </c>
      <c r="F23" s="150">
        <v>0.25</v>
      </c>
      <c r="G23" s="150">
        <v>0</v>
      </c>
      <c r="H23" s="149">
        <v>-0.3</v>
      </c>
      <c r="I23" s="150">
        <v>-0.6</v>
      </c>
      <c r="J23" s="149">
        <v>-0.4</v>
      </c>
      <c r="K23" s="149">
        <v>0</v>
      </c>
      <c r="L23" s="149">
        <v>0.65</v>
      </c>
      <c r="M23" s="150">
        <v>1.1299999999999999</v>
      </c>
      <c r="N23" s="150">
        <v>1.62</v>
      </c>
      <c r="O23" s="149">
        <v>2.15</v>
      </c>
      <c r="P23" s="150">
        <v>2.68</v>
      </c>
      <c r="Q23" s="149">
        <v>3.14</v>
      </c>
      <c r="R23" s="150">
        <v>3.98</v>
      </c>
      <c r="S23" s="147">
        <v>4.74</v>
      </c>
      <c r="T23" s="151">
        <v>8.1999999999999993</v>
      </c>
      <c r="U23" s="152">
        <v>29</v>
      </c>
    </row>
    <row r="24" spans="1:21" x14ac:dyDescent="0.25">
      <c r="A24" s="145">
        <v>37653</v>
      </c>
      <c r="B24" s="146">
        <v>3</v>
      </c>
      <c r="C24" s="147">
        <v>2</v>
      </c>
      <c r="D24" s="148">
        <v>1</v>
      </c>
      <c r="E24" s="149">
        <v>0.75</v>
      </c>
      <c r="F24" s="150">
        <v>0.25</v>
      </c>
      <c r="G24" s="150">
        <v>0</v>
      </c>
      <c r="H24" s="149">
        <v>-0.3</v>
      </c>
      <c r="I24" s="150">
        <v>-0.6</v>
      </c>
      <c r="J24" s="149">
        <v>-0.4</v>
      </c>
      <c r="K24" s="149">
        <v>0</v>
      </c>
      <c r="L24" s="149">
        <v>0.65</v>
      </c>
      <c r="M24" s="150">
        <v>1.1299999999999999</v>
      </c>
      <c r="N24" s="150">
        <v>1.62</v>
      </c>
      <c r="O24" s="149">
        <v>2.15</v>
      </c>
      <c r="P24" s="150">
        <v>2.68</v>
      </c>
      <c r="Q24" s="149">
        <v>3.14</v>
      </c>
      <c r="R24" s="150">
        <v>3.98</v>
      </c>
      <c r="S24" s="147">
        <v>4.74</v>
      </c>
      <c r="T24" s="151">
        <v>8.1999999999999993</v>
      </c>
      <c r="U24" s="152">
        <v>29</v>
      </c>
    </row>
    <row r="25" spans="1:21" x14ac:dyDescent="0.25">
      <c r="A25" s="145">
        <v>37681</v>
      </c>
      <c r="B25" s="146">
        <v>3</v>
      </c>
      <c r="C25" s="147">
        <v>2</v>
      </c>
      <c r="D25" s="148">
        <v>1</v>
      </c>
      <c r="E25" s="149">
        <v>0.75</v>
      </c>
      <c r="F25" s="150">
        <v>0.25</v>
      </c>
      <c r="G25" s="150">
        <v>0</v>
      </c>
      <c r="H25" s="149">
        <v>-0.3</v>
      </c>
      <c r="I25" s="150">
        <v>-0.6</v>
      </c>
      <c r="J25" s="149">
        <v>-0.4</v>
      </c>
      <c r="K25" s="149">
        <v>0</v>
      </c>
      <c r="L25" s="149">
        <v>0.65</v>
      </c>
      <c r="M25" s="150">
        <v>1.1299999999999999</v>
      </c>
      <c r="N25" s="150">
        <v>1.62</v>
      </c>
      <c r="O25" s="149">
        <v>2.15</v>
      </c>
      <c r="P25" s="150">
        <v>2.68</v>
      </c>
      <c r="Q25" s="149">
        <v>3.14</v>
      </c>
      <c r="R25" s="150">
        <v>3.98</v>
      </c>
      <c r="S25" s="147">
        <v>4.74</v>
      </c>
      <c r="T25" s="151">
        <v>8.1999999999999993</v>
      </c>
      <c r="U25" s="152">
        <v>29</v>
      </c>
    </row>
    <row r="26" spans="1:21" x14ac:dyDescent="0.25">
      <c r="A26" s="145">
        <v>37712</v>
      </c>
      <c r="B26" s="146">
        <v>3</v>
      </c>
      <c r="C26" s="147">
        <v>2</v>
      </c>
      <c r="D26" s="148">
        <v>0.75</v>
      </c>
      <c r="E26" s="149">
        <v>0.5</v>
      </c>
      <c r="F26" s="150">
        <v>0.25</v>
      </c>
      <c r="G26" s="150">
        <v>0</v>
      </c>
      <c r="H26" s="149">
        <v>-0.25</v>
      </c>
      <c r="I26" s="150">
        <v>-0.5</v>
      </c>
      <c r="J26" s="149">
        <v>-0.35</v>
      </c>
      <c r="K26" s="149">
        <v>0</v>
      </c>
      <c r="L26" s="149">
        <v>0.65</v>
      </c>
      <c r="M26" s="150">
        <v>1.1299999999999999</v>
      </c>
      <c r="N26" s="150">
        <v>1.62</v>
      </c>
      <c r="O26" s="149">
        <v>2.15</v>
      </c>
      <c r="P26" s="150">
        <v>2.68</v>
      </c>
      <c r="Q26" s="149">
        <v>3.14</v>
      </c>
      <c r="R26" s="150">
        <v>3.98</v>
      </c>
      <c r="S26" s="147">
        <v>4.74</v>
      </c>
      <c r="T26" s="151">
        <v>8.1999999999999993</v>
      </c>
      <c r="U26" s="152">
        <v>29</v>
      </c>
    </row>
    <row r="27" spans="1:21" x14ac:dyDescent="0.25">
      <c r="A27" s="145">
        <v>37742</v>
      </c>
      <c r="B27" s="146">
        <v>3</v>
      </c>
      <c r="C27" s="147">
        <v>2</v>
      </c>
      <c r="D27" s="148">
        <v>0.75</v>
      </c>
      <c r="E27" s="149">
        <v>0.5</v>
      </c>
      <c r="F27" s="150">
        <v>0.25</v>
      </c>
      <c r="G27" s="150">
        <v>0</v>
      </c>
      <c r="H27" s="149">
        <v>-0.25</v>
      </c>
      <c r="I27" s="150">
        <v>-0.5</v>
      </c>
      <c r="J27" s="149">
        <v>-0.35</v>
      </c>
      <c r="K27" s="149">
        <v>0</v>
      </c>
      <c r="L27" s="149">
        <v>0.65</v>
      </c>
      <c r="M27" s="150">
        <v>1.1299999999999999</v>
      </c>
      <c r="N27" s="150">
        <v>1.62</v>
      </c>
      <c r="O27" s="149">
        <v>2.15</v>
      </c>
      <c r="P27" s="150">
        <v>2.68</v>
      </c>
      <c r="Q27" s="149">
        <v>3.14</v>
      </c>
      <c r="R27" s="150">
        <v>3.98</v>
      </c>
      <c r="S27" s="147">
        <v>4.74</v>
      </c>
      <c r="T27" s="151">
        <v>8.1999999999999993</v>
      </c>
      <c r="U27" s="152">
        <v>29</v>
      </c>
    </row>
    <row r="28" spans="1:21" x14ac:dyDescent="0.25">
      <c r="A28" s="145">
        <v>37773</v>
      </c>
      <c r="B28" s="146">
        <v>3</v>
      </c>
      <c r="C28" s="147">
        <v>2</v>
      </c>
      <c r="D28" s="148">
        <v>0.75</v>
      </c>
      <c r="E28" s="149">
        <v>0.5</v>
      </c>
      <c r="F28" s="150">
        <v>0.25</v>
      </c>
      <c r="G28" s="150">
        <v>0</v>
      </c>
      <c r="H28" s="149">
        <v>-0.25</v>
      </c>
      <c r="I28" s="150">
        <v>-0.5</v>
      </c>
      <c r="J28" s="149">
        <v>-0.35</v>
      </c>
      <c r="K28" s="149">
        <v>0</v>
      </c>
      <c r="L28" s="149">
        <v>0.65</v>
      </c>
      <c r="M28" s="150">
        <v>1.1299999999999999</v>
      </c>
      <c r="N28" s="150">
        <v>1.62</v>
      </c>
      <c r="O28" s="149">
        <v>2.15</v>
      </c>
      <c r="P28" s="150">
        <v>2.68</v>
      </c>
      <c r="Q28" s="149">
        <v>3.14</v>
      </c>
      <c r="R28" s="150">
        <v>3.98</v>
      </c>
      <c r="S28" s="147">
        <v>4.74</v>
      </c>
      <c r="T28" s="151">
        <v>8.1999999999999993</v>
      </c>
      <c r="U28" s="152">
        <v>29</v>
      </c>
    </row>
    <row r="29" spans="1:21" x14ac:dyDescent="0.25">
      <c r="A29" s="145">
        <v>37803</v>
      </c>
      <c r="B29" s="146">
        <v>3</v>
      </c>
      <c r="C29" s="147">
        <v>2</v>
      </c>
      <c r="D29" s="148">
        <v>0.75</v>
      </c>
      <c r="E29" s="149">
        <v>0.5</v>
      </c>
      <c r="F29" s="150">
        <v>0.25</v>
      </c>
      <c r="G29" s="150">
        <v>0</v>
      </c>
      <c r="H29" s="149">
        <v>-0.25</v>
      </c>
      <c r="I29" s="150">
        <v>-0.5</v>
      </c>
      <c r="J29" s="149">
        <v>-0.35</v>
      </c>
      <c r="K29" s="149">
        <v>0</v>
      </c>
      <c r="L29" s="149">
        <v>0.65</v>
      </c>
      <c r="M29" s="150">
        <v>1.1299999999999999</v>
      </c>
      <c r="N29" s="150">
        <v>1.62</v>
      </c>
      <c r="O29" s="149">
        <v>2.15</v>
      </c>
      <c r="P29" s="150">
        <v>2.68</v>
      </c>
      <c r="Q29" s="149">
        <v>3.14</v>
      </c>
      <c r="R29" s="150">
        <v>3.98</v>
      </c>
      <c r="S29" s="147">
        <v>4.74</v>
      </c>
      <c r="T29" s="151">
        <v>8.1999999999999993</v>
      </c>
      <c r="U29" s="152">
        <v>29</v>
      </c>
    </row>
    <row r="30" spans="1:21" x14ac:dyDescent="0.25">
      <c r="A30" s="145">
        <v>37834</v>
      </c>
      <c r="B30" s="146">
        <v>3</v>
      </c>
      <c r="C30" s="147">
        <v>2</v>
      </c>
      <c r="D30" s="148">
        <v>0.75</v>
      </c>
      <c r="E30" s="149">
        <v>0.5</v>
      </c>
      <c r="F30" s="150">
        <v>0.25</v>
      </c>
      <c r="G30" s="150">
        <v>0</v>
      </c>
      <c r="H30" s="149">
        <v>-0.25</v>
      </c>
      <c r="I30" s="150">
        <v>-0.5</v>
      </c>
      <c r="J30" s="149">
        <v>-0.35</v>
      </c>
      <c r="K30" s="149">
        <v>0</v>
      </c>
      <c r="L30" s="149">
        <v>0.65</v>
      </c>
      <c r="M30" s="150">
        <v>1.1299999999999999</v>
      </c>
      <c r="N30" s="150">
        <v>1.62</v>
      </c>
      <c r="O30" s="149">
        <v>2.15</v>
      </c>
      <c r="P30" s="150">
        <v>2.68</v>
      </c>
      <c r="Q30" s="149">
        <v>3.14</v>
      </c>
      <c r="R30" s="150">
        <v>3.98</v>
      </c>
      <c r="S30" s="147">
        <v>4.74</v>
      </c>
      <c r="T30" s="151">
        <v>8.1999999999999993</v>
      </c>
      <c r="U30" s="152">
        <v>29</v>
      </c>
    </row>
    <row r="31" spans="1:21" x14ac:dyDescent="0.25">
      <c r="A31" s="145">
        <v>37865</v>
      </c>
      <c r="B31" s="146">
        <v>3</v>
      </c>
      <c r="C31" s="147">
        <v>2</v>
      </c>
      <c r="D31" s="148">
        <v>0.75</v>
      </c>
      <c r="E31" s="149">
        <v>0.5</v>
      </c>
      <c r="F31" s="150">
        <v>0.25</v>
      </c>
      <c r="G31" s="150">
        <v>0</v>
      </c>
      <c r="H31" s="149">
        <v>-0.25</v>
      </c>
      <c r="I31" s="150">
        <v>-0.5</v>
      </c>
      <c r="J31" s="149">
        <v>-0.35</v>
      </c>
      <c r="K31" s="149">
        <v>0</v>
      </c>
      <c r="L31" s="149">
        <v>0.65</v>
      </c>
      <c r="M31" s="150">
        <v>1.1299999999999999</v>
      </c>
      <c r="N31" s="150">
        <v>1.62</v>
      </c>
      <c r="O31" s="149">
        <v>2.15</v>
      </c>
      <c r="P31" s="150">
        <v>2.68</v>
      </c>
      <c r="Q31" s="149">
        <v>3.14</v>
      </c>
      <c r="R31" s="150">
        <v>3.98</v>
      </c>
      <c r="S31" s="147">
        <v>4.74</v>
      </c>
      <c r="T31" s="151">
        <v>8.1999999999999993</v>
      </c>
      <c r="U31" s="152">
        <v>29</v>
      </c>
    </row>
    <row r="32" spans="1:21" x14ac:dyDescent="0.25">
      <c r="A32" s="145">
        <v>37895</v>
      </c>
      <c r="B32" s="146">
        <v>3</v>
      </c>
      <c r="C32" s="147">
        <v>2</v>
      </c>
      <c r="D32" s="148">
        <v>0.75</v>
      </c>
      <c r="E32" s="149">
        <v>0.5</v>
      </c>
      <c r="F32" s="150">
        <v>0.25</v>
      </c>
      <c r="G32" s="150">
        <v>0</v>
      </c>
      <c r="H32" s="149">
        <v>-0.25</v>
      </c>
      <c r="I32" s="150">
        <v>-0.5</v>
      </c>
      <c r="J32" s="149">
        <v>-0.35</v>
      </c>
      <c r="K32" s="149">
        <v>0</v>
      </c>
      <c r="L32" s="149">
        <v>0.65</v>
      </c>
      <c r="M32" s="150">
        <v>1.1299999999999999</v>
      </c>
      <c r="N32" s="150">
        <v>1.62</v>
      </c>
      <c r="O32" s="149">
        <v>2.15</v>
      </c>
      <c r="P32" s="150">
        <v>2.68</v>
      </c>
      <c r="Q32" s="149">
        <v>3.14</v>
      </c>
      <c r="R32" s="150">
        <v>3.98</v>
      </c>
      <c r="S32" s="147">
        <v>4.74</v>
      </c>
      <c r="T32" s="151">
        <v>8.1999999999999993</v>
      </c>
      <c r="U32" s="152">
        <v>29</v>
      </c>
    </row>
    <row r="33" spans="1:21" x14ac:dyDescent="0.25">
      <c r="A33" s="145">
        <v>37926</v>
      </c>
      <c r="B33" s="146">
        <v>3</v>
      </c>
      <c r="C33" s="147">
        <v>2</v>
      </c>
      <c r="D33" s="148">
        <v>0.75</v>
      </c>
      <c r="E33" s="149">
        <v>0.5</v>
      </c>
      <c r="F33" s="150">
        <v>0.25</v>
      </c>
      <c r="G33" s="150">
        <v>0</v>
      </c>
      <c r="H33" s="149">
        <v>-0.25</v>
      </c>
      <c r="I33" s="150">
        <v>-0.5</v>
      </c>
      <c r="J33" s="149">
        <v>-0.35</v>
      </c>
      <c r="K33" s="149">
        <v>0</v>
      </c>
      <c r="L33" s="149">
        <v>0.65</v>
      </c>
      <c r="M33" s="150">
        <v>1.1299999999999999</v>
      </c>
      <c r="N33" s="150">
        <v>1.62</v>
      </c>
      <c r="O33" s="149">
        <v>2.15</v>
      </c>
      <c r="P33" s="150">
        <v>2.68</v>
      </c>
      <c r="Q33" s="149">
        <v>3.14</v>
      </c>
      <c r="R33" s="150">
        <v>3.98</v>
      </c>
      <c r="S33" s="147">
        <v>4.74</v>
      </c>
      <c r="T33" s="151">
        <v>8.1999999999999993</v>
      </c>
      <c r="U33" s="152">
        <v>29</v>
      </c>
    </row>
    <row r="34" spans="1:21" x14ac:dyDescent="0.25">
      <c r="A34" s="145">
        <v>37956</v>
      </c>
      <c r="B34" s="146">
        <v>3</v>
      </c>
      <c r="C34" s="147">
        <v>2</v>
      </c>
      <c r="D34" s="148">
        <v>0.75</v>
      </c>
      <c r="E34" s="149">
        <v>0.5</v>
      </c>
      <c r="F34" s="150">
        <v>0.25</v>
      </c>
      <c r="G34" s="150">
        <v>0</v>
      </c>
      <c r="H34" s="149">
        <v>-0.25</v>
      </c>
      <c r="I34" s="150">
        <v>-0.5</v>
      </c>
      <c r="J34" s="149">
        <v>-0.35</v>
      </c>
      <c r="K34" s="149">
        <v>0</v>
      </c>
      <c r="L34" s="149">
        <v>0.65</v>
      </c>
      <c r="M34" s="150">
        <v>1.1299999999999999</v>
      </c>
      <c r="N34" s="150">
        <v>1.62</v>
      </c>
      <c r="O34" s="149">
        <v>2.15</v>
      </c>
      <c r="P34" s="150">
        <v>2.68</v>
      </c>
      <c r="Q34" s="149">
        <v>3.14</v>
      </c>
      <c r="R34" s="150">
        <v>3.98</v>
      </c>
      <c r="S34" s="147">
        <v>4.74</v>
      </c>
      <c r="T34" s="151">
        <v>8.1999999999999993</v>
      </c>
      <c r="U34" s="152">
        <v>29</v>
      </c>
    </row>
    <row r="35" spans="1:21" x14ac:dyDescent="0.25">
      <c r="A35" s="145">
        <v>37987</v>
      </c>
      <c r="B35" s="146">
        <v>3</v>
      </c>
      <c r="C35" s="147">
        <v>2</v>
      </c>
      <c r="D35" s="148">
        <v>0.75</v>
      </c>
      <c r="E35" s="149">
        <v>0.5</v>
      </c>
      <c r="F35" s="150">
        <v>0.25</v>
      </c>
      <c r="G35" s="150">
        <v>0</v>
      </c>
      <c r="H35" s="149">
        <v>-0.25</v>
      </c>
      <c r="I35" s="150">
        <v>-0.5</v>
      </c>
      <c r="J35" s="149">
        <v>-0.35</v>
      </c>
      <c r="K35" s="149">
        <v>0</v>
      </c>
      <c r="L35" s="149">
        <v>0.65</v>
      </c>
      <c r="M35" s="150">
        <v>1.1299999999999999</v>
      </c>
      <c r="N35" s="150">
        <v>1.62</v>
      </c>
      <c r="O35" s="149">
        <v>2.15</v>
      </c>
      <c r="P35" s="150">
        <v>2.68</v>
      </c>
      <c r="Q35" s="149">
        <v>3.14</v>
      </c>
      <c r="R35" s="150">
        <v>3.98</v>
      </c>
      <c r="S35" s="147">
        <v>4.74</v>
      </c>
      <c r="T35" s="151">
        <v>8.1999999999999993</v>
      </c>
      <c r="U35" s="152">
        <v>29</v>
      </c>
    </row>
    <row r="36" spans="1:21" x14ac:dyDescent="0.25">
      <c r="A36" s="145">
        <v>38018</v>
      </c>
      <c r="B36" s="146">
        <v>3</v>
      </c>
      <c r="C36" s="147">
        <v>2</v>
      </c>
      <c r="D36" s="148">
        <v>0.75</v>
      </c>
      <c r="E36" s="149">
        <v>0.5</v>
      </c>
      <c r="F36" s="150">
        <v>0.25</v>
      </c>
      <c r="G36" s="150">
        <v>0</v>
      </c>
      <c r="H36" s="149">
        <v>-0.25</v>
      </c>
      <c r="I36" s="150">
        <v>-0.5</v>
      </c>
      <c r="J36" s="149">
        <v>-0.35</v>
      </c>
      <c r="K36" s="149">
        <v>0</v>
      </c>
      <c r="L36" s="149">
        <v>0.65</v>
      </c>
      <c r="M36" s="150">
        <v>1.1299999999999999</v>
      </c>
      <c r="N36" s="150">
        <v>1.62</v>
      </c>
      <c r="O36" s="149">
        <v>2.15</v>
      </c>
      <c r="P36" s="150">
        <v>2.68</v>
      </c>
      <c r="Q36" s="149">
        <v>3.14</v>
      </c>
      <c r="R36" s="150">
        <v>3.98</v>
      </c>
      <c r="S36" s="147">
        <v>4.74</v>
      </c>
      <c r="T36" s="151">
        <v>8.1999999999999993</v>
      </c>
      <c r="U36" s="152">
        <v>29</v>
      </c>
    </row>
    <row r="37" spans="1:21" x14ac:dyDescent="0.25">
      <c r="A37" s="145">
        <v>38047</v>
      </c>
      <c r="B37" s="146">
        <v>3</v>
      </c>
      <c r="C37" s="147">
        <v>2</v>
      </c>
      <c r="D37" s="148">
        <v>0.75</v>
      </c>
      <c r="E37" s="149">
        <v>0.5</v>
      </c>
      <c r="F37" s="150">
        <v>0.25</v>
      </c>
      <c r="G37" s="150">
        <v>0</v>
      </c>
      <c r="H37" s="149">
        <v>-0.25</v>
      </c>
      <c r="I37" s="150">
        <v>-0.5</v>
      </c>
      <c r="J37" s="149">
        <v>-0.35</v>
      </c>
      <c r="K37" s="149">
        <v>0</v>
      </c>
      <c r="L37" s="149">
        <v>0.65</v>
      </c>
      <c r="M37" s="150">
        <v>1.1299999999999999</v>
      </c>
      <c r="N37" s="150">
        <v>1.62</v>
      </c>
      <c r="O37" s="149">
        <v>2.15</v>
      </c>
      <c r="P37" s="150">
        <v>2.68</v>
      </c>
      <c r="Q37" s="149">
        <v>3.14</v>
      </c>
      <c r="R37" s="150">
        <v>3.98</v>
      </c>
      <c r="S37" s="147">
        <v>4.74</v>
      </c>
      <c r="T37" s="151">
        <v>8.1999999999999993</v>
      </c>
      <c r="U37" s="152">
        <v>29</v>
      </c>
    </row>
    <row r="38" spans="1:21" x14ac:dyDescent="0.25">
      <c r="A38" s="145">
        <v>38078</v>
      </c>
      <c r="B38" s="146">
        <v>3</v>
      </c>
      <c r="C38" s="147">
        <v>2</v>
      </c>
      <c r="D38" s="148">
        <v>0.75</v>
      </c>
      <c r="E38" s="149">
        <v>0.5</v>
      </c>
      <c r="F38" s="150">
        <v>0.25</v>
      </c>
      <c r="G38" s="150">
        <v>0</v>
      </c>
      <c r="H38" s="149">
        <v>-0.25</v>
      </c>
      <c r="I38" s="150">
        <v>-0.5</v>
      </c>
      <c r="J38" s="149">
        <v>-0.35</v>
      </c>
      <c r="K38" s="149">
        <v>0</v>
      </c>
      <c r="L38" s="149">
        <v>0.65</v>
      </c>
      <c r="M38" s="150">
        <v>1.1299999999999999</v>
      </c>
      <c r="N38" s="150">
        <v>1.62</v>
      </c>
      <c r="O38" s="149">
        <v>2.15</v>
      </c>
      <c r="P38" s="150">
        <v>2.68</v>
      </c>
      <c r="Q38" s="149">
        <v>3.14</v>
      </c>
      <c r="R38" s="150">
        <v>3.98</v>
      </c>
      <c r="S38" s="147">
        <v>4.74</v>
      </c>
      <c r="T38" s="151">
        <v>8.1999999999999993</v>
      </c>
      <c r="U38" s="152">
        <v>29</v>
      </c>
    </row>
    <row r="39" spans="1:21" x14ac:dyDescent="0.25">
      <c r="A39" s="145">
        <v>40513</v>
      </c>
      <c r="B39" s="146">
        <v>3</v>
      </c>
      <c r="C39" s="147">
        <v>2</v>
      </c>
      <c r="D39" s="148">
        <v>0.75</v>
      </c>
      <c r="E39" s="149">
        <v>0.5</v>
      </c>
      <c r="F39" s="150">
        <v>0.25</v>
      </c>
      <c r="G39" s="150">
        <v>0</v>
      </c>
      <c r="H39" s="149">
        <v>-0.25</v>
      </c>
      <c r="I39" s="150">
        <v>-0.5</v>
      </c>
      <c r="J39" s="149">
        <v>-0.35</v>
      </c>
      <c r="K39" s="149">
        <v>0</v>
      </c>
      <c r="L39" s="149">
        <v>0.65</v>
      </c>
      <c r="M39" s="150">
        <v>1.1299999999999999</v>
      </c>
      <c r="N39" s="150">
        <v>1.62</v>
      </c>
      <c r="O39" s="149">
        <v>2.15</v>
      </c>
      <c r="P39" s="150">
        <v>2.68</v>
      </c>
      <c r="Q39" s="149">
        <v>3.14</v>
      </c>
      <c r="R39" s="150">
        <v>3.98</v>
      </c>
      <c r="S39" s="147">
        <v>4.74</v>
      </c>
      <c r="T39" s="151">
        <v>8.1999999999999993</v>
      </c>
      <c r="U39" s="152">
        <v>29</v>
      </c>
    </row>
    <row r="40" spans="1:21" ht="13.8" thickBot="1" x14ac:dyDescent="0.3">
      <c r="A40" s="153">
        <v>44531</v>
      </c>
      <c r="B40" s="154">
        <v>3</v>
      </c>
      <c r="C40" s="155">
        <v>2</v>
      </c>
      <c r="D40" s="156">
        <v>0.75</v>
      </c>
      <c r="E40" s="157">
        <v>0.5</v>
      </c>
      <c r="F40" s="158">
        <v>0.25</v>
      </c>
      <c r="G40" s="159">
        <v>0</v>
      </c>
      <c r="H40" s="157">
        <v>-0.25</v>
      </c>
      <c r="I40" s="158">
        <v>-0.5</v>
      </c>
      <c r="J40" s="157">
        <v>-0.35</v>
      </c>
      <c r="K40" s="157">
        <v>0</v>
      </c>
      <c r="L40" s="157">
        <v>0.65</v>
      </c>
      <c r="M40" s="158">
        <v>1.1299999999999999</v>
      </c>
      <c r="N40" s="159">
        <v>1.62</v>
      </c>
      <c r="O40" s="157">
        <v>2.15</v>
      </c>
      <c r="P40" s="159">
        <v>2.68</v>
      </c>
      <c r="Q40" s="157">
        <v>3.14</v>
      </c>
      <c r="R40" s="159">
        <v>3.98</v>
      </c>
      <c r="S40" s="155">
        <v>4.74</v>
      </c>
      <c r="T40" s="160">
        <v>8.1999999999999993</v>
      </c>
      <c r="U40" s="161">
        <v>29</v>
      </c>
    </row>
  </sheetData>
  <phoneticPr fontId="1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3.2" x14ac:dyDescent="0.25"/>
  <sheetData>
    <row r="1" spans="1:5" x14ac:dyDescent="0.25">
      <c r="A1" s="67" t="s">
        <v>52</v>
      </c>
      <c r="B1" s="67"/>
      <c r="C1" s="67"/>
      <c r="D1" s="67"/>
      <c r="E1" s="67"/>
    </row>
    <row r="2" spans="1:5" x14ac:dyDescent="0.25">
      <c r="A2" s="67" t="s">
        <v>53</v>
      </c>
      <c r="B2" s="67" t="s">
        <v>54</v>
      </c>
      <c r="C2" s="67" t="s">
        <v>55</v>
      </c>
      <c r="D2" s="67" t="s">
        <v>56</v>
      </c>
      <c r="E2" s="67" t="s">
        <v>57</v>
      </c>
    </row>
    <row r="3" spans="1:5" x14ac:dyDescent="0.25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5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5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5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5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5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5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5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5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5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5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5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5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5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5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5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5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5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5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5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5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5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5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5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5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5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5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5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5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5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5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5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5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5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5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5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5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5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5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5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5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5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5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5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5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5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5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5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5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5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5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5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5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5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5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5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5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5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5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5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5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5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5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5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5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5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5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5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5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5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5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5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5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5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5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5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5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5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5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5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5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5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5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5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5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5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5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5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5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5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5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5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5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5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5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5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5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5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5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5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5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5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5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5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5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5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5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5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5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5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5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5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5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5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5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5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5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5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5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5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5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5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5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5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5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5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5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5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5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5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5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5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5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5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5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5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5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5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5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5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5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5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5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5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5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5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5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5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5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5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5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5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5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5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5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5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5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5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5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5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5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5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5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5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5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5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5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5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5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5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5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5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5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5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5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5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5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5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5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5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5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5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5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5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5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5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5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5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5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5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5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5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5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5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5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5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5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5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5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5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5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5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5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5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5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5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5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5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5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5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5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5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5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5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5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5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5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5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5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5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5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5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5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5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5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5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5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5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5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5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5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5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5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5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5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5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5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5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5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5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5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5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5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5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5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5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5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5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5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5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5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5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5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5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5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5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5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5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5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5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5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5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5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5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5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5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5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5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5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5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5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5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5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5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5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5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5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5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5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5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5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5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5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5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5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5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5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5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5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5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5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5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5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5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5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5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5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5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5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5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5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5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5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5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5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5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5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5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5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5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5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5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5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5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5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5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5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5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5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5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5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5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5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5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5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5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5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5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5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5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5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5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5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5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5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5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5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5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5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5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5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5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5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5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5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5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5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5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5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5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5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5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5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5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5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5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5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5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5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5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5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5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5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5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5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5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5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5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5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5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5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5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5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5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5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5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5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5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5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5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5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5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5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5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5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5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5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5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5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5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5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5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5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5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5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5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5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5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5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5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5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5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5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5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5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5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5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5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5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5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5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5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5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5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5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5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5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5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5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5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5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5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5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5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5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5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5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5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5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5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5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5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61</vt:i4>
      </vt:variant>
    </vt:vector>
  </HeadingPairs>
  <TitlesOfParts>
    <vt:vector size="69" baseType="lpstr">
      <vt:lpstr>VolSkew</vt:lpstr>
      <vt:lpstr>payout</vt:lpstr>
      <vt:lpstr>Shimko</vt:lpstr>
      <vt:lpstr>ENA VolSkew</vt:lpstr>
      <vt:lpstr>expiry</vt:lpstr>
      <vt:lpstr>payoutChart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Havlíček Jan</cp:lastModifiedBy>
  <cp:lastPrinted>2001-06-13T20:31:59Z</cp:lastPrinted>
  <dcterms:created xsi:type="dcterms:W3CDTF">2001-03-30T18:44:24Z</dcterms:created>
  <dcterms:modified xsi:type="dcterms:W3CDTF">2023-09-10T11:23:57Z</dcterms:modified>
</cp:coreProperties>
</file>