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296" yWindow="60" windowWidth="9456" windowHeight="7656"/>
  </bookViews>
  <sheets>
    <sheet name="Quotes" sheetId="4" r:id="rId1"/>
    <sheet name="Pricing" sheetId="3" r:id="rId2"/>
    <sheet name="Assumptions" sheetId="2" r:id="rId3"/>
  </sheets>
  <calcPr calcId="0"/>
</workbook>
</file>

<file path=xl/calcChain.xml><?xml version="1.0" encoding="utf-8"?>
<calcChain xmlns="http://schemas.openxmlformats.org/spreadsheetml/2006/main">
  <c r="D16" i="2" l="1"/>
  <c r="H16" i="2"/>
  <c r="D17" i="2"/>
  <c r="H17" i="2"/>
  <c r="D20" i="2"/>
  <c r="H20" i="2"/>
  <c r="D28" i="2"/>
  <c r="H28" i="2"/>
  <c r="D31" i="2"/>
  <c r="H31" i="2"/>
  <c r="D32" i="2"/>
  <c r="H32" i="2"/>
  <c r="D33" i="2"/>
  <c r="H33" i="2"/>
  <c r="D34" i="2"/>
  <c r="H34" i="2"/>
  <c r="D41" i="2"/>
  <c r="H41" i="2"/>
  <c r="D44" i="2"/>
  <c r="H44" i="2"/>
  <c r="D45" i="2"/>
  <c r="H45" i="2"/>
  <c r="D46" i="2"/>
  <c r="H46" i="2"/>
  <c r="D47" i="2"/>
  <c r="H47" i="2"/>
  <c r="B5" i="3"/>
  <c r="B6" i="3"/>
  <c r="C8" i="3"/>
  <c r="G9" i="3"/>
  <c r="I9" i="3"/>
  <c r="J9" i="3"/>
  <c r="K9" i="3"/>
  <c r="L9" i="3"/>
  <c r="M9" i="3"/>
  <c r="N9" i="3"/>
  <c r="O9" i="3"/>
  <c r="P9" i="3"/>
  <c r="Q9" i="3"/>
  <c r="G10" i="3"/>
  <c r="H10" i="3"/>
  <c r="I10" i="3"/>
  <c r="J10" i="3"/>
  <c r="K10" i="3"/>
  <c r="L10" i="3"/>
  <c r="M10" i="3"/>
  <c r="N10" i="3"/>
  <c r="O10" i="3"/>
  <c r="P10" i="3"/>
  <c r="Q10" i="3"/>
  <c r="S10" i="3"/>
  <c r="G11" i="3"/>
  <c r="H11" i="3"/>
  <c r="I11" i="3"/>
  <c r="J11" i="3"/>
  <c r="K11" i="3"/>
  <c r="L11" i="3"/>
  <c r="M11" i="3"/>
  <c r="N11" i="3"/>
  <c r="O11" i="3"/>
  <c r="P11" i="3"/>
  <c r="Q11" i="3"/>
  <c r="G13" i="3"/>
  <c r="E14" i="3"/>
  <c r="G14" i="3"/>
  <c r="H14" i="3"/>
  <c r="I14" i="3"/>
  <c r="J14" i="3"/>
  <c r="K14" i="3"/>
  <c r="L14" i="3"/>
  <c r="M14" i="3"/>
  <c r="N14" i="3"/>
  <c r="O14" i="3"/>
  <c r="P14" i="3"/>
  <c r="Q14" i="3"/>
  <c r="H15" i="3"/>
  <c r="I15" i="3"/>
  <c r="J15" i="3"/>
  <c r="K15" i="3"/>
  <c r="L15" i="3"/>
  <c r="M15" i="3"/>
  <c r="N15" i="3"/>
  <c r="O15" i="3"/>
  <c r="P15" i="3"/>
  <c r="Q15" i="3"/>
  <c r="E16" i="3"/>
  <c r="H16" i="3"/>
  <c r="I16" i="3"/>
  <c r="J16" i="3"/>
  <c r="K16" i="3"/>
  <c r="L16" i="3"/>
  <c r="M16" i="3"/>
  <c r="N16" i="3"/>
  <c r="O16" i="3"/>
  <c r="P16" i="3"/>
  <c r="Q16" i="3"/>
  <c r="E17" i="3"/>
  <c r="G18" i="3"/>
  <c r="E19" i="3"/>
  <c r="G19" i="3"/>
  <c r="S19" i="3"/>
  <c r="H20" i="3"/>
  <c r="I20" i="3"/>
  <c r="J20" i="3"/>
  <c r="K20" i="3"/>
  <c r="L20" i="3"/>
  <c r="M20" i="3"/>
  <c r="N20" i="3"/>
  <c r="O20" i="3"/>
  <c r="P20" i="3"/>
  <c r="Q20" i="3"/>
  <c r="S20" i="3"/>
  <c r="E21" i="3"/>
  <c r="H21" i="3"/>
  <c r="I21" i="3"/>
  <c r="J21" i="3"/>
  <c r="K21" i="3"/>
  <c r="L21" i="3"/>
  <c r="M21" i="3"/>
  <c r="N21" i="3"/>
  <c r="O21" i="3"/>
  <c r="P21" i="3"/>
  <c r="Q21" i="3"/>
  <c r="S21" i="3"/>
  <c r="E22" i="3"/>
  <c r="S22" i="3"/>
  <c r="S23" i="3"/>
  <c r="S24" i="3"/>
  <c r="S25" i="3"/>
  <c r="S26" i="3"/>
  <c r="C27" i="3"/>
  <c r="S27" i="3"/>
  <c r="G28" i="3"/>
  <c r="I28" i="3"/>
  <c r="J28" i="3"/>
  <c r="K28" i="3"/>
  <c r="L28" i="3"/>
  <c r="M28" i="3"/>
  <c r="N28" i="3"/>
  <c r="O28" i="3"/>
  <c r="P28" i="3"/>
  <c r="Q28" i="3"/>
  <c r="S28" i="3"/>
  <c r="G29" i="3"/>
  <c r="H29" i="3"/>
  <c r="I29" i="3"/>
  <c r="J29" i="3"/>
  <c r="K29" i="3"/>
  <c r="L29" i="3"/>
  <c r="M29" i="3"/>
  <c r="N29" i="3"/>
  <c r="O29" i="3"/>
  <c r="P29" i="3"/>
  <c r="Q29" i="3"/>
  <c r="S29" i="3"/>
  <c r="G30" i="3"/>
  <c r="H30" i="3"/>
  <c r="I30" i="3"/>
  <c r="J30" i="3"/>
  <c r="K30" i="3"/>
  <c r="L30" i="3"/>
  <c r="M30" i="3"/>
  <c r="N30" i="3"/>
  <c r="O30" i="3"/>
  <c r="P30" i="3"/>
  <c r="Q30" i="3"/>
  <c r="S30" i="3"/>
  <c r="S31" i="3"/>
  <c r="S32" i="3"/>
  <c r="G33" i="3"/>
  <c r="S33" i="3"/>
  <c r="E34" i="3"/>
  <c r="G34" i="3"/>
  <c r="H34" i="3"/>
  <c r="I34" i="3"/>
  <c r="J34" i="3"/>
  <c r="K34" i="3"/>
  <c r="L34" i="3"/>
  <c r="M34" i="3"/>
  <c r="N34" i="3"/>
  <c r="O34" i="3"/>
  <c r="P34" i="3"/>
  <c r="Q34" i="3"/>
  <c r="H35" i="3"/>
  <c r="I35" i="3"/>
  <c r="J35" i="3"/>
  <c r="K35" i="3"/>
  <c r="L35" i="3"/>
  <c r="M35" i="3"/>
  <c r="N35" i="3"/>
  <c r="O35" i="3"/>
  <c r="P35" i="3"/>
  <c r="Q35" i="3"/>
  <c r="E36" i="3"/>
  <c r="H36" i="3"/>
  <c r="I36" i="3"/>
  <c r="J36" i="3"/>
  <c r="K36" i="3"/>
  <c r="L36" i="3"/>
  <c r="M36" i="3"/>
  <c r="N36" i="3"/>
  <c r="O36" i="3"/>
  <c r="P36" i="3"/>
  <c r="Q36" i="3"/>
  <c r="E37" i="3"/>
  <c r="G38" i="3"/>
  <c r="E39" i="3"/>
  <c r="G39" i="3"/>
  <c r="H39" i="3"/>
  <c r="I39" i="3"/>
  <c r="J39" i="3"/>
  <c r="K39" i="3"/>
  <c r="L39" i="3"/>
  <c r="M39" i="3"/>
  <c r="N39" i="3"/>
  <c r="O39" i="3"/>
  <c r="P39" i="3"/>
  <c r="Q39" i="3"/>
  <c r="H40" i="3"/>
  <c r="I40" i="3"/>
  <c r="J40" i="3"/>
  <c r="K40" i="3"/>
  <c r="L40" i="3"/>
  <c r="M40" i="3"/>
  <c r="N40" i="3"/>
  <c r="O40" i="3"/>
  <c r="P40" i="3"/>
  <c r="Q40" i="3"/>
  <c r="E41" i="3"/>
  <c r="H41" i="3"/>
  <c r="I41" i="3"/>
  <c r="J41" i="3"/>
  <c r="K41" i="3"/>
  <c r="L41" i="3"/>
  <c r="M41" i="3"/>
  <c r="N41" i="3"/>
  <c r="O41" i="3"/>
  <c r="P41" i="3"/>
  <c r="Q41" i="3"/>
  <c r="R41" i="3"/>
  <c r="E42" i="3"/>
  <c r="D6" i="4"/>
  <c r="F9" i="4"/>
  <c r="F10" i="4"/>
  <c r="F11" i="4"/>
  <c r="F13" i="4"/>
  <c r="J14" i="4"/>
  <c r="K14" i="4"/>
  <c r="L14" i="4"/>
  <c r="M14" i="4"/>
  <c r="N14" i="4"/>
  <c r="O14" i="4"/>
  <c r="P14" i="4"/>
  <c r="Q14" i="4"/>
  <c r="R14" i="4"/>
  <c r="S14" i="4"/>
  <c r="F15" i="4"/>
  <c r="F16" i="4"/>
  <c r="J16" i="4"/>
  <c r="F18" i="4"/>
  <c r="J18" i="4"/>
  <c r="F19" i="4"/>
  <c r="F22" i="4"/>
  <c r="F23" i="4"/>
  <c r="F25" i="4"/>
  <c r="F27" i="4"/>
  <c r="F28" i="4"/>
  <c r="F30" i="4"/>
  <c r="F31" i="4"/>
  <c r="D34" i="4"/>
  <c r="F37" i="4"/>
  <c r="F38" i="4"/>
  <c r="F39" i="4"/>
  <c r="F41" i="4"/>
  <c r="F43" i="4"/>
  <c r="F44" i="4"/>
  <c r="F46" i="4"/>
  <c r="F47" i="4"/>
  <c r="F50" i="4"/>
  <c r="F51" i="4"/>
  <c r="F53" i="4"/>
  <c r="F55" i="4"/>
  <c r="F56" i="4"/>
  <c r="F58" i="4"/>
  <c r="F59" i="4"/>
</calcChain>
</file>

<file path=xl/sharedStrings.xml><?xml version="1.0" encoding="utf-8"?>
<sst xmlns="http://schemas.openxmlformats.org/spreadsheetml/2006/main" count="207" uniqueCount="56">
  <si>
    <t>unit size (MW)</t>
  </si>
  <si>
    <t xml:space="preserve"> </t>
  </si>
  <si>
    <t>annual</t>
  </si>
  <si>
    <t>O3 season</t>
  </si>
  <si>
    <t>heat rate:</t>
  </si>
  <si>
    <t>capacity:</t>
  </si>
  <si>
    <t>heat input:</t>
  </si>
  <si>
    <t>generation:</t>
  </si>
  <si>
    <t>Noxtech</t>
  </si>
  <si>
    <t>Rotamix</t>
  </si>
  <si>
    <t>capex</t>
  </si>
  <si>
    <t>efficiency</t>
  </si>
  <si>
    <t>rate</t>
  </si>
  <si>
    <t>tons</t>
  </si>
  <si>
    <t>NOx (uncontrolled)</t>
  </si>
  <si>
    <t>annual o+m</t>
  </si>
  <si>
    <t>variable cost/ ton destroyed:</t>
  </si>
  <si>
    <t>Control technology:</t>
  </si>
  <si>
    <t>NOx emissions (post control):</t>
  </si>
  <si>
    <t>BARRY 2</t>
  </si>
  <si>
    <t>YATES 5</t>
  </si>
  <si>
    <t>Term:</t>
  </si>
  <si>
    <t>NOxTech</t>
  </si>
  <si>
    <t>NPV</t>
  </si>
  <si>
    <t xml:space="preserve">    capex</t>
  </si>
  <si>
    <t xml:space="preserve">    var costs</t>
  </si>
  <si>
    <t>day count</t>
  </si>
  <si>
    <t>discount rate</t>
  </si>
  <si>
    <t>PV</t>
  </si>
  <si>
    <t>Total NPV</t>
  </si>
  <si>
    <t>tons destroyed (annual):</t>
  </si>
  <si>
    <t>NPV over term</t>
  </si>
  <si>
    <t>Technology:</t>
  </si>
  <si>
    <t>NOx tons p.a.:</t>
  </si>
  <si>
    <t>term:</t>
  </si>
  <si>
    <t>discount rate:</t>
  </si>
  <si>
    <t>Breakeven</t>
  </si>
  <si>
    <t>NPV upfront</t>
  </si>
  <si>
    <t>strip</t>
  </si>
  <si>
    <t>Call Price:</t>
  </si>
  <si>
    <t>strike</t>
  </si>
  <si>
    <t>Contract Qty:</t>
  </si>
  <si>
    <t>Full eval cost:</t>
  </si>
  <si>
    <t>premium</t>
  </si>
  <si>
    <t>ton</t>
  </si>
  <si>
    <t>US Treasury Yield Curve</t>
  </si>
  <si>
    <t>Day Count</t>
  </si>
  <si>
    <t>Year</t>
  </si>
  <si>
    <t>Bid</t>
  </si>
  <si>
    <t>Offer</t>
  </si>
  <si>
    <t>O/N</t>
  </si>
  <si>
    <t>3M</t>
  </si>
  <si>
    <t>6M</t>
  </si>
  <si>
    <t>9M</t>
  </si>
  <si>
    <t>discount</t>
  </si>
  <si>
    <t>Nox Notional 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</si>
</sst>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6" formatCode="_(* #,##0.000_);_(* \(#,##0.000\);_(* &quot;-&quot;??_);_(@_)"/>
    <numFmt numFmtId="169" formatCode="_(* #,##0_);_(* \(#,##0\);_(* &quot;-&quot;??_);_(@_)"/>
    <numFmt numFmtId="174" formatCode="_(&quot;$&quot;* #,##0_);_(&quot;$&quot;* \(#,##0\);_(&quot;$&quot;* &quot;-&quot;??_);_(@_)"/>
    <numFmt numFmtId="185" formatCode="0.0%"/>
    <numFmt numFmtId="187" formatCode="mmmm\ d\,\ yyyy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i/>
      <u/>
      <sz val="12"/>
      <name val="Arial"/>
      <family val="2"/>
    </font>
    <font>
      <b/>
      <i/>
      <u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48"/>
      <name val="Arial"/>
      <family val="2"/>
    </font>
    <font>
      <b/>
      <i/>
      <u/>
      <sz val="11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sz val="9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6"/>
      <name val="Arial"/>
      <family val="2"/>
    </font>
  </fonts>
  <fills count="3">
    <fill>
      <patternFill patternType="none"/>
    </fill>
    <fill>
      <patternFill patternType="gray125"/>
    </fill>
    <fill>
      <patternFill patternType="lightGray">
        <bgColor indexed="54"/>
      </patternFill>
    </fill>
  </fills>
  <borders count="10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9" fontId="0" fillId="0" borderId="0" xfId="0" applyNumberFormat="1"/>
    <xf numFmtId="1" fontId="0" fillId="0" borderId="0" xfId="0" applyNumberFormat="1"/>
    <xf numFmtId="3" fontId="0" fillId="0" borderId="0" xfId="0" applyNumberFormat="1"/>
    <xf numFmtId="0" fontId="2" fillId="0" borderId="0" xfId="0" quotePrefix="1" applyFont="1"/>
    <xf numFmtId="0" fontId="3" fillId="0" borderId="0" xfId="0" applyFont="1"/>
    <xf numFmtId="0" fontId="4" fillId="0" borderId="0" xfId="0" applyFont="1"/>
    <xf numFmtId="169" fontId="0" fillId="0" borderId="0" xfId="1" applyNumberFormat="1" applyFont="1"/>
    <xf numFmtId="0" fontId="2" fillId="0" borderId="0" xfId="0" applyFont="1" applyAlignment="1">
      <alignment horizontal="center"/>
    </xf>
    <xf numFmtId="9" fontId="0" fillId="0" borderId="0" xfId="3" applyFont="1"/>
    <xf numFmtId="166" fontId="0" fillId="0" borderId="0" xfId="1" applyNumberFormat="1" applyFont="1"/>
    <xf numFmtId="169" fontId="0" fillId="0" borderId="0" xfId="0" applyNumberFormat="1"/>
    <xf numFmtId="0" fontId="2" fillId="0" borderId="0" xfId="0" applyFont="1" applyAlignment="1"/>
    <xf numFmtId="0" fontId="0" fillId="0" borderId="0" xfId="0" applyAlignment="1"/>
    <xf numFmtId="0" fontId="0" fillId="2" borderId="0" xfId="0" applyFill="1"/>
    <xf numFmtId="8" fontId="0" fillId="0" borderId="0" xfId="0" applyNumberFormat="1"/>
    <xf numFmtId="1" fontId="0" fillId="0" borderId="0" xfId="3" applyNumberFormat="1" applyFont="1"/>
    <xf numFmtId="1" fontId="2" fillId="0" borderId="0" xfId="0" applyNumberFormat="1" applyFont="1"/>
    <xf numFmtId="0" fontId="5" fillId="0" borderId="0" xfId="0" applyFont="1"/>
    <xf numFmtId="14" fontId="0" fillId="0" borderId="0" xfId="0" applyNumberFormat="1"/>
    <xf numFmtId="14" fontId="7" fillId="0" borderId="0" xfId="0" applyNumberFormat="1" applyFont="1"/>
    <xf numFmtId="0" fontId="3" fillId="0" borderId="0" xfId="0" quotePrefix="1" applyFont="1"/>
    <xf numFmtId="0" fontId="8" fillId="0" borderId="0" xfId="0" applyFont="1"/>
    <xf numFmtId="0" fontId="9" fillId="0" borderId="0" xfId="0" applyFont="1"/>
    <xf numFmtId="1" fontId="9" fillId="0" borderId="0" xfId="0" applyNumberFormat="1" applyFont="1"/>
    <xf numFmtId="9" fontId="9" fillId="0" borderId="0" xfId="3" applyFont="1"/>
    <xf numFmtId="169" fontId="9" fillId="0" borderId="0" xfId="1" applyNumberFormat="1" applyFont="1"/>
    <xf numFmtId="169" fontId="9" fillId="0" borderId="0" xfId="0" applyNumberFormat="1" applyFont="1"/>
    <xf numFmtId="169" fontId="2" fillId="0" borderId="0" xfId="0" applyNumberFormat="1" applyFont="1"/>
    <xf numFmtId="14" fontId="2" fillId="0" borderId="0" xfId="0" applyNumberFormat="1" applyFont="1"/>
    <xf numFmtId="1" fontId="0" fillId="0" borderId="0" xfId="0" quotePrefix="1" applyNumberFormat="1"/>
    <xf numFmtId="0" fontId="10" fillId="0" borderId="0" xfId="0" applyFont="1"/>
    <xf numFmtId="169" fontId="10" fillId="0" borderId="0" xfId="0" applyNumberFormat="1" applyFont="1"/>
    <xf numFmtId="0" fontId="11" fillId="0" borderId="0" xfId="0" applyFont="1"/>
    <xf numFmtId="0" fontId="12" fillId="0" borderId="0" xfId="0" applyFont="1"/>
    <xf numFmtId="174" fontId="0" fillId="0" borderId="0" xfId="2" quotePrefix="1" applyNumberFormat="1" applyFont="1"/>
    <xf numFmtId="0" fontId="3" fillId="0" borderId="0" xfId="0" applyFont="1" applyAlignment="1"/>
    <xf numFmtId="169" fontId="0" fillId="0" borderId="0" xfId="1" quotePrefix="1" applyNumberFormat="1" applyFont="1"/>
    <xf numFmtId="187" fontId="6" fillId="0" borderId="0" xfId="0" applyNumberFormat="1" applyFont="1" applyAlignment="1">
      <alignment horizontal="center"/>
    </xf>
    <xf numFmtId="169" fontId="0" fillId="0" borderId="1" xfId="1" applyNumberFormat="1" applyFont="1" applyBorder="1"/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0" fontId="14" fillId="0" borderId="0" xfId="3" applyNumberFormat="1" applyFont="1" applyAlignment="1">
      <alignment horizontal="left"/>
    </xf>
    <xf numFmtId="10" fontId="13" fillId="0" borderId="0" xfId="3" applyNumberFormat="1" applyFont="1" applyAlignment="1">
      <alignment horizontal="left"/>
    </xf>
    <xf numFmtId="1" fontId="13" fillId="0" borderId="0" xfId="1" applyNumberFormat="1" applyFont="1" applyAlignment="1">
      <alignment horizontal="center"/>
    </xf>
    <xf numFmtId="169" fontId="15" fillId="0" borderId="0" xfId="1" applyNumberFormat="1" applyFont="1"/>
    <xf numFmtId="174" fontId="15" fillId="0" borderId="0" xfId="2" quotePrefix="1" applyNumberFormat="1" applyFont="1"/>
    <xf numFmtId="174" fontId="16" fillId="0" borderId="0" xfId="2" quotePrefix="1" applyNumberFormat="1" applyFont="1"/>
    <xf numFmtId="0" fontId="0" fillId="0" borderId="2" xfId="0" applyBorder="1"/>
    <xf numFmtId="0" fontId="0" fillId="0" borderId="3" xfId="0" applyBorder="1"/>
    <xf numFmtId="0" fontId="12" fillId="0" borderId="4" xfId="0" applyFont="1" applyBorder="1"/>
    <xf numFmtId="9" fontId="0" fillId="0" borderId="5" xfId="0" applyNumberFormat="1" applyBorder="1"/>
    <xf numFmtId="169" fontId="0" fillId="0" borderId="5" xfId="1" applyNumberFormat="1" applyFont="1" applyBorder="1"/>
    <xf numFmtId="0" fontId="12" fillId="0" borderId="6" xfId="0" applyFont="1" applyBorder="1"/>
    <xf numFmtId="0" fontId="12" fillId="0" borderId="7" xfId="0" applyFont="1" applyBorder="1"/>
    <xf numFmtId="3" fontId="0" fillId="0" borderId="8" xfId="0" applyNumberFormat="1" applyBorder="1"/>
    <xf numFmtId="164" fontId="0" fillId="0" borderId="8" xfId="0" applyNumberFormat="1" applyBorder="1"/>
    <xf numFmtId="0" fontId="12" fillId="0" borderId="2" xfId="0" applyFont="1" applyBorder="1"/>
    <xf numFmtId="9" fontId="0" fillId="0" borderId="3" xfId="0" applyNumberFormat="1" applyBorder="1"/>
    <xf numFmtId="185" fontId="0" fillId="0" borderId="9" xfId="0" applyNumberFormat="1" applyBorder="1"/>
    <xf numFmtId="9" fontId="0" fillId="0" borderId="0" xfId="3" applyFont="1" applyBorder="1"/>
    <xf numFmtId="0" fontId="0" fillId="0" borderId="0" xfId="0" applyBorder="1"/>
    <xf numFmtId="9" fontId="11" fillId="0" borderId="0" xfId="3" applyFont="1" applyBorder="1"/>
    <xf numFmtId="174" fontId="0" fillId="0" borderId="0" xfId="2" applyNumberFormat="1" applyFont="1"/>
    <xf numFmtId="0" fontId="2" fillId="0" borderId="0" xfId="0" applyFont="1" applyAlignment="1"/>
    <xf numFmtId="0" fontId="0" fillId="0" borderId="0" xfId="0" applyAlignment="1"/>
    <xf numFmtId="187" fontId="2" fillId="0" borderId="0" xfId="0" applyNumberFormat="1" applyFont="1" applyAlignme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Treasury Yield Curve</a:t>
            </a:r>
          </a:p>
        </c:rich>
      </c:tx>
      <c:layout>
        <c:manualLayout>
          <c:xMode val="edge"/>
          <c:yMode val="edge"/>
          <c:x val="0.34867309369634436"/>
          <c:y val="9.89304812834224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43382104637968"/>
          <c:y val="0.2165775401069519"/>
          <c:w val="0.83893932188866627"/>
          <c:h val="0.64973262032085555"/>
        </c:manualLayout>
      </c:layout>
      <c:lineChart>
        <c:grouping val="standard"/>
        <c:varyColors val="0"/>
        <c:ser>
          <c:idx val="2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Pricing!$U$14:$U$33</c:f>
              <c:numCache>
                <c:formatCode>0.00%</c:formatCode>
                <c:ptCount val="20"/>
                <c:pt idx="0">
                  <c:v>6.5000000000000002E-2</c:v>
                </c:pt>
                <c:pt idx="1">
                  <c:v>6.4000000000000001E-2</c:v>
                </c:pt>
                <c:pt idx="2">
                  <c:v>6.3E-2</c:v>
                </c:pt>
                <c:pt idx="3">
                  <c:v>6.2E-2</c:v>
                </c:pt>
                <c:pt idx="4">
                  <c:v>6.0100000000000001E-2</c:v>
                </c:pt>
                <c:pt idx="5">
                  <c:v>5.9299999999999999E-2</c:v>
                </c:pt>
                <c:pt idx="6">
                  <c:v>5.8999999999999997E-2</c:v>
                </c:pt>
                <c:pt idx="7">
                  <c:v>5.8500000000000003E-2</c:v>
                </c:pt>
                <c:pt idx="8">
                  <c:v>5.8000000000000003E-2</c:v>
                </c:pt>
                <c:pt idx="9">
                  <c:v>5.79E-2</c:v>
                </c:pt>
                <c:pt idx="10">
                  <c:v>5.7799999999999997E-2</c:v>
                </c:pt>
                <c:pt idx="11">
                  <c:v>5.7799999999999997E-2</c:v>
                </c:pt>
                <c:pt idx="12">
                  <c:v>5.7799999999999997E-2</c:v>
                </c:pt>
                <c:pt idx="13">
                  <c:v>5.7700000000000001E-2</c:v>
                </c:pt>
                <c:pt idx="14">
                  <c:v>5.7599999999999998E-2</c:v>
                </c:pt>
                <c:pt idx="15">
                  <c:v>5.7500000000000002E-2</c:v>
                </c:pt>
                <c:pt idx="16">
                  <c:v>5.74E-2</c:v>
                </c:pt>
                <c:pt idx="17">
                  <c:v>5.7299999999999997E-2</c:v>
                </c:pt>
                <c:pt idx="18">
                  <c:v>5.7200000000000001E-2</c:v>
                </c:pt>
                <c:pt idx="19">
                  <c:v>5.8200000000000002E-2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F-47CB-8A30-CA964F723A9B}"/>
            </c:ext>
          </c:extLst>
        </c:ser>
        <c:ser>
          <c:idx val="0"/>
          <c:order val="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Pricing!$V$14:$V$33</c:f>
              <c:numCache>
                <c:formatCode>0.00%</c:formatCode>
                <c:ptCount val="20"/>
                <c:pt idx="0">
                  <c:v>6.4000000000000001E-2</c:v>
                </c:pt>
                <c:pt idx="1">
                  <c:v>6.3E-2</c:v>
                </c:pt>
                <c:pt idx="2">
                  <c:v>6.2E-2</c:v>
                </c:pt>
                <c:pt idx="3">
                  <c:v>6.0999999999999999E-2</c:v>
                </c:pt>
                <c:pt idx="4">
                  <c:v>5.91E-2</c:v>
                </c:pt>
                <c:pt idx="5">
                  <c:v>5.8299999999999998E-2</c:v>
                </c:pt>
                <c:pt idx="6">
                  <c:v>5.8000000000000003E-2</c:v>
                </c:pt>
                <c:pt idx="7">
                  <c:v>5.7500000000000002E-2</c:v>
                </c:pt>
                <c:pt idx="8">
                  <c:v>5.7000000000000002E-2</c:v>
                </c:pt>
                <c:pt idx="9">
                  <c:v>5.6899999999999999E-2</c:v>
                </c:pt>
                <c:pt idx="10">
                  <c:v>5.6800000000000003E-2</c:v>
                </c:pt>
                <c:pt idx="11">
                  <c:v>5.6800000000000003E-2</c:v>
                </c:pt>
                <c:pt idx="12">
                  <c:v>5.6800000000000003E-2</c:v>
                </c:pt>
                <c:pt idx="13">
                  <c:v>5.67E-2</c:v>
                </c:pt>
                <c:pt idx="14">
                  <c:v>5.6599999999999998E-2</c:v>
                </c:pt>
                <c:pt idx="15">
                  <c:v>5.6500000000000002E-2</c:v>
                </c:pt>
                <c:pt idx="16">
                  <c:v>5.6399999999999999E-2</c:v>
                </c:pt>
                <c:pt idx="17">
                  <c:v>5.6300000000000003E-2</c:v>
                </c:pt>
                <c:pt idx="18">
                  <c:v>5.62E-2</c:v>
                </c:pt>
                <c:pt idx="19">
                  <c:v>5.7200000000000001E-2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AF-47CB-8A30-CA964F723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528008"/>
        <c:axId val="1"/>
      </c:lineChart>
      <c:catAx>
        <c:axId val="154528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528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8</xdr:row>
      <xdr:rowOff>0</xdr:rowOff>
    </xdr:from>
    <xdr:to>
      <xdr:col>29</xdr:col>
      <xdr:colOff>38100</xdr:colOff>
      <xdr:row>25</xdr:row>
      <xdr:rowOff>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tabSelected="1" topLeftCell="C1" workbookViewId="0">
      <selection activeCell="J12" sqref="J12"/>
    </sheetView>
  </sheetViews>
  <sheetFormatPr defaultRowHeight="13.2" x14ac:dyDescent="0.25"/>
  <cols>
    <col min="3" max="3" width="8.44140625" customWidth="1"/>
    <col min="4" max="4" width="6.44140625" customWidth="1"/>
    <col min="5" max="5" width="11" customWidth="1"/>
    <col min="6" max="6" width="14.88671875" bestFit="1" customWidth="1"/>
    <col min="9" max="9" width="16.6640625" customWidth="1"/>
    <col min="10" max="10" width="14.88671875" bestFit="1" customWidth="1"/>
    <col min="11" max="13" width="12.88671875" bestFit="1" customWidth="1"/>
    <col min="14" max="19" width="11.33203125" bestFit="1" customWidth="1"/>
  </cols>
  <sheetData>
    <row r="1" spans="1:19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</row>
    <row r="2" spans="1:19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</row>
    <row r="3" spans="1:19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</row>
    <row r="4" spans="1:19" x14ac:dyDescent="0.25">
      <c r="A4" s="15" t="s">
        <v>1</v>
      </c>
      <c r="B4" s="15" t="s">
        <v>1</v>
      </c>
      <c r="C4" s="15" t="s">
        <v>1</v>
      </c>
      <c r="D4" s="15"/>
      <c r="E4" s="15"/>
      <c r="F4" s="15"/>
      <c r="G4" s="15" t="s">
        <v>1</v>
      </c>
      <c r="H4" s="15"/>
      <c r="I4" s="15"/>
      <c r="J4" s="15"/>
    </row>
    <row r="5" spans="1:19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</row>
    <row r="6" spans="1:19" ht="13.8" x14ac:dyDescent="0.25">
      <c r="D6" s="63" t="str">
        <f>Assumptions!$B$5</f>
        <v>BARRY 2</v>
      </c>
    </row>
    <row r="7" spans="1:19" x14ac:dyDescent="0.25">
      <c r="A7" t="s">
        <v>36</v>
      </c>
      <c r="C7" s="23"/>
      <c r="D7" s="19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</row>
    <row r="8" spans="1:19" x14ac:dyDescent="0.25">
      <c r="C8" s="23"/>
      <c r="D8" s="19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</row>
    <row r="9" spans="1:19" x14ac:dyDescent="0.25">
      <c r="D9" s="1" t="s">
        <v>21</v>
      </c>
      <c r="E9" t="s">
        <v>1</v>
      </c>
      <c r="F9" s="31">
        <f>Assumptions!$D$8</f>
        <v>10</v>
      </c>
      <c r="I9" s="1" t="s">
        <v>47</v>
      </c>
      <c r="J9">
        <v>2004</v>
      </c>
      <c r="K9">
        <v>2005</v>
      </c>
      <c r="L9">
        <v>2006</v>
      </c>
      <c r="M9">
        <v>2007</v>
      </c>
      <c r="N9">
        <v>2008</v>
      </c>
      <c r="O9">
        <v>2009</v>
      </c>
      <c r="P9">
        <v>2010</v>
      </c>
      <c r="Q9">
        <v>2011</v>
      </c>
      <c r="R9">
        <v>2012</v>
      </c>
      <c r="S9">
        <v>2013</v>
      </c>
    </row>
    <row r="10" spans="1:19" x14ac:dyDescent="0.25">
      <c r="C10" s="1">
        <v>1</v>
      </c>
      <c r="D10" s="1" t="s">
        <v>32</v>
      </c>
      <c r="F10" s="31" t="str">
        <f>Assumptions!$D$24</f>
        <v>Noxtech</v>
      </c>
    </row>
    <row r="11" spans="1:19" x14ac:dyDescent="0.25">
      <c r="D11" s="1" t="s">
        <v>33</v>
      </c>
      <c r="F11" s="31">
        <f>Assumptions!$D$33</f>
        <v>1057.0533600000001</v>
      </c>
      <c r="I11" s="1" t="s">
        <v>55</v>
      </c>
      <c r="J11">
        <v>3000</v>
      </c>
      <c r="K11">
        <v>3000</v>
      </c>
      <c r="L11">
        <v>2500</v>
      </c>
      <c r="M11">
        <v>1000</v>
      </c>
      <c r="N11">
        <v>600</v>
      </c>
      <c r="O11">
        <v>600</v>
      </c>
      <c r="P11">
        <v>400</v>
      </c>
      <c r="Q11">
        <v>400</v>
      </c>
      <c r="R11">
        <v>400</v>
      </c>
      <c r="S11">
        <v>400</v>
      </c>
    </row>
    <row r="12" spans="1:19" x14ac:dyDescent="0.25">
      <c r="D12" s="1"/>
      <c r="F12" s="31"/>
      <c r="J12">
        <v>1057</v>
      </c>
      <c r="K12">
        <v>1057</v>
      </c>
      <c r="L12">
        <v>1057</v>
      </c>
      <c r="M12">
        <v>1057</v>
      </c>
      <c r="N12">
        <v>1057</v>
      </c>
      <c r="O12">
        <v>1057</v>
      </c>
      <c r="P12">
        <v>1057</v>
      </c>
      <c r="Q12">
        <v>1057</v>
      </c>
      <c r="R12">
        <v>1057</v>
      </c>
      <c r="S12">
        <v>1057</v>
      </c>
    </row>
    <row r="13" spans="1:19" x14ac:dyDescent="0.25">
      <c r="D13" s="1" t="s">
        <v>41</v>
      </c>
      <c r="F13" s="38">
        <f>F9*F11</f>
        <v>10570.533600000001</v>
      </c>
    </row>
    <row r="14" spans="1:19" x14ac:dyDescent="0.25">
      <c r="D14" s="1" t="s">
        <v>42</v>
      </c>
      <c r="F14" s="3" t="s">
        <v>1</v>
      </c>
      <c r="J14" s="8">
        <f>J11*J12</f>
        <v>3171000</v>
      </c>
      <c r="K14" s="8">
        <f t="shared" ref="K14:S14" si="0">K11*K12</f>
        <v>3171000</v>
      </c>
      <c r="L14" s="8">
        <f t="shared" si="0"/>
        <v>2642500</v>
      </c>
      <c r="M14" s="8">
        <f t="shared" si="0"/>
        <v>1057000</v>
      </c>
      <c r="N14" s="8">
        <f t="shared" si="0"/>
        <v>634200</v>
      </c>
      <c r="O14" s="8">
        <f t="shared" si="0"/>
        <v>634200</v>
      </c>
      <c r="P14" s="8">
        <f t="shared" si="0"/>
        <v>422800</v>
      </c>
      <c r="Q14" s="8">
        <f t="shared" si="0"/>
        <v>422800</v>
      </c>
      <c r="R14" s="8">
        <f t="shared" si="0"/>
        <v>422800</v>
      </c>
      <c r="S14" s="8">
        <f t="shared" si="0"/>
        <v>422800</v>
      </c>
    </row>
    <row r="15" spans="1:19" x14ac:dyDescent="0.25">
      <c r="E15" s="6" t="s">
        <v>38</v>
      </c>
      <c r="F15" s="36">
        <f ca="1">+Pricing!E17/F13</f>
        <v>526.53193046764795</v>
      </c>
      <c r="G15" s="6" t="s">
        <v>44</v>
      </c>
    </row>
    <row r="16" spans="1:19" x14ac:dyDescent="0.25">
      <c r="E16" s="6" t="s">
        <v>37</v>
      </c>
      <c r="F16" s="47">
        <f ca="1">+Pricing!E17</f>
        <v>5565723.4624811364</v>
      </c>
      <c r="J16" s="12">
        <f>SUM(J14:S14)</f>
        <v>13001100</v>
      </c>
    </row>
    <row r="17" spans="3:10" x14ac:dyDescent="0.25">
      <c r="D17" s="65" t="s">
        <v>39</v>
      </c>
      <c r="E17" s="66"/>
      <c r="F17" s="3"/>
    </row>
    <row r="18" spans="3:10" x14ac:dyDescent="0.25">
      <c r="D18" s="13"/>
      <c r="E18" s="37" t="s">
        <v>43</v>
      </c>
      <c r="F18" s="48">
        <f ca="1">+Pricing!E14</f>
        <v>2832290.5102402354</v>
      </c>
      <c r="J18" s="64">
        <f>J16/(1.08^3.35277778)</f>
        <v>10044253.707857065</v>
      </c>
    </row>
    <row r="19" spans="3:10" x14ac:dyDescent="0.25">
      <c r="E19" s="6" t="s">
        <v>40</v>
      </c>
      <c r="F19" s="48">
        <f ca="1">(+Pricing!E16/$F$9)/F11</f>
        <v>258.58987404769243</v>
      </c>
      <c r="G19" s="6" t="s">
        <v>44</v>
      </c>
    </row>
    <row r="20" spans="3:10" x14ac:dyDescent="0.25">
      <c r="E20" s="6"/>
      <c r="F20" s="3"/>
    </row>
    <row r="21" spans="3:10" x14ac:dyDescent="0.25">
      <c r="F21" s="3"/>
    </row>
    <row r="22" spans="3:10" x14ac:dyDescent="0.25">
      <c r="C22" s="1">
        <v>2</v>
      </c>
      <c r="D22" s="1" t="s">
        <v>32</v>
      </c>
      <c r="F22" s="31" t="str">
        <f>Assumptions!$D$37</f>
        <v>Rotamix</v>
      </c>
    </row>
    <row r="23" spans="3:10" x14ac:dyDescent="0.25">
      <c r="D23" s="1" t="s">
        <v>33</v>
      </c>
      <c r="F23" s="31">
        <f>Assumptions!$D$46</f>
        <v>990.98752500000001</v>
      </c>
    </row>
    <row r="24" spans="3:10" x14ac:dyDescent="0.25">
      <c r="D24" s="1"/>
      <c r="F24" s="31"/>
    </row>
    <row r="25" spans="3:10" x14ac:dyDescent="0.25">
      <c r="D25" s="1" t="s">
        <v>41</v>
      </c>
      <c r="F25" s="31">
        <f>F9*F23</f>
        <v>9909.875250000001</v>
      </c>
    </row>
    <row r="26" spans="3:10" x14ac:dyDescent="0.25">
      <c r="D26" s="1" t="s">
        <v>42</v>
      </c>
      <c r="F26" s="3" t="s">
        <v>1</v>
      </c>
    </row>
    <row r="27" spans="3:10" x14ac:dyDescent="0.25">
      <c r="E27" s="6" t="s">
        <v>38</v>
      </c>
      <c r="F27" s="36">
        <f ca="1">+Pricing!E22/(F9*F23)</f>
        <v>350.79326693266137</v>
      </c>
      <c r="G27" s="6" t="s">
        <v>44</v>
      </c>
    </row>
    <row r="28" spans="3:10" x14ac:dyDescent="0.25">
      <c r="E28" s="6" t="s">
        <v>37</v>
      </c>
      <c r="F28" s="47">
        <f ca="1">+Pricing!E22</f>
        <v>3476317.5138426246</v>
      </c>
    </row>
    <row r="29" spans="3:10" x14ac:dyDescent="0.25">
      <c r="D29" s="65" t="s">
        <v>39</v>
      </c>
      <c r="E29" s="66"/>
      <c r="F29" s="36"/>
    </row>
    <row r="30" spans="3:10" x14ac:dyDescent="0.25">
      <c r="D30" s="13"/>
      <c r="E30" s="37" t="s">
        <v>43</v>
      </c>
      <c r="F30" s="48">
        <f ca="1">+Pricing!E19</f>
        <v>1373247.6709960534</v>
      </c>
    </row>
    <row r="31" spans="3:10" x14ac:dyDescent="0.25">
      <c r="D31" s="13"/>
      <c r="E31" s="6" t="s">
        <v>40</v>
      </c>
      <c r="F31" s="48">
        <f ca="1">(+Pricing!E21/$F$9)/F23</f>
        <v>212.21960819805184</v>
      </c>
      <c r="G31" s="6" t="s">
        <v>44</v>
      </c>
    </row>
    <row r="32" spans="3:10" x14ac:dyDescent="0.25">
      <c r="D32" s="13"/>
      <c r="E32" s="14"/>
      <c r="F32" s="36"/>
    </row>
    <row r="34" spans="3:7" ht="13.8" x14ac:dyDescent="0.25">
      <c r="D34" s="63" t="str">
        <f>Assumptions!$F$5</f>
        <v>YATES 5</v>
      </c>
    </row>
    <row r="35" spans="3:7" ht="15.6" x14ac:dyDescent="0.3">
      <c r="D35" s="7"/>
    </row>
    <row r="37" spans="3:7" x14ac:dyDescent="0.25">
      <c r="D37" s="1" t="s">
        <v>21</v>
      </c>
      <c r="F37" s="31">
        <f>Assumptions!$H$8</f>
        <v>10</v>
      </c>
    </row>
    <row r="38" spans="3:7" x14ac:dyDescent="0.25">
      <c r="C38" s="1">
        <v>1</v>
      </c>
      <c r="D38" s="1" t="s">
        <v>32</v>
      </c>
      <c r="F38" s="31" t="str">
        <f>Assumptions!$H$24</f>
        <v>Noxtech</v>
      </c>
    </row>
    <row r="39" spans="3:7" x14ac:dyDescent="0.25">
      <c r="D39" s="1" t="s">
        <v>33</v>
      </c>
      <c r="F39" s="31">
        <f>Assumptions!$H$33</f>
        <v>402.68809280000005</v>
      </c>
    </row>
    <row r="40" spans="3:7" x14ac:dyDescent="0.25">
      <c r="D40" s="1"/>
      <c r="F40" s="31"/>
    </row>
    <row r="41" spans="3:7" x14ac:dyDescent="0.25">
      <c r="D41" s="1" t="s">
        <v>41</v>
      </c>
      <c r="F41" s="31">
        <f>F9*F39</f>
        <v>4026.8809280000005</v>
      </c>
    </row>
    <row r="42" spans="3:7" x14ac:dyDescent="0.25">
      <c r="D42" s="1" t="s">
        <v>42</v>
      </c>
      <c r="F42" s="3" t="s">
        <v>1</v>
      </c>
    </row>
    <row r="43" spans="3:7" x14ac:dyDescent="0.25">
      <c r="E43" s="6" t="s">
        <v>38</v>
      </c>
      <c r="F43" s="36">
        <f ca="1">+Pricing!E37/(F37*F39)</f>
        <v>1204.8242599888108</v>
      </c>
      <c r="G43" s="6" t="s">
        <v>44</v>
      </c>
    </row>
    <row r="44" spans="3:7" x14ac:dyDescent="0.25">
      <c r="E44" s="6" t="s">
        <v>37</v>
      </c>
      <c r="F44" s="47">
        <f ca="1">+Pricing!E37</f>
        <v>4851683.8341406565</v>
      </c>
    </row>
    <row r="45" spans="3:7" x14ac:dyDescent="0.25">
      <c r="D45" s="65" t="s">
        <v>39</v>
      </c>
      <c r="E45" s="66"/>
      <c r="F45" s="36"/>
    </row>
    <row r="46" spans="3:7" x14ac:dyDescent="0.25">
      <c r="D46" s="13"/>
      <c r="E46" s="37" t="s">
        <v>43</v>
      </c>
      <c r="F46" s="48">
        <f ca="1">+Pricing!E34</f>
        <v>2832290.5102402354</v>
      </c>
    </row>
    <row r="47" spans="3:7" x14ac:dyDescent="0.25">
      <c r="D47" s="13"/>
      <c r="E47" s="6" t="s">
        <v>40</v>
      </c>
      <c r="F47" s="48">
        <f ca="1">(+Pricing!E36/$F$37)/F39</f>
        <v>501.47828058660212</v>
      </c>
      <c r="G47" s="6" t="s">
        <v>44</v>
      </c>
    </row>
    <row r="48" spans="3:7" x14ac:dyDescent="0.25">
      <c r="D48" s="13"/>
      <c r="E48" s="14"/>
      <c r="F48" s="36"/>
    </row>
    <row r="49" spans="3:7" x14ac:dyDescent="0.25">
      <c r="D49" s="13"/>
      <c r="E49" s="14"/>
      <c r="F49" s="36"/>
    </row>
    <row r="50" spans="3:7" x14ac:dyDescent="0.25">
      <c r="C50" s="1">
        <v>2</v>
      </c>
      <c r="D50" s="1" t="s">
        <v>32</v>
      </c>
      <c r="F50" s="31" t="str">
        <f>Assumptions!$H$37</f>
        <v>Rotamix</v>
      </c>
    </row>
    <row r="51" spans="3:7" x14ac:dyDescent="0.25">
      <c r="D51" s="1" t="s">
        <v>33</v>
      </c>
      <c r="F51" s="31">
        <f>Assumptions!$H$46</f>
        <v>431.45152800000005</v>
      </c>
    </row>
    <row r="52" spans="3:7" x14ac:dyDescent="0.25">
      <c r="D52" s="1"/>
      <c r="F52" s="31"/>
    </row>
    <row r="53" spans="3:7" x14ac:dyDescent="0.25">
      <c r="D53" s="1" t="s">
        <v>41</v>
      </c>
      <c r="F53" s="31">
        <f>F9*F51</f>
        <v>4314.5152800000005</v>
      </c>
    </row>
    <row r="54" spans="3:7" x14ac:dyDescent="0.25">
      <c r="D54" s="1" t="s">
        <v>42</v>
      </c>
      <c r="F54" s="3" t="s">
        <v>1</v>
      </c>
    </row>
    <row r="55" spans="3:7" x14ac:dyDescent="0.25">
      <c r="E55" s="6" t="s">
        <v>38</v>
      </c>
      <c r="F55" s="36">
        <f ca="1">+Pricing!E42/(F37*F51)</f>
        <v>778.57422429108044</v>
      </c>
      <c r="G55" s="6" t="s">
        <v>44</v>
      </c>
    </row>
    <row r="56" spans="3:7" x14ac:dyDescent="0.25">
      <c r="E56" s="6" t="s">
        <v>37</v>
      </c>
      <c r="F56" s="47">
        <f ca="1">+Pricing!E42</f>
        <v>3359170.3873180142</v>
      </c>
    </row>
    <row r="57" spans="3:7" x14ac:dyDescent="0.25">
      <c r="D57" s="65" t="s">
        <v>39</v>
      </c>
      <c r="E57" s="66"/>
      <c r="F57" s="36"/>
    </row>
    <row r="58" spans="3:7" x14ac:dyDescent="0.25">
      <c r="E58" s="37" t="s">
        <v>43</v>
      </c>
      <c r="F58" s="48">
        <f ca="1">+Pricing!E39</f>
        <v>1373247.6709960534</v>
      </c>
      <c r="G58" s="6"/>
    </row>
    <row r="59" spans="3:7" x14ac:dyDescent="0.25">
      <c r="E59" s="6" t="s">
        <v>40</v>
      </c>
      <c r="F59" s="48">
        <f ca="1">(+Pricing!E41/$F$37)/F51</f>
        <v>460.28872015536371</v>
      </c>
      <c r="G59" s="6" t="s">
        <v>44</v>
      </c>
    </row>
  </sheetData>
  <mergeCells count="4">
    <mergeCell ref="D17:E17"/>
    <mergeCell ref="D29:E29"/>
    <mergeCell ref="D45:E45"/>
    <mergeCell ref="D57:E57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selection activeCell="H10" sqref="H10"/>
    </sheetView>
  </sheetViews>
  <sheetFormatPr defaultRowHeight="13.2" x14ac:dyDescent="0.25"/>
  <cols>
    <col min="1" max="1" width="4" customWidth="1"/>
    <col min="2" max="2" width="9.6640625" customWidth="1"/>
    <col min="3" max="3" width="10" customWidth="1"/>
    <col min="4" max="4" width="11.33203125" customWidth="1"/>
    <col min="5" max="5" width="10.33203125" bestFit="1" customWidth="1"/>
    <col min="6" max="6" width="5.33203125" customWidth="1"/>
    <col min="7" max="8" width="10.5546875" customWidth="1"/>
    <col min="19" max="19" width="17" customWidth="1"/>
  </cols>
  <sheetData>
    <row r="1" spans="1:22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22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22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22" x14ac:dyDescent="0.25">
      <c r="A4" s="15"/>
      <c r="B4" s="15" t="s">
        <v>1</v>
      </c>
      <c r="C4" s="15"/>
      <c r="D4" s="15"/>
      <c r="E4" s="15"/>
      <c r="F4" s="15" t="s">
        <v>1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</row>
    <row r="5" spans="1:22" x14ac:dyDescent="0.25">
      <c r="B5" s="67">
        <f ca="1">TODAY()</f>
        <v>36874</v>
      </c>
      <c r="C5" s="66"/>
    </row>
    <row r="6" spans="1:22" x14ac:dyDescent="0.25">
      <c r="B6" s="61">
        <f>Assumptions!$C$7</f>
        <v>0.08</v>
      </c>
      <c r="C6" t="s">
        <v>54</v>
      </c>
      <c r="H6" s="20" t="s">
        <v>1</v>
      </c>
    </row>
    <row r="7" spans="1:22" x14ac:dyDescent="0.25">
      <c r="D7" s="19"/>
      <c r="E7" s="19"/>
      <c r="F7" s="19"/>
    </row>
    <row r="8" spans="1:22" ht="13.8" x14ac:dyDescent="0.25">
      <c r="C8" s="63" t="str">
        <f>Assumptions!$B$5</f>
        <v>BARRY 2</v>
      </c>
    </row>
    <row r="9" spans="1:22" x14ac:dyDescent="0.25">
      <c r="E9" s="1" t="s">
        <v>23</v>
      </c>
      <c r="F9" s="1"/>
      <c r="G9" s="30">
        <f>H9-270</f>
        <v>37808</v>
      </c>
      <c r="H9" s="21">
        <v>38078</v>
      </c>
      <c r="I9" s="21">
        <f>H9+365</f>
        <v>38443</v>
      </c>
      <c r="J9" s="21">
        <f t="shared" ref="J9:Q9" si="0">I9+365</f>
        <v>38808</v>
      </c>
      <c r="K9" s="21">
        <f t="shared" si="0"/>
        <v>39173</v>
      </c>
      <c r="L9" s="21">
        <f>K9+366</f>
        <v>39539</v>
      </c>
      <c r="M9" s="21">
        <f t="shared" si="0"/>
        <v>39904</v>
      </c>
      <c r="N9" s="21">
        <f t="shared" si="0"/>
        <v>40269</v>
      </c>
      <c r="O9" s="21">
        <f t="shared" si="0"/>
        <v>40634</v>
      </c>
      <c r="P9" s="21">
        <f>O9+366</f>
        <v>41000</v>
      </c>
      <c r="Q9" s="21">
        <f t="shared" si="0"/>
        <v>41365</v>
      </c>
      <c r="S9" s="1" t="s">
        <v>45</v>
      </c>
      <c r="T9" s="1"/>
    </row>
    <row r="10" spans="1:22" x14ac:dyDescent="0.25">
      <c r="D10" s="24" t="s">
        <v>26</v>
      </c>
      <c r="E10" s="24"/>
      <c r="F10" s="24"/>
      <c r="G10" s="25">
        <f ca="1">G9-$B$5</f>
        <v>934</v>
      </c>
      <c r="H10" s="25">
        <f t="shared" ref="H10:Q10" ca="1" si="1">H9-$B$5</f>
        <v>1204</v>
      </c>
      <c r="I10" s="25">
        <f t="shared" ca="1" si="1"/>
        <v>1569</v>
      </c>
      <c r="J10" s="25">
        <f t="shared" ca="1" si="1"/>
        <v>1934</v>
      </c>
      <c r="K10" s="25">
        <f t="shared" ca="1" si="1"/>
        <v>2299</v>
      </c>
      <c r="L10" s="25">
        <f t="shared" ca="1" si="1"/>
        <v>2665</v>
      </c>
      <c r="M10" s="25">
        <f t="shared" ca="1" si="1"/>
        <v>3030</v>
      </c>
      <c r="N10" s="25">
        <f t="shared" ca="1" si="1"/>
        <v>3395</v>
      </c>
      <c r="O10" s="25">
        <f t="shared" ca="1" si="1"/>
        <v>3760</v>
      </c>
      <c r="P10" s="25">
        <f t="shared" ca="1" si="1"/>
        <v>4126</v>
      </c>
      <c r="Q10" s="25">
        <f t="shared" ca="1" si="1"/>
        <v>4491</v>
      </c>
      <c r="S10" s="39">
        <f ca="1">TODAY()</f>
        <v>36874</v>
      </c>
      <c r="T10" s="1"/>
      <c r="V10" s="1"/>
    </row>
    <row r="11" spans="1:22" x14ac:dyDescent="0.25">
      <c r="D11" s="24" t="s">
        <v>27</v>
      </c>
      <c r="E11" s="24"/>
      <c r="F11" s="24"/>
      <c r="G11" s="26">
        <f>$B$6</f>
        <v>0.08</v>
      </c>
      <c r="H11" s="26">
        <f t="shared" ref="H11:Q11" si="2">$B$6</f>
        <v>0.08</v>
      </c>
      <c r="I11" s="26">
        <f t="shared" si="2"/>
        <v>0.08</v>
      </c>
      <c r="J11" s="26">
        <f t="shared" si="2"/>
        <v>0.08</v>
      </c>
      <c r="K11" s="26">
        <f t="shared" si="2"/>
        <v>0.08</v>
      </c>
      <c r="L11" s="26">
        <f t="shared" si="2"/>
        <v>0.08</v>
      </c>
      <c r="M11" s="26">
        <f t="shared" si="2"/>
        <v>0.08</v>
      </c>
      <c r="N11" s="26">
        <f t="shared" si="2"/>
        <v>0.08</v>
      </c>
      <c r="O11" s="26">
        <f t="shared" si="2"/>
        <v>0.08</v>
      </c>
      <c r="P11" s="26">
        <f t="shared" si="2"/>
        <v>0.08</v>
      </c>
      <c r="Q11" s="26">
        <f t="shared" si="2"/>
        <v>0.08</v>
      </c>
      <c r="S11" s="1"/>
      <c r="T11" s="1"/>
      <c r="U11" s="39"/>
      <c r="V11" s="1"/>
    </row>
    <row r="12" spans="1:22" x14ac:dyDescent="0.25">
      <c r="D12" s="24"/>
      <c r="E12" s="24"/>
      <c r="F12" s="24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S12" s="1" t="s">
        <v>46</v>
      </c>
      <c r="T12" s="1" t="s">
        <v>47</v>
      </c>
      <c r="U12" s="1" t="s">
        <v>48</v>
      </c>
      <c r="V12" s="1" t="s">
        <v>49</v>
      </c>
    </row>
    <row r="13" spans="1:22" x14ac:dyDescent="0.25">
      <c r="C13" s="1" t="s">
        <v>22</v>
      </c>
      <c r="D13" s="22" t="s">
        <v>24</v>
      </c>
      <c r="E13" s="12" t="s">
        <v>1</v>
      </c>
      <c r="F13" s="12"/>
      <c r="G13" s="27">
        <f>Assumptions!$D$26</f>
        <v>3458230</v>
      </c>
      <c r="H13" s="24"/>
      <c r="I13" s="24"/>
      <c r="J13" s="24"/>
      <c r="K13" s="24"/>
      <c r="L13" s="24"/>
      <c r="M13" s="24"/>
      <c r="N13" s="24"/>
      <c r="O13" s="24"/>
      <c r="P13" s="24"/>
      <c r="Q13" s="24"/>
    </row>
    <row r="14" spans="1:22" x14ac:dyDescent="0.25">
      <c r="C14" s="1"/>
      <c r="D14" s="24" t="s">
        <v>28</v>
      </c>
      <c r="E14" s="28">
        <f ca="1">SUM(G14:R14)</f>
        <v>2832290.5102402354</v>
      </c>
      <c r="F14" s="24"/>
      <c r="G14" s="27">
        <f ca="1">G13/((1+G$11)^(G$10/360))</f>
        <v>2832290.5102402354</v>
      </c>
      <c r="H14" s="27">
        <f t="shared" ref="H14:Q14" ca="1" si="3">H13/((1+H$11)^(H$10/360))</f>
        <v>0</v>
      </c>
      <c r="I14" s="27">
        <f t="shared" ca="1" si="3"/>
        <v>0</v>
      </c>
      <c r="J14" s="27">
        <f t="shared" ca="1" si="3"/>
        <v>0</v>
      </c>
      <c r="K14" s="27">
        <f t="shared" ca="1" si="3"/>
        <v>0</v>
      </c>
      <c r="L14" s="27">
        <f t="shared" ca="1" si="3"/>
        <v>0</v>
      </c>
      <c r="M14" s="27">
        <f t="shared" ca="1" si="3"/>
        <v>0</v>
      </c>
      <c r="N14" s="27">
        <f t="shared" ca="1" si="3"/>
        <v>0</v>
      </c>
      <c r="O14" s="27">
        <f t="shared" ca="1" si="3"/>
        <v>0</v>
      </c>
      <c r="P14" s="27">
        <f t="shared" ca="1" si="3"/>
        <v>0</v>
      </c>
      <c r="Q14" s="27">
        <f t="shared" ca="1" si="3"/>
        <v>0</v>
      </c>
      <c r="S14" s="41">
        <v>1</v>
      </c>
      <c r="T14" s="42" t="s">
        <v>50</v>
      </c>
      <c r="U14" s="43">
        <v>6.5000000000000002E-2</v>
      </c>
      <c r="V14" s="43">
        <v>6.4000000000000001E-2</v>
      </c>
    </row>
    <row r="15" spans="1:22" x14ac:dyDescent="0.25">
      <c r="D15" s="22" t="s">
        <v>25</v>
      </c>
      <c r="E15" s="12" t="s">
        <v>1</v>
      </c>
      <c r="F15" s="12"/>
      <c r="G15" s="24"/>
      <c r="H15" s="27">
        <f>Assumptions!$D$27</f>
        <v>490000</v>
      </c>
      <c r="I15" s="27">
        <f>Assumptions!$D$27</f>
        <v>490000</v>
      </c>
      <c r="J15" s="27">
        <f>Assumptions!$D$27</f>
        <v>490000</v>
      </c>
      <c r="K15" s="27">
        <f>Assumptions!$D$27</f>
        <v>490000</v>
      </c>
      <c r="L15" s="27">
        <f>Assumptions!$D$27</f>
        <v>490000</v>
      </c>
      <c r="M15" s="27">
        <f>Assumptions!$D$27</f>
        <v>490000</v>
      </c>
      <c r="N15" s="27">
        <f>Assumptions!$D$27</f>
        <v>490000</v>
      </c>
      <c r="O15" s="27">
        <f>Assumptions!$D$27</f>
        <v>490000</v>
      </c>
      <c r="P15" s="27">
        <f>Assumptions!$D$27</f>
        <v>490000</v>
      </c>
      <c r="Q15" s="27">
        <f>Assumptions!$D$27</f>
        <v>490000</v>
      </c>
      <c r="S15" s="41">
        <v>90</v>
      </c>
      <c r="T15" s="42" t="s">
        <v>51</v>
      </c>
      <c r="U15" s="44">
        <v>6.4000000000000001E-2</v>
      </c>
      <c r="V15" s="44">
        <v>6.3E-2</v>
      </c>
    </row>
    <row r="16" spans="1:22" x14ac:dyDescent="0.25">
      <c r="D16" s="24" t="s">
        <v>28</v>
      </c>
      <c r="E16" s="28">
        <f ca="1">SUM(H16:R16)</f>
        <v>2733432.9522409011</v>
      </c>
      <c r="G16" s="24"/>
      <c r="H16" s="27">
        <f ca="1">H15/((1+H$11)^(H$10/360))</f>
        <v>378801.9331449595</v>
      </c>
      <c r="I16" s="27">
        <f t="shared" ref="I16:Q16" ca="1" si="4">I15/((1+I$11)^(I$10/360))</f>
        <v>350367.82112387876</v>
      </c>
      <c r="J16" s="27">
        <f t="shared" ca="1" si="4"/>
        <v>324068.06654842908</v>
      </c>
      <c r="K16" s="27">
        <f t="shared" ca="1" si="4"/>
        <v>299742.45756805764</v>
      </c>
      <c r="L16" s="27">
        <f t="shared" ca="1" si="4"/>
        <v>277183.54553928133</v>
      </c>
      <c r="M16" s="27">
        <f t="shared" ca="1" si="4"/>
        <v>256377.24204756133</v>
      </c>
      <c r="N16" s="27">
        <f t="shared" ca="1" si="4"/>
        <v>237132.72774555429</v>
      </c>
      <c r="O16" s="27">
        <f t="shared" ca="1" si="4"/>
        <v>219332.76962865304</v>
      </c>
      <c r="P16" s="27">
        <f t="shared" ca="1" si="4"/>
        <v>202825.56976372492</v>
      </c>
      <c r="Q16" s="27">
        <f t="shared" ca="1" si="4"/>
        <v>187600.81913080168</v>
      </c>
      <c r="S16" s="45">
        <v>180</v>
      </c>
      <c r="T16" s="42" t="s">
        <v>52</v>
      </c>
      <c r="U16" s="44">
        <v>6.3E-2</v>
      </c>
      <c r="V16" s="44">
        <v>6.2E-2</v>
      </c>
    </row>
    <row r="17" spans="3:22" x14ac:dyDescent="0.25">
      <c r="D17" s="32" t="s">
        <v>29</v>
      </c>
      <c r="E17" s="33">
        <f ca="1">E14+E16</f>
        <v>5565723.4624811364</v>
      </c>
      <c r="F17" s="12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S17" s="45">
        <v>270</v>
      </c>
      <c r="T17" s="42" t="s">
        <v>53</v>
      </c>
      <c r="U17" s="44">
        <v>6.2E-2</v>
      </c>
      <c r="V17" s="44">
        <v>6.0999999999999999E-2</v>
      </c>
    </row>
    <row r="18" spans="3:22" x14ac:dyDescent="0.25">
      <c r="C18" s="1" t="s">
        <v>9</v>
      </c>
      <c r="D18" s="22" t="s">
        <v>24</v>
      </c>
      <c r="E18" s="12" t="s">
        <v>1</v>
      </c>
      <c r="G18" s="27">
        <f>Assumptions!$D$39</f>
        <v>1676737</v>
      </c>
      <c r="H18" s="24"/>
      <c r="I18" s="24"/>
      <c r="J18" s="24"/>
      <c r="K18" s="24"/>
      <c r="L18" s="24"/>
      <c r="M18" s="24"/>
      <c r="N18" s="24"/>
      <c r="O18" s="24"/>
      <c r="P18" s="24"/>
      <c r="Q18" s="24"/>
      <c r="S18" s="45">
        <v>360</v>
      </c>
      <c r="T18" s="42">
        <v>1</v>
      </c>
      <c r="U18" s="43">
        <v>6.0100000000000001E-2</v>
      </c>
      <c r="V18" s="43">
        <v>5.91E-2</v>
      </c>
    </row>
    <row r="19" spans="3:22" x14ac:dyDescent="0.25">
      <c r="D19" s="24" t="s">
        <v>28</v>
      </c>
      <c r="E19" s="28">
        <f ca="1">SUM(G19:R19)</f>
        <v>1373247.6709960534</v>
      </c>
      <c r="G19" s="27">
        <f ca="1">G18/((1+G$11)^(G$10/360))</f>
        <v>1373247.6709960534</v>
      </c>
      <c r="H19" s="24"/>
      <c r="I19" s="24"/>
      <c r="J19" s="24"/>
      <c r="K19" s="24"/>
      <c r="L19" s="24"/>
      <c r="M19" s="24"/>
      <c r="N19" s="24"/>
      <c r="O19" s="24"/>
      <c r="P19" s="24"/>
      <c r="Q19" s="24"/>
      <c r="S19" s="45">
        <f>360*T19</f>
        <v>720</v>
      </c>
      <c r="T19" s="42">
        <v>2</v>
      </c>
      <c r="U19" s="43">
        <v>5.9299999999999999E-2</v>
      </c>
      <c r="V19" s="43">
        <v>5.8299999999999998E-2</v>
      </c>
    </row>
    <row r="20" spans="3:22" x14ac:dyDescent="0.25">
      <c r="D20" s="22" t="s">
        <v>25</v>
      </c>
      <c r="E20" s="12" t="s">
        <v>1</v>
      </c>
      <c r="G20" s="24"/>
      <c r="H20" s="27">
        <f>Assumptions!$D$40</f>
        <v>377000</v>
      </c>
      <c r="I20" s="27">
        <f>Assumptions!$D$40</f>
        <v>377000</v>
      </c>
      <c r="J20" s="27">
        <f>Assumptions!$D$40</f>
        <v>377000</v>
      </c>
      <c r="K20" s="27">
        <f>Assumptions!$D$40</f>
        <v>377000</v>
      </c>
      <c r="L20" s="27">
        <f>Assumptions!$D$40</f>
        <v>377000</v>
      </c>
      <c r="M20" s="27">
        <f>Assumptions!$D$40</f>
        <v>377000</v>
      </c>
      <c r="N20" s="27">
        <f>Assumptions!$D$40</f>
        <v>377000</v>
      </c>
      <c r="O20" s="27">
        <f>Assumptions!$D$40</f>
        <v>377000</v>
      </c>
      <c r="P20" s="27">
        <f>Assumptions!$D$40</f>
        <v>377000</v>
      </c>
      <c r="Q20" s="27">
        <f>Assumptions!$D$40</f>
        <v>377000</v>
      </c>
      <c r="S20" s="45">
        <f t="shared" ref="S20:S30" si="5">360*T20</f>
        <v>1080</v>
      </c>
      <c r="T20" s="42">
        <v>3</v>
      </c>
      <c r="U20" s="44">
        <v>5.8999999999999997E-2</v>
      </c>
      <c r="V20" s="44">
        <v>5.8000000000000003E-2</v>
      </c>
    </row>
    <row r="21" spans="3:22" x14ac:dyDescent="0.25">
      <c r="D21" s="24" t="s">
        <v>28</v>
      </c>
      <c r="E21" s="28">
        <f ca="1">SUM(H21:R21)</f>
        <v>2103069.842846571</v>
      </c>
      <c r="H21" s="27">
        <f ca="1">H20/((1+H$11)^(H$10/360))</f>
        <v>291445.56897071371</v>
      </c>
      <c r="I21" s="27">
        <f t="shared" ref="I21:Q21" ca="1" si="6">I20/((1+I$11)^(I$10/360))</f>
        <v>269568.71135449444</v>
      </c>
      <c r="J21" s="27">
        <f t="shared" ca="1" si="6"/>
        <v>249334.00222195461</v>
      </c>
      <c r="K21" s="27">
        <f t="shared" ca="1" si="6"/>
        <v>230618.1765370566</v>
      </c>
      <c r="L21" s="27">
        <f t="shared" ca="1" si="6"/>
        <v>213261.62585369195</v>
      </c>
      <c r="M21" s="27">
        <f t="shared" ca="1" si="6"/>
        <v>197253.51071822576</v>
      </c>
      <c r="N21" s="27">
        <f t="shared" ca="1" si="6"/>
        <v>182447.01706137543</v>
      </c>
      <c r="O21" s="27">
        <f t="shared" ca="1" si="6"/>
        <v>168751.94724490243</v>
      </c>
      <c r="P21" s="27">
        <f t="shared" ca="1" si="6"/>
        <v>156051.5097978047</v>
      </c>
      <c r="Q21" s="27">
        <f t="shared" ca="1" si="6"/>
        <v>144337.77308635149</v>
      </c>
      <c r="S21" s="45">
        <f t="shared" si="5"/>
        <v>1440</v>
      </c>
      <c r="T21" s="42">
        <v>4</v>
      </c>
      <c r="U21" s="44">
        <v>5.8500000000000003E-2</v>
      </c>
      <c r="V21" s="44">
        <v>5.7500000000000002E-2</v>
      </c>
    </row>
    <row r="22" spans="3:22" x14ac:dyDescent="0.25">
      <c r="D22" s="32" t="s">
        <v>29</v>
      </c>
      <c r="E22" s="33">
        <f ca="1">E19+E21</f>
        <v>3476317.5138426246</v>
      </c>
      <c r="F22" s="12"/>
      <c r="S22" s="45">
        <f t="shared" si="5"/>
        <v>1800</v>
      </c>
      <c r="T22" s="42">
        <v>5</v>
      </c>
      <c r="U22" s="43">
        <v>5.8000000000000003E-2</v>
      </c>
      <c r="V22" s="43">
        <v>5.7000000000000002E-2</v>
      </c>
    </row>
    <row r="23" spans="3:22" x14ac:dyDescent="0.25">
      <c r="D23" s="1"/>
      <c r="E23" s="29"/>
      <c r="F23" s="12"/>
      <c r="S23" s="45">
        <f t="shared" si="5"/>
        <v>2160</v>
      </c>
      <c r="T23" s="42">
        <v>6</v>
      </c>
      <c r="U23" s="44">
        <v>5.79E-2</v>
      </c>
      <c r="V23" s="44">
        <v>5.6899999999999999E-2</v>
      </c>
    </row>
    <row r="24" spans="3:22" x14ac:dyDescent="0.25">
      <c r="D24" s="1"/>
      <c r="E24" s="29"/>
      <c r="F24" s="12"/>
      <c r="S24" s="45">
        <f t="shared" si="5"/>
        <v>2520</v>
      </c>
      <c r="T24" s="42">
        <v>7</v>
      </c>
      <c r="U24" s="44">
        <v>5.7799999999999997E-2</v>
      </c>
      <c r="V24" s="44">
        <v>5.6800000000000003E-2</v>
      </c>
    </row>
    <row r="25" spans="3:22" x14ac:dyDescent="0.25">
      <c r="S25" s="45">
        <f t="shared" si="5"/>
        <v>2880</v>
      </c>
      <c r="T25" s="42">
        <v>8</v>
      </c>
      <c r="U25" s="44">
        <v>5.7799999999999997E-2</v>
      </c>
      <c r="V25" s="44">
        <v>5.6800000000000003E-2</v>
      </c>
    </row>
    <row r="26" spans="3:22" x14ac:dyDescent="0.25">
      <c r="D26" s="19"/>
      <c r="E26" s="19"/>
      <c r="F26" s="19"/>
      <c r="S26" s="45">
        <f t="shared" si="5"/>
        <v>3240</v>
      </c>
      <c r="T26" s="42">
        <v>9</v>
      </c>
      <c r="U26" s="44">
        <v>5.7799999999999997E-2</v>
      </c>
      <c r="V26" s="44">
        <v>5.6800000000000003E-2</v>
      </c>
    </row>
    <row r="27" spans="3:22" ht="13.8" x14ac:dyDescent="0.25">
      <c r="C27" s="63" t="str">
        <f>Assumptions!$F$5</f>
        <v>YATES 5</v>
      </c>
      <c r="S27" s="45">
        <f t="shared" si="5"/>
        <v>3600</v>
      </c>
      <c r="T27" s="42">
        <v>10</v>
      </c>
      <c r="U27" s="43">
        <v>5.7700000000000001E-2</v>
      </c>
      <c r="V27" s="43">
        <v>5.67E-2</v>
      </c>
    </row>
    <row r="28" spans="3:22" x14ac:dyDescent="0.25">
      <c r="E28" s="1" t="s">
        <v>23</v>
      </c>
      <c r="F28" s="1"/>
      <c r="G28" s="30">
        <f>H28-270</f>
        <v>37808</v>
      </c>
      <c r="H28" s="21">
        <v>38078</v>
      </c>
      <c r="I28" s="21">
        <f>H28+365</f>
        <v>38443</v>
      </c>
      <c r="J28" s="21">
        <f t="shared" ref="J28:Q28" si="7">I28+365</f>
        <v>38808</v>
      </c>
      <c r="K28" s="21">
        <f t="shared" si="7"/>
        <v>39173</v>
      </c>
      <c r="L28" s="21">
        <f>K28+366</f>
        <v>39539</v>
      </c>
      <c r="M28" s="21">
        <f t="shared" si="7"/>
        <v>39904</v>
      </c>
      <c r="N28" s="21">
        <f t="shared" si="7"/>
        <v>40269</v>
      </c>
      <c r="O28" s="21">
        <f t="shared" si="7"/>
        <v>40634</v>
      </c>
      <c r="P28" s="21">
        <f>O28+366</f>
        <v>41000</v>
      </c>
      <c r="Q28" s="21">
        <f t="shared" si="7"/>
        <v>41365</v>
      </c>
      <c r="S28" s="45">
        <f t="shared" si="5"/>
        <v>3960</v>
      </c>
      <c r="T28" s="42">
        <v>11</v>
      </c>
      <c r="U28" s="44">
        <v>5.7599999999999998E-2</v>
      </c>
      <c r="V28" s="44">
        <v>5.6599999999999998E-2</v>
      </c>
    </row>
    <row r="29" spans="3:22" x14ac:dyDescent="0.25">
      <c r="D29" s="24" t="s">
        <v>26</v>
      </c>
      <c r="E29" s="24"/>
      <c r="F29" s="24"/>
      <c r="G29" s="25">
        <f t="shared" ref="G29:Q29" ca="1" si="8">G28-$B$5</f>
        <v>934</v>
      </c>
      <c r="H29" s="25">
        <f t="shared" ca="1" si="8"/>
        <v>1204</v>
      </c>
      <c r="I29" s="25">
        <f t="shared" ca="1" si="8"/>
        <v>1569</v>
      </c>
      <c r="J29" s="25">
        <f t="shared" ca="1" si="8"/>
        <v>1934</v>
      </c>
      <c r="K29" s="25">
        <f t="shared" ca="1" si="8"/>
        <v>2299</v>
      </c>
      <c r="L29" s="25">
        <f t="shared" ca="1" si="8"/>
        <v>2665</v>
      </c>
      <c r="M29" s="25">
        <f t="shared" ca="1" si="8"/>
        <v>3030</v>
      </c>
      <c r="N29" s="25">
        <f t="shared" ca="1" si="8"/>
        <v>3395</v>
      </c>
      <c r="O29" s="25">
        <f t="shared" ca="1" si="8"/>
        <v>3760</v>
      </c>
      <c r="P29" s="25">
        <f t="shared" ca="1" si="8"/>
        <v>4126</v>
      </c>
      <c r="Q29" s="25">
        <f t="shared" ca="1" si="8"/>
        <v>4491</v>
      </c>
      <c r="S29" s="45">
        <f t="shared" si="5"/>
        <v>4320</v>
      </c>
      <c r="T29" s="42">
        <v>12</v>
      </c>
      <c r="U29" s="44">
        <v>5.7500000000000002E-2</v>
      </c>
      <c r="V29" s="44">
        <v>5.6500000000000002E-2</v>
      </c>
    </row>
    <row r="30" spans="3:22" x14ac:dyDescent="0.25">
      <c r="D30" s="24" t="s">
        <v>27</v>
      </c>
      <c r="E30" s="24"/>
      <c r="F30" s="24"/>
      <c r="G30" s="26">
        <f>$B$6</f>
        <v>0.08</v>
      </c>
      <c r="H30" s="26">
        <f t="shared" ref="H30:Q30" si="9">$B$6</f>
        <v>0.08</v>
      </c>
      <c r="I30" s="26">
        <f t="shared" si="9"/>
        <v>0.08</v>
      </c>
      <c r="J30" s="26">
        <f t="shared" si="9"/>
        <v>0.08</v>
      </c>
      <c r="K30" s="26">
        <f t="shared" si="9"/>
        <v>0.08</v>
      </c>
      <c r="L30" s="26">
        <f t="shared" si="9"/>
        <v>0.08</v>
      </c>
      <c r="M30" s="26">
        <f t="shared" si="9"/>
        <v>0.08</v>
      </c>
      <c r="N30" s="26">
        <f t="shared" si="9"/>
        <v>0.08</v>
      </c>
      <c r="O30" s="26">
        <f t="shared" si="9"/>
        <v>0.08</v>
      </c>
      <c r="P30" s="26">
        <f t="shared" si="9"/>
        <v>0.08</v>
      </c>
      <c r="Q30" s="26">
        <f t="shared" si="9"/>
        <v>0.08</v>
      </c>
      <c r="S30" s="45">
        <f t="shared" si="5"/>
        <v>4680</v>
      </c>
      <c r="T30" s="42">
        <v>13</v>
      </c>
      <c r="U30" s="44">
        <v>5.74E-2</v>
      </c>
      <c r="V30" s="44">
        <v>5.6399999999999999E-2</v>
      </c>
    </row>
    <row r="31" spans="3:22" x14ac:dyDescent="0.25">
      <c r="D31" s="24"/>
      <c r="E31" s="24"/>
      <c r="F31" s="24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S31" s="45">
        <f>360*T31</f>
        <v>5040</v>
      </c>
      <c r="T31" s="42">
        <v>14</v>
      </c>
      <c r="U31" s="44">
        <v>5.7299999999999997E-2</v>
      </c>
      <c r="V31" s="44">
        <v>5.6300000000000003E-2</v>
      </c>
    </row>
    <row r="32" spans="3:22" x14ac:dyDescent="0.25">
      <c r="D32" s="24"/>
      <c r="E32" s="24"/>
      <c r="F32" s="24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S32" s="45">
        <f>360*T32</f>
        <v>5400</v>
      </c>
      <c r="T32" s="42">
        <v>15</v>
      </c>
      <c r="U32" s="44">
        <v>5.7200000000000001E-2</v>
      </c>
      <c r="V32" s="44">
        <v>5.62E-2</v>
      </c>
    </row>
    <row r="33" spans="3:22" x14ac:dyDescent="0.25">
      <c r="C33" s="1" t="s">
        <v>22</v>
      </c>
      <c r="D33" s="22" t="s">
        <v>24</v>
      </c>
      <c r="G33" s="27">
        <f>Assumptions!$H$26</f>
        <v>3458230</v>
      </c>
      <c r="H33" s="24"/>
      <c r="I33" s="24"/>
      <c r="J33" s="24"/>
      <c r="K33" s="24"/>
      <c r="L33" s="24"/>
      <c r="M33" s="24"/>
      <c r="N33" s="24"/>
      <c r="O33" s="24"/>
      <c r="P33" s="24"/>
      <c r="Q33" s="24"/>
      <c r="S33" s="45">
        <f>360*T33</f>
        <v>10800</v>
      </c>
      <c r="T33" s="42">
        <v>30</v>
      </c>
      <c r="U33" s="43">
        <v>5.8200000000000002E-2</v>
      </c>
      <c r="V33" s="43">
        <v>5.7200000000000001E-2</v>
      </c>
    </row>
    <row r="34" spans="3:22" x14ac:dyDescent="0.25">
      <c r="C34" s="1"/>
      <c r="D34" s="24" t="s">
        <v>28</v>
      </c>
      <c r="E34" s="12">
        <f ca="1">SUM(G34:R34)</f>
        <v>2832290.5102402354</v>
      </c>
      <c r="G34" s="27">
        <f ca="1">G33/((1+G$30)^(G$29/360))</f>
        <v>2832290.5102402354</v>
      </c>
      <c r="H34" s="27">
        <f t="shared" ref="H34:Q34" ca="1" si="10">H33/((1+$G$30)^($G$29/360))</f>
        <v>0</v>
      </c>
      <c r="I34" s="27">
        <f t="shared" ca="1" si="10"/>
        <v>0</v>
      </c>
      <c r="J34" s="27">
        <f t="shared" ca="1" si="10"/>
        <v>0</v>
      </c>
      <c r="K34" s="27">
        <f t="shared" ca="1" si="10"/>
        <v>0</v>
      </c>
      <c r="L34" s="27">
        <f t="shared" ca="1" si="10"/>
        <v>0</v>
      </c>
      <c r="M34" s="27">
        <f t="shared" ca="1" si="10"/>
        <v>0</v>
      </c>
      <c r="N34" s="27">
        <f t="shared" ca="1" si="10"/>
        <v>0</v>
      </c>
      <c r="O34" s="27">
        <f t="shared" ca="1" si="10"/>
        <v>0</v>
      </c>
      <c r="P34" s="27">
        <f t="shared" ca="1" si="10"/>
        <v>0</v>
      </c>
      <c r="Q34" s="27">
        <f t="shared" ca="1" si="10"/>
        <v>0</v>
      </c>
    </row>
    <row r="35" spans="3:22" x14ac:dyDescent="0.25">
      <c r="D35" s="22" t="s">
        <v>25</v>
      </c>
      <c r="G35" s="24"/>
      <c r="H35" s="27">
        <f>Assumptions!$H$27</f>
        <v>362000</v>
      </c>
      <c r="I35" s="27">
        <f>Assumptions!$H$27</f>
        <v>362000</v>
      </c>
      <c r="J35" s="27">
        <f>Assumptions!$H$27</f>
        <v>362000</v>
      </c>
      <c r="K35" s="27">
        <f>Assumptions!$H$27</f>
        <v>362000</v>
      </c>
      <c r="L35" s="27">
        <f>Assumptions!$H$27</f>
        <v>362000</v>
      </c>
      <c r="M35" s="27">
        <f>Assumptions!$H$27</f>
        <v>362000</v>
      </c>
      <c r="N35" s="27">
        <f>Assumptions!$H$27</f>
        <v>362000</v>
      </c>
      <c r="O35" s="27">
        <f>Assumptions!$H$27</f>
        <v>362000</v>
      </c>
      <c r="P35" s="27">
        <f>Assumptions!$H$27</f>
        <v>362000</v>
      </c>
      <c r="Q35" s="27">
        <f>Assumptions!$H$27</f>
        <v>362000</v>
      </c>
    </row>
    <row r="36" spans="3:22" x14ac:dyDescent="0.25">
      <c r="D36" s="24" t="s">
        <v>28</v>
      </c>
      <c r="E36" s="12">
        <f ca="1">SUM(H36:R36)</f>
        <v>2019393.3239004212</v>
      </c>
      <c r="G36" s="24"/>
      <c r="H36" s="27">
        <f ca="1">H35/((1+H$30)^(H$29/360))</f>
        <v>279849.59142545983</v>
      </c>
      <c r="I36" s="27">
        <f t="shared" ref="I36:Q36" ca="1" si="11">I35/((1+I$30)^(I$29/360))</f>
        <v>258843.16580988595</v>
      </c>
      <c r="J36" s="27">
        <f t="shared" ca="1" si="11"/>
        <v>239413.55120516598</v>
      </c>
      <c r="K36" s="27">
        <f t="shared" ca="1" si="11"/>
        <v>221442.38701966711</v>
      </c>
      <c r="L36" s="27">
        <f t="shared" ca="1" si="11"/>
        <v>204776.41527595886</v>
      </c>
      <c r="M36" s="27">
        <f t="shared" ca="1" si="11"/>
        <v>189405.22779840245</v>
      </c>
      <c r="N36" s="27">
        <f t="shared" ca="1" si="11"/>
        <v>175187.85192630746</v>
      </c>
      <c r="O36" s="27">
        <f t="shared" ca="1" si="11"/>
        <v>162037.67878688243</v>
      </c>
      <c r="P36" s="27">
        <f t="shared" ca="1" si="11"/>
        <v>149842.56378462943</v>
      </c>
      <c r="Q36" s="27">
        <f t="shared" ca="1" si="11"/>
        <v>138594.89086806166</v>
      </c>
    </row>
    <row r="37" spans="3:22" x14ac:dyDescent="0.25">
      <c r="D37" s="32" t="s">
        <v>29</v>
      </c>
      <c r="E37" s="33">
        <f ca="1">E34+E36</f>
        <v>4851683.8341406565</v>
      </c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</row>
    <row r="38" spans="3:22" x14ac:dyDescent="0.25">
      <c r="C38" s="1" t="s">
        <v>9</v>
      </c>
      <c r="D38" s="22" t="s">
        <v>24</v>
      </c>
      <c r="G38" s="27">
        <f>Assumptions!$H$39</f>
        <v>1676737</v>
      </c>
      <c r="H38" s="24"/>
      <c r="I38" s="24"/>
      <c r="J38" s="24"/>
      <c r="K38" s="24"/>
      <c r="L38" s="24"/>
      <c r="M38" s="24"/>
      <c r="N38" s="24"/>
      <c r="O38" s="24"/>
      <c r="P38" s="24"/>
      <c r="Q38" s="24"/>
    </row>
    <row r="39" spans="3:22" x14ac:dyDescent="0.25">
      <c r="D39" s="24" t="s">
        <v>28</v>
      </c>
      <c r="E39" s="12">
        <f ca="1">SUM(G39:R39)</f>
        <v>1373247.6709960534</v>
      </c>
      <c r="G39" s="27">
        <f ca="1">G38/((1+G$30)^(G$29/360))</f>
        <v>1373247.6709960534</v>
      </c>
      <c r="H39" s="27">
        <f t="shared" ref="H39:Q39" ca="1" si="12">H38/((1+$G$30)^($G$29/360))</f>
        <v>0</v>
      </c>
      <c r="I39" s="27">
        <f t="shared" ca="1" si="12"/>
        <v>0</v>
      </c>
      <c r="J39" s="27">
        <f t="shared" ca="1" si="12"/>
        <v>0</v>
      </c>
      <c r="K39" s="27">
        <f t="shared" ca="1" si="12"/>
        <v>0</v>
      </c>
      <c r="L39" s="27">
        <f t="shared" ca="1" si="12"/>
        <v>0</v>
      </c>
      <c r="M39" s="27">
        <f t="shared" ca="1" si="12"/>
        <v>0</v>
      </c>
      <c r="N39" s="27">
        <f t="shared" ca="1" si="12"/>
        <v>0</v>
      </c>
      <c r="O39" s="27">
        <f t="shared" ca="1" si="12"/>
        <v>0</v>
      </c>
      <c r="P39" s="27">
        <f t="shared" ca="1" si="12"/>
        <v>0</v>
      </c>
      <c r="Q39" s="27">
        <f t="shared" ca="1" si="12"/>
        <v>0</v>
      </c>
    </row>
    <row r="40" spans="3:22" x14ac:dyDescent="0.25">
      <c r="D40" s="22" t="s">
        <v>25</v>
      </c>
      <c r="G40" s="24"/>
      <c r="H40" s="27">
        <f>Assumptions!$H$40</f>
        <v>356000</v>
      </c>
      <c r="I40" s="27">
        <f>Assumptions!$H$40</f>
        <v>356000</v>
      </c>
      <c r="J40" s="27">
        <f>Assumptions!$H$40</f>
        <v>356000</v>
      </c>
      <c r="K40" s="27">
        <f>Assumptions!$H$40</f>
        <v>356000</v>
      </c>
      <c r="L40" s="27">
        <f>Assumptions!$H$40</f>
        <v>356000</v>
      </c>
      <c r="M40" s="27">
        <f>Assumptions!$H$40</f>
        <v>356000</v>
      </c>
      <c r="N40" s="27">
        <f>Assumptions!$H$40</f>
        <v>356000</v>
      </c>
      <c r="O40" s="27">
        <f>Assumptions!$H$40</f>
        <v>356000</v>
      </c>
      <c r="P40" s="27">
        <f>Assumptions!$H$40</f>
        <v>356000</v>
      </c>
      <c r="Q40" s="27">
        <f>Assumptions!$H$40</f>
        <v>356000</v>
      </c>
    </row>
    <row r="41" spans="3:22" x14ac:dyDescent="0.25">
      <c r="D41" s="24" t="s">
        <v>28</v>
      </c>
      <c r="E41" s="12">
        <f ca="1">SUM(H41:R41)</f>
        <v>1985922.716321961</v>
      </c>
      <c r="G41" s="24"/>
      <c r="H41" s="27">
        <f ca="1">H40/((1+H$30)^(H$29/360))</f>
        <v>275211.20040735829</v>
      </c>
      <c r="I41" s="27">
        <f t="shared" ref="I41:R41" ca="1" si="13">I40/((1+I$30)^(I$29/360))</f>
        <v>254552.94759204253</v>
      </c>
      <c r="J41" s="27">
        <f t="shared" ca="1" si="13"/>
        <v>235445.37079845052</v>
      </c>
      <c r="K41" s="27">
        <f t="shared" ca="1" si="13"/>
        <v>217772.07121271128</v>
      </c>
      <c r="L41" s="27">
        <f t="shared" ca="1" si="13"/>
        <v>201382.33104486563</v>
      </c>
      <c r="M41" s="27">
        <f t="shared" ca="1" si="13"/>
        <v>186265.91463047313</v>
      </c>
      <c r="N41" s="27">
        <f t="shared" ca="1" si="13"/>
        <v>172284.18587228024</v>
      </c>
      <c r="O41" s="27">
        <f t="shared" ca="1" si="13"/>
        <v>159351.97140367446</v>
      </c>
      <c r="P41" s="27">
        <f t="shared" ca="1" si="13"/>
        <v>147358.98537935934</v>
      </c>
      <c r="Q41" s="27">
        <f t="shared" ca="1" si="13"/>
        <v>136297.7379807457</v>
      </c>
      <c r="R41" s="27">
        <f t="shared" si="13"/>
        <v>0</v>
      </c>
    </row>
    <row r="42" spans="3:22" x14ac:dyDescent="0.25">
      <c r="D42" s="32" t="s">
        <v>29</v>
      </c>
      <c r="E42" s="33">
        <f ca="1">E39+E41</f>
        <v>3359170.3873180142</v>
      </c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</row>
  </sheetData>
  <mergeCells count="1">
    <mergeCell ref="B5:C5"/>
  </mergeCells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D1" sqref="D1"/>
    </sheetView>
  </sheetViews>
  <sheetFormatPr defaultRowHeight="13.2" x14ac:dyDescent="0.25"/>
  <cols>
    <col min="1" max="1" width="4.6640625" customWidth="1"/>
    <col min="2" max="2" width="18.6640625" customWidth="1"/>
    <col min="3" max="3" width="16.109375" customWidth="1"/>
    <col min="4" max="4" width="15.6640625" customWidth="1"/>
    <col min="5" max="5" width="4.5546875" customWidth="1"/>
    <col min="6" max="6" width="19.109375" customWidth="1"/>
    <col min="7" max="7" width="15.6640625" customWidth="1"/>
    <col min="8" max="8" width="17.5546875" customWidth="1"/>
    <col min="9" max="9" width="11" customWidth="1"/>
  </cols>
  <sheetData>
    <row r="1" spans="1:9" x14ac:dyDescent="0.25">
      <c r="A1" s="15"/>
      <c r="B1" s="15"/>
      <c r="C1" s="15"/>
      <c r="D1" s="15"/>
      <c r="E1" s="15"/>
      <c r="F1" s="15"/>
      <c r="G1" s="15"/>
      <c r="H1" s="15"/>
      <c r="I1" s="15"/>
    </row>
    <row r="2" spans="1:9" x14ac:dyDescent="0.25">
      <c r="A2" s="15"/>
      <c r="B2" s="15"/>
      <c r="C2" s="15"/>
      <c r="D2" s="15"/>
      <c r="E2" s="15"/>
      <c r="F2" s="15"/>
      <c r="G2" s="15"/>
      <c r="H2" s="15"/>
      <c r="I2" s="15"/>
    </row>
    <row r="3" spans="1:9" x14ac:dyDescent="0.25">
      <c r="A3" s="15"/>
      <c r="B3" s="15"/>
      <c r="C3" s="15"/>
      <c r="D3" s="15"/>
      <c r="E3" s="15"/>
      <c r="F3" s="15"/>
      <c r="G3" s="15"/>
      <c r="H3" s="15"/>
      <c r="I3" s="15"/>
    </row>
    <row r="4" spans="1:9" x14ac:dyDescent="0.25">
      <c r="A4" s="15"/>
      <c r="B4" s="15" t="s">
        <v>1</v>
      </c>
      <c r="C4" s="15"/>
      <c r="D4" s="15"/>
      <c r="E4" s="15"/>
      <c r="F4" s="15" t="s">
        <v>1</v>
      </c>
      <c r="G4" s="15"/>
      <c r="H4" s="15"/>
      <c r="I4" s="15"/>
    </row>
    <row r="5" spans="1:9" ht="13.8" x14ac:dyDescent="0.25">
      <c r="B5" s="34" t="s">
        <v>19</v>
      </c>
      <c r="F5" s="34" t="s">
        <v>20</v>
      </c>
    </row>
    <row r="6" spans="1:9" ht="16.2" thickBot="1" x14ac:dyDescent="0.35">
      <c r="B6" s="7"/>
      <c r="F6" s="7"/>
    </row>
    <row r="7" spans="1:9" ht="14.4" thickTop="1" thickBot="1" x14ac:dyDescent="0.3">
      <c r="B7" s="1" t="s">
        <v>35</v>
      </c>
      <c r="C7" s="60">
        <v>0.08</v>
      </c>
      <c r="D7" s="10" t="s">
        <v>1</v>
      </c>
      <c r="F7" s="1" t="s">
        <v>1</v>
      </c>
      <c r="G7" s="62"/>
      <c r="H7" s="10"/>
    </row>
    <row r="8" spans="1:9" ht="13.8" thickTop="1" x14ac:dyDescent="0.25">
      <c r="B8" s="1" t="s">
        <v>34</v>
      </c>
      <c r="D8" s="17">
        <v>10</v>
      </c>
      <c r="E8" s="3"/>
      <c r="F8" s="18" t="s">
        <v>34</v>
      </c>
      <c r="G8" s="3"/>
      <c r="H8" s="17">
        <v>10</v>
      </c>
    </row>
    <row r="9" spans="1:9" x14ac:dyDescent="0.25">
      <c r="A9" s="9" t="s">
        <v>1</v>
      </c>
      <c r="B9" s="1" t="s">
        <v>0</v>
      </c>
      <c r="D9">
        <v>139</v>
      </c>
      <c r="E9" s="9" t="s">
        <v>1</v>
      </c>
      <c r="F9" s="1" t="s">
        <v>0</v>
      </c>
      <c r="H9">
        <v>139</v>
      </c>
    </row>
    <row r="10" spans="1:9" x14ac:dyDescent="0.25">
      <c r="A10" s="9" t="s">
        <v>1</v>
      </c>
      <c r="B10" s="1" t="s">
        <v>4</v>
      </c>
      <c r="D10" s="4">
        <v>10346</v>
      </c>
      <c r="E10" s="9" t="s">
        <v>1</v>
      </c>
      <c r="F10" s="1" t="s">
        <v>4</v>
      </c>
      <c r="H10" s="4">
        <v>10391</v>
      </c>
    </row>
    <row r="11" spans="1:9" x14ac:dyDescent="0.25">
      <c r="A11" s="9" t="s">
        <v>1</v>
      </c>
      <c r="B11" s="1" t="s">
        <v>5</v>
      </c>
      <c r="D11" s="2">
        <v>0.91400000000000003</v>
      </c>
      <c r="E11" s="9" t="s">
        <v>1</v>
      </c>
      <c r="F11" s="1" t="s">
        <v>5</v>
      </c>
      <c r="H11" s="2">
        <v>0.64300000000000002</v>
      </c>
    </row>
    <row r="12" spans="1:9" x14ac:dyDescent="0.25">
      <c r="A12" s="9" t="s">
        <v>1</v>
      </c>
      <c r="B12" s="1" t="s">
        <v>6</v>
      </c>
      <c r="D12" s="4" t="s">
        <v>1</v>
      </c>
      <c r="E12" s="9" t="s">
        <v>1</v>
      </c>
      <c r="F12" s="1" t="s">
        <v>6</v>
      </c>
      <c r="H12" s="4" t="s">
        <v>1</v>
      </c>
    </row>
    <row r="13" spans="1:9" ht="13.8" thickBot="1" x14ac:dyDescent="0.3">
      <c r="A13" s="9" t="s">
        <v>1</v>
      </c>
      <c r="B13" s="1"/>
      <c r="C13" s="35" t="s">
        <v>2</v>
      </c>
      <c r="D13" s="4">
        <v>10000000</v>
      </c>
      <c r="E13" s="9"/>
      <c r="F13" s="1"/>
      <c r="G13" s="35" t="s">
        <v>2</v>
      </c>
      <c r="H13" s="4">
        <v>8000000</v>
      </c>
    </row>
    <row r="14" spans="1:9" ht="14.4" thickTop="1" thickBot="1" x14ac:dyDescent="0.3">
      <c r="A14" s="9"/>
      <c r="B14" s="5"/>
      <c r="C14" s="55" t="s">
        <v>3</v>
      </c>
      <c r="D14" s="56">
        <v>4804788</v>
      </c>
      <c r="E14" s="9"/>
      <c r="F14" s="5"/>
      <c r="G14" s="55" t="s">
        <v>3</v>
      </c>
      <c r="H14" s="56">
        <v>3507736</v>
      </c>
    </row>
    <row r="15" spans="1:9" ht="13.8" thickTop="1" x14ac:dyDescent="0.25">
      <c r="A15" s="9" t="s">
        <v>1</v>
      </c>
      <c r="B15" s="1" t="s">
        <v>7</v>
      </c>
      <c r="C15" s="6"/>
      <c r="E15" s="9" t="s">
        <v>1</v>
      </c>
      <c r="F15" s="1" t="s">
        <v>7</v>
      </c>
      <c r="G15" s="6"/>
    </row>
    <row r="16" spans="1:9" x14ac:dyDescent="0.25">
      <c r="A16" s="9"/>
      <c r="B16" s="1"/>
      <c r="C16" s="35" t="s">
        <v>2</v>
      </c>
      <c r="D16" s="4">
        <f>(D9*8760)*D11</f>
        <v>1112922.96</v>
      </c>
      <c r="E16" s="9"/>
      <c r="F16" s="1"/>
      <c r="G16" s="35" t="s">
        <v>2</v>
      </c>
      <c r="H16" s="4">
        <f>(H9*8760)*H11</f>
        <v>782942.52</v>
      </c>
    </row>
    <row r="17" spans="1:8" x14ac:dyDescent="0.25">
      <c r="A17" s="9"/>
      <c r="B17" s="5"/>
      <c r="C17" s="35" t="s">
        <v>3</v>
      </c>
      <c r="D17" s="4">
        <f>(D16/12)*5</f>
        <v>463717.9</v>
      </c>
      <c r="E17" s="9"/>
      <c r="F17" s="5"/>
      <c r="G17" s="35" t="s">
        <v>3</v>
      </c>
      <c r="H17" s="4">
        <f>(H16/12)*5</f>
        <v>326226.05</v>
      </c>
    </row>
    <row r="18" spans="1:8" ht="13.8" thickBot="1" x14ac:dyDescent="0.3">
      <c r="A18" s="9" t="s">
        <v>1</v>
      </c>
      <c r="B18" s="1" t="s">
        <v>14</v>
      </c>
      <c r="D18" s="2" t="s">
        <v>1</v>
      </c>
      <c r="E18" s="9" t="s">
        <v>1</v>
      </c>
      <c r="F18" s="1" t="s">
        <v>14</v>
      </c>
      <c r="H18" s="2" t="s">
        <v>1</v>
      </c>
    </row>
    <row r="19" spans="1:8" ht="14.4" thickTop="1" thickBot="1" x14ac:dyDescent="0.3">
      <c r="A19" s="9" t="s">
        <v>1</v>
      </c>
      <c r="B19" t="s">
        <v>1</v>
      </c>
      <c r="C19" s="55" t="s">
        <v>12</v>
      </c>
      <c r="D19" s="57">
        <v>0.55000000000000004</v>
      </c>
      <c r="E19" s="9" t="s">
        <v>1</v>
      </c>
      <c r="F19" t="s">
        <v>1</v>
      </c>
      <c r="G19" s="55" t="s">
        <v>12</v>
      </c>
      <c r="H19" s="57">
        <v>0.32800000000000001</v>
      </c>
    </row>
    <row r="20" spans="1:8" ht="13.8" thickTop="1" x14ac:dyDescent="0.25">
      <c r="A20" s="9"/>
      <c r="C20" s="35" t="s">
        <v>13</v>
      </c>
      <c r="D20" s="8">
        <f>(D14*D19)/2000</f>
        <v>1321.3167000000001</v>
      </c>
      <c r="E20" s="9"/>
      <c r="G20" s="35" t="s">
        <v>13</v>
      </c>
      <c r="H20" s="8">
        <f>(H14*H19)/2000</f>
        <v>575.26870400000007</v>
      </c>
    </row>
    <row r="21" spans="1:8" x14ac:dyDescent="0.25">
      <c r="A21" s="9"/>
      <c r="C21" s="6"/>
      <c r="D21" s="3"/>
      <c r="E21" s="9"/>
      <c r="G21" s="6"/>
      <c r="H21" s="3"/>
    </row>
    <row r="22" spans="1:8" x14ac:dyDescent="0.25">
      <c r="A22" s="9"/>
      <c r="C22" s="6"/>
      <c r="D22" s="3"/>
      <c r="E22" s="9"/>
      <c r="G22" s="6"/>
      <c r="H22" s="3"/>
    </row>
    <row r="23" spans="1:8" ht="13.8" thickBot="1" x14ac:dyDescent="0.3">
      <c r="A23" s="9" t="s">
        <v>1</v>
      </c>
    </row>
    <row r="24" spans="1:8" ht="13.8" thickTop="1" x14ac:dyDescent="0.25">
      <c r="A24" s="9">
        <v>1</v>
      </c>
      <c r="B24" s="1" t="s">
        <v>17</v>
      </c>
      <c r="C24" s="49"/>
      <c r="D24" s="50" t="s">
        <v>8</v>
      </c>
      <c r="E24" s="9">
        <v>1</v>
      </c>
      <c r="F24" s="1" t="s">
        <v>17</v>
      </c>
      <c r="G24" s="49"/>
      <c r="H24" s="50" t="s">
        <v>8</v>
      </c>
    </row>
    <row r="25" spans="1:8" x14ac:dyDescent="0.25">
      <c r="C25" s="51" t="s">
        <v>11</v>
      </c>
      <c r="D25" s="52">
        <v>0.8</v>
      </c>
      <c r="G25" s="51" t="s">
        <v>11</v>
      </c>
      <c r="H25" s="52">
        <v>0.7</v>
      </c>
    </row>
    <row r="26" spans="1:8" x14ac:dyDescent="0.25">
      <c r="C26" s="51" t="s">
        <v>10</v>
      </c>
      <c r="D26" s="53">
        <v>3458230</v>
      </c>
      <c r="G26" s="51" t="s">
        <v>10</v>
      </c>
      <c r="H26" s="53">
        <v>3458230</v>
      </c>
    </row>
    <row r="27" spans="1:8" ht="13.8" thickBot="1" x14ac:dyDescent="0.3">
      <c r="C27" s="54" t="s">
        <v>15</v>
      </c>
      <c r="D27" s="40">
        <v>490000</v>
      </c>
      <c r="G27" s="54" t="s">
        <v>15</v>
      </c>
      <c r="H27" s="40">
        <v>362000</v>
      </c>
    </row>
    <row r="28" spans="1:8" ht="13.8" thickTop="1" x14ac:dyDescent="0.25">
      <c r="B28" t="s">
        <v>1</v>
      </c>
      <c r="C28" s="35" t="s">
        <v>31</v>
      </c>
      <c r="D28" s="46">
        <f ca="1">Pricing!$E$17</f>
        <v>5565723.4624811364</v>
      </c>
      <c r="G28" s="35" t="s">
        <v>31</v>
      </c>
      <c r="H28" s="46">
        <f ca="1">Pricing!$E$37</f>
        <v>4851683.8341406565</v>
      </c>
    </row>
    <row r="29" spans="1:8" x14ac:dyDescent="0.25">
      <c r="C29" s="6" t="s">
        <v>1</v>
      </c>
      <c r="D29" s="8"/>
      <c r="G29" s="6"/>
      <c r="H29" s="8"/>
    </row>
    <row r="30" spans="1:8" x14ac:dyDescent="0.25">
      <c r="B30" s="1" t="s">
        <v>18</v>
      </c>
      <c r="C30" s="6"/>
      <c r="D30" s="8"/>
      <c r="F30" s="1" t="s">
        <v>18</v>
      </c>
      <c r="G30" s="6"/>
      <c r="H30" s="8"/>
    </row>
    <row r="31" spans="1:8" x14ac:dyDescent="0.25">
      <c r="B31" s="1"/>
      <c r="C31" s="35" t="s">
        <v>12</v>
      </c>
      <c r="D31" s="11">
        <f>D$19*(1-D25)</f>
        <v>0.10999999999999999</v>
      </c>
      <c r="F31" s="1"/>
      <c r="G31" s="35" t="s">
        <v>12</v>
      </c>
      <c r="H31" s="11">
        <f>H$19*(1-H25)</f>
        <v>9.8400000000000015E-2</v>
      </c>
    </row>
    <row r="32" spans="1:8" x14ac:dyDescent="0.25">
      <c r="B32" s="1"/>
      <c r="C32" s="35" t="s">
        <v>13</v>
      </c>
      <c r="D32" s="8">
        <f>(D$14*D31)/2000</f>
        <v>264.26333999999997</v>
      </c>
      <c r="F32" s="1"/>
      <c r="G32" s="35" t="s">
        <v>13</v>
      </c>
      <c r="H32" s="8">
        <f>(H$14*H31)/2000</f>
        <v>172.58061120000002</v>
      </c>
    </row>
    <row r="33" spans="1:8" x14ac:dyDescent="0.25">
      <c r="B33" s="1" t="s">
        <v>30</v>
      </c>
      <c r="D33" s="8">
        <f>(D$20-D32)</f>
        <v>1057.0533600000001</v>
      </c>
      <c r="F33" s="1" t="s">
        <v>30</v>
      </c>
      <c r="H33" s="8">
        <f>(H$20-H32)</f>
        <v>402.68809280000005</v>
      </c>
    </row>
    <row r="34" spans="1:8" x14ac:dyDescent="0.25">
      <c r="B34" s="1" t="s">
        <v>16</v>
      </c>
      <c r="D34" s="12">
        <f>D27/D33</f>
        <v>463.55275763940614</v>
      </c>
      <c r="F34" s="1" t="s">
        <v>16</v>
      </c>
      <c r="H34" s="12">
        <f>H27/H33</f>
        <v>898.95878838362307</v>
      </c>
    </row>
    <row r="35" spans="1:8" x14ac:dyDescent="0.25">
      <c r="B35" s="1"/>
      <c r="D35" s="12"/>
      <c r="F35" s="1"/>
      <c r="H35" s="12"/>
    </row>
    <row r="37" spans="1:8" ht="13.8" thickBot="1" x14ac:dyDescent="0.3">
      <c r="A37" s="9">
        <v>2</v>
      </c>
      <c r="B37" s="1" t="s">
        <v>17</v>
      </c>
      <c r="D37" t="s">
        <v>9</v>
      </c>
      <c r="E37" s="9">
        <v>2</v>
      </c>
      <c r="F37" s="1" t="s">
        <v>17</v>
      </c>
      <c r="H37" t="s">
        <v>9</v>
      </c>
    </row>
    <row r="38" spans="1:8" ht="13.8" thickTop="1" x14ac:dyDescent="0.25">
      <c r="C38" s="58" t="s">
        <v>11</v>
      </c>
      <c r="D38" s="59">
        <v>0.75</v>
      </c>
      <c r="G38" s="58" t="s">
        <v>11</v>
      </c>
      <c r="H38" s="59">
        <v>0.75</v>
      </c>
    </row>
    <row r="39" spans="1:8" x14ac:dyDescent="0.25">
      <c r="C39" s="51" t="s">
        <v>10</v>
      </c>
      <c r="D39" s="53">
        <v>1676737</v>
      </c>
      <c r="G39" s="51" t="s">
        <v>10</v>
      </c>
      <c r="H39" s="53">
        <v>1676737</v>
      </c>
    </row>
    <row r="40" spans="1:8" ht="13.8" thickBot="1" x14ac:dyDescent="0.3">
      <c r="C40" s="54" t="s">
        <v>15</v>
      </c>
      <c r="D40" s="40">
        <v>377000</v>
      </c>
      <c r="G40" s="54" t="s">
        <v>15</v>
      </c>
      <c r="H40" s="40">
        <v>356000</v>
      </c>
    </row>
    <row r="41" spans="1:8" ht="13.8" thickTop="1" x14ac:dyDescent="0.25">
      <c r="C41" s="35" t="s">
        <v>31</v>
      </c>
      <c r="D41" s="46">
        <f ca="1">Pricing!$E$22</f>
        <v>3476317.5138426246</v>
      </c>
      <c r="G41" s="35" t="s">
        <v>31</v>
      </c>
      <c r="H41" s="46">
        <f ca="1">Pricing!$E$42</f>
        <v>3359170.3873180142</v>
      </c>
    </row>
    <row r="42" spans="1:8" x14ac:dyDescent="0.25">
      <c r="C42" s="6"/>
      <c r="D42" s="8"/>
      <c r="G42" s="6"/>
      <c r="H42" s="8"/>
    </row>
    <row r="43" spans="1:8" x14ac:dyDescent="0.25">
      <c r="B43" s="1" t="s">
        <v>18</v>
      </c>
      <c r="C43" s="6"/>
      <c r="D43" s="8"/>
      <c r="F43" s="1" t="s">
        <v>18</v>
      </c>
      <c r="G43" s="6"/>
      <c r="H43" s="8"/>
    </row>
    <row r="44" spans="1:8" x14ac:dyDescent="0.25">
      <c r="B44" s="1"/>
      <c r="C44" s="35" t="s">
        <v>12</v>
      </c>
      <c r="D44" s="11">
        <f>D$19*(1-D38)</f>
        <v>0.13750000000000001</v>
      </c>
      <c r="F44" s="1"/>
      <c r="G44" s="35" t="s">
        <v>12</v>
      </c>
      <c r="H44" s="11">
        <f>H$19*(1-H38)</f>
        <v>8.2000000000000003E-2</v>
      </c>
    </row>
    <row r="45" spans="1:8" x14ac:dyDescent="0.25">
      <c r="B45" s="1"/>
      <c r="C45" s="35" t="s">
        <v>13</v>
      </c>
      <c r="D45" s="8">
        <f>(D$14*D44)/2000</f>
        <v>330.32917500000002</v>
      </c>
      <c r="F45" s="1"/>
      <c r="G45" s="35" t="s">
        <v>13</v>
      </c>
      <c r="H45" s="8">
        <f>(H$14*H44)/2000</f>
        <v>143.81717600000002</v>
      </c>
    </row>
    <row r="46" spans="1:8" x14ac:dyDescent="0.25">
      <c r="B46" s="1" t="s">
        <v>30</v>
      </c>
      <c r="D46" s="8">
        <f>(D$20-D45)</f>
        <v>990.98752500000001</v>
      </c>
      <c r="F46" s="1" t="s">
        <v>30</v>
      </c>
      <c r="H46" s="8">
        <f>(H$20-H45)</f>
        <v>431.45152800000005</v>
      </c>
    </row>
    <row r="47" spans="1:8" x14ac:dyDescent="0.25">
      <c r="B47" s="1" t="s">
        <v>16</v>
      </c>
      <c r="D47" s="12">
        <f>D40/D46</f>
        <v>380.42860327631269</v>
      </c>
      <c r="F47" s="65" t="s">
        <v>16</v>
      </c>
      <c r="G47" s="66"/>
      <c r="H47" s="12">
        <f>H40/H46</f>
        <v>825.12165769870671</v>
      </c>
    </row>
    <row r="50" spans="2:2" x14ac:dyDescent="0.25">
      <c r="B50" s="16" t="s">
        <v>1</v>
      </c>
    </row>
  </sheetData>
  <mergeCells count="1">
    <mergeCell ref="F47:G47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Quotes</vt:lpstr>
      <vt:lpstr>Pricing</vt:lpstr>
      <vt:lpstr>Assumptions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vwagner</dc:creator>
  <cp:lastModifiedBy>Havlíček Jan</cp:lastModifiedBy>
  <dcterms:created xsi:type="dcterms:W3CDTF">2000-10-04T14:11:42Z</dcterms:created>
  <dcterms:modified xsi:type="dcterms:W3CDTF">2023-09-10T11:26:06Z</dcterms:modified>
</cp:coreProperties>
</file>