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7560" tabRatio="896"/>
  </bookViews>
  <sheets>
    <sheet name="Var. Rpt EPMI" sheetId="1" r:id="rId1"/>
    <sheet name="PJM Monthly Summary 2000 05 V.1" sheetId="10" r:id="rId2"/>
    <sheet name="PJM Monthly Summary 2000 06 V.1" sheetId="9" r:id="rId3"/>
    <sheet name="PJM Monthly Summary 2000 07 V.1" sheetId="8" r:id="rId4"/>
    <sheet name="PJM Monthly Summary 2000 08 V.1" sheetId="7" r:id="rId5"/>
    <sheet name="PJM Monthly Summary 2000 09 V.1" sheetId="6" r:id="rId6"/>
    <sheet name="inter - rec " sheetId="2" r:id="rId7"/>
    <sheet name="REC " sheetId="3" r:id="rId8"/>
    <sheet name="Rec by others accounts" sheetId="4" r:id="rId9"/>
    <sheet name="russ v GL system tie-out" sheetId="5" r:id="rId10"/>
  </sheets>
  <externalReferences>
    <externalReference r:id="rId11"/>
    <externalReference r:id="rId12"/>
    <externalReference r:id="rId13"/>
  </externalReferences>
  <definedNames>
    <definedName name="_xlnm._FilterDatabase" localSheetId="9" hidden="1">'russ v GL system tie-out'!$B$3:$J$1431</definedName>
    <definedName name="_xlnm._FilterDatabase" localSheetId="0" hidden="1">'Var. Rpt EPMI'!#REF!</definedName>
    <definedName name="AccountDetail" localSheetId="1">#REF!</definedName>
    <definedName name="AccountDetail" localSheetId="2">#REF!</definedName>
    <definedName name="AccountDetail" localSheetId="3">#REF!</definedName>
    <definedName name="AccountDetail" localSheetId="4">#REF!</definedName>
    <definedName name="AccountDetail" localSheetId="5">#REF!</definedName>
    <definedName name="AccountDetail">#REF!</definedName>
    <definedName name="AccountSummary" localSheetId="1">#REF!</definedName>
    <definedName name="AccountSummary" localSheetId="2">#REF!</definedName>
    <definedName name="AccountSummary" localSheetId="3">#REF!</definedName>
    <definedName name="AccountSummary" localSheetId="4">#REF!</definedName>
    <definedName name="AccountSummary" localSheetId="5">#REF!</definedName>
    <definedName name="AccountSummary">#REF!</definedName>
    <definedName name="Export" localSheetId="1">#REF!</definedName>
    <definedName name="Export" localSheetId="2">#REF!</definedName>
    <definedName name="Export" localSheetId="3">#REF!</definedName>
    <definedName name="Export" localSheetId="4">#REF!</definedName>
    <definedName name="Export" localSheetId="5">#REF!</definedName>
    <definedName name="Export">#REF!</definedName>
    <definedName name="Export_3" localSheetId="1">#REF!</definedName>
    <definedName name="Export_3" localSheetId="2">#REF!</definedName>
    <definedName name="Export_3" localSheetId="3">#REF!</definedName>
    <definedName name="Export_3" localSheetId="4">#REF!</definedName>
    <definedName name="Export_3" localSheetId="5">#REF!</definedName>
    <definedName name="Export_3">#REF!</definedName>
    <definedName name="_xlnm.Print_Area" localSheetId="1">'PJM Monthly Summary 2000 05 V.1'!$A$1:$J$60</definedName>
    <definedName name="_xlnm.Print_Area" localSheetId="2">'PJM Monthly Summary 2000 06 V.1'!$A$1:$J$92</definedName>
    <definedName name="_xlnm.Print_Area" localSheetId="3">'PJM Monthly Summary 2000 07 V.1'!$A$1:$J$186</definedName>
    <definedName name="_xlnm.Print_Area" localSheetId="4">'PJM Monthly Summary 2000 08 V.1'!$A$1:$J$178</definedName>
    <definedName name="_xlnm.Print_Area" localSheetId="5">'PJM Monthly Summary 2000 09 V.1'!$A$1:$J$60</definedName>
    <definedName name="_xlnm.Print_Area" localSheetId="7">'REC '!$A$1:$K$36</definedName>
    <definedName name="_xlnm.Print_Area" localSheetId="0">'Var. Rpt EPMI'!$A$1:$K$619</definedName>
    <definedName name="_xlnm.Print_Titles" localSheetId="6">'inter - rec '!$1:$1</definedName>
  </definedNames>
  <calcPr calcId="0" fullCalcOnLoad="1"/>
</workbook>
</file>

<file path=xl/calcChain.xml><?xml version="1.0" encoding="utf-8"?>
<calcChain xmlns="http://schemas.openxmlformats.org/spreadsheetml/2006/main">
  <c r="E7" i="2" l="1"/>
  <c r="D8" i="2"/>
  <c r="E8" i="2"/>
  <c r="E9" i="2"/>
  <c r="E10" i="2"/>
  <c r="E11" i="2"/>
  <c r="E12" i="2"/>
  <c r="E13" i="2"/>
  <c r="E14" i="2"/>
  <c r="E15" i="2"/>
  <c r="E16" i="2"/>
  <c r="E17" i="2"/>
  <c r="E19" i="2"/>
  <c r="E20" i="2"/>
  <c r="E21" i="2"/>
  <c r="E22" i="2"/>
  <c r="E23" i="2"/>
  <c r="E24" i="2"/>
  <c r="L24" i="2"/>
  <c r="E25" i="2"/>
  <c r="E26" i="2"/>
  <c r="E27" i="2"/>
  <c r="E28" i="2"/>
  <c r="E29" i="2"/>
  <c r="E30" i="2"/>
  <c r="E31" i="2"/>
  <c r="L31" i="2"/>
  <c r="E32" i="2"/>
  <c r="E33" i="2"/>
  <c r="E34" i="2"/>
  <c r="C37" i="2"/>
  <c r="D37" i="2"/>
  <c r="E37" i="2"/>
  <c r="J37" i="2"/>
  <c r="K37" i="2"/>
  <c r="L37" i="2"/>
  <c r="H10" i="10"/>
  <c r="G18" i="10"/>
  <c r="G30" i="10"/>
  <c r="G36" i="10"/>
  <c r="G37" i="10"/>
  <c r="H37" i="10"/>
  <c r="F39" i="10"/>
  <c r="G41" i="10"/>
  <c r="H44" i="10"/>
  <c r="H45" i="10"/>
  <c r="H47" i="10"/>
  <c r="F49" i="10"/>
  <c r="H49" i="10"/>
  <c r="H50" i="10"/>
  <c r="H52" i="10"/>
  <c r="H54" i="10"/>
  <c r="H55" i="10"/>
  <c r="H56" i="10"/>
  <c r="B62" i="10"/>
  <c r="H10" i="9"/>
  <c r="G15" i="9"/>
  <c r="G48" i="9"/>
  <c r="F50" i="9"/>
  <c r="F59" i="9"/>
  <c r="G65" i="9"/>
  <c r="G68" i="9"/>
  <c r="H68" i="9"/>
  <c r="F71" i="9"/>
  <c r="G72" i="9"/>
  <c r="H75" i="9"/>
  <c r="H76" i="9"/>
  <c r="H79" i="9"/>
  <c r="H80" i="9"/>
  <c r="H83" i="9"/>
  <c r="H85" i="9"/>
  <c r="H87" i="9"/>
  <c r="H88" i="9"/>
  <c r="H89" i="9"/>
  <c r="B94" i="9"/>
  <c r="H10" i="8"/>
  <c r="G14" i="8"/>
  <c r="G62" i="8"/>
  <c r="G156" i="8"/>
  <c r="G159" i="8"/>
  <c r="G161" i="8"/>
  <c r="H161" i="8"/>
  <c r="F163" i="8"/>
  <c r="G164" i="8"/>
  <c r="H167" i="8"/>
  <c r="H168" i="8"/>
  <c r="H171" i="8"/>
  <c r="H172" i="8"/>
  <c r="H173" i="8"/>
  <c r="H174" i="8"/>
  <c r="H176" i="8"/>
  <c r="H178" i="8"/>
  <c r="H180" i="8"/>
  <c r="H181" i="8"/>
  <c r="H182" i="8"/>
  <c r="B188" i="8"/>
  <c r="H8" i="7"/>
  <c r="H10" i="7"/>
  <c r="G133" i="7"/>
  <c r="G138" i="7"/>
  <c r="G144" i="7"/>
  <c r="G148" i="7"/>
  <c r="G153" i="7"/>
  <c r="H153" i="7"/>
  <c r="F155" i="7"/>
  <c r="G156" i="7"/>
  <c r="H159" i="7"/>
  <c r="H160" i="7"/>
  <c r="H162" i="7"/>
  <c r="H168" i="7"/>
  <c r="H170" i="7"/>
  <c r="H172" i="7"/>
  <c r="H173" i="7"/>
  <c r="H174" i="7"/>
  <c r="B180" i="7"/>
  <c r="H10" i="6"/>
  <c r="G23" i="6"/>
  <c r="F28" i="6"/>
  <c r="G36" i="6"/>
  <c r="H36" i="6"/>
  <c r="F38" i="6"/>
  <c r="G39" i="6"/>
  <c r="H42" i="6"/>
  <c r="H43" i="6"/>
  <c r="H45" i="6"/>
  <c r="H46" i="6"/>
  <c r="H47" i="6"/>
  <c r="H50" i="6"/>
  <c r="H52" i="6"/>
  <c r="H54" i="6"/>
  <c r="H55" i="6"/>
  <c r="H56" i="6"/>
  <c r="B62" i="6"/>
  <c r="I3" i="3"/>
  <c r="E11" i="3"/>
  <c r="F11" i="3"/>
  <c r="I11" i="3"/>
  <c r="J11" i="3"/>
  <c r="E14" i="3"/>
  <c r="J14" i="3"/>
  <c r="J17" i="3"/>
  <c r="H26" i="3"/>
  <c r="H29" i="3"/>
  <c r="H32" i="3"/>
  <c r="H35" i="3"/>
  <c r="H2" i="5"/>
  <c r="A4" i="5"/>
  <c r="F4" i="5"/>
  <c r="I4" i="5"/>
  <c r="A5" i="5"/>
  <c r="F5" i="5"/>
  <c r="I5" i="5"/>
  <c r="A6" i="5"/>
  <c r="F6" i="5"/>
  <c r="I6" i="5"/>
  <c r="A7" i="5"/>
  <c r="F7" i="5"/>
  <c r="I7" i="5"/>
  <c r="A8" i="5"/>
  <c r="F8" i="5"/>
  <c r="I8" i="5"/>
  <c r="A9" i="5"/>
  <c r="F9" i="5"/>
  <c r="I9" i="5"/>
  <c r="A10" i="5"/>
  <c r="F10" i="5"/>
  <c r="I10" i="5"/>
  <c r="A11" i="5"/>
  <c r="F11" i="5"/>
  <c r="I11" i="5"/>
  <c r="A12" i="5"/>
  <c r="F12" i="5"/>
  <c r="I12" i="5"/>
  <c r="A13" i="5"/>
  <c r="F13" i="5"/>
  <c r="I13" i="5"/>
  <c r="A14" i="5"/>
  <c r="F14" i="5"/>
  <c r="I14" i="5"/>
  <c r="A15" i="5"/>
  <c r="F15" i="5"/>
  <c r="I15" i="5"/>
  <c r="A16" i="5"/>
  <c r="F16" i="5"/>
  <c r="I16" i="5"/>
  <c r="A17" i="5"/>
  <c r="F17" i="5"/>
  <c r="I17" i="5"/>
  <c r="A18" i="5"/>
  <c r="F18" i="5"/>
  <c r="H18" i="5"/>
  <c r="I18" i="5"/>
  <c r="A19" i="5"/>
  <c r="F19" i="5"/>
  <c r="I19" i="5"/>
  <c r="A20" i="5"/>
  <c r="F20" i="5"/>
  <c r="H20" i="5"/>
  <c r="I20" i="5"/>
  <c r="A21" i="5"/>
  <c r="F21" i="5"/>
  <c r="I21" i="5"/>
  <c r="A22" i="5"/>
  <c r="F22" i="5"/>
  <c r="H22" i="5"/>
  <c r="I22" i="5"/>
  <c r="A23" i="5"/>
  <c r="F23" i="5"/>
  <c r="I23" i="5"/>
  <c r="A24" i="5"/>
  <c r="F24" i="5"/>
  <c r="H24" i="5"/>
  <c r="I24" i="5"/>
  <c r="A25" i="5"/>
  <c r="F25" i="5"/>
  <c r="I25" i="5"/>
  <c r="A26" i="5"/>
  <c r="F26" i="5"/>
  <c r="I26" i="5"/>
  <c r="A27" i="5"/>
  <c r="F27" i="5"/>
  <c r="I27" i="5"/>
  <c r="A28" i="5"/>
  <c r="F28" i="5"/>
  <c r="I28" i="5"/>
  <c r="A29" i="5"/>
  <c r="F29" i="5"/>
  <c r="I29" i="5"/>
  <c r="A30" i="5"/>
  <c r="F30" i="5"/>
  <c r="H30" i="5"/>
  <c r="I30" i="5"/>
  <c r="A31" i="5"/>
  <c r="F31" i="5"/>
  <c r="I31" i="5"/>
  <c r="A32" i="5"/>
  <c r="F32" i="5"/>
  <c r="H32" i="5"/>
  <c r="I32" i="5"/>
  <c r="A33" i="5"/>
  <c r="F33" i="5"/>
  <c r="I33" i="5"/>
  <c r="A34" i="5"/>
  <c r="F34" i="5"/>
  <c r="I34" i="5"/>
  <c r="A35" i="5"/>
  <c r="F35" i="5"/>
  <c r="I35" i="5"/>
  <c r="A36" i="5"/>
  <c r="F36" i="5"/>
  <c r="I36" i="5"/>
  <c r="A37" i="5"/>
  <c r="F37" i="5"/>
  <c r="H37" i="5"/>
  <c r="I37" i="5"/>
  <c r="A38" i="5"/>
  <c r="F38" i="5"/>
  <c r="H38" i="5"/>
  <c r="I38" i="5"/>
  <c r="A39" i="5"/>
  <c r="F39" i="5"/>
  <c r="H39" i="5"/>
  <c r="I39" i="5"/>
  <c r="A40" i="5"/>
  <c r="F40" i="5"/>
  <c r="H40" i="5"/>
  <c r="I40" i="5"/>
  <c r="A41" i="5"/>
  <c r="F41" i="5"/>
  <c r="I41" i="5"/>
  <c r="A42" i="5"/>
  <c r="F42" i="5"/>
  <c r="I42" i="5"/>
  <c r="A43" i="5"/>
  <c r="F43" i="5"/>
  <c r="H43" i="5"/>
  <c r="I43" i="5"/>
  <c r="A44" i="5"/>
  <c r="F44" i="5"/>
  <c r="H44" i="5"/>
  <c r="I44" i="5"/>
  <c r="A45" i="5"/>
  <c r="F45" i="5"/>
  <c r="I45" i="5"/>
  <c r="A46" i="5"/>
  <c r="F46" i="5"/>
  <c r="I46" i="5"/>
  <c r="A47" i="5"/>
  <c r="F47" i="5"/>
  <c r="I47" i="5"/>
  <c r="A48" i="5"/>
  <c r="F48" i="5"/>
  <c r="H48" i="5"/>
  <c r="I48" i="5"/>
  <c r="A49" i="5"/>
  <c r="F49" i="5"/>
  <c r="I49" i="5"/>
  <c r="A50" i="5"/>
  <c r="F50" i="5"/>
  <c r="H50" i="5"/>
  <c r="I50" i="5"/>
  <c r="A51" i="5"/>
  <c r="F51" i="5"/>
  <c r="I51" i="5"/>
  <c r="A52" i="5"/>
  <c r="F52" i="5"/>
  <c r="I52" i="5"/>
  <c r="A53" i="5"/>
  <c r="F53" i="5"/>
  <c r="I53" i="5"/>
  <c r="A54" i="5"/>
  <c r="F54" i="5"/>
  <c r="H54" i="5"/>
  <c r="I54" i="5"/>
  <c r="A55" i="5"/>
  <c r="F55" i="5"/>
  <c r="H55" i="5"/>
  <c r="I55" i="5"/>
  <c r="A56" i="5"/>
  <c r="F56" i="5"/>
  <c r="I56" i="5"/>
  <c r="A57" i="5"/>
  <c r="F57" i="5"/>
  <c r="I57" i="5"/>
  <c r="A58" i="5"/>
  <c r="F58" i="5"/>
  <c r="H58" i="5"/>
  <c r="I58" i="5"/>
  <c r="A59" i="5"/>
  <c r="F59" i="5"/>
  <c r="I59" i="5"/>
  <c r="A60" i="5"/>
  <c r="F60" i="5"/>
  <c r="I60" i="5"/>
  <c r="A61" i="5"/>
  <c r="F61" i="5"/>
  <c r="I61" i="5"/>
  <c r="A62" i="5"/>
  <c r="F62" i="5"/>
  <c r="H62" i="5"/>
  <c r="I62" i="5"/>
  <c r="A63" i="5"/>
  <c r="F63" i="5"/>
  <c r="I63" i="5"/>
  <c r="A64" i="5"/>
  <c r="F64" i="5"/>
  <c r="I64" i="5"/>
  <c r="A65" i="5"/>
  <c r="F65" i="5"/>
  <c r="I65" i="5"/>
  <c r="A66" i="5"/>
  <c r="F66" i="5"/>
  <c r="I66" i="5"/>
  <c r="A67" i="5"/>
  <c r="F67" i="5"/>
  <c r="H67" i="5"/>
  <c r="I67" i="5"/>
  <c r="A68" i="5"/>
  <c r="F68" i="5"/>
  <c r="I68" i="5"/>
  <c r="A69" i="5"/>
  <c r="F69" i="5"/>
  <c r="I69" i="5"/>
  <c r="A70" i="5"/>
  <c r="F70" i="5"/>
  <c r="I70" i="5"/>
  <c r="A71" i="5"/>
  <c r="F71" i="5"/>
  <c r="I71" i="5"/>
  <c r="A72" i="5"/>
  <c r="F72" i="5"/>
  <c r="H72" i="5"/>
  <c r="I72" i="5"/>
  <c r="A73" i="5"/>
  <c r="F73" i="5"/>
  <c r="H73" i="5"/>
  <c r="I73" i="5"/>
  <c r="A74" i="5"/>
  <c r="F74" i="5"/>
  <c r="I74" i="5"/>
  <c r="A75" i="5"/>
  <c r="F75" i="5"/>
  <c r="I75" i="5"/>
  <c r="A76" i="5"/>
  <c r="F76" i="5"/>
  <c r="I76" i="5"/>
  <c r="A77" i="5"/>
  <c r="F77" i="5"/>
  <c r="H77" i="5"/>
  <c r="I77" i="5"/>
  <c r="A78" i="5"/>
  <c r="F78" i="5"/>
  <c r="I78" i="5"/>
  <c r="A79" i="5"/>
  <c r="F79" i="5"/>
  <c r="H79" i="5"/>
  <c r="I79" i="5"/>
  <c r="A80" i="5"/>
  <c r="F80" i="5"/>
  <c r="H80" i="5"/>
  <c r="I80" i="5"/>
  <c r="A81" i="5"/>
  <c r="F81" i="5"/>
  <c r="I81" i="5"/>
  <c r="A82" i="5"/>
  <c r="F82" i="5"/>
  <c r="I82" i="5"/>
  <c r="A83" i="5"/>
  <c r="F83" i="5"/>
  <c r="I83" i="5"/>
  <c r="A84" i="5"/>
  <c r="F84" i="5"/>
  <c r="I84" i="5"/>
  <c r="A85" i="5"/>
  <c r="F85" i="5"/>
  <c r="I85" i="5"/>
  <c r="A86" i="5"/>
  <c r="F86" i="5"/>
  <c r="I86" i="5"/>
  <c r="A87" i="5"/>
  <c r="F87" i="5"/>
  <c r="I87" i="5"/>
  <c r="A88" i="5"/>
  <c r="F88" i="5"/>
  <c r="I88" i="5"/>
  <c r="A89" i="5"/>
  <c r="F89" i="5"/>
  <c r="H89" i="5"/>
  <c r="I89" i="5"/>
  <c r="A90" i="5"/>
  <c r="F90" i="5"/>
  <c r="H90" i="5"/>
  <c r="I90" i="5"/>
  <c r="A91" i="5"/>
  <c r="F91" i="5"/>
  <c r="I91" i="5"/>
  <c r="A92" i="5"/>
  <c r="F92" i="5"/>
  <c r="I92" i="5"/>
  <c r="A93" i="5"/>
  <c r="F93" i="5"/>
  <c r="I93" i="5"/>
  <c r="A94" i="5"/>
  <c r="F94" i="5"/>
  <c r="I94" i="5"/>
  <c r="A95" i="5"/>
  <c r="F95" i="5"/>
  <c r="I95" i="5"/>
  <c r="A96" i="5"/>
  <c r="F96" i="5"/>
  <c r="H96" i="5"/>
  <c r="I96" i="5"/>
  <c r="A97" i="5"/>
  <c r="F97" i="5"/>
  <c r="I97" i="5"/>
  <c r="A98" i="5"/>
  <c r="F98" i="5"/>
  <c r="I98" i="5"/>
  <c r="A99" i="5"/>
  <c r="F99" i="5"/>
  <c r="I99" i="5"/>
  <c r="A100" i="5"/>
  <c r="F100" i="5"/>
  <c r="I100" i="5"/>
  <c r="A101" i="5"/>
  <c r="F101" i="5"/>
  <c r="H101" i="5"/>
  <c r="I101" i="5"/>
  <c r="A102" i="5"/>
  <c r="F102" i="5"/>
  <c r="I102" i="5"/>
  <c r="A103" i="5"/>
  <c r="F103" i="5"/>
  <c r="I103" i="5"/>
  <c r="A104" i="5"/>
  <c r="F104" i="5"/>
  <c r="I104" i="5"/>
  <c r="A105" i="5"/>
  <c r="F105" i="5"/>
  <c r="H105" i="5"/>
  <c r="I105" i="5"/>
  <c r="A106" i="5"/>
  <c r="F106" i="5"/>
  <c r="H106" i="5"/>
  <c r="I106" i="5"/>
  <c r="A107" i="5"/>
  <c r="F107" i="5"/>
  <c r="I107" i="5"/>
  <c r="A108" i="5"/>
  <c r="F108" i="5"/>
  <c r="I108" i="5"/>
  <c r="A109" i="5"/>
  <c r="F109" i="5"/>
  <c r="I109" i="5"/>
  <c r="A110" i="5"/>
  <c r="F110" i="5"/>
  <c r="I110" i="5"/>
  <c r="A111" i="5"/>
  <c r="F111" i="5"/>
  <c r="I111" i="5"/>
  <c r="A112" i="5"/>
  <c r="F112" i="5"/>
  <c r="I112" i="5"/>
  <c r="A113" i="5"/>
  <c r="F113" i="5"/>
  <c r="I113" i="5"/>
  <c r="A114" i="5"/>
  <c r="F114" i="5"/>
  <c r="I114" i="5"/>
  <c r="A115" i="5"/>
  <c r="F115" i="5"/>
  <c r="I115" i="5"/>
  <c r="A116" i="5"/>
  <c r="F116" i="5"/>
  <c r="H116" i="5"/>
  <c r="I116" i="5"/>
  <c r="A117" i="5"/>
  <c r="F117" i="5"/>
  <c r="I117" i="5"/>
  <c r="A118" i="5"/>
  <c r="F118" i="5"/>
  <c r="I118" i="5"/>
  <c r="A119" i="5"/>
  <c r="F119" i="5"/>
  <c r="I119" i="5"/>
  <c r="A120" i="5"/>
  <c r="F120" i="5"/>
  <c r="H120" i="5"/>
  <c r="I120" i="5"/>
  <c r="A121" i="5"/>
  <c r="F121" i="5"/>
  <c r="I121" i="5"/>
  <c r="A122" i="5"/>
  <c r="F122" i="5"/>
  <c r="I122" i="5"/>
  <c r="A123" i="5"/>
  <c r="F123" i="5"/>
  <c r="I123" i="5"/>
  <c r="A124" i="5"/>
  <c r="F124" i="5"/>
  <c r="H124" i="5"/>
  <c r="I124" i="5"/>
  <c r="A125" i="5"/>
  <c r="F125" i="5"/>
  <c r="I125" i="5"/>
  <c r="A126" i="5"/>
  <c r="F126" i="5"/>
  <c r="H126" i="5"/>
  <c r="I126" i="5"/>
  <c r="A127" i="5"/>
  <c r="F127" i="5"/>
  <c r="I127" i="5"/>
  <c r="A128" i="5"/>
  <c r="F128" i="5"/>
  <c r="I128" i="5"/>
  <c r="A129" i="5"/>
  <c r="F129" i="5"/>
  <c r="I129" i="5"/>
  <c r="A130" i="5"/>
  <c r="F130" i="5"/>
  <c r="I130" i="5"/>
  <c r="A131" i="5"/>
  <c r="F131" i="5"/>
  <c r="H131" i="5"/>
  <c r="I131" i="5"/>
  <c r="A132" i="5"/>
  <c r="F132" i="5"/>
  <c r="H132" i="5"/>
  <c r="I132" i="5"/>
  <c r="A133" i="5"/>
  <c r="F133" i="5"/>
  <c r="I133" i="5"/>
  <c r="A134" i="5"/>
  <c r="F134" i="5"/>
  <c r="H134" i="5"/>
  <c r="I134" i="5"/>
  <c r="A135" i="5"/>
  <c r="F135" i="5"/>
  <c r="I135" i="5"/>
  <c r="A136" i="5"/>
  <c r="F136" i="5"/>
  <c r="I136" i="5"/>
  <c r="A137" i="5"/>
  <c r="F137" i="5"/>
  <c r="H137" i="5"/>
  <c r="I137" i="5"/>
  <c r="A138" i="5"/>
  <c r="F138" i="5"/>
  <c r="I138" i="5"/>
  <c r="A139" i="5"/>
  <c r="F139" i="5"/>
  <c r="I139" i="5"/>
  <c r="A140" i="5"/>
  <c r="F140" i="5"/>
  <c r="I140" i="5"/>
  <c r="A141" i="5"/>
  <c r="F141" i="5"/>
  <c r="I141" i="5"/>
  <c r="A142" i="5"/>
  <c r="F142" i="5"/>
  <c r="H142" i="5"/>
  <c r="I142" i="5"/>
  <c r="A143" i="5"/>
  <c r="F143" i="5"/>
  <c r="H143" i="5"/>
  <c r="I143" i="5"/>
  <c r="A144" i="5"/>
  <c r="F144" i="5"/>
  <c r="I144" i="5"/>
  <c r="A145" i="5"/>
  <c r="F145" i="5"/>
  <c r="I145" i="5"/>
  <c r="A146" i="5"/>
  <c r="F146" i="5"/>
  <c r="H146" i="5"/>
  <c r="I146" i="5"/>
  <c r="A147" i="5"/>
  <c r="F147" i="5"/>
  <c r="H147" i="5"/>
  <c r="I147" i="5"/>
  <c r="A148" i="5"/>
  <c r="F148" i="5"/>
  <c r="I148" i="5"/>
  <c r="A149" i="5"/>
  <c r="F149" i="5"/>
  <c r="I149" i="5"/>
  <c r="A150" i="5"/>
  <c r="F150" i="5"/>
  <c r="I150" i="5"/>
  <c r="A151" i="5"/>
  <c r="F151" i="5"/>
  <c r="I151" i="5"/>
  <c r="A152" i="5"/>
  <c r="F152" i="5"/>
  <c r="H152" i="5"/>
  <c r="I152" i="5"/>
  <c r="A153" i="5"/>
  <c r="F153" i="5"/>
  <c r="H153" i="5"/>
  <c r="I153" i="5"/>
  <c r="A154" i="5"/>
  <c r="F154" i="5"/>
  <c r="H154" i="5"/>
  <c r="I154" i="5"/>
  <c r="A155" i="5"/>
  <c r="F155" i="5"/>
  <c r="I155" i="5"/>
  <c r="A156" i="5"/>
  <c r="F156" i="5"/>
  <c r="I156" i="5"/>
  <c r="A157" i="5"/>
  <c r="F157" i="5"/>
  <c r="I157" i="5"/>
  <c r="A158" i="5"/>
  <c r="F158" i="5"/>
  <c r="H158" i="5"/>
  <c r="I158" i="5"/>
  <c r="A159" i="5"/>
  <c r="F159" i="5"/>
  <c r="H159" i="5"/>
  <c r="I159" i="5"/>
  <c r="A160" i="5"/>
  <c r="F160" i="5"/>
  <c r="I160" i="5"/>
  <c r="A161" i="5"/>
  <c r="F161" i="5"/>
  <c r="I161" i="5"/>
  <c r="A162" i="5"/>
  <c r="F162" i="5"/>
  <c r="I162" i="5"/>
  <c r="A163" i="5"/>
  <c r="F163" i="5"/>
  <c r="I163" i="5"/>
  <c r="A164" i="5"/>
  <c r="F164" i="5"/>
  <c r="I164" i="5"/>
  <c r="A165" i="5"/>
  <c r="F165" i="5"/>
  <c r="H165" i="5"/>
  <c r="I165" i="5"/>
  <c r="A166" i="5"/>
  <c r="F166" i="5"/>
  <c r="I166" i="5"/>
  <c r="A167" i="5"/>
  <c r="F167" i="5"/>
  <c r="I167" i="5"/>
  <c r="A168" i="5"/>
  <c r="F168" i="5"/>
  <c r="I168" i="5"/>
  <c r="A169" i="5"/>
  <c r="F169" i="5"/>
  <c r="I169" i="5"/>
  <c r="A170" i="5"/>
  <c r="F170" i="5"/>
  <c r="H170" i="5"/>
  <c r="I170" i="5"/>
  <c r="A171" i="5"/>
  <c r="F171" i="5"/>
  <c r="I171" i="5"/>
  <c r="A172" i="5"/>
  <c r="F172" i="5"/>
  <c r="H172" i="5"/>
  <c r="I172" i="5"/>
  <c r="A173" i="5"/>
  <c r="F173" i="5"/>
  <c r="I173" i="5"/>
  <c r="A174" i="5"/>
  <c r="F174" i="5"/>
  <c r="I174" i="5"/>
  <c r="A175" i="5"/>
  <c r="F175" i="5"/>
  <c r="H175" i="5"/>
  <c r="I175" i="5"/>
  <c r="A176" i="5"/>
  <c r="F176" i="5"/>
  <c r="I176" i="5"/>
  <c r="A177" i="5"/>
  <c r="F177" i="5"/>
  <c r="I177" i="5"/>
  <c r="A178" i="5"/>
  <c r="F178" i="5"/>
  <c r="I178" i="5"/>
  <c r="A179" i="5"/>
  <c r="F179" i="5"/>
  <c r="I179" i="5"/>
  <c r="A180" i="5"/>
  <c r="F180" i="5"/>
  <c r="I180" i="5"/>
  <c r="A181" i="5"/>
  <c r="F181" i="5"/>
  <c r="I181" i="5"/>
  <c r="A182" i="5"/>
  <c r="F182" i="5"/>
  <c r="I182" i="5"/>
  <c r="A183" i="5"/>
  <c r="F183" i="5"/>
  <c r="H183" i="5"/>
  <c r="I183" i="5"/>
  <c r="A184" i="5"/>
  <c r="F184" i="5"/>
  <c r="I184" i="5"/>
  <c r="A185" i="5"/>
  <c r="F185" i="5"/>
  <c r="I185" i="5"/>
  <c r="A186" i="5"/>
  <c r="F186" i="5"/>
  <c r="I186" i="5"/>
  <c r="A187" i="5"/>
  <c r="F187" i="5"/>
  <c r="I187" i="5"/>
  <c r="A188" i="5"/>
  <c r="F188" i="5"/>
  <c r="I188" i="5"/>
  <c r="A189" i="5"/>
  <c r="F189" i="5"/>
  <c r="I189" i="5"/>
  <c r="A190" i="5"/>
  <c r="F190" i="5"/>
  <c r="H190" i="5"/>
  <c r="I190" i="5"/>
  <c r="A191" i="5"/>
  <c r="F191" i="5"/>
  <c r="I191" i="5"/>
  <c r="A192" i="5"/>
  <c r="F192" i="5"/>
  <c r="I192" i="5"/>
  <c r="A193" i="5"/>
  <c r="F193" i="5"/>
  <c r="I193" i="5"/>
  <c r="A194" i="5"/>
  <c r="F194" i="5"/>
  <c r="I194" i="5"/>
  <c r="A195" i="5"/>
  <c r="F195" i="5"/>
  <c r="I195" i="5"/>
  <c r="A196" i="5"/>
  <c r="F196" i="5"/>
  <c r="I196" i="5"/>
  <c r="A197" i="5"/>
  <c r="F197" i="5"/>
  <c r="I197" i="5"/>
  <c r="A198" i="5"/>
  <c r="F198" i="5"/>
  <c r="I198" i="5"/>
  <c r="A199" i="5"/>
  <c r="F199" i="5"/>
  <c r="H199" i="5"/>
  <c r="I199" i="5"/>
  <c r="A200" i="5"/>
  <c r="F200" i="5"/>
  <c r="I200" i="5"/>
  <c r="A201" i="5"/>
  <c r="F201" i="5"/>
  <c r="I201" i="5"/>
  <c r="A202" i="5"/>
  <c r="F202" i="5"/>
  <c r="I202" i="5"/>
  <c r="A203" i="5"/>
  <c r="F203" i="5"/>
  <c r="I203" i="5"/>
  <c r="A204" i="5"/>
  <c r="F204" i="5"/>
  <c r="I204" i="5"/>
  <c r="A205" i="5"/>
  <c r="F205" i="5"/>
  <c r="I205" i="5"/>
  <c r="A206" i="5"/>
  <c r="F206" i="5"/>
  <c r="I206" i="5"/>
  <c r="A207" i="5"/>
  <c r="F207" i="5"/>
  <c r="I207" i="5"/>
  <c r="A208" i="5"/>
  <c r="F208" i="5"/>
  <c r="I208" i="5"/>
  <c r="A209" i="5"/>
  <c r="F209" i="5"/>
  <c r="I209" i="5"/>
  <c r="A210" i="5"/>
  <c r="F210" i="5"/>
  <c r="H210" i="5"/>
  <c r="I210" i="5"/>
  <c r="A211" i="5"/>
  <c r="F211" i="5"/>
  <c r="H211" i="5"/>
  <c r="I211" i="5"/>
  <c r="A212" i="5"/>
  <c r="F212" i="5"/>
  <c r="I212" i="5"/>
  <c r="A213" i="5"/>
  <c r="F213" i="5"/>
  <c r="I213" i="5"/>
  <c r="A214" i="5"/>
  <c r="F214" i="5"/>
  <c r="I214" i="5"/>
  <c r="A215" i="5"/>
  <c r="F215" i="5"/>
  <c r="I215" i="5"/>
  <c r="A216" i="5"/>
  <c r="F216" i="5"/>
  <c r="I216" i="5"/>
  <c r="A217" i="5"/>
  <c r="F217" i="5"/>
  <c r="I217" i="5"/>
  <c r="A218" i="5"/>
  <c r="F218" i="5"/>
  <c r="I218" i="5"/>
  <c r="A219" i="5"/>
  <c r="F219" i="5"/>
  <c r="I219" i="5"/>
  <c r="A220" i="5"/>
  <c r="F220" i="5"/>
  <c r="I220" i="5"/>
  <c r="A221" i="5"/>
  <c r="F221" i="5"/>
  <c r="I221" i="5"/>
  <c r="A222" i="5"/>
  <c r="F222" i="5"/>
  <c r="I222" i="5"/>
  <c r="A223" i="5"/>
  <c r="F223" i="5"/>
  <c r="H223" i="5"/>
  <c r="I223" i="5"/>
  <c r="A224" i="5"/>
  <c r="F224" i="5"/>
  <c r="H224" i="5"/>
  <c r="I224" i="5"/>
  <c r="A225" i="5"/>
  <c r="F225" i="5"/>
  <c r="I225" i="5"/>
  <c r="A226" i="5"/>
  <c r="F226" i="5"/>
  <c r="H226" i="5"/>
  <c r="I226" i="5"/>
  <c r="A227" i="5"/>
  <c r="F227" i="5"/>
  <c r="H227" i="5"/>
  <c r="I227" i="5"/>
  <c r="A228" i="5"/>
  <c r="F228" i="5"/>
  <c r="I228" i="5"/>
  <c r="A229" i="5"/>
  <c r="F229" i="5"/>
  <c r="I229" i="5"/>
  <c r="A230" i="5"/>
  <c r="F230" i="5"/>
  <c r="H230" i="5"/>
  <c r="I230" i="5"/>
  <c r="A231" i="5"/>
  <c r="F231" i="5"/>
  <c r="I231" i="5"/>
  <c r="A232" i="5"/>
  <c r="F232" i="5"/>
  <c r="H232" i="5"/>
  <c r="I232" i="5"/>
  <c r="A233" i="5"/>
  <c r="F233" i="5"/>
  <c r="I233" i="5"/>
  <c r="A234" i="5"/>
  <c r="F234" i="5"/>
  <c r="H234" i="5"/>
  <c r="I234" i="5"/>
  <c r="A235" i="5"/>
  <c r="F235" i="5"/>
  <c r="I235" i="5"/>
  <c r="A236" i="5"/>
  <c r="F236" i="5"/>
  <c r="I236" i="5"/>
  <c r="A237" i="5"/>
  <c r="F237" i="5"/>
  <c r="H237" i="5"/>
  <c r="I237" i="5"/>
  <c r="A238" i="5"/>
  <c r="F238" i="5"/>
  <c r="H238" i="5"/>
  <c r="I238" i="5"/>
  <c r="A239" i="5"/>
  <c r="F239" i="5"/>
  <c r="I239" i="5"/>
  <c r="A240" i="5"/>
  <c r="F240" i="5"/>
  <c r="I240" i="5"/>
  <c r="A241" i="5"/>
  <c r="F241" i="5"/>
  <c r="I241" i="5"/>
  <c r="A242" i="5"/>
  <c r="F242" i="5"/>
  <c r="H242" i="5"/>
  <c r="I242" i="5"/>
  <c r="A243" i="5"/>
  <c r="F243" i="5"/>
  <c r="H243" i="5"/>
  <c r="I243" i="5"/>
  <c r="A244" i="5"/>
  <c r="F244" i="5"/>
  <c r="I244" i="5"/>
  <c r="A245" i="5"/>
  <c r="F245" i="5"/>
  <c r="H245" i="5"/>
  <c r="I245" i="5"/>
  <c r="A246" i="5"/>
  <c r="F246" i="5"/>
  <c r="I246" i="5"/>
  <c r="A247" i="5"/>
  <c r="F247" i="5"/>
  <c r="I247" i="5"/>
  <c r="A248" i="5"/>
  <c r="F248" i="5"/>
  <c r="I248" i="5"/>
  <c r="A249" i="5"/>
  <c r="F249" i="5"/>
  <c r="H249" i="5"/>
  <c r="I249" i="5"/>
  <c r="A250" i="5"/>
  <c r="F250" i="5"/>
  <c r="I250" i="5"/>
  <c r="A251" i="5"/>
  <c r="F251" i="5"/>
  <c r="I251" i="5"/>
  <c r="A252" i="5"/>
  <c r="F252" i="5"/>
  <c r="I252" i="5"/>
  <c r="A253" i="5"/>
  <c r="F253" i="5"/>
  <c r="I253" i="5"/>
  <c r="A254" i="5"/>
  <c r="F254" i="5"/>
  <c r="I254" i="5"/>
  <c r="A255" i="5"/>
  <c r="F255" i="5"/>
  <c r="I255" i="5"/>
  <c r="A256" i="5"/>
  <c r="F256" i="5"/>
  <c r="I256" i="5"/>
  <c r="A257" i="5"/>
  <c r="F257" i="5"/>
  <c r="H257" i="5"/>
  <c r="I257" i="5"/>
  <c r="A258" i="5"/>
  <c r="F258" i="5"/>
  <c r="I258" i="5"/>
  <c r="A259" i="5"/>
  <c r="F259" i="5"/>
  <c r="I259" i="5"/>
  <c r="A260" i="5"/>
  <c r="F260" i="5"/>
  <c r="H260" i="5"/>
  <c r="I260" i="5"/>
  <c r="A261" i="5"/>
  <c r="F261" i="5"/>
  <c r="H261" i="5"/>
  <c r="I261" i="5"/>
  <c r="A262" i="5"/>
  <c r="F262" i="5"/>
  <c r="H262" i="5"/>
  <c r="I262" i="5"/>
  <c r="A263" i="5"/>
  <c r="F263" i="5"/>
  <c r="H263" i="5"/>
  <c r="I263" i="5"/>
  <c r="A264" i="5"/>
  <c r="F264" i="5"/>
  <c r="H264" i="5"/>
  <c r="I264" i="5"/>
  <c r="A265" i="5"/>
  <c r="F265" i="5"/>
  <c r="H265" i="5"/>
  <c r="I265" i="5"/>
  <c r="A266" i="5"/>
  <c r="F266" i="5"/>
  <c r="H266" i="5"/>
  <c r="I266" i="5"/>
  <c r="A267" i="5"/>
  <c r="F267" i="5"/>
  <c r="I267" i="5"/>
  <c r="A268" i="5"/>
  <c r="F268" i="5"/>
  <c r="I268" i="5"/>
  <c r="A269" i="5"/>
  <c r="F269" i="5"/>
  <c r="I269" i="5"/>
  <c r="A270" i="5"/>
  <c r="F270" i="5"/>
  <c r="I270" i="5"/>
  <c r="A271" i="5"/>
  <c r="F271" i="5"/>
  <c r="I271" i="5"/>
  <c r="A272" i="5"/>
  <c r="F272" i="5"/>
  <c r="I272" i="5"/>
  <c r="A273" i="5"/>
  <c r="F273" i="5"/>
  <c r="I273" i="5"/>
  <c r="A274" i="5"/>
  <c r="F274" i="5"/>
  <c r="I274" i="5"/>
  <c r="A275" i="5"/>
  <c r="F275" i="5"/>
  <c r="I275" i="5"/>
  <c r="A276" i="5"/>
  <c r="F276" i="5"/>
  <c r="I276" i="5"/>
  <c r="A277" i="5"/>
  <c r="F277" i="5"/>
  <c r="I277" i="5"/>
  <c r="A278" i="5"/>
  <c r="F278" i="5"/>
  <c r="I278" i="5"/>
  <c r="A279" i="5"/>
  <c r="F279" i="5"/>
  <c r="I279" i="5"/>
  <c r="A280" i="5"/>
  <c r="F280" i="5"/>
  <c r="H280" i="5"/>
  <c r="I280" i="5"/>
  <c r="A281" i="5"/>
  <c r="F281" i="5"/>
  <c r="I281" i="5"/>
  <c r="A282" i="5"/>
  <c r="F282" i="5"/>
  <c r="I282" i="5"/>
  <c r="A283" i="5"/>
  <c r="F283" i="5"/>
  <c r="I283" i="5"/>
  <c r="A284" i="5"/>
  <c r="F284" i="5"/>
  <c r="I284" i="5"/>
  <c r="A285" i="5"/>
  <c r="F285" i="5"/>
  <c r="I285" i="5"/>
  <c r="A286" i="5"/>
  <c r="F286" i="5"/>
  <c r="H286" i="5"/>
  <c r="I286" i="5"/>
  <c r="A287" i="5"/>
  <c r="F287" i="5"/>
  <c r="I287" i="5"/>
  <c r="A288" i="5"/>
  <c r="F288" i="5"/>
  <c r="I288" i="5"/>
  <c r="A289" i="5"/>
  <c r="F289" i="5"/>
  <c r="I289" i="5"/>
  <c r="A290" i="5"/>
  <c r="F290" i="5"/>
  <c r="I290" i="5"/>
  <c r="A291" i="5"/>
  <c r="F291" i="5"/>
  <c r="H291" i="5"/>
  <c r="I291" i="5"/>
  <c r="A292" i="5"/>
  <c r="F292" i="5"/>
  <c r="H292" i="5"/>
  <c r="I292" i="5"/>
  <c r="A293" i="5"/>
  <c r="F293" i="5"/>
  <c r="I293" i="5"/>
  <c r="A294" i="5"/>
  <c r="F294" i="5"/>
  <c r="I294" i="5"/>
  <c r="A295" i="5"/>
  <c r="F295" i="5"/>
  <c r="I295" i="5"/>
  <c r="A296" i="5"/>
  <c r="F296" i="5"/>
  <c r="I296" i="5"/>
  <c r="A297" i="5"/>
  <c r="F297" i="5"/>
  <c r="H297" i="5"/>
  <c r="I297" i="5"/>
  <c r="A298" i="5"/>
  <c r="F298" i="5"/>
  <c r="H298" i="5"/>
  <c r="I298" i="5"/>
  <c r="A299" i="5"/>
  <c r="F299" i="5"/>
  <c r="H299" i="5"/>
  <c r="I299" i="5"/>
  <c r="A300" i="5"/>
  <c r="F300" i="5"/>
  <c r="I300" i="5"/>
  <c r="A301" i="5"/>
  <c r="F301" i="5"/>
  <c r="H301" i="5"/>
  <c r="I301" i="5"/>
  <c r="A302" i="5"/>
  <c r="F302" i="5"/>
  <c r="I302" i="5"/>
  <c r="A303" i="5"/>
  <c r="F303" i="5"/>
  <c r="I303" i="5"/>
  <c r="A304" i="5"/>
  <c r="F304" i="5"/>
  <c r="I304" i="5"/>
  <c r="A305" i="5"/>
  <c r="F305" i="5"/>
  <c r="I305" i="5"/>
  <c r="A306" i="5"/>
  <c r="F306" i="5"/>
  <c r="H306" i="5"/>
  <c r="I306" i="5"/>
  <c r="A307" i="5"/>
  <c r="F307" i="5"/>
  <c r="I307" i="5"/>
  <c r="A308" i="5"/>
  <c r="F308" i="5"/>
  <c r="I308" i="5"/>
  <c r="A309" i="5"/>
  <c r="F309" i="5"/>
  <c r="I309" i="5"/>
  <c r="A310" i="5"/>
  <c r="F310" i="5"/>
  <c r="I310" i="5"/>
  <c r="A311" i="5"/>
  <c r="F311" i="5"/>
  <c r="H311" i="5"/>
  <c r="I311" i="5"/>
  <c r="A312" i="5"/>
  <c r="F312" i="5"/>
  <c r="H312" i="5"/>
  <c r="I312" i="5"/>
  <c r="A313" i="5"/>
  <c r="F313" i="5"/>
  <c r="I313" i="5"/>
  <c r="A314" i="5"/>
  <c r="F314" i="5"/>
  <c r="I314" i="5"/>
  <c r="A315" i="5"/>
  <c r="F315" i="5"/>
  <c r="I315" i="5"/>
  <c r="A316" i="5"/>
  <c r="F316" i="5"/>
  <c r="I316" i="5"/>
  <c r="A317" i="5"/>
  <c r="F317" i="5"/>
  <c r="I317" i="5"/>
  <c r="A318" i="5"/>
  <c r="F318" i="5"/>
  <c r="I318" i="5"/>
  <c r="A319" i="5"/>
  <c r="F319" i="5"/>
  <c r="I319" i="5"/>
  <c r="A320" i="5"/>
  <c r="F320" i="5"/>
  <c r="I320" i="5"/>
  <c r="A321" i="5"/>
  <c r="F321" i="5"/>
  <c r="H321" i="5"/>
  <c r="I321" i="5"/>
  <c r="A322" i="5"/>
  <c r="F322" i="5"/>
  <c r="I322" i="5"/>
  <c r="A323" i="5"/>
  <c r="F323" i="5"/>
  <c r="I323" i="5"/>
  <c r="A324" i="5"/>
  <c r="F324" i="5"/>
  <c r="H324" i="5"/>
  <c r="I324" i="5"/>
  <c r="A325" i="5"/>
  <c r="F325" i="5"/>
  <c r="I325" i="5"/>
  <c r="A326" i="5"/>
  <c r="F326" i="5"/>
  <c r="I326" i="5"/>
  <c r="A327" i="5"/>
  <c r="F327" i="5"/>
  <c r="I327" i="5"/>
  <c r="A328" i="5"/>
  <c r="F328" i="5"/>
  <c r="I328" i="5"/>
  <c r="A329" i="5"/>
  <c r="F329" i="5"/>
  <c r="I329" i="5"/>
  <c r="A330" i="5"/>
  <c r="F330" i="5"/>
  <c r="I330" i="5"/>
  <c r="A331" i="5"/>
  <c r="F331" i="5"/>
  <c r="H331" i="5"/>
  <c r="I331" i="5"/>
  <c r="A332" i="5"/>
  <c r="F332" i="5"/>
  <c r="I332" i="5"/>
  <c r="A333" i="5"/>
  <c r="F333" i="5"/>
  <c r="I333" i="5"/>
  <c r="A334" i="5"/>
  <c r="F334" i="5"/>
  <c r="I334" i="5"/>
  <c r="A335" i="5"/>
  <c r="F335" i="5"/>
  <c r="I335" i="5"/>
  <c r="A336" i="5"/>
  <c r="F336" i="5"/>
  <c r="H336" i="5"/>
  <c r="I336" i="5"/>
  <c r="A337" i="5"/>
  <c r="F337" i="5"/>
  <c r="H337" i="5"/>
  <c r="I337" i="5"/>
  <c r="A338" i="5"/>
  <c r="F338" i="5"/>
  <c r="I338" i="5"/>
  <c r="A339" i="5"/>
  <c r="F339" i="5"/>
  <c r="I339" i="5"/>
  <c r="A340" i="5"/>
  <c r="F340" i="5"/>
  <c r="I340" i="5"/>
  <c r="A341" i="5"/>
  <c r="F341" i="5"/>
  <c r="I341" i="5"/>
  <c r="A342" i="5"/>
  <c r="F342" i="5"/>
  <c r="I342" i="5"/>
  <c r="A343" i="5"/>
  <c r="F343" i="5"/>
  <c r="I343" i="5"/>
  <c r="A344" i="5"/>
  <c r="F344" i="5"/>
  <c r="I344" i="5"/>
  <c r="A345" i="5"/>
  <c r="F345" i="5"/>
  <c r="I345" i="5"/>
  <c r="A346" i="5"/>
  <c r="F346" i="5"/>
  <c r="I346" i="5"/>
  <c r="A347" i="5"/>
  <c r="F347" i="5"/>
  <c r="I347" i="5"/>
  <c r="A348" i="5"/>
  <c r="F348" i="5"/>
  <c r="I348" i="5"/>
  <c r="A349" i="5"/>
  <c r="F349" i="5"/>
  <c r="I349" i="5"/>
  <c r="A350" i="5"/>
  <c r="F350" i="5"/>
  <c r="H350" i="5"/>
  <c r="I350" i="5"/>
  <c r="A351" i="5"/>
  <c r="F351" i="5"/>
  <c r="I351" i="5"/>
  <c r="A352" i="5"/>
  <c r="F352" i="5"/>
  <c r="I352" i="5"/>
  <c r="A353" i="5"/>
  <c r="F353" i="5"/>
  <c r="I353" i="5"/>
  <c r="A354" i="5"/>
  <c r="F354" i="5"/>
  <c r="I354" i="5"/>
  <c r="A355" i="5"/>
  <c r="F355" i="5"/>
  <c r="I355" i="5"/>
  <c r="A356" i="5"/>
  <c r="F356" i="5"/>
  <c r="I356" i="5"/>
  <c r="A357" i="5"/>
  <c r="F357" i="5"/>
  <c r="I357" i="5"/>
  <c r="A358" i="5"/>
  <c r="F358" i="5"/>
  <c r="I358" i="5"/>
  <c r="A359" i="5"/>
  <c r="F359" i="5"/>
  <c r="H359" i="5"/>
  <c r="I359" i="5"/>
  <c r="A360" i="5"/>
  <c r="F360" i="5"/>
  <c r="I360" i="5"/>
  <c r="A361" i="5"/>
  <c r="F361" i="5"/>
  <c r="I361" i="5"/>
  <c r="A362" i="5"/>
  <c r="F362" i="5"/>
  <c r="I362" i="5"/>
  <c r="A363" i="5"/>
  <c r="F363" i="5"/>
  <c r="I363" i="5"/>
  <c r="A364" i="5"/>
  <c r="F364" i="5"/>
  <c r="I364" i="5"/>
  <c r="A365" i="5"/>
  <c r="F365" i="5"/>
  <c r="I365" i="5"/>
  <c r="A366" i="5"/>
  <c r="F366" i="5"/>
  <c r="I366" i="5"/>
  <c r="A367" i="5"/>
  <c r="F367" i="5"/>
  <c r="I367" i="5"/>
  <c r="A368" i="5"/>
  <c r="F368" i="5"/>
  <c r="I368" i="5"/>
  <c r="A369" i="5"/>
  <c r="F369" i="5"/>
  <c r="I369" i="5"/>
  <c r="A370" i="5"/>
  <c r="F370" i="5"/>
  <c r="I370" i="5"/>
  <c r="A371" i="5"/>
  <c r="F371" i="5"/>
  <c r="I371" i="5"/>
  <c r="A372" i="5"/>
  <c r="F372" i="5"/>
  <c r="I372" i="5"/>
  <c r="A373" i="5"/>
  <c r="F373" i="5"/>
  <c r="I373" i="5"/>
  <c r="A374" i="5"/>
  <c r="F374" i="5"/>
  <c r="I374" i="5"/>
  <c r="A375" i="5"/>
  <c r="F375" i="5"/>
  <c r="I375" i="5"/>
  <c r="A376" i="5"/>
  <c r="F376" i="5"/>
  <c r="I376" i="5"/>
  <c r="A377" i="5"/>
  <c r="F377" i="5"/>
  <c r="I377" i="5"/>
  <c r="A378" i="5"/>
  <c r="F378" i="5"/>
  <c r="I378" i="5"/>
  <c r="A379" i="5"/>
  <c r="F379" i="5"/>
  <c r="I379" i="5"/>
  <c r="A380" i="5"/>
  <c r="F380" i="5"/>
  <c r="I380" i="5"/>
  <c r="A381" i="5"/>
  <c r="F381" i="5"/>
  <c r="I381" i="5"/>
  <c r="A382" i="5"/>
  <c r="F382" i="5"/>
  <c r="I382" i="5"/>
  <c r="A383" i="5"/>
  <c r="F383" i="5"/>
  <c r="I383" i="5"/>
  <c r="A384" i="5"/>
  <c r="F384" i="5"/>
  <c r="I384" i="5"/>
  <c r="A385" i="5"/>
  <c r="F385" i="5"/>
  <c r="I385" i="5"/>
  <c r="A386" i="5"/>
  <c r="F386" i="5"/>
  <c r="I386" i="5"/>
  <c r="A387" i="5"/>
  <c r="F387" i="5"/>
  <c r="I387" i="5"/>
  <c r="A388" i="5"/>
  <c r="F388" i="5"/>
  <c r="I388" i="5"/>
  <c r="A389" i="5"/>
  <c r="F389" i="5"/>
  <c r="I389" i="5"/>
  <c r="A390" i="5"/>
  <c r="F390" i="5"/>
  <c r="I390" i="5"/>
  <c r="A391" i="5"/>
  <c r="F391" i="5"/>
  <c r="I391" i="5"/>
  <c r="A392" i="5"/>
  <c r="F392" i="5"/>
  <c r="I392" i="5"/>
  <c r="A393" i="5"/>
  <c r="F393" i="5"/>
  <c r="I393" i="5"/>
  <c r="A394" i="5"/>
  <c r="F394" i="5"/>
  <c r="I394" i="5"/>
  <c r="A395" i="5"/>
  <c r="F395" i="5"/>
  <c r="I395" i="5"/>
  <c r="A396" i="5"/>
  <c r="F396" i="5"/>
  <c r="I396" i="5"/>
  <c r="A397" i="5"/>
  <c r="F397" i="5"/>
  <c r="I397" i="5"/>
  <c r="A398" i="5"/>
  <c r="F398" i="5"/>
  <c r="I398" i="5"/>
  <c r="A399" i="5"/>
  <c r="F399" i="5"/>
  <c r="I399" i="5"/>
  <c r="A400" i="5"/>
  <c r="F400" i="5"/>
  <c r="I400" i="5"/>
  <c r="A401" i="5"/>
  <c r="F401" i="5"/>
  <c r="I401" i="5"/>
  <c r="A402" i="5"/>
  <c r="F402" i="5"/>
  <c r="I402" i="5"/>
  <c r="A403" i="5"/>
  <c r="F403" i="5"/>
  <c r="I403" i="5"/>
  <c r="A404" i="5"/>
  <c r="F404" i="5"/>
  <c r="I404" i="5"/>
  <c r="A405" i="5"/>
  <c r="F405" i="5"/>
  <c r="I405" i="5"/>
  <c r="A406" i="5"/>
  <c r="F406" i="5"/>
  <c r="I406" i="5"/>
  <c r="A407" i="5"/>
  <c r="F407" i="5"/>
  <c r="I407" i="5"/>
  <c r="A408" i="5"/>
  <c r="F408" i="5"/>
  <c r="I408" i="5"/>
  <c r="A409" i="5"/>
  <c r="F409" i="5"/>
  <c r="I409" i="5"/>
  <c r="A410" i="5"/>
  <c r="F410" i="5"/>
  <c r="I410" i="5"/>
  <c r="A411" i="5"/>
  <c r="F411" i="5"/>
  <c r="I411" i="5"/>
  <c r="A412" i="5"/>
  <c r="F412" i="5"/>
  <c r="I412" i="5"/>
  <c r="A413" i="5"/>
  <c r="F413" i="5"/>
  <c r="I413" i="5"/>
  <c r="A414" i="5"/>
  <c r="F414" i="5"/>
  <c r="I414" i="5"/>
  <c r="A415" i="5"/>
  <c r="F415" i="5"/>
  <c r="I415" i="5"/>
  <c r="A416" i="5"/>
  <c r="F416" i="5"/>
  <c r="I416" i="5"/>
  <c r="A417" i="5"/>
  <c r="F417" i="5"/>
  <c r="I417" i="5"/>
  <c r="A418" i="5"/>
  <c r="F418" i="5"/>
  <c r="I418" i="5"/>
  <c r="A419" i="5"/>
  <c r="F419" i="5"/>
  <c r="I419" i="5"/>
  <c r="A420" i="5"/>
  <c r="F420" i="5"/>
  <c r="I420" i="5"/>
  <c r="A421" i="5"/>
  <c r="F421" i="5"/>
  <c r="I421" i="5"/>
  <c r="A422" i="5"/>
  <c r="F422" i="5"/>
  <c r="I422" i="5"/>
  <c r="A423" i="5"/>
  <c r="F423" i="5"/>
  <c r="I423" i="5"/>
  <c r="A424" i="5"/>
  <c r="F424" i="5"/>
  <c r="I424" i="5"/>
  <c r="A425" i="5"/>
  <c r="F425" i="5"/>
  <c r="I425" i="5"/>
  <c r="A426" i="5"/>
  <c r="F426" i="5"/>
  <c r="I426" i="5"/>
  <c r="A427" i="5"/>
  <c r="F427" i="5"/>
  <c r="I427" i="5"/>
  <c r="A428" i="5"/>
  <c r="F428" i="5"/>
  <c r="I428" i="5"/>
  <c r="A429" i="5"/>
  <c r="F429" i="5"/>
  <c r="I429" i="5"/>
  <c r="A430" i="5"/>
  <c r="F430" i="5"/>
  <c r="H430" i="5"/>
  <c r="I430" i="5"/>
  <c r="A431" i="5"/>
  <c r="F431" i="5"/>
  <c r="I431" i="5"/>
  <c r="A432" i="5"/>
  <c r="F432" i="5"/>
  <c r="I432" i="5"/>
  <c r="A433" i="5"/>
  <c r="F433" i="5"/>
  <c r="I433" i="5"/>
  <c r="A434" i="5"/>
  <c r="F434" i="5"/>
  <c r="I434" i="5"/>
  <c r="A435" i="5"/>
  <c r="F435" i="5"/>
  <c r="I435" i="5"/>
  <c r="A436" i="5"/>
  <c r="F436" i="5"/>
  <c r="I436" i="5"/>
  <c r="A437" i="5"/>
  <c r="F437" i="5"/>
  <c r="I437" i="5"/>
  <c r="A438" i="5"/>
  <c r="F438" i="5"/>
  <c r="I438" i="5"/>
  <c r="A439" i="5"/>
  <c r="F439" i="5"/>
  <c r="I439" i="5"/>
  <c r="A440" i="5"/>
  <c r="F440" i="5"/>
  <c r="I440" i="5"/>
  <c r="A441" i="5"/>
  <c r="F441" i="5"/>
  <c r="I441" i="5"/>
  <c r="A442" i="5"/>
  <c r="F442" i="5"/>
  <c r="I442" i="5"/>
  <c r="A443" i="5"/>
  <c r="F443" i="5"/>
  <c r="I443" i="5"/>
  <c r="A444" i="5"/>
  <c r="F444" i="5"/>
  <c r="I444" i="5"/>
  <c r="A445" i="5"/>
  <c r="F445" i="5"/>
  <c r="I445" i="5"/>
  <c r="A446" i="5"/>
  <c r="F446" i="5"/>
  <c r="I446" i="5"/>
  <c r="A447" i="5"/>
  <c r="F447" i="5"/>
  <c r="I447" i="5"/>
  <c r="A448" i="5"/>
  <c r="F448" i="5"/>
  <c r="I448" i="5"/>
  <c r="A449" i="5"/>
  <c r="F449" i="5"/>
  <c r="I449" i="5"/>
  <c r="A450" i="5"/>
  <c r="F450" i="5"/>
  <c r="I450" i="5"/>
  <c r="A451" i="5"/>
  <c r="F451" i="5"/>
  <c r="I451" i="5"/>
  <c r="A452" i="5"/>
  <c r="F452" i="5"/>
  <c r="I452" i="5"/>
  <c r="A453" i="5"/>
  <c r="F453" i="5"/>
  <c r="I453" i="5"/>
  <c r="A454" i="5"/>
  <c r="F454" i="5"/>
  <c r="I454" i="5"/>
  <c r="A455" i="5"/>
  <c r="F455" i="5"/>
  <c r="I455" i="5"/>
  <c r="A456" i="5"/>
  <c r="F456" i="5"/>
  <c r="I456" i="5"/>
  <c r="A457" i="5"/>
  <c r="F457" i="5"/>
  <c r="I457" i="5"/>
  <c r="A458" i="5"/>
  <c r="F458" i="5"/>
  <c r="I458" i="5"/>
  <c r="A459" i="5"/>
  <c r="F459" i="5"/>
  <c r="I459" i="5"/>
  <c r="A460" i="5"/>
  <c r="F460" i="5"/>
  <c r="I460" i="5"/>
  <c r="A461" i="5"/>
  <c r="F461" i="5"/>
  <c r="I461" i="5"/>
  <c r="A462" i="5"/>
  <c r="F462" i="5"/>
  <c r="I462" i="5"/>
  <c r="A463" i="5"/>
  <c r="F463" i="5"/>
  <c r="I463" i="5"/>
  <c r="A464" i="5"/>
  <c r="F464" i="5"/>
  <c r="I464" i="5"/>
  <c r="A465" i="5"/>
  <c r="F465" i="5"/>
  <c r="I465" i="5"/>
  <c r="A466" i="5"/>
  <c r="F466" i="5"/>
  <c r="I466" i="5"/>
  <c r="A467" i="5"/>
  <c r="F467" i="5"/>
  <c r="I467" i="5"/>
  <c r="A468" i="5"/>
  <c r="F468" i="5"/>
  <c r="I468" i="5"/>
  <c r="A469" i="5"/>
  <c r="F469" i="5"/>
  <c r="I469" i="5"/>
  <c r="A470" i="5"/>
  <c r="F470" i="5"/>
  <c r="I470" i="5"/>
  <c r="A471" i="5"/>
  <c r="F471" i="5"/>
  <c r="I471" i="5"/>
  <c r="A472" i="5"/>
  <c r="F472" i="5"/>
  <c r="I472" i="5"/>
  <c r="A473" i="5"/>
  <c r="F473" i="5"/>
  <c r="I473" i="5"/>
  <c r="A474" i="5"/>
  <c r="F474" i="5"/>
  <c r="I474" i="5"/>
  <c r="A475" i="5"/>
  <c r="F475" i="5"/>
  <c r="I475" i="5"/>
  <c r="A476" i="5"/>
  <c r="F476" i="5"/>
  <c r="I476" i="5"/>
  <c r="A477" i="5"/>
  <c r="F477" i="5"/>
  <c r="I477" i="5"/>
  <c r="A478" i="5"/>
  <c r="F478" i="5"/>
  <c r="I478" i="5"/>
  <c r="A479" i="5"/>
  <c r="F479" i="5"/>
  <c r="I479" i="5"/>
  <c r="A480" i="5"/>
  <c r="F480" i="5"/>
  <c r="I480" i="5"/>
  <c r="A481" i="5"/>
  <c r="F481" i="5"/>
  <c r="I481" i="5"/>
  <c r="A482" i="5"/>
  <c r="F482" i="5"/>
  <c r="I482" i="5"/>
  <c r="A483" i="5"/>
  <c r="F483" i="5"/>
  <c r="I483" i="5"/>
  <c r="A484" i="5"/>
  <c r="F484" i="5"/>
  <c r="I484" i="5"/>
  <c r="A485" i="5"/>
  <c r="F485" i="5"/>
  <c r="I485" i="5"/>
  <c r="A486" i="5"/>
  <c r="F486" i="5"/>
  <c r="I486" i="5"/>
  <c r="A487" i="5"/>
  <c r="F487" i="5"/>
  <c r="I487" i="5"/>
  <c r="A488" i="5"/>
  <c r="F488" i="5"/>
  <c r="I488" i="5"/>
  <c r="A489" i="5"/>
  <c r="F489" i="5"/>
  <c r="I489" i="5"/>
  <c r="A490" i="5"/>
  <c r="F490" i="5"/>
  <c r="I490" i="5"/>
  <c r="A491" i="5"/>
  <c r="F491" i="5"/>
  <c r="I491" i="5"/>
  <c r="A492" i="5"/>
  <c r="F492" i="5"/>
  <c r="I492" i="5"/>
  <c r="A493" i="5"/>
  <c r="F493" i="5"/>
  <c r="I493" i="5"/>
  <c r="A494" i="5"/>
  <c r="F494" i="5"/>
  <c r="I494" i="5"/>
  <c r="A495" i="5"/>
  <c r="F495" i="5"/>
  <c r="I495" i="5"/>
  <c r="A496" i="5"/>
  <c r="F496" i="5"/>
  <c r="I496" i="5"/>
  <c r="A497" i="5"/>
  <c r="F497" i="5"/>
  <c r="I497" i="5"/>
  <c r="A498" i="5"/>
  <c r="F498" i="5"/>
  <c r="I498" i="5"/>
  <c r="A499" i="5"/>
  <c r="F499" i="5"/>
  <c r="I499" i="5"/>
  <c r="A500" i="5"/>
  <c r="F500" i="5"/>
  <c r="I500" i="5"/>
  <c r="A501" i="5"/>
  <c r="F501" i="5"/>
  <c r="I501" i="5"/>
  <c r="A502" i="5"/>
  <c r="F502" i="5"/>
  <c r="I502" i="5"/>
  <c r="A503" i="5"/>
  <c r="F503" i="5"/>
  <c r="I503" i="5"/>
  <c r="A504" i="5"/>
  <c r="F504" i="5"/>
  <c r="I504" i="5"/>
  <c r="A505" i="5"/>
  <c r="F505" i="5"/>
  <c r="I505" i="5"/>
  <c r="A506" i="5"/>
  <c r="F506" i="5"/>
  <c r="I506" i="5"/>
  <c r="A507" i="5"/>
  <c r="F507" i="5"/>
  <c r="I507" i="5"/>
  <c r="A508" i="5"/>
  <c r="F508" i="5"/>
  <c r="I508" i="5"/>
  <c r="A509" i="5"/>
  <c r="F509" i="5"/>
  <c r="I509" i="5"/>
  <c r="A510" i="5"/>
  <c r="F510" i="5"/>
  <c r="I510" i="5"/>
  <c r="A511" i="5"/>
  <c r="F511" i="5"/>
  <c r="I511" i="5"/>
  <c r="A512" i="5"/>
  <c r="F512" i="5"/>
  <c r="I512" i="5"/>
  <c r="A513" i="5"/>
  <c r="F513" i="5"/>
  <c r="I513" i="5"/>
  <c r="A514" i="5"/>
  <c r="F514" i="5"/>
  <c r="I514" i="5"/>
  <c r="A515" i="5"/>
  <c r="F515" i="5"/>
  <c r="I515" i="5"/>
  <c r="A516" i="5"/>
  <c r="F516" i="5"/>
  <c r="I516" i="5"/>
  <c r="A517" i="5"/>
  <c r="F517" i="5"/>
  <c r="I517" i="5"/>
  <c r="A518" i="5"/>
  <c r="F518" i="5"/>
  <c r="I518" i="5"/>
  <c r="A519" i="5"/>
  <c r="F519" i="5"/>
  <c r="I519" i="5"/>
  <c r="A520" i="5"/>
  <c r="F520" i="5"/>
  <c r="I520" i="5"/>
  <c r="A521" i="5"/>
  <c r="F521" i="5"/>
  <c r="I521" i="5"/>
  <c r="A522" i="5"/>
  <c r="F522" i="5"/>
  <c r="I522" i="5"/>
  <c r="A523" i="5"/>
  <c r="F523" i="5"/>
  <c r="I523" i="5"/>
  <c r="A524" i="5"/>
  <c r="F524" i="5"/>
  <c r="I524" i="5"/>
  <c r="A525" i="5"/>
  <c r="F525" i="5"/>
  <c r="I525" i="5"/>
  <c r="A526" i="5"/>
  <c r="F526" i="5"/>
  <c r="I526" i="5"/>
  <c r="A527" i="5"/>
  <c r="F527" i="5"/>
  <c r="I527" i="5"/>
  <c r="A528" i="5"/>
  <c r="F528" i="5"/>
  <c r="I528" i="5"/>
  <c r="A529" i="5"/>
  <c r="F529" i="5"/>
  <c r="I529" i="5"/>
  <c r="A530" i="5"/>
  <c r="F530" i="5"/>
  <c r="I530" i="5"/>
  <c r="A531" i="5"/>
  <c r="F531" i="5"/>
  <c r="I531" i="5"/>
  <c r="A532" i="5"/>
  <c r="F532" i="5"/>
  <c r="I532" i="5"/>
  <c r="A533" i="5"/>
  <c r="F533" i="5"/>
  <c r="I533" i="5"/>
  <c r="A534" i="5"/>
  <c r="F534" i="5"/>
  <c r="I534" i="5"/>
  <c r="A535" i="5"/>
  <c r="F535" i="5"/>
  <c r="H535" i="5"/>
  <c r="I535" i="5"/>
  <c r="A536" i="5"/>
  <c r="F536" i="5"/>
  <c r="I536" i="5"/>
  <c r="A537" i="5"/>
  <c r="F537" i="5"/>
  <c r="I537" i="5"/>
  <c r="A538" i="5"/>
  <c r="F538" i="5"/>
  <c r="I538" i="5"/>
  <c r="A539" i="5"/>
  <c r="F539" i="5"/>
  <c r="I539" i="5"/>
  <c r="A540" i="5"/>
  <c r="F540" i="5"/>
  <c r="I540" i="5"/>
  <c r="A541" i="5"/>
  <c r="F541" i="5"/>
  <c r="I541" i="5"/>
  <c r="A542" i="5"/>
  <c r="F542" i="5"/>
  <c r="I542" i="5"/>
  <c r="A543" i="5"/>
  <c r="F543" i="5"/>
  <c r="I543" i="5"/>
  <c r="A544" i="5"/>
  <c r="F544" i="5"/>
  <c r="I544" i="5"/>
  <c r="A545" i="5"/>
  <c r="F545" i="5"/>
  <c r="I545" i="5"/>
  <c r="A546" i="5"/>
  <c r="F546" i="5"/>
  <c r="I546" i="5"/>
  <c r="A547" i="5"/>
  <c r="F547" i="5"/>
  <c r="I547" i="5"/>
  <c r="A548" i="5"/>
  <c r="F548" i="5"/>
  <c r="I548" i="5"/>
  <c r="A549" i="5"/>
  <c r="F549" i="5"/>
  <c r="I549" i="5"/>
  <c r="A550" i="5"/>
  <c r="F550" i="5"/>
  <c r="I550" i="5"/>
  <c r="A551" i="5"/>
  <c r="F551" i="5"/>
  <c r="I551" i="5"/>
  <c r="A552" i="5"/>
  <c r="F552" i="5"/>
  <c r="I552" i="5"/>
  <c r="A553" i="5"/>
  <c r="F553" i="5"/>
  <c r="I553" i="5"/>
  <c r="A554" i="5"/>
  <c r="F554" i="5"/>
  <c r="I554" i="5"/>
  <c r="A555" i="5"/>
  <c r="F555" i="5"/>
  <c r="I555" i="5"/>
  <c r="A556" i="5"/>
  <c r="F556" i="5"/>
  <c r="I556" i="5"/>
  <c r="A557" i="5"/>
  <c r="F557" i="5"/>
  <c r="I557" i="5"/>
  <c r="A558" i="5"/>
  <c r="F558" i="5"/>
  <c r="I558" i="5"/>
  <c r="A559" i="5"/>
  <c r="F559" i="5"/>
  <c r="I559" i="5"/>
  <c r="A560" i="5"/>
  <c r="F560" i="5"/>
  <c r="I560" i="5"/>
  <c r="A561" i="5"/>
  <c r="F561" i="5"/>
  <c r="I561" i="5"/>
  <c r="A562" i="5"/>
  <c r="F562" i="5"/>
  <c r="I562" i="5"/>
  <c r="A563" i="5"/>
  <c r="F563" i="5"/>
  <c r="I563" i="5"/>
  <c r="A564" i="5"/>
  <c r="F564" i="5"/>
  <c r="I564" i="5"/>
  <c r="A565" i="5"/>
  <c r="F565" i="5"/>
  <c r="I565" i="5"/>
  <c r="A566" i="5"/>
  <c r="F566" i="5"/>
  <c r="I566" i="5"/>
  <c r="A567" i="5"/>
  <c r="F567" i="5"/>
  <c r="I567" i="5"/>
  <c r="A568" i="5"/>
  <c r="F568" i="5"/>
  <c r="I568" i="5"/>
  <c r="A569" i="5"/>
  <c r="F569" i="5"/>
  <c r="I569" i="5"/>
  <c r="A570" i="5"/>
  <c r="F570" i="5"/>
  <c r="I570" i="5"/>
  <c r="A571" i="5"/>
  <c r="F571" i="5"/>
  <c r="I571" i="5"/>
  <c r="A572" i="5"/>
  <c r="F572" i="5"/>
  <c r="I572" i="5"/>
  <c r="A573" i="5"/>
  <c r="F573" i="5"/>
  <c r="H573" i="5"/>
  <c r="I573" i="5"/>
  <c r="A574" i="5"/>
  <c r="F574" i="5"/>
  <c r="I574" i="5"/>
  <c r="A575" i="5"/>
  <c r="F575" i="5"/>
  <c r="I575" i="5"/>
  <c r="A576" i="5"/>
  <c r="F576" i="5"/>
  <c r="I576" i="5"/>
  <c r="A577" i="5"/>
  <c r="F577" i="5"/>
  <c r="I577" i="5"/>
  <c r="A578" i="5"/>
  <c r="F578" i="5"/>
  <c r="I578" i="5"/>
  <c r="A579" i="5"/>
  <c r="F579" i="5"/>
  <c r="I579" i="5"/>
  <c r="A580" i="5"/>
  <c r="F580" i="5"/>
  <c r="I580" i="5"/>
  <c r="A581" i="5"/>
  <c r="F581" i="5"/>
  <c r="I581" i="5"/>
  <c r="A582" i="5"/>
  <c r="F582" i="5"/>
  <c r="I582" i="5"/>
  <c r="A583" i="5"/>
  <c r="F583" i="5"/>
  <c r="I583" i="5"/>
  <c r="A584" i="5"/>
  <c r="F584" i="5"/>
  <c r="I584" i="5"/>
  <c r="A585" i="5"/>
  <c r="F585" i="5"/>
  <c r="I585" i="5"/>
  <c r="A586" i="5"/>
  <c r="F586" i="5"/>
  <c r="I586" i="5"/>
  <c r="A587" i="5"/>
  <c r="F587" i="5"/>
  <c r="I587" i="5"/>
  <c r="A588" i="5"/>
  <c r="F588" i="5"/>
  <c r="I588" i="5"/>
  <c r="A589" i="5"/>
  <c r="F589" i="5"/>
  <c r="I589" i="5"/>
  <c r="A590" i="5"/>
  <c r="F590" i="5"/>
  <c r="I590" i="5"/>
  <c r="A591" i="5"/>
  <c r="F591" i="5"/>
  <c r="I591" i="5"/>
  <c r="A592" i="5"/>
  <c r="F592" i="5"/>
  <c r="I592" i="5"/>
  <c r="A593" i="5"/>
  <c r="F593" i="5"/>
  <c r="I593" i="5"/>
  <c r="A594" i="5"/>
  <c r="F594" i="5"/>
  <c r="I594" i="5"/>
  <c r="A595" i="5"/>
  <c r="F595" i="5"/>
  <c r="I595" i="5"/>
  <c r="A596" i="5"/>
  <c r="F596" i="5"/>
  <c r="I596" i="5"/>
  <c r="A597" i="5"/>
  <c r="F597" i="5"/>
  <c r="I597" i="5"/>
  <c r="A598" i="5"/>
  <c r="F598" i="5"/>
  <c r="I598" i="5"/>
  <c r="A599" i="5"/>
  <c r="F599" i="5"/>
  <c r="I599" i="5"/>
  <c r="A600" i="5"/>
  <c r="F600" i="5"/>
  <c r="I600" i="5"/>
  <c r="A601" i="5"/>
  <c r="F601" i="5"/>
  <c r="I601" i="5"/>
  <c r="A602" i="5"/>
  <c r="F602" i="5"/>
  <c r="I602" i="5"/>
  <c r="A603" i="5"/>
  <c r="F603" i="5"/>
  <c r="I603" i="5"/>
  <c r="A604" i="5"/>
  <c r="F604" i="5"/>
  <c r="I604" i="5"/>
  <c r="A605" i="5"/>
  <c r="F605" i="5"/>
  <c r="I605" i="5"/>
  <c r="A606" i="5"/>
  <c r="F606" i="5"/>
  <c r="I606" i="5"/>
  <c r="A607" i="5"/>
  <c r="F607" i="5"/>
  <c r="I607" i="5"/>
  <c r="A608" i="5"/>
  <c r="F608" i="5"/>
  <c r="I608" i="5"/>
  <c r="A609" i="5"/>
  <c r="F609" i="5"/>
  <c r="I609" i="5"/>
  <c r="A610" i="5"/>
  <c r="F610" i="5"/>
  <c r="I610" i="5"/>
  <c r="A611" i="5"/>
  <c r="F611" i="5"/>
  <c r="I611" i="5"/>
  <c r="A612" i="5"/>
  <c r="F612" i="5"/>
  <c r="I612" i="5"/>
  <c r="A613" i="5"/>
  <c r="F613" i="5"/>
  <c r="I613" i="5"/>
  <c r="A614" i="5"/>
  <c r="F614" i="5"/>
  <c r="I614" i="5"/>
  <c r="A615" i="5"/>
  <c r="F615" i="5"/>
  <c r="I615" i="5"/>
  <c r="A616" i="5"/>
  <c r="F616" i="5"/>
  <c r="I616" i="5"/>
  <c r="A617" i="5"/>
  <c r="F617" i="5"/>
  <c r="I617" i="5"/>
  <c r="A618" i="5"/>
  <c r="F618" i="5"/>
  <c r="I618" i="5"/>
  <c r="A619" i="5"/>
  <c r="F619" i="5"/>
  <c r="I619" i="5"/>
  <c r="A620" i="5"/>
  <c r="F620" i="5"/>
  <c r="I620" i="5"/>
  <c r="A621" i="5"/>
  <c r="F621" i="5"/>
  <c r="I621" i="5"/>
  <c r="A622" i="5"/>
  <c r="F622" i="5"/>
  <c r="I622" i="5"/>
  <c r="A623" i="5"/>
  <c r="F623" i="5"/>
  <c r="I623" i="5"/>
  <c r="A624" i="5"/>
  <c r="F624" i="5"/>
  <c r="I624" i="5"/>
  <c r="A625" i="5"/>
  <c r="F625" i="5"/>
  <c r="I625" i="5"/>
  <c r="A626" i="5"/>
  <c r="F626" i="5"/>
  <c r="I626" i="5"/>
  <c r="A627" i="5"/>
  <c r="F627" i="5"/>
  <c r="I627" i="5"/>
  <c r="A628" i="5"/>
  <c r="F628" i="5"/>
  <c r="H628" i="5"/>
  <c r="I628" i="5"/>
  <c r="A629" i="5"/>
  <c r="F629" i="5"/>
  <c r="H629" i="5"/>
  <c r="I629" i="5"/>
  <c r="A630" i="5"/>
  <c r="F630" i="5"/>
  <c r="I630" i="5"/>
  <c r="A631" i="5"/>
  <c r="F631" i="5"/>
  <c r="I631" i="5"/>
  <c r="A632" i="5"/>
  <c r="F632" i="5"/>
  <c r="I632" i="5"/>
  <c r="A633" i="5"/>
  <c r="F633" i="5"/>
  <c r="I633" i="5"/>
  <c r="A634" i="5"/>
  <c r="F634" i="5"/>
  <c r="I634" i="5"/>
  <c r="A635" i="5"/>
  <c r="F635" i="5"/>
  <c r="I635" i="5"/>
  <c r="A636" i="5"/>
  <c r="F636" i="5"/>
  <c r="I636" i="5"/>
  <c r="A637" i="5"/>
  <c r="F637" i="5"/>
  <c r="I637" i="5"/>
  <c r="A638" i="5"/>
  <c r="F638" i="5"/>
  <c r="I638" i="5"/>
  <c r="A639" i="5"/>
  <c r="F639" i="5"/>
  <c r="I639" i="5"/>
  <c r="A640" i="5"/>
  <c r="F640" i="5"/>
  <c r="I640" i="5"/>
  <c r="A641" i="5"/>
  <c r="F641" i="5"/>
  <c r="I641" i="5"/>
  <c r="A642" i="5"/>
  <c r="F642" i="5"/>
  <c r="I642" i="5"/>
  <c r="A643" i="5"/>
  <c r="F643" i="5"/>
  <c r="I643" i="5"/>
  <c r="A644" i="5"/>
  <c r="F644" i="5"/>
  <c r="I644" i="5"/>
  <c r="A645" i="5"/>
  <c r="F645" i="5"/>
  <c r="I645" i="5"/>
  <c r="A646" i="5"/>
  <c r="F646" i="5"/>
  <c r="I646" i="5"/>
  <c r="A647" i="5"/>
  <c r="F647" i="5"/>
  <c r="I647" i="5"/>
  <c r="A648" i="5"/>
  <c r="F648" i="5"/>
  <c r="I648" i="5"/>
  <c r="A649" i="5"/>
  <c r="F649" i="5"/>
  <c r="I649" i="5"/>
  <c r="A650" i="5"/>
  <c r="F650" i="5"/>
  <c r="I650" i="5"/>
  <c r="A651" i="5"/>
  <c r="F651" i="5"/>
  <c r="I651" i="5"/>
  <c r="A652" i="5"/>
  <c r="F652" i="5"/>
  <c r="I652" i="5"/>
  <c r="A653" i="5"/>
  <c r="F653" i="5"/>
  <c r="I653" i="5"/>
  <c r="A654" i="5"/>
  <c r="F654" i="5"/>
  <c r="I654" i="5"/>
  <c r="A655" i="5"/>
  <c r="F655" i="5"/>
  <c r="I655" i="5"/>
  <c r="A656" i="5"/>
  <c r="F656" i="5"/>
  <c r="I656" i="5"/>
  <c r="A657" i="5"/>
  <c r="F657" i="5"/>
  <c r="I657" i="5"/>
  <c r="A658" i="5"/>
  <c r="F658" i="5"/>
  <c r="I658" i="5"/>
  <c r="A659" i="5"/>
  <c r="F659" i="5"/>
  <c r="I659" i="5"/>
  <c r="A660" i="5"/>
  <c r="F660" i="5"/>
  <c r="I660" i="5"/>
  <c r="A661" i="5"/>
  <c r="F661" i="5"/>
  <c r="I661" i="5"/>
  <c r="A662" i="5"/>
  <c r="F662" i="5"/>
  <c r="I662" i="5"/>
  <c r="A663" i="5"/>
  <c r="F663" i="5"/>
  <c r="I663" i="5"/>
  <c r="A664" i="5"/>
  <c r="F664" i="5"/>
  <c r="I664" i="5"/>
  <c r="A665" i="5"/>
  <c r="F665" i="5"/>
  <c r="I665" i="5"/>
  <c r="A666" i="5"/>
  <c r="F666" i="5"/>
  <c r="I666" i="5"/>
  <c r="A667" i="5"/>
  <c r="F667" i="5"/>
  <c r="I667" i="5"/>
  <c r="A668" i="5"/>
  <c r="F668" i="5"/>
  <c r="H668" i="5"/>
  <c r="I668" i="5"/>
  <c r="A669" i="5"/>
  <c r="F669" i="5"/>
  <c r="I669" i="5"/>
  <c r="A670" i="5"/>
  <c r="F670" i="5"/>
  <c r="I670" i="5"/>
  <c r="A671" i="5"/>
  <c r="F671" i="5"/>
  <c r="I671" i="5"/>
  <c r="A672" i="5"/>
  <c r="F672" i="5"/>
  <c r="I672" i="5"/>
  <c r="A673" i="5"/>
  <c r="F673" i="5"/>
  <c r="I673" i="5"/>
  <c r="A674" i="5"/>
  <c r="F674" i="5"/>
  <c r="I674" i="5"/>
  <c r="A675" i="5"/>
  <c r="F675" i="5"/>
  <c r="I675" i="5"/>
  <c r="A676" i="5"/>
  <c r="F676" i="5"/>
  <c r="I676" i="5"/>
  <c r="A677" i="5"/>
  <c r="F677" i="5"/>
  <c r="I677" i="5"/>
  <c r="A678" i="5"/>
  <c r="F678" i="5"/>
  <c r="I678" i="5"/>
  <c r="A679" i="5"/>
  <c r="F679" i="5"/>
  <c r="I679" i="5"/>
  <c r="A680" i="5"/>
  <c r="F680" i="5"/>
  <c r="I680" i="5"/>
  <c r="A681" i="5"/>
  <c r="F681" i="5"/>
  <c r="I681" i="5"/>
  <c r="A682" i="5"/>
  <c r="F682" i="5"/>
  <c r="I682" i="5"/>
  <c r="A683" i="5"/>
  <c r="F683" i="5"/>
  <c r="I683" i="5"/>
  <c r="A684" i="5"/>
  <c r="F684" i="5"/>
  <c r="H684" i="5"/>
  <c r="I684" i="5"/>
  <c r="A685" i="5"/>
  <c r="F685" i="5"/>
  <c r="H685" i="5"/>
  <c r="I685" i="5"/>
  <c r="A686" i="5"/>
  <c r="F686" i="5"/>
  <c r="I686" i="5"/>
  <c r="A687" i="5"/>
  <c r="F687" i="5"/>
  <c r="I687" i="5"/>
  <c r="A688" i="5"/>
  <c r="F688" i="5"/>
  <c r="I688" i="5"/>
  <c r="A689" i="5"/>
  <c r="F689" i="5"/>
  <c r="I689" i="5"/>
  <c r="A690" i="5"/>
  <c r="F690" i="5"/>
  <c r="I690" i="5"/>
  <c r="A691" i="5"/>
  <c r="F691" i="5"/>
  <c r="I691" i="5"/>
  <c r="A692" i="5"/>
  <c r="F692" i="5"/>
  <c r="H692" i="5"/>
  <c r="I692" i="5"/>
  <c r="A693" i="5"/>
  <c r="F693" i="5"/>
  <c r="H693" i="5"/>
  <c r="I693" i="5"/>
  <c r="A694" i="5"/>
  <c r="F694" i="5"/>
  <c r="I694" i="5"/>
  <c r="A695" i="5"/>
  <c r="F695" i="5"/>
  <c r="H695" i="5"/>
  <c r="I695" i="5"/>
  <c r="A696" i="5"/>
  <c r="F696" i="5"/>
  <c r="H696" i="5"/>
  <c r="I696" i="5"/>
  <c r="A697" i="5"/>
  <c r="F697" i="5"/>
  <c r="I697" i="5"/>
  <c r="A698" i="5"/>
  <c r="F698" i="5"/>
  <c r="I698" i="5"/>
  <c r="A699" i="5"/>
  <c r="F699" i="5"/>
  <c r="H699" i="5"/>
  <c r="I699" i="5"/>
  <c r="A700" i="5"/>
  <c r="F700" i="5"/>
  <c r="I700" i="5"/>
  <c r="A701" i="5"/>
  <c r="F701" i="5"/>
  <c r="H701" i="5"/>
  <c r="I701" i="5"/>
  <c r="A702" i="5"/>
  <c r="F702" i="5"/>
  <c r="I702" i="5"/>
  <c r="A703" i="5"/>
  <c r="F703" i="5"/>
  <c r="I703" i="5"/>
  <c r="A704" i="5"/>
  <c r="F704" i="5"/>
  <c r="I704" i="5"/>
  <c r="A705" i="5"/>
  <c r="F705" i="5"/>
  <c r="H705" i="5"/>
  <c r="I705" i="5"/>
  <c r="A706" i="5"/>
  <c r="F706" i="5"/>
  <c r="I706" i="5"/>
  <c r="A707" i="5"/>
  <c r="F707" i="5"/>
  <c r="H707" i="5"/>
  <c r="I707" i="5"/>
  <c r="A708" i="5"/>
  <c r="F708" i="5"/>
  <c r="I708" i="5"/>
  <c r="A709" i="5"/>
  <c r="F709" i="5"/>
  <c r="I709" i="5"/>
  <c r="A710" i="5"/>
  <c r="F710" i="5"/>
  <c r="H710" i="5"/>
  <c r="I710" i="5"/>
  <c r="A711" i="5"/>
  <c r="F711" i="5"/>
  <c r="I711" i="5"/>
  <c r="A712" i="5"/>
  <c r="F712" i="5"/>
  <c r="I712" i="5"/>
  <c r="A713" i="5"/>
  <c r="F713" i="5"/>
  <c r="H713" i="5"/>
  <c r="I713" i="5"/>
  <c r="A714" i="5"/>
  <c r="F714" i="5"/>
  <c r="I714" i="5"/>
  <c r="A715" i="5"/>
  <c r="F715" i="5"/>
  <c r="I715" i="5"/>
  <c r="A716" i="5"/>
  <c r="F716" i="5"/>
  <c r="I716" i="5"/>
  <c r="A717" i="5"/>
  <c r="F717" i="5"/>
  <c r="I717" i="5"/>
  <c r="A718" i="5"/>
  <c r="F718" i="5"/>
  <c r="I718" i="5"/>
  <c r="A719" i="5"/>
  <c r="F719" i="5"/>
  <c r="I719" i="5"/>
  <c r="A720" i="5"/>
  <c r="F720" i="5"/>
  <c r="H720" i="5"/>
  <c r="I720" i="5"/>
  <c r="A721" i="5"/>
  <c r="F721" i="5"/>
  <c r="I721" i="5"/>
  <c r="A722" i="5"/>
  <c r="F722" i="5"/>
  <c r="I722" i="5"/>
  <c r="A723" i="5"/>
  <c r="F723" i="5"/>
  <c r="I723" i="5"/>
  <c r="A724" i="5"/>
  <c r="F724" i="5"/>
  <c r="H724" i="5"/>
  <c r="I724" i="5"/>
  <c r="A725" i="5"/>
  <c r="F725" i="5"/>
  <c r="I725" i="5"/>
  <c r="A726" i="5"/>
  <c r="F726" i="5"/>
  <c r="I726" i="5"/>
  <c r="A727" i="5"/>
  <c r="F727" i="5"/>
  <c r="I727" i="5"/>
  <c r="A728" i="5"/>
  <c r="F728" i="5"/>
  <c r="I728" i="5"/>
  <c r="A729" i="5"/>
  <c r="F729" i="5"/>
  <c r="I729" i="5"/>
  <c r="A730" i="5"/>
  <c r="F730" i="5"/>
  <c r="I730" i="5"/>
  <c r="A731" i="5"/>
  <c r="F731" i="5"/>
  <c r="I731" i="5"/>
  <c r="A732" i="5"/>
  <c r="F732" i="5"/>
  <c r="I732" i="5"/>
  <c r="A733" i="5"/>
  <c r="F733" i="5"/>
  <c r="I733" i="5"/>
  <c r="A734" i="5"/>
  <c r="F734" i="5"/>
  <c r="I734" i="5"/>
  <c r="A735" i="5"/>
  <c r="F735" i="5"/>
  <c r="I735" i="5"/>
  <c r="A736" i="5"/>
  <c r="F736" i="5"/>
  <c r="H736" i="5"/>
  <c r="I736" i="5"/>
  <c r="A737" i="5"/>
  <c r="F737" i="5"/>
  <c r="I737" i="5"/>
  <c r="A738" i="5"/>
  <c r="F738" i="5"/>
  <c r="I738" i="5"/>
  <c r="A739" i="5"/>
  <c r="F739" i="5"/>
  <c r="H739" i="5"/>
  <c r="I739" i="5"/>
  <c r="A740" i="5"/>
  <c r="F740" i="5"/>
  <c r="I740" i="5"/>
  <c r="A741" i="5"/>
  <c r="F741" i="5"/>
  <c r="I741" i="5"/>
  <c r="A742" i="5"/>
  <c r="F742" i="5"/>
  <c r="I742" i="5"/>
  <c r="A743" i="5"/>
  <c r="F743" i="5"/>
  <c r="I743" i="5"/>
  <c r="A744" i="5"/>
  <c r="F744" i="5"/>
  <c r="I744" i="5"/>
  <c r="A745" i="5"/>
  <c r="F745" i="5"/>
  <c r="I745" i="5"/>
  <c r="A746" i="5"/>
  <c r="F746" i="5"/>
  <c r="I746" i="5"/>
  <c r="A747" i="5"/>
  <c r="F747" i="5"/>
  <c r="I747" i="5"/>
  <c r="A748" i="5"/>
  <c r="F748" i="5"/>
  <c r="I748" i="5"/>
  <c r="A749" i="5"/>
  <c r="F749" i="5"/>
  <c r="I749" i="5"/>
  <c r="A750" i="5"/>
  <c r="F750" i="5"/>
  <c r="H750" i="5"/>
  <c r="I750" i="5"/>
  <c r="A751" i="5"/>
  <c r="F751" i="5"/>
  <c r="I751" i="5"/>
  <c r="A752" i="5"/>
  <c r="F752" i="5"/>
  <c r="I752" i="5"/>
  <c r="A753" i="5"/>
  <c r="F753" i="5"/>
  <c r="I753" i="5"/>
  <c r="A754" i="5"/>
  <c r="F754" i="5"/>
  <c r="I754" i="5"/>
  <c r="A755" i="5"/>
  <c r="F755" i="5"/>
  <c r="I755" i="5"/>
  <c r="A756" i="5"/>
  <c r="F756" i="5"/>
  <c r="I756" i="5"/>
  <c r="A757" i="5"/>
  <c r="F757" i="5"/>
  <c r="I757" i="5"/>
  <c r="A758" i="5"/>
  <c r="F758" i="5"/>
  <c r="I758" i="5"/>
  <c r="A759" i="5"/>
  <c r="F759" i="5"/>
  <c r="I759" i="5"/>
  <c r="A760" i="5"/>
  <c r="F760" i="5"/>
  <c r="I760" i="5"/>
  <c r="A761" i="5"/>
  <c r="F761" i="5"/>
  <c r="I761" i="5"/>
  <c r="A762" i="5"/>
  <c r="F762" i="5"/>
  <c r="I762" i="5"/>
  <c r="A763" i="5"/>
  <c r="F763" i="5"/>
  <c r="H763" i="5"/>
  <c r="I763" i="5"/>
  <c r="A764" i="5"/>
  <c r="F764" i="5"/>
  <c r="I764" i="5"/>
  <c r="A765" i="5"/>
  <c r="F765" i="5"/>
  <c r="I765" i="5"/>
  <c r="A766" i="5"/>
  <c r="F766" i="5"/>
  <c r="H766" i="5"/>
  <c r="I766" i="5"/>
  <c r="A767" i="5"/>
  <c r="F767" i="5"/>
  <c r="I767" i="5"/>
  <c r="A768" i="5"/>
  <c r="F768" i="5"/>
  <c r="I768" i="5"/>
  <c r="A769" i="5"/>
  <c r="F769" i="5"/>
  <c r="I769" i="5"/>
  <c r="A770" i="5"/>
  <c r="F770" i="5"/>
  <c r="I770" i="5"/>
  <c r="A771" i="5"/>
  <c r="F771" i="5"/>
  <c r="I771" i="5"/>
  <c r="A772" i="5"/>
  <c r="F772" i="5"/>
  <c r="I772" i="5"/>
  <c r="A773" i="5"/>
  <c r="F773" i="5"/>
  <c r="I773" i="5"/>
  <c r="A774" i="5"/>
  <c r="F774" i="5"/>
  <c r="I774" i="5"/>
  <c r="A775" i="5"/>
  <c r="F775" i="5"/>
  <c r="I775" i="5"/>
  <c r="A776" i="5"/>
  <c r="F776" i="5"/>
  <c r="I776" i="5"/>
  <c r="A777" i="5"/>
  <c r="F777" i="5"/>
  <c r="I777" i="5"/>
  <c r="A778" i="5"/>
  <c r="F778" i="5"/>
  <c r="H778" i="5"/>
  <c r="I778" i="5"/>
  <c r="A779" i="5"/>
  <c r="F779" i="5"/>
  <c r="I779" i="5"/>
  <c r="A780" i="5"/>
  <c r="F780" i="5"/>
  <c r="I780" i="5"/>
  <c r="A781" i="5"/>
  <c r="F781" i="5"/>
  <c r="I781" i="5"/>
  <c r="A782" i="5"/>
  <c r="F782" i="5"/>
  <c r="I782" i="5"/>
  <c r="A783" i="5"/>
  <c r="F783" i="5"/>
  <c r="I783" i="5"/>
  <c r="A784" i="5"/>
  <c r="F784" i="5"/>
  <c r="I784" i="5"/>
  <c r="A785" i="5"/>
  <c r="F785" i="5"/>
  <c r="I785" i="5"/>
  <c r="A786" i="5"/>
  <c r="F786" i="5"/>
  <c r="I786" i="5"/>
  <c r="A787" i="5"/>
  <c r="F787" i="5"/>
  <c r="I787" i="5"/>
  <c r="A788" i="5"/>
  <c r="F788" i="5"/>
  <c r="I788" i="5"/>
  <c r="A789" i="5"/>
  <c r="F789" i="5"/>
  <c r="I789" i="5"/>
  <c r="A790" i="5"/>
  <c r="F790" i="5"/>
  <c r="I790" i="5"/>
  <c r="A791" i="5"/>
  <c r="F791" i="5"/>
  <c r="I791" i="5"/>
  <c r="A792" i="5"/>
  <c r="F792" i="5"/>
  <c r="H792" i="5"/>
  <c r="I792" i="5"/>
  <c r="A793" i="5"/>
  <c r="F793" i="5"/>
  <c r="I793" i="5"/>
  <c r="A794" i="5"/>
  <c r="F794" i="5"/>
  <c r="H794" i="5"/>
  <c r="I794" i="5"/>
  <c r="A795" i="5"/>
  <c r="F795" i="5"/>
  <c r="I795" i="5"/>
  <c r="A796" i="5"/>
  <c r="F796" i="5"/>
  <c r="I796" i="5"/>
  <c r="A797" i="5"/>
  <c r="F797" i="5"/>
  <c r="I797" i="5"/>
  <c r="A798" i="5"/>
  <c r="F798" i="5"/>
  <c r="I798" i="5"/>
  <c r="A799" i="5"/>
  <c r="F799" i="5"/>
  <c r="I799" i="5"/>
  <c r="A800" i="5"/>
  <c r="F800" i="5"/>
  <c r="I800" i="5"/>
  <c r="A801" i="5"/>
  <c r="F801" i="5"/>
  <c r="I801" i="5"/>
  <c r="A802" i="5"/>
  <c r="F802" i="5"/>
  <c r="I802" i="5"/>
  <c r="A803" i="5"/>
  <c r="F803" i="5"/>
  <c r="H803" i="5"/>
  <c r="I803" i="5"/>
  <c r="A804" i="5"/>
  <c r="F804" i="5"/>
  <c r="I804" i="5"/>
  <c r="A805" i="5"/>
  <c r="F805" i="5"/>
  <c r="I805" i="5"/>
  <c r="A806" i="5"/>
  <c r="F806" i="5"/>
  <c r="I806" i="5"/>
  <c r="A807" i="5"/>
  <c r="F807" i="5"/>
  <c r="I807" i="5"/>
  <c r="A808" i="5"/>
  <c r="F808" i="5"/>
  <c r="I808" i="5"/>
  <c r="A809" i="5"/>
  <c r="F809" i="5"/>
  <c r="I809" i="5"/>
  <c r="A810" i="5"/>
  <c r="F810" i="5"/>
  <c r="I810" i="5"/>
  <c r="A811" i="5"/>
  <c r="F811" i="5"/>
  <c r="I811" i="5"/>
  <c r="A812" i="5"/>
  <c r="F812" i="5"/>
  <c r="I812" i="5"/>
  <c r="A813" i="5"/>
  <c r="F813" i="5"/>
  <c r="I813" i="5"/>
  <c r="A814" i="5"/>
  <c r="F814" i="5"/>
  <c r="I814" i="5"/>
  <c r="A815" i="5"/>
  <c r="F815" i="5"/>
  <c r="H815" i="5"/>
  <c r="I815" i="5"/>
  <c r="A816" i="5"/>
  <c r="F816" i="5"/>
  <c r="I816" i="5"/>
  <c r="A817" i="5"/>
  <c r="F817" i="5"/>
  <c r="I817" i="5"/>
  <c r="A818" i="5"/>
  <c r="F818" i="5"/>
  <c r="I818" i="5"/>
  <c r="A819" i="5"/>
  <c r="F819" i="5"/>
  <c r="I819" i="5"/>
  <c r="A820" i="5"/>
  <c r="F820" i="5"/>
  <c r="I820" i="5"/>
  <c r="A821" i="5"/>
  <c r="F821" i="5"/>
  <c r="I821" i="5"/>
  <c r="A822" i="5"/>
  <c r="F822" i="5"/>
  <c r="H822" i="5"/>
  <c r="I822" i="5"/>
  <c r="A823" i="5"/>
  <c r="F823" i="5"/>
  <c r="I823" i="5"/>
  <c r="A824" i="5"/>
  <c r="F824" i="5"/>
  <c r="I824" i="5"/>
  <c r="A825" i="5"/>
  <c r="F825" i="5"/>
  <c r="H825" i="5"/>
  <c r="I825" i="5"/>
  <c r="A826" i="5"/>
  <c r="F826" i="5"/>
  <c r="I826" i="5"/>
  <c r="A827" i="5"/>
  <c r="F827" i="5"/>
  <c r="I827" i="5"/>
  <c r="A828" i="5"/>
  <c r="F828" i="5"/>
  <c r="I828" i="5"/>
  <c r="A829" i="5"/>
  <c r="F829" i="5"/>
  <c r="I829" i="5"/>
  <c r="A830" i="5"/>
  <c r="F830" i="5"/>
  <c r="I830" i="5"/>
  <c r="A831" i="5"/>
  <c r="F831" i="5"/>
  <c r="I831" i="5"/>
  <c r="A832" i="5"/>
  <c r="F832" i="5"/>
  <c r="H832" i="5"/>
  <c r="I832" i="5"/>
  <c r="A833" i="5"/>
  <c r="F833" i="5"/>
  <c r="H833" i="5"/>
  <c r="I833" i="5"/>
  <c r="A834" i="5"/>
  <c r="F834" i="5"/>
  <c r="I834" i="5"/>
  <c r="A835" i="5"/>
  <c r="F835" i="5"/>
  <c r="I835" i="5"/>
  <c r="A836" i="5"/>
  <c r="F836" i="5"/>
  <c r="I836" i="5"/>
  <c r="A837" i="5"/>
  <c r="F837" i="5"/>
  <c r="H837" i="5"/>
  <c r="I837" i="5"/>
  <c r="A838" i="5"/>
  <c r="F838" i="5"/>
  <c r="I838" i="5"/>
  <c r="A839" i="5"/>
  <c r="F839" i="5"/>
  <c r="I839" i="5"/>
  <c r="A840" i="5"/>
  <c r="F840" i="5"/>
  <c r="I840" i="5"/>
  <c r="A841" i="5"/>
  <c r="F841" i="5"/>
  <c r="H841" i="5"/>
  <c r="I841" i="5"/>
  <c r="A842" i="5"/>
  <c r="F842" i="5"/>
  <c r="I842" i="5"/>
  <c r="A843" i="5"/>
  <c r="F843" i="5"/>
  <c r="I843" i="5"/>
  <c r="A844" i="5"/>
  <c r="F844" i="5"/>
  <c r="H844" i="5"/>
  <c r="I844" i="5"/>
  <c r="A845" i="5"/>
  <c r="F845" i="5"/>
  <c r="I845" i="5"/>
  <c r="A846" i="5"/>
  <c r="F846" i="5"/>
  <c r="H846" i="5"/>
  <c r="I846" i="5"/>
  <c r="A847" i="5"/>
  <c r="F847" i="5"/>
  <c r="I847" i="5"/>
  <c r="A848" i="5"/>
  <c r="F848" i="5"/>
  <c r="I848" i="5"/>
  <c r="A849" i="5"/>
  <c r="F849" i="5"/>
  <c r="I849" i="5"/>
  <c r="A850" i="5"/>
  <c r="F850" i="5"/>
  <c r="I850" i="5"/>
  <c r="A851" i="5"/>
  <c r="F851" i="5"/>
  <c r="I851" i="5"/>
  <c r="A852" i="5"/>
  <c r="F852" i="5"/>
  <c r="H852" i="5"/>
  <c r="I852" i="5"/>
  <c r="A853" i="5"/>
  <c r="F853" i="5"/>
  <c r="I853" i="5"/>
  <c r="A854" i="5"/>
  <c r="F854" i="5"/>
  <c r="I854" i="5"/>
  <c r="A855" i="5"/>
  <c r="F855" i="5"/>
  <c r="I855" i="5"/>
  <c r="A856" i="5"/>
  <c r="F856" i="5"/>
  <c r="I856" i="5"/>
  <c r="A857" i="5"/>
  <c r="F857" i="5"/>
  <c r="I857" i="5"/>
  <c r="A858" i="5"/>
  <c r="F858" i="5"/>
  <c r="I858" i="5"/>
  <c r="A859" i="5"/>
  <c r="F859" i="5"/>
  <c r="I859" i="5"/>
  <c r="A860" i="5"/>
  <c r="F860" i="5"/>
  <c r="I860" i="5"/>
  <c r="A861" i="5"/>
  <c r="F861" i="5"/>
  <c r="I861" i="5"/>
  <c r="A862" i="5"/>
  <c r="F862" i="5"/>
  <c r="I862" i="5"/>
  <c r="A863" i="5"/>
  <c r="F863" i="5"/>
  <c r="I863" i="5"/>
  <c r="A864" i="5"/>
  <c r="F864" i="5"/>
  <c r="I864" i="5"/>
  <c r="A865" i="5"/>
  <c r="F865" i="5"/>
  <c r="I865" i="5"/>
  <c r="A866" i="5"/>
  <c r="F866" i="5"/>
  <c r="I866" i="5"/>
  <c r="A867" i="5"/>
  <c r="F867" i="5"/>
  <c r="H867" i="5"/>
  <c r="I867" i="5"/>
  <c r="A868" i="5"/>
  <c r="F868" i="5"/>
  <c r="I868" i="5"/>
  <c r="A869" i="5"/>
  <c r="F869" i="5"/>
  <c r="I869" i="5"/>
  <c r="A870" i="5"/>
  <c r="F870" i="5"/>
  <c r="I870" i="5"/>
  <c r="A871" i="5"/>
  <c r="F871" i="5"/>
  <c r="I871" i="5"/>
  <c r="A872" i="5"/>
  <c r="F872" i="5"/>
  <c r="H872" i="5"/>
  <c r="I872" i="5"/>
  <c r="A873" i="5"/>
  <c r="F873" i="5"/>
  <c r="I873" i="5"/>
  <c r="A874" i="5"/>
  <c r="F874" i="5"/>
  <c r="I874" i="5"/>
  <c r="A875" i="5"/>
  <c r="F875" i="5"/>
  <c r="I875" i="5"/>
  <c r="A876" i="5"/>
  <c r="F876" i="5"/>
  <c r="I876" i="5"/>
  <c r="A877" i="5"/>
  <c r="F877" i="5"/>
  <c r="I877" i="5"/>
  <c r="A878" i="5"/>
  <c r="F878" i="5"/>
  <c r="I878" i="5"/>
  <c r="A879" i="5"/>
  <c r="F879" i="5"/>
  <c r="I879" i="5"/>
  <c r="A880" i="5"/>
  <c r="F880" i="5"/>
  <c r="I880" i="5"/>
  <c r="A881" i="5"/>
  <c r="F881" i="5"/>
  <c r="I881" i="5"/>
  <c r="A882" i="5"/>
  <c r="F882" i="5"/>
  <c r="H882" i="5"/>
  <c r="I882" i="5"/>
  <c r="A883" i="5"/>
  <c r="F883" i="5"/>
  <c r="I883" i="5"/>
  <c r="A884" i="5"/>
  <c r="F884" i="5"/>
  <c r="I884" i="5"/>
  <c r="A885" i="5"/>
  <c r="F885" i="5"/>
  <c r="I885" i="5"/>
  <c r="A886" i="5"/>
  <c r="F886" i="5"/>
  <c r="I886" i="5"/>
  <c r="A887" i="5"/>
  <c r="F887" i="5"/>
  <c r="I887" i="5"/>
  <c r="A888" i="5"/>
  <c r="F888" i="5"/>
  <c r="I888" i="5"/>
  <c r="A889" i="5"/>
  <c r="F889" i="5"/>
  <c r="I889" i="5"/>
  <c r="A890" i="5"/>
  <c r="F890" i="5"/>
  <c r="I890" i="5"/>
  <c r="A891" i="5"/>
  <c r="F891" i="5"/>
  <c r="I891" i="5"/>
  <c r="A892" i="5"/>
  <c r="F892" i="5"/>
  <c r="H892" i="5"/>
  <c r="I892" i="5"/>
  <c r="A893" i="5"/>
  <c r="F893" i="5"/>
  <c r="I893" i="5"/>
  <c r="A894" i="5"/>
  <c r="F894" i="5"/>
  <c r="I894" i="5"/>
  <c r="A895" i="5"/>
  <c r="F895" i="5"/>
  <c r="I895" i="5"/>
  <c r="A896" i="5"/>
  <c r="F896" i="5"/>
  <c r="I896" i="5"/>
  <c r="A897" i="5"/>
  <c r="F897" i="5"/>
  <c r="H897" i="5"/>
  <c r="I897" i="5"/>
  <c r="A898" i="5"/>
  <c r="F898" i="5"/>
  <c r="H898" i="5"/>
  <c r="I898" i="5"/>
  <c r="A899" i="5"/>
  <c r="F899" i="5"/>
  <c r="I899" i="5"/>
  <c r="A900" i="5"/>
  <c r="F900" i="5"/>
  <c r="I900" i="5"/>
  <c r="A901" i="5"/>
  <c r="F901" i="5"/>
  <c r="I901" i="5"/>
  <c r="A902" i="5"/>
  <c r="F902" i="5"/>
  <c r="I902" i="5"/>
  <c r="A903" i="5"/>
  <c r="F903" i="5"/>
  <c r="H903" i="5"/>
  <c r="I903" i="5"/>
  <c r="A904" i="5"/>
  <c r="F904" i="5"/>
  <c r="I904" i="5"/>
  <c r="A905" i="5"/>
  <c r="F905" i="5"/>
  <c r="I905" i="5"/>
  <c r="A906" i="5"/>
  <c r="F906" i="5"/>
  <c r="I906" i="5"/>
  <c r="A907" i="5"/>
  <c r="F907" i="5"/>
  <c r="I907" i="5"/>
  <c r="A908" i="5"/>
  <c r="F908" i="5"/>
  <c r="I908" i="5"/>
  <c r="A909" i="5"/>
  <c r="F909" i="5"/>
  <c r="I909" i="5"/>
  <c r="A910" i="5"/>
  <c r="F910" i="5"/>
  <c r="I910" i="5"/>
  <c r="A911" i="5"/>
  <c r="F911" i="5"/>
  <c r="I911" i="5"/>
  <c r="A912" i="5"/>
  <c r="F912" i="5"/>
  <c r="H912" i="5"/>
  <c r="I912" i="5"/>
  <c r="A913" i="5"/>
  <c r="F913" i="5"/>
  <c r="I913" i="5"/>
  <c r="A914" i="5"/>
  <c r="F914" i="5"/>
  <c r="I914" i="5"/>
  <c r="A915" i="5"/>
  <c r="F915" i="5"/>
  <c r="I915" i="5"/>
  <c r="A916" i="5"/>
  <c r="F916" i="5"/>
  <c r="I916" i="5"/>
  <c r="A917" i="5"/>
  <c r="F917" i="5"/>
  <c r="I917" i="5"/>
  <c r="A918" i="5"/>
  <c r="F918" i="5"/>
  <c r="I918" i="5"/>
  <c r="A919" i="5"/>
  <c r="F919" i="5"/>
  <c r="H919" i="5"/>
  <c r="I919" i="5"/>
  <c r="A920" i="5"/>
  <c r="F920" i="5"/>
  <c r="I920" i="5"/>
  <c r="A921" i="5"/>
  <c r="F921" i="5"/>
  <c r="I921" i="5"/>
  <c r="A922" i="5"/>
  <c r="F922" i="5"/>
  <c r="I922" i="5"/>
  <c r="A923" i="5"/>
  <c r="F923" i="5"/>
  <c r="I923" i="5"/>
  <c r="A924" i="5"/>
  <c r="F924" i="5"/>
  <c r="H924" i="5"/>
  <c r="I924" i="5"/>
  <c r="A925" i="5"/>
  <c r="F925" i="5"/>
  <c r="I925" i="5"/>
  <c r="A926" i="5"/>
  <c r="F926" i="5"/>
  <c r="I926" i="5"/>
  <c r="A927" i="5"/>
  <c r="F927" i="5"/>
  <c r="I927" i="5"/>
  <c r="A928" i="5"/>
  <c r="F928" i="5"/>
  <c r="I928" i="5"/>
  <c r="A929" i="5"/>
  <c r="F929" i="5"/>
  <c r="I929" i="5"/>
  <c r="A930" i="5"/>
  <c r="F930" i="5"/>
  <c r="I930" i="5"/>
  <c r="A931" i="5"/>
  <c r="F931" i="5"/>
  <c r="H931" i="5"/>
  <c r="I931" i="5"/>
  <c r="A932" i="5"/>
  <c r="F932" i="5"/>
  <c r="H932" i="5"/>
  <c r="I932" i="5"/>
  <c r="A933" i="5"/>
  <c r="F933" i="5"/>
  <c r="I933" i="5"/>
  <c r="A934" i="5"/>
  <c r="F934" i="5"/>
  <c r="I934" i="5"/>
  <c r="A935" i="5"/>
  <c r="F935" i="5"/>
  <c r="I935" i="5"/>
  <c r="A936" i="5"/>
  <c r="F936" i="5"/>
  <c r="I936" i="5"/>
  <c r="A937" i="5"/>
  <c r="F937" i="5"/>
  <c r="I937" i="5"/>
  <c r="A938" i="5"/>
  <c r="F938" i="5"/>
  <c r="I938" i="5"/>
  <c r="A939" i="5"/>
  <c r="F939" i="5"/>
  <c r="I939" i="5"/>
  <c r="A940" i="5"/>
  <c r="F940" i="5"/>
  <c r="I940" i="5"/>
  <c r="A941" i="5"/>
  <c r="F941" i="5"/>
  <c r="I941" i="5"/>
  <c r="A942" i="5"/>
  <c r="F942" i="5"/>
  <c r="I942" i="5"/>
  <c r="A943" i="5"/>
  <c r="F943" i="5"/>
  <c r="H943" i="5"/>
  <c r="I943" i="5"/>
  <c r="A944" i="5"/>
  <c r="F944" i="5"/>
  <c r="I944" i="5"/>
  <c r="A945" i="5"/>
  <c r="F945" i="5"/>
  <c r="I945" i="5"/>
  <c r="A946" i="5"/>
  <c r="F946" i="5"/>
  <c r="H946" i="5"/>
  <c r="I946" i="5"/>
  <c r="A947" i="5"/>
  <c r="F947" i="5"/>
  <c r="I947" i="5"/>
  <c r="A948" i="5"/>
  <c r="F948" i="5"/>
  <c r="I948" i="5"/>
  <c r="A949" i="5"/>
  <c r="F949" i="5"/>
  <c r="H949" i="5"/>
  <c r="I949" i="5"/>
  <c r="A950" i="5"/>
  <c r="F950" i="5"/>
  <c r="I950" i="5"/>
  <c r="A951" i="5"/>
  <c r="F951" i="5"/>
  <c r="I951" i="5"/>
  <c r="A952" i="5"/>
  <c r="F952" i="5"/>
  <c r="I952" i="5"/>
  <c r="A953" i="5"/>
  <c r="F953" i="5"/>
  <c r="I953" i="5"/>
  <c r="A954" i="5"/>
  <c r="F954" i="5"/>
  <c r="I954" i="5"/>
  <c r="A955" i="5"/>
  <c r="F955" i="5"/>
  <c r="I955" i="5"/>
  <c r="A956" i="5"/>
  <c r="F956" i="5"/>
  <c r="I956" i="5"/>
  <c r="A957" i="5"/>
  <c r="F957" i="5"/>
  <c r="I957" i="5"/>
  <c r="A958" i="5"/>
  <c r="F958" i="5"/>
  <c r="I958" i="5"/>
  <c r="A959" i="5"/>
  <c r="F959" i="5"/>
  <c r="I959" i="5"/>
  <c r="A960" i="5"/>
  <c r="F960" i="5"/>
  <c r="I960" i="5"/>
  <c r="A961" i="5"/>
  <c r="F961" i="5"/>
  <c r="I961" i="5"/>
  <c r="A962" i="5"/>
  <c r="F962" i="5"/>
  <c r="I962" i="5"/>
  <c r="A963" i="5"/>
  <c r="F963" i="5"/>
  <c r="I963" i="5"/>
  <c r="A964" i="5"/>
  <c r="F964" i="5"/>
  <c r="I964" i="5"/>
  <c r="A965" i="5"/>
  <c r="F965" i="5"/>
  <c r="I965" i="5"/>
  <c r="A966" i="5"/>
  <c r="F966" i="5"/>
  <c r="I966" i="5"/>
  <c r="A967" i="5"/>
  <c r="F967" i="5"/>
  <c r="I967" i="5"/>
  <c r="A968" i="5"/>
  <c r="F968" i="5"/>
  <c r="I968" i="5"/>
  <c r="A969" i="5"/>
  <c r="F969" i="5"/>
  <c r="I969" i="5"/>
  <c r="A970" i="5"/>
  <c r="F970" i="5"/>
  <c r="I970" i="5"/>
  <c r="A971" i="5"/>
  <c r="F971" i="5"/>
  <c r="I971" i="5"/>
  <c r="A972" i="5"/>
  <c r="F972" i="5"/>
  <c r="I972" i="5"/>
  <c r="A973" i="5"/>
  <c r="F973" i="5"/>
  <c r="I973" i="5"/>
  <c r="A974" i="5"/>
  <c r="F974" i="5"/>
  <c r="I974" i="5"/>
  <c r="A975" i="5"/>
  <c r="F975" i="5"/>
  <c r="I975" i="5"/>
  <c r="A976" i="5"/>
  <c r="F976" i="5"/>
  <c r="I976" i="5"/>
  <c r="A977" i="5"/>
  <c r="F977" i="5"/>
  <c r="I977" i="5"/>
  <c r="A978" i="5"/>
  <c r="F978" i="5"/>
  <c r="I978" i="5"/>
  <c r="A979" i="5"/>
  <c r="F979" i="5"/>
  <c r="I979" i="5"/>
  <c r="A980" i="5"/>
  <c r="F980" i="5"/>
  <c r="I980" i="5"/>
  <c r="A981" i="5"/>
  <c r="F981" i="5"/>
  <c r="I981" i="5"/>
  <c r="A982" i="5"/>
  <c r="F982" i="5"/>
  <c r="I982" i="5"/>
  <c r="A983" i="5"/>
  <c r="F983" i="5"/>
  <c r="I983" i="5"/>
  <c r="A984" i="5"/>
  <c r="F984" i="5"/>
  <c r="I984" i="5"/>
  <c r="A985" i="5"/>
  <c r="F985" i="5"/>
  <c r="I985" i="5"/>
  <c r="A986" i="5"/>
  <c r="F986" i="5"/>
  <c r="I986" i="5"/>
  <c r="A987" i="5"/>
  <c r="F987" i="5"/>
  <c r="I987" i="5"/>
  <c r="A988" i="5"/>
  <c r="F988" i="5"/>
  <c r="I988" i="5"/>
  <c r="A989" i="5"/>
  <c r="F989" i="5"/>
  <c r="I989" i="5"/>
  <c r="A990" i="5"/>
  <c r="F990" i="5"/>
  <c r="I990" i="5"/>
  <c r="A991" i="5"/>
  <c r="F991" i="5"/>
  <c r="I991" i="5"/>
  <c r="A992" i="5"/>
  <c r="F992" i="5"/>
  <c r="I992" i="5"/>
  <c r="A993" i="5"/>
  <c r="F993" i="5"/>
  <c r="I993" i="5"/>
  <c r="A994" i="5"/>
  <c r="F994" i="5"/>
  <c r="I994" i="5"/>
  <c r="A995" i="5"/>
  <c r="F995" i="5"/>
  <c r="I995" i="5"/>
  <c r="A996" i="5"/>
  <c r="F996" i="5"/>
  <c r="I996" i="5"/>
  <c r="A997" i="5"/>
  <c r="F997" i="5"/>
  <c r="I997" i="5"/>
  <c r="A998" i="5"/>
  <c r="F998" i="5"/>
  <c r="I998" i="5"/>
  <c r="A999" i="5"/>
  <c r="F999" i="5"/>
  <c r="I999" i="5"/>
  <c r="A1000" i="5"/>
  <c r="F1000" i="5"/>
  <c r="I1000" i="5"/>
  <c r="A1001" i="5"/>
  <c r="F1001" i="5"/>
  <c r="I1001" i="5"/>
  <c r="A1002" i="5"/>
  <c r="F1002" i="5"/>
  <c r="I1002" i="5"/>
  <c r="A1003" i="5"/>
  <c r="F1003" i="5"/>
  <c r="I1003" i="5"/>
  <c r="A1004" i="5"/>
  <c r="F1004" i="5"/>
  <c r="I1004" i="5"/>
  <c r="A1005" i="5"/>
  <c r="F1005" i="5"/>
  <c r="I1005" i="5"/>
  <c r="A1006" i="5"/>
  <c r="F1006" i="5"/>
  <c r="I1006" i="5"/>
  <c r="A1007" i="5"/>
  <c r="F1007" i="5"/>
  <c r="I1007" i="5"/>
  <c r="A1008" i="5"/>
  <c r="F1008" i="5"/>
  <c r="I1008" i="5"/>
  <c r="A1009" i="5"/>
  <c r="F1009" i="5"/>
  <c r="I1009" i="5"/>
  <c r="A1010" i="5"/>
  <c r="F1010" i="5"/>
  <c r="I1010" i="5"/>
  <c r="A1011" i="5"/>
  <c r="F1011" i="5"/>
  <c r="I1011" i="5"/>
  <c r="A1012" i="5"/>
  <c r="F1012" i="5"/>
  <c r="I1012" i="5"/>
  <c r="A1013" i="5"/>
  <c r="F1013" i="5"/>
  <c r="I1013" i="5"/>
  <c r="A1014" i="5"/>
  <c r="F1014" i="5"/>
  <c r="I1014" i="5"/>
  <c r="A1015" i="5"/>
  <c r="F1015" i="5"/>
  <c r="I1015" i="5"/>
  <c r="A1016" i="5"/>
  <c r="F1016" i="5"/>
  <c r="I1016" i="5"/>
  <c r="A1017" i="5"/>
  <c r="F1017" i="5"/>
  <c r="I1017" i="5"/>
  <c r="A1018" i="5"/>
  <c r="F1018" i="5"/>
  <c r="H1018" i="5"/>
  <c r="I1018" i="5"/>
  <c r="A1019" i="5"/>
  <c r="F1019" i="5"/>
  <c r="I1019" i="5"/>
  <c r="A1020" i="5"/>
  <c r="F1020" i="5"/>
  <c r="I1020" i="5"/>
  <c r="A1021" i="5"/>
  <c r="F1021" i="5"/>
  <c r="I1021" i="5"/>
  <c r="A1022" i="5"/>
  <c r="F1022" i="5"/>
  <c r="I1022" i="5"/>
  <c r="A1023" i="5"/>
  <c r="F1023" i="5"/>
  <c r="I1023" i="5"/>
  <c r="A1024" i="5"/>
  <c r="F1024" i="5"/>
  <c r="I1024" i="5"/>
  <c r="A1025" i="5"/>
  <c r="F1025" i="5"/>
  <c r="I1025" i="5"/>
  <c r="A1026" i="5"/>
  <c r="F1026" i="5"/>
  <c r="I1026" i="5"/>
  <c r="A1027" i="5"/>
  <c r="F1027" i="5"/>
  <c r="I1027" i="5"/>
  <c r="A1028" i="5"/>
  <c r="F1028" i="5"/>
  <c r="I1028" i="5"/>
  <c r="A1029" i="5"/>
  <c r="F1029" i="5"/>
  <c r="I1029" i="5"/>
  <c r="A1030" i="5"/>
  <c r="F1030" i="5"/>
  <c r="I1030" i="5"/>
  <c r="A1031" i="5"/>
  <c r="F1031" i="5"/>
  <c r="I1031" i="5"/>
  <c r="A1032" i="5"/>
  <c r="F1032" i="5"/>
  <c r="I1032" i="5"/>
  <c r="A1033" i="5"/>
  <c r="F1033" i="5"/>
  <c r="I1033" i="5"/>
  <c r="A1034" i="5"/>
  <c r="F1034" i="5"/>
  <c r="I1034" i="5"/>
  <c r="A1035" i="5"/>
  <c r="F1035" i="5"/>
  <c r="I1035" i="5"/>
  <c r="A1036" i="5"/>
  <c r="F1036" i="5"/>
  <c r="I1036" i="5"/>
  <c r="A1037" i="5"/>
  <c r="F1037" i="5"/>
  <c r="I1037" i="5"/>
  <c r="A1038" i="5"/>
  <c r="F1038" i="5"/>
  <c r="I1038" i="5"/>
  <c r="A1039" i="5"/>
  <c r="F1039" i="5"/>
  <c r="I1039" i="5"/>
  <c r="A1040" i="5"/>
  <c r="F1040" i="5"/>
  <c r="I1040" i="5"/>
  <c r="A1041" i="5"/>
  <c r="F1041" i="5"/>
  <c r="I1041" i="5"/>
  <c r="A1042" i="5"/>
  <c r="F1042" i="5"/>
  <c r="I1042" i="5"/>
  <c r="A1043" i="5"/>
  <c r="F1043" i="5"/>
  <c r="I1043" i="5"/>
  <c r="A1044" i="5"/>
  <c r="F1044" i="5"/>
  <c r="I1044" i="5"/>
  <c r="A1045" i="5"/>
  <c r="F1045" i="5"/>
  <c r="I1045" i="5"/>
  <c r="A1046" i="5"/>
  <c r="F1046" i="5"/>
  <c r="I1046" i="5"/>
  <c r="A1047" i="5"/>
  <c r="F1047" i="5"/>
  <c r="I1047" i="5"/>
  <c r="A1048" i="5"/>
  <c r="F1048" i="5"/>
  <c r="I1048" i="5"/>
  <c r="A1049" i="5"/>
  <c r="F1049" i="5"/>
  <c r="I1049" i="5"/>
  <c r="A1050" i="5"/>
  <c r="F1050" i="5"/>
  <c r="I1050" i="5"/>
  <c r="A1051" i="5"/>
  <c r="F1051" i="5"/>
  <c r="I1051" i="5"/>
  <c r="A1052" i="5"/>
  <c r="F1052" i="5"/>
  <c r="I1052" i="5"/>
  <c r="A1053" i="5"/>
  <c r="F1053" i="5"/>
  <c r="I1053" i="5"/>
  <c r="A1054" i="5"/>
  <c r="F1054" i="5"/>
  <c r="H1054" i="5"/>
  <c r="I1054" i="5"/>
  <c r="A1055" i="5"/>
  <c r="F1055" i="5"/>
  <c r="I1055" i="5"/>
  <c r="A1056" i="5"/>
  <c r="F1056" i="5"/>
  <c r="I1056" i="5"/>
  <c r="A1057" i="5"/>
  <c r="F1057" i="5"/>
  <c r="I1057" i="5"/>
  <c r="A1058" i="5"/>
  <c r="F1058" i="5"/>
  <c r="I1058" i="5"/>
  <c r="A1059" i="5"/>
  <c r="F1059" i="5"/>
  <c r="I1059" i="5"/>
  <c r="A1060" i="5"/>
  <c r="F1060" i="5"/>
  <c r="I1060" i="5"/>
  <c r="A1061" i="5"/>
  <c r="F1061" i="5"/>
  <c r="I1061" i="5"/>
  <c r="A1062" i="5"/>
  <c r="F1062" i="5"/>
  <c r="I1062" i="5"/>
  <c r="A1063" i="5"/>
  <c r="F1063" i="5"/>
  <c r="I1063" i="5"/>
  <c r="A1064" i="5"/>
  <c r="F1064" i="5"/>
  <c r="I1064" i="5"/>
  <c r="A1065" i="5"/>
  <c r="F1065" i="5"/>
  <c r="I1065" i="5"/>
  <c r="A1066" i="5"/>
  <c r="F1066" i="5"/>
  <c r="I1066" i="5"/>
  <c r="A1067" i="5"/>
  <c r="F1067" i="5"/>
  <c r="I1067" i="5"/>
  <c r="A1068" i="5"/>
  <c r="F1068" i="5"/>
  <c r="I1068" i="5"/>
  <c r="A1069" i="5"/>
  <c r="F1069" i="5"/>
  <c r="I1069" i="5"/>
  <c r="A1070" i="5"/>
  <c r="F1070" i="5"/>
  <c r="I1070" i="5"/>
  <c r="A1071" i="5"/>
  <c r="F1071" i="5"/>
  <c r="I1071" i="5"/>
  <c r="A1072" i="5"/>
  <c r="F1072" i="5"/>
  <c r="I1072" i="5"/>
  <c r="A1073" i="5"/>
  <c r="F1073" i="5"/>
  <c r="I1073" i="5"/>
  <c r="A1074" i="5"/>
  <c r="F1074" i="5"/>
  <c r="I1074" i="5"/>
  <c r="A1075" i="5"/>
  <c r="F1075" i="5"/>
  <c r="I1075" i="5"/>
  <c r="A1076" i="5"/>
  <c r="F1076" i="5"/>
  <c r="I1076" i="5"/>
  <c r="A1077" i="5"/>
  <c r="F1077" i="5"/>
  <c r="I1077" i="5"/>
  <c r="A1078" i="5"/>
  <c r="F1078" i="5"/>
  <c r="I1078" i="5"/>
  <c r="A1079" i="5"/>
  <c r="F1079" i="5"/>
  <c r="I1079" i="5"/>
  <c r="A1080" i="5"/>
  <c r="F1080" i="5"/>
  <c r="I1080" i="5"/>
  <c r="A1081" i="5"/>
  <c r="F1081" i="5"/>
  <c r="I1081" i="5"/>
  <c r="A1082" i="5"/>
  <c r="F1082" i="5"/>
  <c r="I1082" i="5"/>
  <c r="A1083" i="5"/>
  <c r="F1083" i="5"/>
  <c r="I1083" i="5"/>
  <c r="A1084" i="5"/>
  <c r="F1084" i="5"/>
  <c r="I1084" i="5"/>
  <c r="A1085" i="5"/>
  <c r="F1085" i="5"/>
  <c r="I1085" i="5"/>
  <c r="A1086" i="5"/>
  <c r="F1086" i="5"/>
  <c r="I1086" i="5"/>
  <c r="A1087" i="5"/>
  <c r="F1087" i="5"/>
  <c r="I1087" i="5"/>
  <c r="A1088" i="5"/>
  <c r="F1088" i="5"/>
  <c r="I1088" i="5"/>
  <c r="A1089" i="5"/>
  <c r="F1089" i="5"/>
  <c r="I1089" i="5"/>
  <c r="A1090" i="5"/>
  <c r="F1090" i="5"/>
  <c r="I1090" i="5"/>
  <c r="A1091" i="5"/>
  <c r="F1091" i="5"/>
  <c r="I1091" i="5"/>
  <c r="A1092" i="5"/>
  <c r="F1092" i="5"/>
  <c r="I1092" i="5"/>
  <c r="A1093" i="5"/>
  <c r="F1093" i="5"/>
  <c r="I1093" i="5"/>
  <c r="A1094" i="5"/>
  <c r="F1094" i="5"/>
  <c r="I1094" i="5"/>
  <c r="A1095" i="5"/>
  <c r="F1095" i="5"/>
  <c r="I1095" i="5"/>
  <c r="A1096" i="5"/>
  <c r="F1096" i="5"/>
  <c r="I1096" i="5"/>
  <c r="A1097" i="5"/>
  <c r="F1097" i="5"/>
  <c r="I1097" i="5"/>
  <c r="A1098" i="5"/>
  <c r="F1098" i="5"/>
  <c r="I1098" i="5"/>
  <c r="A1099" i="5"/>
  <c r="F1099" i="5"/>
  <c r="I1099" i="5"/>
  <c r="A1100" i="5"/>
  <c r="F1100" i="5"/>
  <c r="I1100" i="5"/>
  <c r="A1101" i="5"/>
  <c r="F1101" i="5"/>
  <c r="I1101" i="5"/>
  <c r="A1102" i="5"/>
  <c r="F1102" i="5"/>
  <c r="I1102" i="5"/>
  <c r="A1103" i="5"/>
  <c r="F1103" i="5"/>
  <c r="I1103" i="5"/>
  <c r="A1104" i="5"/>
  <c r="F1104" i="5"/>
  <c r="H1104" i="5"/>
  <c r="I1104" i="5"/>
  <c r="A1105" i="5"/>
  <c r="F1105" i="5"/>
  <c r="I1105" i="5"/>
  <c r="A1106" i="5"/>
  <c r="F1106" i="5"/>
  <c r="I1106" i="5"/>
  <c r="A1107" i="5"/>
  <c r="F1107" i="5"/>
  <c r="I1107" i="5"/>
  <c r="A1108" i="5"/>
  <c r="F1108" i="5"/>
  <c r="I1108" i="5"/>
  <c r="A1109" i="5"/>
  <c r="F1109" i="5"/>
  <c r="I1109" i="5"/>
  <c r="A1110" i="5"/>
  <c r="F1110" i="5"/>
  <c r="I1110" i="5"/>
  <c r="A1111" i="5"/>
  <c r="F1111" i="5"/>
  <c r="I1111" i="5"/>
  <c r="A1112" i="5"/>
  <c r="F1112" i="5"/>
  <c r="I1112" i="5"/>
  <c r="A1113" i="5"/>
  <c r="F1113" i="5"/>
  <c r="I1113" i="5"/>
  <c r="A1114" i="5"/>
  <c r="F1114" i="5"/>
  <c r="I1114" i="5"/>
  <c r="A1115" i="5"/>
  <c r="F1115" i="5"/>
  <c r="I1115" i="5"/>
  <c r="A1116" i="5"/>
  <c r="F1116" i="5"/>
  <c r="I1116" i="5"/>
  <c r="A1117" i="5"/>
  <c r="F1117" i="5"/>
  <c r="I1117" i="5"/>
  <c r="A1118" i="5"/>
  <c r="F1118" i="5"/>
  <c r="I1118" i="5"/>
  <c r="A1119" i="5"/>
  <c r="F1119" i="5"/>
  <c r="I1119" i="5"/>
  <c r="A1120" i="5"/>
  <c r="F1120" i="5"/>
  <c r="I1120" i="5"/>
  <c r="A1121" i="5"/>
  <c r="F1121" i="5"/>
  <c r="I1121" i="5"/>
  <c r="A1122" i="5"/>
  <c r="F1122" i="5"/>
  <c r="I1122" i="5"/>
  <c r="A1123" i="5"/>
  <c r="F1123" i="5"/>
  <c r="I1123" i="5"/>
  <c r="A1124" i="5"/>
  <c r="F1124" i="5"/>
  <c r="I1124" i="5"/>
  <c r="A1125" i="5"/>
  <c r="F1125" i="5"/>
  <c r="I1125" i="5"/>
  <c r="A1126" i="5"/>
  <c r="F1126" i="5"/>
  <c r="I1126" i="5"/>
  <c r="A1127" i="5"/>
  <c r="F1127" i="5"/>
  <c r="I1127" i="5"/>
  <c r="A1128" i="5"/>
  <c r="F1128" i="5"/>
  <c r="I1128" i="5"/>
  <c r="A1129" i="5"/>
  <c r="F1129" i="5"/>
  <c r="I1129" i="5"/>
  <c r="A1130" i="5"/>
  <c r="F1130" i="5"/>
  <c r="I1130" i="5"/>
  <c r="A1131" i="5"/>
  <c r="F1131" i="5"/>
  <c r="I1131" i="5"/>
  <c r="A1132" i="5"/>
  <c r="F1132" i="5"/>
  <c r="I1132" i="5"/>
  <c r="A1133" i="5"/>
  <c r="F1133" i="5"/>
  <c r="I1133" i="5"/>
  <c r="A1134" i="5"/>
  <c r="F1134" i="5"/>
  <c r="I1134" i="5"/>
  <c r="A1135" i="5"/>
  <c r="F1135" i="5"/>
  <c r="I1135" i="5"/>
  <c r="A1136" i="5"/>
  <c r="F1136" i="5"/>
  <c r="I1136" i="5"/>
  <c r="A1137" i="5"/>
  <c r="F1137" i="5"/>
  <c r="I1137" i="5"/>
  <c r="A1138" i="5"/>
  <c r="F1138" i="5"/>
  <c r="I1138" i="5"/>
  <c r="A1139" i="5"/>
  <c r="F1139" i="5"/>
  <c r="I1139" i="5"/>
  <c r="A1140" i="5"/>
  <c r="F1140" i="5"/>
  <c r="I1140" i="5"/>
  <c r="A1141" i="5"/>
  <c r="F1141" i="5"/>
  <c r="H1141" i="5"/>
  <c r="I1141" i="5"/>
  <c r="A1142" i="5"/>
  <c r="F1142" i="5"/>
  <c r="I1142" i="5"/>
  <c r="A1143" i="5"/>
  <c r="F1143" i="5"/>
  <c r="I1143" i="5"/>
  <c r="A1144" i="5"/>
  <c r="F1144" i="5"/>
  <c r="I1144" i="5"/>
  <c r="A1145" i="5"/>
  <c r="F1145" i="5"/>
  <c r="I1145" i="5"/>
  <c r="A1146" i="5"/>
  <c r="F1146" i="5"/>
  <c r="I1146" i="5"/>
  <c r="A1147" i="5"/>
  <c r="F1147" i="5"/>
  <c r="I1147" i="5"/>
  <c r="A1148" i="5"/>
  <c r="F1148" i="5"/>
  <c r="I1148" i="5"/>
  <c r="A1149" i="5"/>
  <c r="F1149" i="5"/>
  <c r="I1149" i="5"/>
  <c r="A1150" i="5"/>
  <c r="F1150" i="5"/>
  <c r="I1150" i="5"/>
  <c r="A1151" i="5"/>
  <c r="F1151" i="5"/>
  <c r="I1151" i="5"/>
  <c r="A1152" i="5"/>
  <c r="F1152" i="5"/>
  <c r="I1152" i="5"/>
  <c r="A1153" i="5"/>
  <c r="F1153" i="5"/>
  <c r="I1153" i="5"/>
  <c r="A1154" i="5"/>
  <c r="F1154" i="5"/>
  <c r="I1154" i="5"/>
  <c r="A1155" i="5"/>
  <c r="F1155" i="5"/>
  <c r="I1155" i="5"/>
  <c r="A1156" i="5"/>
  <c r="F1156" i="5"/>
  <c r="I1156" i="5"/>
  <c r="A1157" i="5"/>
  <c r="F1157" i="5"/>
  <c r="I1157" i="5"/>
  <c r="A1158" i="5"/>
  <c r="F1158" i="5"/>
  <c r="I1158" i="5"/>
  <c r="A1159" i="5"/>
  <c r="F1159" i="5"/>
  <c r="I1159" i="5"/>
  <c r="A1160" i="5"/>
  <c r="F1160" i="5"/>
  <c r="I1160" i="5"/>
  <c r="A1161" i="5"/>
  <c r="F1161" i="5"/>
  <c r="I1161" i="5"/>
  <c r="A1162" i="5"/>
  <c r="F1162" i="5"/>
  <c r="I1162" i="5"/>
  <c r="A1163" i="5"/>
  <c r="F1163" i="5"/>
  <c r="I1163" i="5"/>
  <c r="A1164" i="5"/>
  <c r="F1164" i="5"/>
  <c r="I1164" i="5"/>
  <c r="A1165" i="5"/>
  <c r="F1165" i="5"/>
  <c r="I1165" i="5"/>
  <c r="A1166" i="5"/>
  <c r="F1166" i="5"/>
  <c r="I1166" i="5"/>
  <c r="A1167" i="5"/>
  <c r="F1167" i="5"/>
  <c r="I1167" i="5"/>
  <c r="A1168" i="5"/>
  <c r="F1168" i="5"/>
  <c r="I1168" i="5"/>
  <c r="A1169" i="5"/>
  <c r="F1169" i="5"/>
  <c r="I1169" i="5"/>
  <c r="A1170" i="5"/>
  <c r="F1170" i="5"/>
  <c r="I1170" i="5"/>
  <c r="A1171" i="5"/>
  <c r="F1171" i="5"/>
  <c r="I1171" i="5"/>
  <c r="A1172" i="5"/>
  <c r="F1172" i="5"/>
  <c r="I1172" i="5"/>
  <c r="A1173" i="5"/>
  <c r="F1173" i="5"/>
  <c r="I1173" i="5"/>
  <c r="A1174" i="5"/>
  <c r="F1174" i="5"/>
  <c r="I1174" i="5"/>
  <c r="A1175" i="5"/>
  <c r="F1175" i="5"/>
  <c r="I1175" i="5"/>
  <c r="A1176" i="5"/>
  <c r="F1176" i="5"/>
  <c r="I1176" i="5"/>
  <c r="A1177" i="5"/>
  <c r="F1177" i="5"/>
  <c r="I1177" i="5"/>
  <c r="A1178" i="5"/>
  <c r="F1178" i="5"/>
  <c r="I1178" i="5"/>
  <c r="A1179" i="5"/>
  <c r="F1179" i="5"/>
  <c r="I1179" i="5"/>
  <c r="A1180" i="5"/>
  <c r="F1180" i="5"/>
  <c r="I1180" i="5"/>
  <c r="A1181" i="5"/>
  <c r="F1181" i="5"/>
  <c r="I1181" i="5"/>
  <c r="A1182" i="5"/>
  <c r="F1182" i="5"/>
  <c r="I1182" i="5"/>
  <c r="A1183" i="5"/>
  <c r="F1183" i="5"/>
  <c r="I1183" i="5"/>
  <c r="A1184" i="5"/>
  <c r="F1184" i="5"/>
  <c r="I1184" i="5"/>
  <c r="A1185" i="5"/>
  <c r="F1185" i="5"/>
  <c r="I1185" i="5"/>
  <c r="A1186" i="5"/>
  <c r="F1186" i="5"/>
  <c r="I1186" i="5"/>
  <c r="A1187" i="5"/>
  <c r="F1187" i="5"/>
  <c r="I1187" i="5"/>
  <c r="A1188" i="5"/>
  <c r="F1188" i="5"/>
  <c r="I1188" i="5"/>
  <c r="A1189" i="5"/>
  <c r="F1189" i="5"/>
  <c r="I1189" i="5"/>
  <c r="A1190" i="5"/>
  <c r="F1190" i="5"/>
  <c r="I1190" i="5"/>
  <c r="A1191" i="5"/>
  <c r="F1191" i="5"/>
  <c r="I1191" i="5"/>
  <c r="A1192" i="5"/>
  <c r="F1192" i="5"/>
  <c r="I1192" i="5"/>
  <c r="A1193" i="5"/>
  <c r="F1193" i="5"/>
  <c r="I1193" i="5"/>
  <c r="A1194" i="5"/>
  <c r="F1194" i="5"/>
  <c r="I1194" i="5"/>
  <c r="A1195" i="5"/>
  <c r="F1195" i="5"/>
  <c r="I1195" i="5"/>
  <c r="A1196" i="5"/>
  <c r="F1196" i="5"/>
  <c r="I1196" i="5"/>
  <c r="A1197" i="5"/>
  <c r="F1197" i="5"/>
  <c r="I1197" i="5"/>
  <c r="A1198" i="5"/>
  <c r="F1198" i="5"/>
  <c r="I1198" i="5"/>
  <c r="A1199" i="5"/>
  <c r="F1199" i="5"/>
  <c r="I1199" i="5"/>
  <c r="A1200" i="5"/>
  <c r="F1200" i="5"/>
  <c r="I1200" i="5"/>
  <c r="A1201" i="5"/>
  <c r="F1201" i="5"/>
  <c r="I1201" i="5"/>
  <c r="A1202" i="5"/>
  <c r="F1202" i="5"/>
  <c r="I1202" i="5"/>
  <c r="A1203" i="5"/>
  <c r="F1203" i="5"/>
  <c r="I1203" i="5"/>
  <c r="A1204" i="5"/>
  <c r="F1204" i="5"/>
  <c r="I1204" i="5"/>
  <c r="A1205" i="5"/>
  <c r="F1205" i="5"/>
  <c r="I1205" i="5"/>
  <c r="A1206" i="5"/>
  <c r="F1206" i="5"/>
  <c r="I1206" i="5"/>
  <c r="A1207" i="5"/>
  <c r="F1207" i="5"/>
  <c r="I1207" i="5"/>
  <c r="A1208" i="5"/>
  <c r="F1208" i="5"/>
  <c r="I1208" i="5"/>
  <c r="A1209" i="5"/>
  <c r="F1209" i="5"/>
  <c r="I1209" i="5"/>
  <c r="A1210" i="5"/>
  <c r="F1210" i="5"/>
  <c r="I1210" i="5"/>
  <c r="A1211" i="5"/>
  <c r="F1211" i="5"/>
  <c r="I1211" i="5"/>
  <c r="A1212" i="5"/>
  <c r="F1212" i="5"/>
  <c r="I1212" i="5"/>
  <c r="A1213" i="5"/>
  <c r="F1213" i="5"/>
  <c r="I1213" i="5"/>
  <c r="A1214" i="5"/>
  <c r="F1214" i="5"/>
  <c r="I1214" i="5"/>
  <c r="A1215" i="5"/>
  <c r="F1215" i="5"/>
  <c r="I1215" i="5"/>
  <c r="A1216" i="5"/>
  <c r="F1216" i="5"/>
  <c r="I1216" i="5"/>
  <c r="A1217" i="5"/>
  <c r="F1217" i="5"/>
  <c r="I1217" i="5"/>
  <c r="A1218" i="5"/>
  <c r="F1218" i="5"/>
  <c r="I1218" i="5"/>
  <c r="A1219" i="5"/>
  <c r="F1219" i="5"/>
  <c r="I1219" i="5"/>
  <c r="A1220" i="5"/>
  <c r="F1220" i="5"/>
  <c r="I1220" i="5"/>
  <c r="A1221" i="5"/>
  <c r="F1221" i="5"/>
  <c r="I1221" i="5"/>
  <c r="A1222" i="5"/>
  <c r="F1222" i="5"/>
  <c r="I1222" i="5"/>
  <c r="A1223" i="5"/>
  <c r="F1223" i="5"/>
  <c r="I1223" i="5"/>
  <c r="A1224" i="5"/>
  <c r="F1224" i="5"/>
  <c r="I1224" i="5"/>
  <c r="A1225" i="5"/>
  <c r="F1225" i="5"/>
  <c r="I1225" i="5"/>
  <c r="A1226" i="5"/>
  <c r="F1226" i="5"/>
  <c r="I1226" i="5"/>
  <c r="A1227" i="5"/>
  <c r="F1227" i="5"/>
  <c r="I1227" i="5"/>
  <c r="A1228" i="5"/>
  <c r="F1228" i="5"/>
  <c r="I1228" i="5"/>
  <c r="A1229" i="5"/>
  <c r="F1229" i="5"/>
  <c r="I1229" i="5"/>
  <c r="A1230" i="5"/>
  <c r="F1230" i="5"/>
  <c r="I1230" i="5"/>
  <c r="A1231" i="5"/>
  <c r="F1231" i="5"/>
  <c r="I1231" i="5"/>
  <c r="A1232" i="5"/>
  <c r="F1232" i="5"/>
  <c r="I1232" i="5"/>
  <c r="A1233" i="5"/>
  <c r="F1233" i="5"/>
  <c r="I1233" i="5"/>
  <c r="A1234" i="5"/>
  <c r="F1234" i="5"/>
  <c r="I1234" i="5"/>
  <c r="A1235" i="5"/>
  <c r="F1235" i="5"/>
  <c r="I1235" i="5"/>
  <c r="A1236" i="5"/>
  <c r="F1236" i="5"/>
  <c r="I1236" i="5"/>
  <c r="A1237" i="5"/>
  <c r="F1237" i="5"/>
  <c r="I1237" i="5"/>
  <c r="A1238" i="5"/>
  <c r="F1238" i="5"/>
  <c r="I1238" i="5"/>
  <c r="A1239" i="5"/>
  <c r="F1239" i="5"/>
  <c r="I1239" i="5"/>
  <c r="A1240" i="5"/>
  <c r="F1240" i="5"/>
  <c r="I1240" i="5"/>
  <c r="A1241" i="5"/>
  <c r="F1241" i="5"/>
  <c r="I1241" i="5"/>
  <c r="A1242" i="5"/>
  <c r="F1242" i="5"/>
  <c r="I1242" i="5"/>
  <c r="A1243" i="5"/>
  <c r="F1243" i="5"/>
  <c r="I1243" i="5"/>
  <c r="A1244" i="5"/>
  <c r="F1244" i="5"/>
  <c r="I1244" i="5"/>
  <c r="A1245" i="5"/>
  <c r="F1245" i="5"/>
  <c r="I1245" i="5"/>
  <c r="A1246" i="5"/>
  <c r="F1246" i="5"/>
  <c r="I1246" i="5"/>
  <c r="A1247" i="5"/>
  <c r="F1247" i="5"/>
  <c r="I1247" i="5"/>
  <c r="A1248" i="5"/>
  <c r="F1248" i="5"/>
  <c r="I1248" i="5"/>
  <c r="A1249" i="5"/>
  <c r="F1249" i="5"/>
  <c r="I1249" i="5"/>
  <c r="A1250" i="5"/>
  <c r="F1250" i="5"/>
  <c r="I1250" i="5"/>
  <c r="A1251" i="5"/>
  <c r="F1251" i="5"/>
  <c r="I1251" i="5"/>
  <c r="A1252" i="5"/>
  <c r="F1252" i="5"/>
  <c r="I1252" i="5"/>
  <c r="A1253" i="5"/>
  <c r="F1253" i="5"/>
  <c r="I1253" i="5"/>
  <c r="A1254" i="5"/>
  <c r="F1254" i="5"/>
  <c r="I1254" i="5"/>
  <c r="A1255" i="5"/>
  <c r="F1255" i="5"/>
  <c r="I1255" i="5"/>
  <c r="A1256" i="5"/>
  <c r="F1256" i="5"/>
  <c r="I1256" i="5"/>
  <c r="A1257" i="5"/>
  <c r="F1257" i="5"/>
  <c r="I1257" i="5"/>
  <c r="A1258" i="5"/>
  <c r="F1258" i="5"/>
  <c r="I1258" i="5"/>
  <c r="A1259" i="5"/>
  <c r="F1259" i="5"/>
  <c r="I1259" i="5"/>
  <c r="A1260" i="5"/>
  <c r="F1260" i="5"/>
  <c r="I1260" i="5"/>
  <c r="A1261" i="5"/>
  <c r="F1261" i="5"/>
  <c r="I1261" i="5"/>
  <c r="A1262" i="5"/>
  <c r="F1262" i="5"/>
  <c r="I1262" i="5"/>
  <c r="A1263" i="5"/>
  <c r="F1263" i="5"/>
  <c r="I1263" i="5"/>
  <c r="A1264" i="5"/>
  <c r="F1264" i="5"/>
  <c r="I1264" i="5"/>
  <c r="A1265" i="5"/>
  <c r="F1265" i="5"/>
  <c r="I1265" i="5"/>
  <c r="A1266" i="5"/>
  <c r="F1266" i="5"/>
  <c r="I1266" i="5"/>
  <c r="A1267" i="5"/>
  <c r="F1267" i="5"/>
  <c r="I1267" i="5"/>
  <c r="A1268" i="5"/>
  <c r="F1268" i="5"/>
  <c r="I1268" i="5"/>
  <c r="A1269" i="5"/>
  <c r="F1269" i="5"/>
  <c r="I1269" i="5"/>
  <c r="A1270" i="5"/>
  <c r="F1270" i="5"/>
  <c r="I1270" i="5"/>
  <c r="A1271" i="5"/>
  <c r="F1271" i="5"/>
  <c r="I1271" i="5"/>
  <c r="A1272" i="5"/>
  <c r="F1272" i="5"/>
  <c r="I1272" i="5"/>
  <c r="A1273" i="5"/>
  <c r="F1273" i="5"/>
  <c r="I1273" i="5"/>
  <c r="A1274" i="5"/>
  <c r="F1274" i="5"/>
  <c r="I1274" i="5"/>
  <c r="A1275" i="5"/>
  <c r="F1275" i="5"/>
  <c r="I1275" i="5"/>
  <c r="A1276" i="5"/>
  <c r="F1276" i="5"/>
  <c r="I1276" i="5"/>
  <c r="A1277" i="5"/>
  <c r="F1277" i="5"/>
  <c r="I1277" i="5"/>
  <c r="A1278" i="5"/>
  <c r="F1278" i="5"/>
  <c r="I1278" i="5"/>
  <c r="A1279" i="5"/>
  <c r="F1279" i="5"/>
  <c r="I1279" i="5"/>
  <c r="A1280" i="5"/>
  <c r="F1280" i="5"/>
  <c r="I1280" i="5"/>
  <c r="A1281" i="5"/>
  <c r="F1281" i="5"/>
  <c r="I1281" i="5"/>
  <c r="A1282" i="5"/>
  <c r="F1282" i="5"/>
  <c r="I1282" i="5"/>
  <c r="A1283" i="5"/>
  <c r="F1283" i="5"/>
  <c r="I1283" i="5"/>
  <c r="A1284" i="5"/>
  <c r="F1284" i="5"/>
  <c r="I1284" i="5"/>
  <c r="A1285" i="5"/>
  <c r="F1285" i="5"/>
  <c r="I1285" i="5"/>
  <c r="A1286" i="5"/>
  <c r="F1286" i="5"/>
  <c r="I1286" i="5"/>
  <c r="A1287" i="5"/>
  <c r="F1287" i="5"/>
  <c r="I1287" i="5"/>
  <c r="A1288" i="5"/>
  <c r="F1288" i="5"/>
  <c r="I1288" i="5"/>
  <c r="A1289" i="5"/>
  <c r="F1289" i="5"/>
  <c r="I1289" i="5"/>
  <c r="A1290" i="5"/>
  <c r="F1290" i="5"/>
  <c r="I1290" i="5"/>
  <c r="A1291" i="5"/>
  <c r="F1291" i="5"/>
  <c r="I1291" i="5"/>
  <c r="A1292" i="5"/>
  <c r="F1292" i="5"/>
  <c r="I1292" i="5"/>
  <c r="A1293" i="5"/>
  <c r="F1293" i="5"/>
  <c r="I1293" i="5"/>
  <c r="A1294" i="5"/>
  <c r="F1294" i="5"/>
  <c r="I1294" i="5"/>
  <c r="A1295" i="5"/>
  <c r="F1295" i="5"/>
  <c r="I1295" i="5"/>
  <c r="A1296" i="5"/>
  <c r="F1296" i="5"/>
  <c r="H1296" i="5"/>
  <c r="I1296" i="5"/>
  <c r="A1297" i="5"/>
  <c r="F1297" i="5"/>
  <c r="I1297" i="5"/>
  <c r="A1298" i="5"/>
  <c r="F1298" i="5"/>
  <c r="I1298" i="5"/>
  <c r="A1299" i="5"/>
  <c r="F1299" i="5"/>
  <c r="I1299" i="5"/>
  <c r="A1300" i="5"/>
  <c r="F1300" i="5"/>
  <c r="I1300" i="5"/>
  <c r="A1301" i="5"/>
  <c r="F1301" i="5"/>
  <c r="H1301" i="5"/>
  <c r="I1301" i="5"/>
  <c r="A1302" i="5"/>
  <c r="F1302" i="5"/>
  <c r="I1302" i="5"/>
  <c r="A1303" i="5"/>
  <c r="F1303" i="5"/>
  <c r="I1303" i="5"/>
  <c r="A1304" i="5"/>
  <c r="F1304" i="5"/>
  <c r="I1304" i="5"/>
  <c r="A1305" i="5"/>
  <c r="F1305" i="5"/>
  <c r="I1305" i="5"/>
  <c r="A1306" i="5"/>
  <c r="F1306" i="5"/>
  <c r="I1306" i="5"/>
  <c r="A1307" i="5"/>
  <c r="F1307" i="5"/>
  <c r="I1307" i="5"/>
  <c r="A1308" i="5"/>
  <c r="F1308" i="5"/>
  <c r="I1308" i="5"/>
  <c r="A1309" i="5"/>
  <c r="F1309" i="5"/>
  <c r="I1309" i="5"/>
  <c r="A1310" i="5"/>
  <c r="F1310" i="5"/>
  <c r="I1310" i="5"/>
  <c r="A1311" i="5"/>
  <c r="F1311" i="5"/>
  <c r="H1311" i="5"/>
  <c r="I1311" i="5"/>
  <c r="A1312" i="5"/>
  <c r="F1312" i="5"/>
  <c r="H1312" i="5"/>
  <c r="I1312" i="5"/>
  <c r="A1313" i="5"/>
  <c r="F1313" i="5"/>
  <c r="I1313" i="5"/>
  <c r="A1314" i="5"/>
  <c r="F1314" i="5"/>
  <c r="I1314" i="5"/>
  <c r="A1315" i="5"/>
  <c r="F1315" i="5"/>
  <c r="H1315" i="5"/>
  <c r="I1315" i="5"/>
  <c r="A1316" i="5"/>
  <c r="F1316" i="5"/>
  <c r="H1316" i="5"/>
  <c r="I1316" i="5"/>
  <c r="A1317" i="5"/>
  <c r="F1317" i="5"/>
  <c r="I1317" i="5"/>
  <c r="A1318" i="5"/>
  <c r="F1318" i="5"/>
  <c r="I1318" i="5"/>
  <c r="A1319" i="5"/>
  <c r="F1319" i="5"/>
  <c r="I1319" i="5"/>
  <c r="A1320" i="5"/>
  <c r="F1320" i="5"/>
  <c r="I1320" i="5"/>
  <c r="A1321" i="5"/>
  <c r="F1321" i="5"/>
  <c r="I1321" i="5"/>
  <c r="A1322" i="5"/>
  <c r="F1322" i="5"/>
  <c r="I1322" i="5"/>
  <c r="A1323" i="5"/>
  <c r="F1323" i="5"/>
  <c r="I1323" i="5"/>
  <c r="A1324" i="5"/>
  <c r="F1324" i="5"/>
  <c r="I1324" i="5"/>
  <c r="A1325" i="5"/>
  <c r="F1325" i="5"/>
  <c r="I1325" i="5"/>
  <c r="A1326" i="5"/>
  <c r="F1326" i="5"/>
  <c r="I1326" i="5"/>
  <c r="A1327" i="5"/>
  <c r="F1327" i="5"/>
  <c r="I1327" i="5"/>
  <c r="A1328" i="5"/>
  <c r="F1328" i="5"/>
  <c r="I1328" i="5"/>
  <c r="A1329" i="5"/>
  <c r="F1329" i="5"/>
  <c r="I1329" i="5"/>
  <c r="A1330" i="5"/>
  <c r="F1330" i="5"/>
  <c r="I1330" i="5"/>
  <c r="A1331" i="5"/>
  <c r="F1331" i="5"/>
  <c r="H1331" i="5"/>
  <c r="I1331" i="5"/>
  <c r="A1332" i="5"/>
  <c r="F1332" i="5"/>
  <c r="I1332" i="5"/>
  <c r="A1333" i="5"/>
  <c r="F1333" i="5"/>
  <c r="I1333" i="5"/>
  <c r="A1334" i="5"/>
  <c r="F1334" i="5"/>
  <c r="I1334" i="5"/>
  <c r="A1335" i="5"/>
  <c r="F1335" i="5"/>
  <c r="I1335" i="5"/>
  <c r="A1336" i="5"/>
  <c r="F1336" i="5"/>
  <c r="H1336" i="5"/>
  <c r="I1336" i="5"/>
  <c r="A1337" i="5"/>
  <c r="F1337" i="5"/>
  <c r="I1337" i="5"/>
  <c r="A1338" i="5"/>
  <c r="F1338" i="5"/>
  <c r="I1338" i="5"/>
  <c r="A1339" i="5"/>
  <c r="F1339" i="5"/>
  <c r="H1339" i="5"/>
  <c r="I1339" i="5"/>
  <c r="A1340" i="5"/>
  <c r="F1340" i="5"/>
  <c r="H1340" i="5"/>
  <c r="I1340" i="5"/>
  <c r="A1341" i="5"/>
  <c r="F1341" i="5"/>
  <c r="H1341" i="5"/>
  <c r="I1341" i="5"/>
  <c r="A1342" i="5"/>
  <c r="F1342" i="5"/>
  <c r="H1342" i="5"/>
  <c r="I1342" i="5"/>
  <c r="A1343" i="5"/>
  <c r="F1343" i="5"/>
  <c r="I1343" i="5"/>
  <c r="A1344" i="5"/>
  <c r="F1344" i="5"/>
  <c r="I1344" i="5"/>
  <c r="A1345" i="5"/>
  <c r="F1345" i="5"/>
  <c r="I1345" i="5"/>
  <c r="A1346" i="5"/>
  <c r="F1346" i="5"/>
  <c r="I1346" i="5"/>
  <c r="A1347" i="5"/>
  <c r="F1347" i="5"/>
  <c r="I1347" i="5"/>
  <c r="A1348" i="5"/>
  <c r="F1348" i="5"/>
  <c r="H1348" i="5"/>
  <c r="I1348" i="5"/>
  <c r="A1349" i="5"/>
  <c r="F1349" i="5"/>
  <c r="I1349" i="5"/>
  <c r="A1350" i="5"/>
  <c r="F1350" i="5"/>
  <c r="I1350" i="5"/>
  <c r="A1351" i="5"/>
  <c r="F1351" i="5"/>
  <c r="I1351" i="5"/>
  <c r="A1352" i="5"/>
  <c r="F1352" i="5"/>
  <c r="I1352" i="5"/>
  <c r="A1353" i="5"/>
  <c r="F1353" i="5"/>
  <c r="I1353" i="5"/>
  <c r="A1354" i="5"/>
  <c r="F1354" i="5"/>
  <c r="I1354" i="5"/>
  <c r="A1355" i="5"/>
  <c r="F1355" i="5"/>
  <c r="I1355" i="5"/>
  <c r="A1356" i="5"/>
  <c r="F1356" i="5"/>
  <c r="I1356" i="5"/>
  <c r="A1357" i="5"/>
  <c r="F1357" i="5"/>
  <c r="I1357" i="5"/>
  <c r="A1358" i="5"/>
  <c r="F1358" i="5"/>
  <c r="I1358" i="5"/>
  <c r="A1359" i="5"/>
  <c r="F1359" i="5"/>
  <c r="I1359" i="5"/>
  <c r="A1360" i="5"/>
  <c r="F1360" i="5"/>
  <c r="I1360" i="5"/>
  <c r="A1361" i="5"/>
  <c r="F1361" i="5"/>
  <c r="I1361" i="5"/>
  <c r="A1362" i="5"/>
  <c r="F1362" i="5"/>
  <c r="I1362" i="5"/>
  <c r="A1363" i="5"/>
  <c r="F1363" i="5"/>
  <c r="H1363" i="5"/>
  <c r="I1363" i="5"/>
  <c r="A1364" i="5"/>
  <c r="F1364" i="5"/>
  <c r="I1364" i="5"/>
  <c r="A1365" i="5"/>
  <c r="F1365" i="5"/>
  <c r="I1365" i="5"/>
  <c r="A1366" i="5"/>
  <c r="F1366" i="5"/>
  <c r="I1366" i="5"/>
  <c r="A1367" i="5"/>
  <c r="F1367" i="5"/>
  <c r="I1367" i="5"/>
  <c r="A1368" i="5"/>
  <c r="F1368" i="5"/>
  <c r="I1368" i="5"/>
  <c r="A1369" i="5"/>
  <c r="F1369" i="5"/>
  <c r="I1369" i="5"/>
  <c r="A1370" i="5"/>
  <c r="F1370" i="5"/>
  <c r="I1370" i="5"/>
  <c r="A1371" i="5"/>
  <c r="F1371" i="5"/>
  <c r="I1371" i="5"/>
  <c r="A1372" i="5"/>
  <c r="F1372" i="5"/>
  <c r="I1372" i="5"/>
  <c r="A1373" i="5"/>
  <c r="F1373" i="5"/>
  <c r="I1373" i="5"/>
  <c r="A1374" i="5"/>
  <c r="F1374" i="5"/>
  <c r="I1374" i="5"/>
  <c r="A1375" i="5"/>
  <c r="F1375" i="5"/>
  <c r="I1375" i="5"/>
  <c r="A1376" i="5"/>
  <c r="F1376" i="5"/>
  <c r="I1376" i="5"/>
  <c r="A1377" i="5"/>
  <c r="F1377" i="5"/>
  <c r="I1377" i="5"/>
  <c r="A1378" i="5"/>
  <c r="F1378" i="5"/>
  <c r="I1378" i="5"/>
  <c r="A1379" i="5"/>
  <c r="F1379" i="5"/>
  <c r="I1379" i="5"/>
  <c r="A1380" i="5"/>
  <c r="F1380" i="5"/>
  <c r="I1380" i="5"/>
  <c r="A1381" i="5"/>
  <c r="F1381" i="5"/>
  <c r="I1381" i="5"/>
  <c r="A1382" i="5"/>
  <c r="F1382" i="5"/>
  <c r="I1382" i="5"/>
  <c r="A1383" i="5"/>
  <c r="F1383" i="5"/>
  <c r="I1383" i="5"/>
  <c r="A1384" i="5"/>
  <c r="F1384" i="5"/>
  <c r="I1384" i="5"/>
  <c r="A1385" i="5"/>
  <c r="F1385" i="5"/>
  <c r="I1385" i="5"/>
  <c r="A1386" i="5"/>
  <c r="F1386" i="5"/>
  <c r="I1386" i="5"/>
  <c r="A1387" i="5"/>
  <c r="F1387" i="5"/>
  <c r="I1387" i="5"/>
  <c r="A1388" i="5"/>
  <c r="F1388" i="5"/>
  <c r="I1388" i="5"/>
  <c r="A1389" i="5"/>
  <c r="F1389" i="5"/>
  <c r="I1389" i="5"/>
  <c r="A1390" i="5"/>
  <c r="F1390" i="5"/>
  <c r="I1390" i="5"/>
  <c r="A1391" i="5"/>
  <c r="F1391" i="5"/>
  <c r="I1391" i="5"/>
  <c r="A1392" i="5"/>
  <c r="F1392" i="5"/>
  <c r="I1392" i="5"/>
  <c r="A1393" i="5"/>
  <c r="F1393" i="5"/>
  <c r="I1393" i="5"/>
  <c r="A1394" i="5"/>
  <c r="F1394" i="5"/>
  <c r="I1394" i="5"/>
  <c r="A1395" i="5"/>
  <c r="F1395" i="5"/>
  <c r="I1395" i="5"/>
  <c r="A1396" i="5"/>
  <c r="F1396" i="5"/>
  <c r="I1396" i="5"/>
  <c r="A1397" i="5"/>
  <c r="F1397" i="5"/>
  <c r="I1397" i="5"/>
  <c r="A1398" i="5"/>
  <c r="F1398" i="5"/>
  <c r="I1398" i="5"/>
  <c r="A1399" i="5"/>
  <c r="F1399" i="5"/>
  <c r="I1399" i="5"/>
  <c r="A1400" i="5"/>
  <c r="F1400" i="5"/>
  <c r="I1400" i="5"/>
  <c r="A1401" i="5"/>
  <c r="F1401" i="5"/>
  <c r="I1401" i="5"/>
  <c r="A1402" i="5"/>
  <c r="F1402" i="5"/>
  <c r="I1402" i="5"/>
  <c r="A1403" i="5"/>
  <c r="F1403" i="5"/>
  <c r="I1403" i="5"/>
  <c r="A1404" i="5"/>
  <c r="F1404" i="5"/>
  <c r="I1404" i="5"/>
  <c r="A1405" i="5"/>
  <c r="F1405" i="5"/>
  <c r="I1405" i="5"/>
  <c r="A1406" i="5"/>
  <c r="F1406" i="5"/>
  <c r="I1406" i="5"/>
  <c r="A1407" i="5"/>
  <c r="F1407" i="5"/>
  <c r="I1407" i="5"/>
  <c r="A1408" i="5"/>
  <c r="F1408" i="5"/>
  <c r="I1408" i="5"/>
  <c r="A1409" i="5"/>
  <c r="F1409" i="5"/>
  <c r="I1409" i="5"/>
  <c r="A1410" i="5"/>
  <c r="F1410" i="5"/>
  <c r="I1410" i="5"/>
  <c r="A1411" i="5"/>
  <c r="F1411" i="5"/>
  <c r="I1411" i="5"/>
  <c r="A1412" i="5"/>
  <c r="F1412" i="5"/>
  <c r="I1412" i="5"/>
  <c r="A1413" i="5"/>
  <c r="F1413" i="5"/>
  <c r="I1413" i="5"/>
  <c r="A1414" i="5"/>
  <c r="F1414" i="5"/>
  <c r="I1414" i="5"/>
  <c r="A1415" i="5"/>
  <c r="F1415" i="5"/>
  <c r="I1415" i="5"/>
  <c r="A1416" i="5"/>
  <c r="F1416" i="5"/>
  <c r="I1416" i="5"/>
  <c r="A1417" i="5"/>
  <c r="F1417" i="5"/>
  <c r="I1417" i="5"/>
  <c r="A1418" i="5"/>
  <c r="F1418" i="5"/>
  <c r="I1418" i="5"/>
  <c r="A1419" i="5"/>
  <c r="F1419" i="5"/>
  <c r="I1419" i="5"/>
  <c r="A1420" i="5"/>
  <c r="F1420" i="5"/>
  <c r="I1420" i="5"/>
  <c r="A1421" i="5"/>
  <c r="F1421" i="5"/>
  <c r="I1421" i="5"/>
  <c r="A1422" i="5"/>
  <c r="F1422" i="5"/>
  <c r="I1422" i="5"/>
  <c r="A1423" i="5"/>
  <c r="F1423" i="5"/>
  <c r="I1423" i="5"/>
  <c r="A1424" i="5"/>
  <c r="F1424" i="5"/>
  <c r="I1424" i="5"/>
  <c r="A1425" i="5"/>
  <c r="F1425" i="5"/>
  <c r="I1425" i="5"/>
  <c r="A1426" i="5"/>
  <c r="F1426" i="5"/>
  <c r="I1426" i="5"/>
  <c r="A1427" i="5"/>
  <c r="F1427" i="5"/>
  <c r="I1427" i="5"/>
  <c r="A1428" i="5"/>
  <c r="F1428" i="5"/>
  <c r="I1428" i="5"/>
  <c r="A1429" i="5"/>
  <c r="F1429" i="5"/>
  <c r="I1429" i="5"/>
  <c r="A1430" i="5"/>
  <c r="F1430" i="5"/>
  <c r="I1430" i="5"/>
  <c r="A1431" i="5"/>
  <c r="F1431" i="5"/>
  <c r="I1431" i="5"/>
  <c r="G1433" i="5"/>
  <c r="H1433" i="5"/>
  <c r="I1433" i="5"/>
  <c r="G1435" i="5"/>
  <c r="H1435" i="5"/>
  <c r="G1437" i="5"/>
  <c r="H1437" i="5"/>
  <c r="I1437" i="5"/>
  <c r="H9" i="1"/>
  <c r="K9" i="1"/>
  <c r="K10" i="1"/>
  <c r="H13" i="1"/>
  <c r="K13" i="1"/>
  <c r="K14" i="1"/>
  <c r="D16" i="1"/>
  <c r="E16" i="1"/>
  <c r="H16" i="1"/>
  <c r="I16" i="1"/>
  <c r="J16" i="1"/>
  <c r="K16" i="1"/>
  <c r="K19" i="1"/>
  <c r="K20" i="1"/>
  <c r="K21" i="1"/>
  <c r="K22" i="1"/>
  <c r="K23" i="1"/>
  <c r="K24" i="1"/>
  <c r="K25" i="1"/>
  <c r="K28" i="1"/>
  <c r="K29" i="1"/>
  <c r="K30" i="1"/>
  <c r="K31" i="1"/>
  <c r="K32" i="1"/>
  <c r="K33" i="1"/>
  <c r="K34" i="1"/>
  <c r="K35" i="1"/>
  <c r="D37" i="1"/>
  <c r="E37" i="1"/>
  <c r="G37" i="1"/>
  <c r="H37" i="1"/>
  <c r="J37" i="1"/>
  <c r="K37" i="1"/>
  <c r="E40" i="1"/>
  <c r="K40" i="1"/>
  <c r="K41" i="1"/>
  <c r="K42" i="1"/>
  <c r="K43" i="1"/>
  <c r="K44" i="1"/>
  <c r="K45" i="1"/>
  <c r="E46" i="1"/>
  <c r="K46" i="1"/>
  <c r="K47" i="1"/>
  <c r="K48" i="1"/>
  <c r="K49" i="1"/>
  <c r="K50" i="1"/>
  <c r="K51" i="1"/>
  <c r="K52" i="1"/>
  <c r="K53" i="1"/>
  <c r="E54" i="1"/>
  <c r="K54" i="1"/>
  <c r="E55" i="1"/>
  <c r="K55" i="1"/>
  <c r="D57" i="1"/>
  <c r="E57" i="1"/>
  <c r="G57" i="1"/>
  <c r="H57" i="1"/>
  <c r="J57" i="1"/>
  <c r="K57" i="1"/>
  <c r="D59" i="1"/>
  <c r="E59" i="1"/>
  <c r="G59" i="1"/>
  <c r="H59" i="1"/>
  <c r="J59" i="1"/>
  <c r="K59" i="1"/>
  <c r="K60" i="1"/>
  <c r="K63" i="1"/>
  <c r="K64" i="1"/>
  <c r="K65" i="1"/>
  <c r="K66" i="1"/>
  <c r="K67" i="1"/>
  <c r="K68" i="1"/>
  <c r="K69" i="1"/>
  <c r="K70" i="1"/>
  <c r="D72" i="1"/>
  <c r="E72" i="1"/>
  <c r="G72" i="1"/>
  <c r="H72" i="1"/>
  <c r="J72" i="1"/>
  <c r="K72" i="1"/>
  <c r="E74" i="1"/>
  <c r="K74" i="1"/>
  <c r="E75" i="1"/>
  <c r="H75" i="1"/>
  <c r="K75" i="1"/>
  <c r="K120" i="1"/>
  <c r="K148" i="1"/>
  <c r="K256" i="1"/>
  <c r="K422" i="1"/>
  <c r="K580" i="1"/>
  <c r="K596" i="1"/>
  <c r="K599" i="1"/>
  <c r="K614" i="1"/>
  <c r="K617" i="1"/>
</calcChain>
</file>

<file path=xl/comments1.xml><?xml version="1.0" encoding="utf-8"?>
<comments xmlns="http://schemas.openxmlformats.org/spreadsheetml/2006/main">
  <authors>
    <author>elsie lew</author>
  </authors>
  <commentList>
    <comment ref="F44" authorId="0" shapeId="0">
      <text>
        <r>
          <rPr>
            <b/>
            <sz val="8"/>
            <color indexed="81"/>
            <rFont val="Tahoma"/>
          </rPr>
          <t>elsie lew:</t>
        </r>
        <r>
          <rPr>
            <sz val="8"/>
            <color indexed="81"/>
            <rFont val="Tahoma"/>
          </rPr>
          <t xml:space="preserve">
TRANSMISSION VOL
</t>
        </r>
      </text>
    </comment>
  </commentList>
</comments>
</file>

<file path=xl/comments2.xml><?xml version="1.0" encoding="utf-8"?>
<comments xmlns="http://schemas.openxmlformats.org/spreadsheetml/2006/main">
  <authors>
    <author>elsie lew</author>
  </authors>
  <commentList>
    <comment ref="F75" authorId="0" shapeId="0">
      <text>
        <r>
          <rPr>
            <b/>
            <sz val="8"/>
            <color indexed="81"/>
            <rFont val="Tahoma"/>
          </rPr>
          <t>elsie lew:</t>
        </r>
        <r>
          <rPr>
            <sz val="8"/>
            <color indexed="81"/>
            <rFont val="Tahoma"/>
          </rPr>
          <t xml:space="preserve">
TRANSMISSION VOL
</t>
        </r>
      </text>
    </comment>
  </commentList>
</comments>
</file>

<file path=xl/comments3.xml><?xml version="1.0" encoding="utf-8"?>
<comments xmlns="http://schemas.openxmlformats.org/spreadsheetml/2006/main">
  <authors>
    <author>elsie lew</author>
  </authors>
  <commentList>
    <comment ref="F167" authorId="0" shapeId="0">
      <text>
        <r>
          <rPr>
            <b/>
            <sz val="8"/>
            <color indexed="81"/>
            <rFont val="Tahoma"/>
          </rPr>
          <t>elsie lew:</t>
        </r>
        <r>
          <rPr>
            <sz val="8"/>
            <color indexed="81"/>
            <rFont val="Tahoma"/>
          </rPr>
          <t xml:space="preserve">
TRANSMISSION VOL
</t>
        </r>
      </text>
    </comment>
  </commentList>
</comments>
</file>

<file path=xl/comments4.xml><?xml version="1.0" encoding="utf-8"?>
<comments xmlns="http://schemas.openxmlformats.org/spreadsheetml/2006/main">
  <authors>
    <author>elsie lew</author>
  </authors>
  <commentList>
    <comment ref="F159" authorId="0" shapeId="0">
      <text>
        <r>
          <rPr>
            <b/>
            <sz val="8"/>
            <color indexed="81"/>
            <rFont val="Tahoma"/>
          </rPr>
          <t>elsie lew:</t>
        </r>
        <r>
          <rPr>
            <sz val="8"/>
            <color indexed="81"/>
            <rFont val="Tahoma"/>
          </rPr>
          <t xml:space="preserve">
TRANSMISSION VOL
</t>
        </r>
      </text>
    </comment>
  </commentList>
</comments>
</file>

<file path=xl/comments5.xml><?xml version="1.0" encoding="utf-8"?>
<comments xmlns="http://schemas.openxmlformats.org/spreadsheetml/2006/main">
  <authors>
    <author>elsie lew</author>
  </authors>
  <commentList>
    <comment ref="F42" authorId="0" shapeId="0">
      <text>
        <r>
          <rPr>
            <b/>
            <sz val="8"/>
            <color indexed="81"/>
            <rFont val="Tahoma"/>
          </rPr>
          <t>elsie lew:</t>
        </r>
        <r>
          <rPr>
            <sz val="8"/>
            <color indexed="81"/>
            <rFont val="Tahoma"/>
          </rPr>
          <t xml:space="preserve">
TRANSMISSION VOL
</t>
        </r>
      </text>
    </comment>
  </commentList>
</comments>
</file>

<file path=xl/sharedStrings.xml><?xml version="1.0" encoding="utf-8"?>
<sst xmlns="http://schemas.openxmlformats.org/spreadsheetml/2006/main" count="11108" uniqueCount="1323">
  <si>
    <t>Rainbow Energy Marketing</t>
  </si>
  <si>
    <t>Reliant Energy Services,</t>
  </si>
  <si>
    <t>Sacramento Municipal Uti</t>
  </si>
  <si>
    <t>Salt River Project Agric</t>
  </si>
  <si>
    <t>Saskatchewan Power Corpo</t>
  </si>
  <si>
    <t>Sempra Energy Trading Co</t>
  </si>
  <si>
    <t>Sierra Pacific Power Com</t>
  </si>
  <si>
    <t>Smurfit-Stone Container</t>
  </si>
  <si>
    <t>South Carolina Electric</t>
  </si>
  <si>
    <t>Southern Company Energy</t>
  </si>
  <si>
    <t>Southern Company Service</t>
  </si>
  <si>
    <t>Tampa Electric Company</t>
  </si>
  <si>
    <t>Tenaska Power Services C</t>
  </si>
  <si>
    <t>Texas-New Mexico Power C</t>
  </si>
  <si>
    <t>Tractebel Energy Marketi</t>
  </si>
  <si>
    <t>Turlock Irrigation Distr</t>
  </si>
  <si>
    <t>Valley Electric Associat</t>
  </si>
  <si>
    <t>Vermont Public Power Sup</t>
  </si>
  <si>
    <t>Vernon, City of</t>
  </si>
  <si>
    <t>Williams Energy Marketin</t>
  </si>
  <si>
    <t>Central and South We</t>
  </si>
  <si>
    <t>City of McMinnville</t>
  </si>
  <si>
    <t>Cleco Utility Group,</t>
  </si>
  <si>
    <t>Emerald People's Uti</t>
  </si>
  <si>
    <t>Energy New England,</t>
  </si>
  <si>
    <t>Illinova Energy Part</t>
  </si>
  <si>
    <t>Louisiana-Pacific Co</t>
  </si>
  <si>
    <t>Minnesota Power, Inc</t>
  </si>
  <si>
    <t>Missoula Electric Co</t>
  </si>
  <si>
    <t>Missouri Joint Mun</t>
  </si>
  <si>
    <t>Pacific Northwest Ge</t>
  </si>
  <si>
    <t>Smurfit-Stone Contai</t>
  </si>
  <si>
    <t>Tampa Electric Compa</t>
  </si>
  <si>
    <t>Turlock Irrigation D</t>
  </si>
  <si>
    <t>Vermont Public Power</t>
  </si>
  <si>
    <t>Alliant Energy Corporate</t>
  </si>
  <si>
    <t>Arizona Public Service C</t>
  </si>
  <si>
    <t>Bonneville Power Adminis</t>
  </si>
  <si>
    <t>California Department of</t>
  </si>
  <si>
    <t>Colorado Springs Utiliti</t>
  </si>
  <si>
    <t>Commonwealth Edison Comp</t>
  </si>
  <si>
    <t>Conectiv Energy Supply,</t>
  </si>
  <si>
    <t>Consolidated Edison Ener</t>
  </si>
  <si>
    <t>Delmarva Power &amp; Light C</t>
  </si>
  <si>
    <t>Florida Power &amp; Light Co</t>
  </si>
  <si>
    <t>GPU Advanced Resources,</t>
  </si>
  <si>
    <t>GPU Service, Inc.</t>
  </si>
  <si>
    <t>Great Bay Power Corporat</t>
  </si>
  <si>
    <t>Griffin Energy Marketing</t>
  </si>
  <si>
    <t>Hafslund Energy Trading,</t>
  </si>
  <si>
    <t>Harbor Cogeneration Comp</t>
  </si>
  <si>
    <t>Hinson Power Company, In</t>
  </si>
  <si>
    <t>Keyspan Energy Trading S</t>
  </si>
  <si>
    <t>Michigan South Central P</t>
  </si>
  <si>
    <t>Missouri Public Service</t>
  </si>
  <si>
    <t>Northern Indiana Public</t>
  </si>
  <si>
    <t>Pinnacle West Capital Co</t>
  </si>
  <si>
    <t>PSEG Energy Resources &amp;</t>
  </si>
  <si>
    <t>San Diego Gas &amp; Electric</t>
  </si>
  <si>
    <t>Southern Illinois Power</t>
  </si>
  <si>
    <t>The Manitoba Hydro-Elect</t>
  </si>
  <si>
    <t>Tillamook Peoples Utilit</t>
  </si>
  <si>
    <t>TransCanada Power, a div</t>
  </si>
  <si>
    <t>Tucson Electric Power Co</t>
  </si>
  <si>
    <t>Utilicorp United Inc.</t>
  </si>
  <si>
    <t>Wheelabrator Martell Inc.</t>
  </si>
  <si>
    <t>Wisconsin Electric Power</t>
  </si>
  <si>
    <t>Ash Grove Cement Com</t>
  </si>
  <si>
    <t>Boston Edison Compan</t>
  </si>
  <si>
    <t>City of Tallahassee</t>
  </si>
  <si>
    <t>East Texas Electric</t>
  </si>
  <si>
    <t>Energy West Resource</t>
  </si>
  <si>
    <t>Hetch-Hetchy Water &amp;</t>
  </si>
  <si>
    <t>Modesto Irrigation D</t>
  </si>
  <si>
    <t>Montana-Dakota Utili</t>
  </si>
  <si>
    <t>Oklahoma Gas And Ele</t>
  </si>
  <si>
    <t>Southeastern Power A</t>
  </si>
  <si>
    <t>TXU Electric Company</t>
  </si>
  <si>
    <t>Portland General E</t>
  </si>
  <si>
    <t>Central Hudson Gas</t>
  </si>
  <si>
    <t>New York State Elec</t>
  </si>
  <si>
    <t>Entergy Services, Inc.</t>
  </si>
  <si>
    <t>Franklin County PUD</t>
  </si>
  <si>
    <t>Commonwealth Edison Company</t>
  </si>
  <si>
    <t>Georgia Transmissio</t>
  </si>
  <si>
    <t>Niagara Mohawk Powe</t>
  </si>
  <si>
    <t>Georgia Transmission</t>
  </si>
  <si>
    <t>Allegheny Power, Tr</t>
  </si>
  <si>
    <t>Ameren Services Company</t>
  </si>
  <si>
    <t>Duke Electric Transmission</t>
  </si>
  <si>
    <t>FirstEnergy System</t>
  </si>
  <si>
    <t>Southwest Power Pool</t>
  </si>
  <si>
    <t>Tennessee Valley Au</t>
  </si>
  <si>
    <t>The Power Authority</t>
  </si>
  <si>
    <t>Allegheny Power, Tra</t>
  </si>
  <si>
    <t>Ameren Services Comp</t>
  </si>
  <si>
    <t>Duke Electric Transm</t>
  </si>
  <si>
    <t>Electric Reliability</t>
  </si>
  <si>
    <t>Northern Indiana Pub</t>
  </si>
  <si>
    <t>Tennessee Valley Aut</t>
  </si>
  <si>
    <t>Ameren Services Com</t>
  </si>
  <si>
    <t>Duke Electric Trans</t>
  </si>
  <si>
    <t>Electric Reliabilit</t>
  </si>
  <si>
    <t>Michigan Electric</t>
  </si>
  <si>
    <t>Omaha Public Power</t>
  </si>
  <si>
    <t>Southwest Power Poo</t>
  </si>
  <si>
    <t>Enron Power Marketing</t>
  </si>
  <si>
    <t>PJM Interconnection, LLC Reconciliation - Desk and Region Breakout</t>
  </si>
  <si>
    <t>September 2000</t>
  </si>
  <si>
    <t>Net Flash</t>
  </si>
  <si>
    <t>Actual Invoice</t>
  </si>
  <si>
    <t>Flash - Actual Variances</t>
  </si>
  <si>
    <t>Type</t>
  </si>
  <si>
    <t>DPR / ACCT</t>
  </si>
  <si>
    <t>Desk</t>
  </si>
  <si>
    <t>Region</t>
  </si>
  <si>
    <t>Deal #</t>
  </si>
  <si>
    <t>Amount</t>
  </si>
  <si>
    <t>DPR</t>
  </si>
  <si>
    <t>EPMI-ST-HOURLY</t>
  </si>
  <si>
    <t>R1A</t>
  </si>
  <si>
    <t>EPMI-ST-PJM</t>
  </si>
  <si>
    <t>FTR</t>
  </si>
  <si>
    <t>R1E</t>
  </si>
  <si>
    <t>Day Ahead</t>
  </si>
  <si>
    <t>Transmission flashed - Transmission Tariff</t>
  </si>
  <si>
    <t>Transmission Congestion Losses</t>
  </si>
  <si>
    <t>Transmission pro-rated by desk</t>
  </si>
  <si>
    <t xml:space="preserve"> </t>
  </si>
  <si>
    <t>E</t>
  </si>
  <si>
    <t>FTR - Deficiency</t>
  </si>
  <si>
    <t>Operating Reserve Charges</t>
  </si>
  <si>
    <t>Transmission Congestion Charges</t>
  </si>
  <si>
    <t>Transmission Congestion Charges - offset</t>
  </si>
  <si>
    <t>ACCT</t>
  </si>
  <si>
    <t>PJM failed to include 8/24/00 in Settlement</t>
  </si>
  <si>
    <t>Total DPR</t>
  </si>
  <si>
    <t>Total (Acct)</t>
  </si>
  <si>
    <t xml:space="preserve">/1 </t>
  </si>
  <si>
    <t xml:space="preserve">/2 </t>
  </si>
  <si>
    <t>August 2000</t>
  </si>
  <si>
    <t>EPMI-LT-TRANS</t>
  </si>
  <si>
    <t>PA</t>
  </si>
  <si>
    <t>SA</t>
  </si>
  <si>
    <t>EPMI-ST-NY</t>
  </si>
  <si>
    <t>/2</t>
  </si>
  <si>
    <t>SOUTHEAST-HEDGE</t>
  </si>
  <si>
    <t>2000 08 - PJM missing 8/24/00</t>
  </si>
  <si>
    <t>2000 05 adjustment</t>
  </si>
  <si>
    <t>/2 - Day Ahead - duplicate deal with 386389.1,386394.1,386391.1,386392.1</t>
  </si>
  <si>
    <t>July 2000</t>
  </si>
  <si>
    <t>R1A-PJM</t>
  </si>
  <si>
    <t>R1C-NY WEST</t>
  </si>
  <si>
    <t>Emergency Energy</t>
  </si>
  <si>
    <t>June 2000</t>
  </si>
  <si>
    <t>R1C</t>
  </si>
  <si>
    <t>/2 - Day Ahead</t>
  </si>
  <si>
    <t>R1D</t>
  </si>
  <si>
    <t>/1 - 2nd &amp; 3rd Qtr MAAC Expenses - should have already been recorded as DPR?</t>
  </si>
  <si>
    <t>EPMI-ST-TRANS</t>
  </si>
  <si>
    <t>Operating Reserve Charges - DA &amp; RT</t>
  </si>
  <si>
    <t>/2 - Day Ahead transactions not entered into Enpower correct (mising, wrong index, DA without Balancing, etc)</t>
  </si>
  <si>
    <t>May 2000</t>
  </si>
  <si>
    <t>EPMI-LT-PJM</t>
  </si>
  <si>
    <t>R1E-WESTERN HUB</t>
  </si>
  <si>
    <t>R1-NY EAST</t>
  </si>
  <si>
    <t>EPMI-ST-ECAR</t>
  </si>
  <si>
    <t>R4</t>
  </si>
  <si>
    <t>5/10 HE14-18 50mw - PJM shows, NYISO does not show</t>
  </si>
  <si>
    <t>/1</t>
  </si>
  <si>
    <t>cleared 2000 08 ($11,255.34)?</t>
  </si>
  <si>
    <t>/1 - deal buying from PJM and selling to NYISO that NY is not showing and that PJM should probably take out. - John at PJM is researching.</t>
  </si>
  <si>
    <t>NET S,P,T - see attached reconciliation - PMA to follow</t>
  </si>
  <si>
    <t>ENRON POWER MARKETING INC. - COMPANY 553</t>
  </si>
  <si>
    <t>FLASH VS ACTUAL VARIANCE ANALYSIS</t>
  </si>
  <si>
    <t>FLASH</t>
  </si>
  <si>
    <t>ACTUAL</t>
  </si>
  <si>
    <t>VARIANCE</t>
  </si>
  <si>
    <t>MWHR</t>
  </si>
  <si>
    <t>AMOUNT</t>
  </si>
  <si>
    <t>SALES</t>
  </si>
  <si>
    <t>Power</t>
  </si>
  <si>
    <t>4420100-0000/xx</t>
  </si>
  <si>
    <t>Exchange Delivery</t>
  </si>
  <si>
    <t>6060999-0000a</t>
  </si>
  <si>
    <t>--</t>
  </si>
  <si>
    <t>COST OF GOODS SOLD</t>
  </si>
  <si>
    <t>Purchase</t>
  </si>
  <si>
    <t>6000999-0000</t>
  </si>
  <si>
    <t>Exchange Receipt</t>
  </si>
  <si>
    <t>6060999-0000b</t>
  </si>
  <si>
    <t>Gain / (Loss)</t>
  </si>
  <si>
    <t>OTHER REVENUES</t>
  </si>
  <si>
    <t>Demand Revenue</t>
  </si>
  <si>
    <t>4560999-0000/xx</t>
  </si>
  <si>
    <t>Option Revenue</t>
  </si>
  <si>
    <t>4560960-0000</t>
  </si>
  <si>
    <t>Other Revenue - Calif ISO</t>
  </si>
  <si>
    <t>4560-890 &amp; 4560-980 (RC 1717)</t>
  </si>
  <si>
    <t>Other Rev. - CISO PMA</t>
  </si>
  <si>
    <t>Other Revenue - Calif px</t>
  </si>
  <si>
    <t>4560-980</t>
  </si>
  <si>
    <t>Other Rev. - Calif px PMA</t>
  </si>
  <si>
    <t>OTHER EXPENSES</t>
  </si>
  <si>
    <t>Transmission</t>
  </si>
  <si>
    <t>5650960-0000</t>
  </si>
  <si>
    <t>Transmission from Genco</t>
  </si>
  <si>
    <t>Demand Fees</t>
  </si>
  <si>
    <t>6540999-0000</t>
  </si>
  <si>
    <t>Option Expense</t>
  </si>
  <si>
    <t>6540960-0000</t>
  </si>
  <si>
    <t>Other Expense - Calif ISO</t>
  </si>
  <si>
    <t>5650-980 (RC 1717)</t>
  </si>
  <si>
    <t>Other Exp. - Calif ISO PMA</t>
  </si>
  <si>
    <t>5650-980</t>
  </si>
  <si>
    <t>Other Expense - Calif px</t>
  </si>
  <si>
    <t>Other Exp. - Calif px PMA</t>
  </si>
  <si>
    <t>RECONCILED BY OTHERS</t>
  </si>
  <si>
    <t>Financial Liquidations</t>
  </si>
  <si>
    <t>Brokerage Revenue</t>
  </si>
  <si>
    <t>Ancillary Service Transaction</t>
  </si>
  <si>
    <t>OTC &amp; EXCHG - COB</t>
  </si>
  <si>
    <t>OTC &amp; EXCHG - PV</t>
  </si>
  <si>
    <t>Flash to Actual Trueup</t>
  </si>
  <si>
    <t>Broker Fees</t>
  </si>
  <si>
    <t>8130400-0000</t>
  </si>
  <si>
    <t>Swap Income</t>
  </si>
  <si>
    <t>4922xxx</t>
  </si>
  <si>
    <t>Non Operating Income</t>
  </si>
  <si>
    <t>4210999-xxxx</t>
  </si>
  <si>
    <t>Futures-Cinergy</t>
  </si>
  <si>
    <t>Affiliate Book</t>
  </si>
  <si>
    <t>PID -LT NAMGMT</t>
  </si>
  <si>
    <t>LT TVA</t>
  </si>
  <si>
    <t>Explained Changes-Kaiser Alum/Avista</t>
  </si>
  <si>
    <t>Misc - Unexplained</t>
  </si>
  <si>
    <t>Current Month Rho &amp; Drift</t>
  </si>
  <si>
    <t>MARGIN GAIN/(LOSS)</t>
  </si>
  <si>
    <t>BELOW MARGIN ITEMS</t>
  </si>
  <si>
    <t>Interest &amp; Dividend Income</t>
  </si>
  <si>
    <t>419xxxx</t>
  </si>
  <si>
    <t>Taxes</t>
  </si>
  <si>
    <t>TAXES</t>
  </si>
  <si>
    <t>8130400-xxxx</t>
  </si>
  <si>
    <t>Group</t>
  </si>
  <si>
    <t>RC 1808</t>
  </si>
  <si>
    <t>SO2 Allowances</t>
  </si>
  <si>
    <t>RC 9801</t>
  </si>
  <si>
    <t>Bad Debt</t>
  </si>
  <si>
    <t>Misc Other</t>
  </si>
  <si>
    <t>xxxxxxx</t>
  </si>
  <si>
    <t>Total East &amp; West Power G/L</t>
  </si>
  <si>
    <t>Control Totals</t>
  </si>
  <si>
    <t xml:space="preserve">    Variance</t>
  </si>
  <si>
    <t xml:space="preserve"> -   </t>
  </si>
  <si>
    <t>East Region = Region 1-6</t>
  </si>
  <si>
    <t>West Region = Region 7-12</t>
  </si>
  <si>
    <t>DPR Adjustments:</t>
  </si>
  <si>
    <t xml:space="preserve">EAST REGION - DPR </t>
  </si>
  <si>
    <t>MISC (&lt;$5,000)-net of all balances</t>
  </si>
  <si>
    <t>PJMINTL L</t>
  </si>
  <si>
    <t>EL</t>
  </si>
  <si>
    <t>See reconciliation for detail</t>
  </si>
  <si>
    <t>P</t>
  </si>
  <si>
    <t>FTR 50% to HPL</t>
  </si>
  <si>
    <t>S</t>
  </si>
  <si>
    <t>NSTARCOM</t>
  </si>
  <si>
    <t>RR</t>
  </si>
  <si>
    <t>345250.1, 383875.1, 383877.1, 425578.2 - Price adjustments related to HQ losses. Price changed from a contract price to an index price.</t>
  </si>
  <si>
    <t>345253.1, 345253.3, 345253.5, &amp; 425578.1 - Price adjustments related to HQ losses. Price change from contracted price to an index price.</t>
  </si>
  <si>
    <t xml:space="preserve"> Price adjustments related to HQ losses</t>
  </si>
  <si>
    <t>SIKESTONBOAOF</t>
  </si>
  <si>
    <t>AH</t>
  </si>
  <si>
    <t>423895.1($8,257.7) &amp; 423895.2 (19,363.04) - index adjustments for MDPS-Entergy index</t>
  </si>
  <si>
    <t>T</t>
  </si>
  <si>
    <t>NSP</t>
  </si>
  <si>
    <t>KMD</t>
  </si>
  <si>
    <t>260222.1- Risk did not flash demand charge of 100mw @$6800 for 10/29 and 10/30.</t>
  </si>
  <si>
    <t>AMERELECPOWSER</t>
  </si>
  <si>
    <t>LD</t>
  </si>
  <si>
    <t>406170.1- price change from $65.36 to $94.45, 500mw, 9/6, true up per M Jacobson</t>
  </si>
  <si>
    <t>MAPPCOR</t>
  </si>
  <si>
    <t>352771.1- various mw and rate changes made to 9/11 and 9/30</t>
  </si>
  <si>
    <t>SPLITROCENE</t>
  </si>
  <si>
    <t xml:space="preserve">409691-124mw @$124mw @$110 added 8/11 HE 15-16; 388022-20mw @$24 cut 8/8 HE 10-12 &amp; pr changed from 315mw @$24 TO $22.97;389807-35mw @$24 cut 8/10 HE10 &amp; 24mw @$24 cut 8/10 HE 11;var misc changes to deal not ref: </t>
  </si>
  <si>
    <t>NIAGARAMOHAWK</t>
  </si>
  <si>
    <t>DH</t>
  </si>
  <si>
    <t>multiple deals - Various rate and volume adjustments per R. Grace.</t>
  </si>
  <si>
    <t>DP</t>
  </si>
  <si>
    <t>MANITOBAHYDELE</t>
  </si>
  <si>
    <t>428044.1- 1mw @$10307.22 added to reflect additional monies due cp to account for power delivered outside of designated region.</t>
  </si>
  <si>
    <t>JACKSONVILLELEA</t>
  </si>
  <si>
    <t>421024.1- Price changed from 95mw @$116.09 to $100.87 9/25; 432314.1- Added 38mw @$100.87 9/21 HE 14 and  76mw @$100.87 HE 15.</t>
  </si>
  <si>
    <t>FP&amp;L</t>
  </si>
  <si>
    <t>91395.29 - PA annuity added to reduce 9/00 estimated prices to actual payable.</t>
  </si>
  <si>
    <t>260222.1- Added 100mw @468 to adjust 8-00 transmission.</t>
  </si>
  <si>
    <t>260222.1- Added 100mw @$68 to adjust 6-00 transmission</t>
  </si>
  <si>
    <t>260222.1- Added 100mw @$68 5/1 HE 7 to adjust 5-00 transmission.</t>
  </si>
  <si>
    <t>260222.1- Added 100mw @468 7/1 to adjust 7-00 transmission.</t>
  </si>
  <si>
    <t>SOUTHWESPOWPOO</t>
  </si>
  <si>
    <t xml:space="preserve">Risk flashed 6705mw @$14,787.64 vs. Settled  Amount of 6705mw @$20,630.68 </t>
  </si>
  <si>
    <t xml:space="preserve"> 420797.1- Added 750mw @$3.28 9/26 HE 13-22; 421609.1- Price changed from 1600mw @$1.18 to $3.27 9/27 </t>
  </si>
  <si>
    <t>ALLEGHENPOWTRA</t>
  </si>
  <si>
    <t>JW</t>
  </si>
  <si>
    <t>406173.1 - true up per L Bolt</t>
  </si>
  <si>
    <t>CINERGYSERINC</t>
  </si>
  <si>
    <t>408719.1- price changed from 780mw @$1.77 to $3  9/9 HE 7; 408829.1- Added 152mw @$1.20 9/10 HE 7; 411925.1- Added 1300mw @$3  9/14 HE 7.</t>
  </si>
  <si>
    <t>UNITEDPOWER</t>
  </si>
  <si>
    <t>404284- 21mw @$22 cut 9/1 HE 19-22; 415851- 25mw @$6 cut 9/20 HE 18; 417121- 140mw @$22 added 9/21 HE 21 and 135mw @$22 added 9/21 HE 20</t>
  </si>
  <si>
    <t>414131.1- 80mw @$1.81 cut 9/15 HE 1; 414145.1- Price changed from 80mw @$4.16 to $1.81 9/16 HE 1-7, 80mw @$1.81 cut 9/16 HE 1; 412969.1- 800mw @$4.16 cut 9/15 HE 1, 50mw @$3.46 cut 9/15 HE 8, 11mw @$4.16 added 9/15 HE 1 and price changed to 3.46.</t>
  </si>
  <si>
    <t>DR</t>
  </si>
  <si>
    <t>ENTERGYSVC</t>
  </si>
  <si>
    <t>432750.1 - demand charge - created by T. Allen 10/11/00; approved by Dana Davis 10/11/00</t>
  </si>
  <si>
    <t>Mult deals - transmission true up per L Bolt</t>
  </si>
  <si>
    <t>407263.1 &amp; 425578.6 - $8,828.43 index price adjustment - New England Power Pool Index</t>
  </si>
  <si>
    <t>407321.1- Demand price changed from 8mw @$1414 to $100.42 9/1 HE 1-24.</t>
  </si>
  <si>
    <t>LG&amp;E</t>
  </si>
  <si>
    <t>285353.1- 25mw @$135 added 8/14 HE 12; 295897.1- 50mw @$145 added 8/14 HE12.</t>
  </si>
  <si>
    <t>TRANSCANPOWMKT</t>
  </si>
  <si>
    <t>443955.1 risk flashed 400 mw but sb 800 mw @56.50</t>
  </si>
  <si>
    <t>MICHIGANSOUCEN</t>
  </si>
  <si>
    <t>95853.4 - risk did not flash - daylight savings hour changed; deal was pending when risk flashed their numbers</t>
  </si>
  <si>
    <t>East Sub-Total</t>
  </si>
  <si>
    <t xml:space="preserve">WEST REGION - DPR </t>
  </si>
  <si>
    <t>Seattle City Light</t>
  </si>
  <si>
    <t>KG</t>
  </si>
  <si>
    <t>Payment to SCL for CAISO Prelim.</t>
  </si>
  <si>
    <t>TOSCORFNGCO</t>
  </si>
  <si>
    <t>Generation volume sold to the califrnia imbalance market.</t>
  </si>
  <si>
    <t>PACIFICOR</t>
  </si>
  <si>
    <t>DPR from B/R deals 408837.1, 424838.1 and 425011.1  also called DPR on s side. - net DPR of ($8,015)</t>
  </si>
  <si>
    <t xml:space="preserve">398912.1,398912.2 DJ MC Offpeak index price adjustment; Deal was initially entered to reflect DJ MC offpeak for each day of the month. Leg 2 was entered to reflect DJ MC offpeak Sunday index - was listed on 2000 09 Upcoming PMA's </t>
  </si>
  <si>
    <t>WILLAMETTEIND</t>
  </si>
  <si>
    <t>442180.1 and 442195.1 deals entered by L. Rawson, generation sold to california imbalance arket.</t>
  </si>
  <si>
    <t>WHEELABRMAR</t>
  </si>
  <si>
    <t>412936.2 green tag credits</t>
  </si>
  <si>
    <t>SAGUAROPOWCOM</t>
  </si>
  <si>
    <t>398008.1 and 422803.1 generation sold to california imbalance market.</t>
  </si>
  <si>
    <t>LASVEGCOG</t>
  </si>
  <si>
    <t>408375.1, 425487.1, 425735.1, 425785.1 - ($10235.55) - true up per Greg Wolfe</t>
  </si>
  <si>
    <t>CITYRIC</t>
  </si>
  <si>
    <t xml:space="preserve"> 448710.1 deal added on 11/1/00 by DROBINS per Deal Auditor for 9/18/00 he 7 to 22 3mw/hr @ $200.</t>
  </si>
  <si>
    <t>DELANOENECOM</t>
  </si>
  <si>
    <t>372744.4 annuity for green tag credits.</t>
  </si>
  <si>
    <t>372744.2, 376119.3 updated green tag credit for July 00 per K. Nelson.</t>
  </si>
  <si>
    <t>ELPASELECOM</t>
  </si>
  <si>
    <t>423865.1-$3900-price on 195 mws from $0 to $20 for 9/28;422517.1-$3000-price on 150 mws from $0 to $20; and 419762.1-$450-price on 30 mws from $0 to $15 - price changes made on 10/11</t>
  </si>
  <si>
    <t>433023.1, 433171.1 - true up per Greg Wolfe $9,114</t>
  </si>
  <si>
    <t>ENRONENEMAR</t>
  </si>
  <si>
    <t>385852.1- PXNP15 index price adjustment. Risk flashed 745 $75,747.05. Settled on $90,274.55. Add'l DPR of $5,294.57 to follow in 200011 Acctg.</t>
  </si>
  <si>
    <t>VALLEYELECTRIC</t>
  </si>
  <si>
    <t>425477.1- $1536.76; 425729.1- $5622.78; 425777.1- $4572.94- deals added</t>
  </si>
  <si>
    <t>WAPASIERRANEV</t>
  </si>
  <si>
    <t>KJ</t>
  </si>
  <si>
    <t>67842.22 - $45,760, Dow Jones Cob Firm index settlement</t>
  </si>
  <si>
    <t>442038.1 Annuity per L. Rawson for profit sharing.</t>
  </si>
  <si>
    <t>B/R deal408837.1, 424838.1, 425011.1 also called DPR on P side - net DPR of ($8,015)</t>
  </si>
  <si>
    <t>434036.1 input by L. Rawson on 10/12 for "payment from Saguaro to hourly book for month of August business. Holding back $56,981 profit + $10,000 reserve + $14,418 expenses."</t>
  </si>
  <si>
    <t>432949.1 - Remarketing Value Added on 10/11</t>
  </si>
  <si>
    <t>432950.1- Remarketing Value Added on 10/11</t>
  </si>
  <si>
    <t>432941.1- Remarketing Value Added on 10/11</t>
  </si>
  <si>
    <t>OPP</t>
  </si>
  <si>
    <t>ELPASOMERLP</t>
  </si>
  <si>
    <t>442260.1 Annuity entered 10/24/00 by L. Rawson,for reserve profit sharing and trans.</t>
  </si>
  <si>
    <t>442872.1 - sales annuity entered by Les Rawson 10/25/00 per Greg Wolfe (for Sept initial payment)</t>
  </si>
  <si>
    <t>West Sub-Total</t>
  </si>
  <si>
    <t>2000 California ISO Ancillary Services Adjustments:  Volume Mgmt. Vs. Risk Flash</t>
  </si>
  <si>
    <t>1999-2000  California Actualization Adjustments</t>
  </si>
  <si>
    <t>07/00 ARCO ISO Actualization</t>
  </si>
  <si>
    <t>07/00 ARCO ISO Estimate Reversal</t>
  </si>
  <si>
    <t>07/00 Avista - WWP ISO Estimate Reversal</t>
  </si>
  <si>
    <t>423844.1-Trade date 9/28- Deal was flashed &amp; booked in 2000 09 acctg, then flashed again in 2000 10 acctg.</t>
  </si>
  <si>
    <t>07/00 Avista-WWP ISO Actualization</t>
  </si>
  <si>
    <t>07/00 California ISO &amp; FTR Actualization</t>
  </si>
  <si>
    <t>07/00 CFE ISO Actualization</t>
  </si>
  <si>
    <t>07/00 Chelan ISO Actualization</t>
  </si>
  <si>
    <t>07/00 CRC ISO Actualization</t>
  </si>
  <si>
    <t>07/00 CRC ISO Estimate Reversal</t>
  </si>
  <si>
    <t>07/00 Delano ISO Actualization</t>
  </si>
  <si>
    <t>07/00 Delano ISO Estimate Reversal</t>
  </si>
  <si>
    <t>07/00 EEMC ISO Actualization</t>
  </si>
  <si>
    <t>07/00 EES ISO Actualization</t>
  </si>
  <si>
    <t>07/00 El Paso ISO Actualization</t>
  </si>
  <si>
    <t>07/00 El Paso ISO Estimate Reversal</t>
  </si>
  <si>
    <t>07/00 EWEB ISO Actualization</t>
  </si>
  <si>
    <t>07/00 EWEB ISO Estimate Reversal</t>
  </si>
  <si>
    <t>07/00 Grant Co. ISO Actualization</t>
  </si>
  <si>
    <t>07/00 Grant Co. ISO Estimate Reversal</t>
  </si>
  <si>
    <t>07/00 Harbor Cogen ISO Actualization</t>
  </si>
  <si>
    <t>07/00 Harbor Cogen ISO Estimate Reversal</t>
  </si>
  <si>
    <t>07/00 Louisiana Pacific ISO Actualization</t>
  </si>
  <si>
    <t>07/00 Louisiana Pacific ISO Estimate Reversal</t>
  </si>
  <si>
    <t>07/00 LV Cogen ISO Actualization</t>
  </si>
  <si>
    <t>07/00 LV Cogen ISO Estimate Reversal</t>
  </si>
  <si>
    <t>07/00 Seattle City Light ISO Actualization</t>
  </si>
  <si>
    <t>07/00 Seattle City Light ISO Estimate Reversal</t>
  </si>
  <si>
    <t>07/00 Snohomish ISO Actualization</t>
  </si>
  <si>
    <t>07/00 Snohomish ISO Estimate Reversal</t>
  </si>
  <si>
    <t>07/00 Tacoma ISO Actualization</t>
  </si>
  <si>
    <t>07/00 Tacoma ISO Estimate Reversal</t>
  </si>
  <si>
    <t>07/00 TOSCO ISO Actualization</t>
  </si>
  <si>
    <t>07/00 TOSCO ISO Estimate Reversal</t>
  </si>
  <si>
    <t>07/00 Transalta ISO Actualization</t>
  </si>
  <si>
    <t>07/00 Transalta ISO Estimate Reversal</t>
  </si>
  <si>
    <t>07/00 Valley Electric ISO Actualization</t>
  </si>
  <si>
    <t>07/00 Valley Electric ISO Estimate Reversal</t>
  </si>
  <si>
    <t>07/00 Wheelabrator ISO Actualization</t>
  </si>
  <si>
    <t>07/00 Wheelabrator ISO Estimate Reversal</t>
  </si>
  <si>
    <t>07/00 Wilamette ISO Estimate Reversal</t>
  </si>
  <si>
    <t>07/00 Willamette ISO Actualization</t>
  </si>
  <si>
    <t>06/00 ARCO ISO Actualization</t>
  </si>
  <si>
    <t>06/00 ARCO ISO Estimate Reversal</t>
  </si>
  <si>
    <t>06/00 Avista - WWP ISO Estimate Reversal</t>
  </si>
  <si>
    <t>06/00 Avista-WWP ISO Actualization</t>
  </si>
  <si>
    <t>06/00 Cal PX Estimate Reversal</t>
  </si>
  <si>
    <t>06/00 California ISO Actualization</t>
  </si>
  <si>
    <t>06/00 California ISO Estimate Reversal</t>
  </si>
  <si>
    <t>06/00 CalPX Actualization</t>
  </si>
  <si>
    <t>06/00 CFE ISO Actualization</t>
  </si>
  <si>
    <t>06/00 Chelan ISO Actualization</t>
  </si>
  <si>
    <t>06/00 Chelan ISO Estimate Reversal</t>
  </si>
  <si>
    <t>06/00 CRC Estimate Reversal</t>
  </si>
  <si>
    <t>06/00 CRC ISO Actualization</t>
  </si>
  <si>
    <t>06/00 CRC ISO Estimate Reversal</t>
  </si>
  <si>
    <t>06/00 CRC PX Actualization</t>
  </si>
  <si>
    <t>06/00 CSU ISO Actualization</t>
  </si>
  <si>
    <t>06/00 CSU ISO Estimate Reversal</t>
  </si>
  <si>
    <t>06/00 Delano ISO Actualization</t>
  </si>
  <si>
    <t>06/00 Delano ISO Estimate Reversal</t>
  </si>
  <si>
    <t>06/00 EEMC ISO Actualization</t>
  </si>
  <si>
    <t>06/00 EES ISO Actualization</t>
  </si>
  <si>
    <t xml:space="preserve">06/00 El Paso Electric PX Estimate Reversal </t>
  </si>
  <si>
    <t>06/00 El Paso ISO Actualization</t>
  </si>
  <si>
    <t>06/00 El Paso ISO Estimate Reversal</t>
  </si>
  <si>
    <t>06/00 El Paso PX Actualization</t>
  </si>
  <si>
    <t>06/00 EWEB ISO Actualization</t>
  </si>
  <si>
    <t>06/00 Glendale ISO Actualization</t>
  </si>
  <si>
    <t>06/00 Glendale ISO Estimate Reversal</t>
  </si>
  <si>
    <t>06/00 Grant Co. ISO Actualization</t>
  </si>
  <si>
    <t>06/00 Grant Co. ISO Estimate Reversal</t>
  </si>
  <si>
    <t>06/00 Louisiana Pacific ISO Actualization</t>
  </si>
  <si>
    <t>06/00 Louisiana Pacific ISO Estimate Reversal</t>
  </si>
  <si>
    <t>06/00 LV Cogen ISO Actualization</t>
  </si>
  <si>
    <t>06/00 LV Cogen ISO Estimate Reversal</t>
  </si>
  <si>
    <t>06/00 LV Cogen PX Actualization</t>
  </si>
  <si>
    <t>06/00 LV Cogen PX Estimate Reversal</t>
  </si>
  <si>
    <t>06/00 Puget ISO Actualization</t>
  </si>
  <si>
    <t>06/00 Puget ISO Estimate Reversal</t>
  </si>
  <si>
    <t>06/00 Puget PX Actualization</t>
  </si>
  <si>
    <t>06/00 Puget PX Estimate Reversal</t>
  </si>
  <si>
    <t>06/00 Seattle City Light ISO Actualization</t>
  </si>
  <si>
    <t>06/00 Seattle City Light ISO Estimate Reversal</t>
  </si>
  <si>
    <t>06/00 Snohomish ISO Actualization</t>
  </si>
  <si>
    <t>06/00 Snohomish ISO Estimate Reversal</t>
  </si>
  <si>
    <t>06/00 Tacoma ISO Actualization</t>
  </si>
  <si>
    <t>06/00 Tacoma ISO Estimate Reversal</t>
  </si>
  <si>
    <t>06/00 TOSCO ISO Actualization</t>
  </si>
  <si>
    <t>06/00 TOSCO ISO Estimate Reversal</t>
  </si>
  <si>
    <t>06/00 Transalta ISO Actualization</t>
  </si>
  <si>
    <t>06/00 Transalta ISO Estimate Reversal</t>
  </si>
  <si>
    <t>06/00 Valley Electric ISO Actualization</t>
  </si>
  <si>
    <t>06/00 Valley Electric ISO Estimate Reversal</t>
  </si>
  <si>
    <t>06/00 Valley Electric PX Actualization</t>
  </si>
  <si>
    <t>06/00 Valley Electric PX Estimate Reversal</t>
  </si>
  <si>
    <t>West Volume Management Sub-Total</t>
  </si>
  <si>
    <t>Accounting Adjustments:</t>
  </si>
  <si>
    <t>OFFSETS TO PRIOR MONTH ACCTG VARIANCES:</t>
  </si>
  <si>
    <t>Power Settlements</t>
  </si>
  <si>
    <t>Offsets 2000 09 Accounting Variance of $190,076,786 - this is part of the variance reversing - see Russ vs GL system tie out for details</t>
  </si>
  <si>
    <t>AECI</t>
  </si>
  <si>
    <t>partially offsets ($8.40) in 2000 09 Misc. Acct Var. under $1000</t>
  </si>
  <si>
    <t>Offsets 200009 Acct Variance</t>
  </si>
  <si>
    <t>ALLEGHENENESUP</t>
  </si>
  <si>
    <t>offsets 2000 09 Misc Acct Var. under $1000</t>
  </si>
  <si>
    <t>421665.1 ($4133.76), 422393.1 ($3096.57), 423473.1 ($4005.95)- offsets 2000 09 Acct Variance- $11,236.00- .28 rounding</t>
  </si>
  <si>
    <t>AMERENAGENT</t>
  </si>
  <si>
    <t>AQUILA</t>
  </si>
  <si>
    <t>Offsets 200009 Acctg Variance</t>
  </si>
  <si>
    <t>ATLANTICRICH</t>
  </si>
  <si>
    <t>AVISTAENE</t>
  </si>
  <si>
    <t>Offsets 200010 accounting variance</t>
  </si>
  <si>
    <t>AVISTAUTIWASH</t>
  </si>
  <si>
    <t>347391.1-offsets 2000 06 ACCT Var ($7865)</t>
  </si>
  <si>
    <t>424953.1- offsets 2000 09 Acct. Variance</t>
  </si>
  <si>
    <t>424114.1- offsets 2000 09 Acct. Variance</t>
  </si>
  <si>
    <t>328040.1- offsets 2000 09 Acct. Variance</t>
  </si>
  <si>
    <t>CALIFORNPOWEXC</t>
  </si>
  <si>
    <t>Offsets 2000 09 Acct. Var.</t>
  </si>
  <si>
    <t>Partial offset  2000 09 Acct. Var.$194,963</t>
  </si>
  <si>
    <t>Partial offset Sep 00 Acct Var of $904,255.00 deal# 424642.1,425004.1, and 423653.1</t>
  </si>
  <si>
    <t>CALIFORNPOWEXC1</t>
  </si>
  <si>
    <t>Partial offset  of 2000 09 Acct. Var. $163,260 PMA to follow</t>
  </si>
  <si>
    <t>CALPINEPOWSER</t>
  </si>
  <si>
    <t>CENTRALILLLIGCO</t>
  </si>
  <si>
    <t>offsets 2000 09 Misc. Acct. Var. under $1000</t>
  </si>
  <si>
    <t>Connecticut Municipal Electric Energy Cooperative</t>
  </si>
  <si>
    <t>CONOCOPOWMAR</t>
  </si>
  <si>
    <t>CONSTELLPOWSOU</t>
  </si>
  <si>
    <t>325193.1- offsets 2000 09 Acct. Variance</t>
  </si>
  <si>
    <t>142179.1- $1,277,671.67, ($1,271,851.33); 343033.1- $1,278,171.70, ($1,272,351.37)- offsets 2000 09 Acct Variance; .67-rounding</t>
  </si>
  <si>
    <t>Offsets 200009 acctg variance</t>
  </si>
  <si>
    <t>CORALPOWLLC</t>
  </si>
  <si>
    <t>DAYTON_P&amp;L</t>
  </si>
  <si>
    <t xml:space="preserve"> 422211.1- offsets 2000 09 Acct. Variance of ($8318)</t>
  </si>
  <si>
    <t xml:space="preserve">Offsets 2000 09 Acct. Var. </t>
  </si>
  <si>
    <t>DYNEGYPOWMAR</t>
  </si>
  <si>
    <t>338546.1- offsets 2000 05 Acct. Variance</t>
  </si>
  <si>
    <t>offsets 2000 09 Acct. Variance; $11,640.00; .44-rounding</t>
  </si>
  <si>
    <t>424437.1- offsets 2000 09 Acct. Variance</t>
  </si>
  <si>
    <t>399507.1- offsets 2000 09 Acct. Variance of ($5820); (.37)-rounding</t>
  </si>
  <si>
    <t>350086.1- offsets 2000 09  Acct. Variance of $5820.00; .31-rounding</t>
  </si>
  <si>
    <t>ELECTRICRELCOU</t>
  </si>
  <si>
    <t>Offsets 2000 09 Misc. Acct Var. under $1000</t>
  </si>
  <si>
    <t>KH</t>
  </si>
  <si>
    <t>ENRONENESERINC</t>
  </si>
  <si>
    <t>offsets 2000 09 Acct Var for PGEENEPOWLP</t>
  </si>
  <si>
    <t>offsets 2000 09 Acct var of PGEENEPOWLP</t>
  </si>
  <si>
    <t>FLORIDAPOWCOR</t>
  </si>
  <si>
    <t>HARBORCOG</t>
  </si>
  <si>
    <t>IDACORPENE</t>
  </si>
  <si>
    <t>ISO New England Inc.</t>
  </si>
  <si>
    <t>Offsets 2000 06 Acct Var</t>
  </si>
  <si>
    <t>Las Vegas Cogeneration</t>
  </si>
  <si>
    <t>partially offsets in 2000 05, 06, 07 acct var $7681</t>
  </si>
  <si>
    <t>Offsets 2000 08 acct var</t>
  </si>
  <si>
    <t>Offsets in 2000 09 acct var $13200</t>
  </si>
  <si>
    <t xml:space="preserve"> partially offsets in 2000 09 acct var ($61,415)</t>
  </si>
  <si>
    <t>LOSANGELWATPOW</t>
  </si>
  <si>
    <t>LOUISIANAPACOR</t>
  </si>
  <si>
    <t>partial offset to 200009 acct variance of $2529</t>
  </si>
  <si>
    <t>Offsets 200009 acctg variance.</t>
  </si>
  <si>
    <t>Partial offset to 200009 acctg variance of $2529</t>
  </si>
  <si>
    <t>MICHIGANELECOO</t>
  </si>
  <si>
    <t>MIDAMERIENECO</t>
  </si>
  <si>
    <t>MIECO</t>
  </si>
  <si>
    <t>MINNESOTMUNPOW</t>
  </si>
  <si>
    <t>MONTANA POWER</t>
  </si>
  <si>
    <t>NPC</t>
  </si>
  <si>
    <t>partially offsets $86.10 in 2000 09 Misc. Acct Var under $1000</t>
  </si>
  <si>
    <t xml:space="preserve"> partially offsets ($164.92) in 2000 09 Misc. Acct Var under $1000</t>
  </si>
  <si>
    <t>partially offsets $7.00 in 2000 09 Misc Acct Var under $1000</t>
  </si>
  <si>
    <t>NRGPOWMAR</t>
  </si>
  <si>
    <t>Offsets 2000 07 Acct Var.</t>
  </si>
  <si>
    <t>OMAHAPUBPOW</t>
  </si>
  <si>
    <t>OTTERTAIPOW</t>
  </si>
  <si>
    <t>Partial Offset of Sep 00 Acct Variance of $(99,000.00)</t>
  </si>
  <si>
    <t>PECO</t>
  </si>
  <si>
    <t>PGEENEPOWLP</t>
  </si>
  <si>
    <t>PORTLAND</t>
  </si>
  <si>
    <t>PPL Montana, LLC</t>
  </si>
  <si>
    <t>PUBLICSERNM</t>
  </si>
  <si>
    <t>PUD of Chelan</t>
  </si>
  <si>
    <t>Offsets 2000 07 acct var</t>
  </si>
  <si>
    <t>OPR</t>
  </si>
  <si>
    <t>PUGRANTCTY</t>
  </si>
  <si>
    <t>SASKATCHPOWCOR</t>
  </si>
  <si>
    <t>Offsets 20009 misc acctg variances of $275 and $925</t>
  </si>
  <si>
    <t>SEATTLECITLIG</t>
  </si>
  <si>
    <t>SEMPRAENETRA</t>
  </si>
  <si>
    <t>SIERRA PACIFIC</t>
  </si>
  <si>
    <t>SMURFITSTOCON</t>
  </si>
  <si>
    <t>SOUTHERNCOMSER</t>
  </si>
  <si>
    <t xml:space="preserve"> offsets 200009 misc acctg var &amp; &lt;$1307.32&gt; offsets 200009 acctg var</t>
  </si>
  <si>
    <t>Partial offset to 200009 acctg variance of $1550</t>
  </si>
  <si>
    <t xml:space="preserve"> partial offset to 200009 acctg var of $1550</t>
  </si>
  <si>
    <t>SRP</t>
  </si>
  <si>
    <t>318547.1 - Offsets 2000 09 Acct Variance.</t>
  </si>
  <si>
    <t>TACOMAPUBUTI</t>
  </si>
  <si>
    <t>TAMPAELECCOM</t>
  </si>
  <si>
    <t>The California Independent System Operator</t>
  </si>
  <si>
    <t>TRANSAENEMARUS</t>
  </si>
  <si>
    <t xml:space="preserve"> offsets in Split Rock</t>
  </si>
  <si>
    <t>Offsets 2000 09 Misc Acct Var. under $1,000.</t>
  </si>
  <si>
    <t>VIRGINIAELEPOW</t>
  </si>
  <si>
    <t>WESTERNRES</t>
  </si>
  <si>
    <t>424555.1- offsets 2000 09 Acct. Variance</t>
  </si>
  <si>
    <t>Wheelebrator</t>
  </si>
  <si>
    <t>Partially offsets 09/00 Acctg. Variance of $3,116</t>
  </si>
  <si>
    <t>WILLIAMSENEMAR</t>
  </si>
  <si>
    <t>ACCOUNTING ADJUSTMENT PMAs TO FOLLOW:</t>
  </si>
  <si>
    <t>MISC ACCT &lt; $1,000</t>
  </si>
  <si>
    <t>EES/EEMC</t>
  </si>
  <si>
    <t>Intercompany variance between what was booked to GL versus what is in Unify; entries to be made; for detail see Intercompany Analysis 2000 10 - PMA to follow</t>
  </si>
  <si>
    <t>378342- Premium change made to deal - PMA to follow</t>
  </si>
  <si>
    <t>447516.1- Trade Date 10/31- pma will follow 200011 acctg month.</t>
  </si>
  <si>
    <t>422414.1 did not load to Unify - PMA to follow</t>
  </si>
  <si>
    <t>422413.1 did not load to Unify -PMA to follow</t>
  </si>
  <si>
    <t>447572- Trade date 10/31- pma will follow 200011 acctg month.</t>
  </si>
  <si>
    <t>4485691- Risk will flash 200011 acctg month.,PMA to follow</t>
  </si>
  <si>
    <t>422412.1 did not load to Unify - PMA to follow</t>
  </si>
  <si>
    <t>445371.1 unify did not load extra hour for time change 29 Mwh at @ $70.62 PMA to follow.</t>
  </si>
  <si>
    <t>AVISTAWWPSUP</t>
  </si>
  <si>
    <t>Multiple deals did not load into Unify- PMA to follow- 2000 12 Acct. Month</t>
  </si>
  <si>
    <t>437597.1- deal added (Real Time thru Pacificorp) ; 10/17; Hrs. 12-24, 10mw @ $80; PMA to follow- 2000 12 Acct. Month</t>
  </si>
  <si>
    <t>BENTONCOUPUB</t>
  </si>
  <si>
    <t>435869.1- Unify did not load deal - pma to follow 200011 acctg month.</t>
  </si>
  <si>
    <t>BPA</t>
  </si>
  <si>
    <t>421940,422879,424094,424957- unify adj-PMA to follow</t>
  </si>
  <si>
    <t>205218.1 pending DMS -PMA to follow</t>
  </si>
  <si>
    <t>BPENERGYCO</t>
  </si>
  <si>
    <t>446222.1- Trade Date 10/30- pma will follow 200011 acctg month.</t>
  </si>
  <si>
    <t>Deal 445364.1 adjusted in EnPower &amp; picked up in flash.  Need to re-draft Unify and pull in adjustment.  PMA to follow in 11/00.</t>
  </si>
  <si>
    <t>Deal 446529.1 did not load in unify PMA to follow.</t>
  </si>
  <si>
    <t>446063.1 did not load in unify PMA to follow.</t>
  </si>
  <si>
    <t xml:space="preserve"> 408836.1 PMA to follow.</t>
  </si>
  <si>
    <t>446061.1,446501.1,446503.1,446505.1,446507.1 did not load PMA to follow.  445357.1,445359.1,445361.1,445377.1 all had an extra hour in unify due to time change, PMA to follow.</t>
  </si>
  <si>
    <t>446509.1 deal did not load in unify PMA to follow.</t>
  </si>
  <si>
    <t>CALIFORNPOWEXC2</t>
  </si>
  <si>
    <t>CALIFORNPOWEXC2- Represents the California PX Block forward deals in EnPower that went physical and will be settled by CalPX forward market invoice.  This CP will be set up in Unify this month and all deals will be drafted across in 11/00.</t>
  </si>
  <si>
    <t>CALIFORNPXTIM</t>
  </si>
  <si>
    <t>CALIFORNPXTIM - Represents the estimate for time removal charges for the CalPX.  This CP should be booked manually to the G/L as an estimate &amp; reversed when actualized.  PMA to follow in 11/00.</t>
  </si>
  <si>
    <t>CAROLINA</t>
  </si>
  <si>
    <t>425485.1- Unify did not load BR deal - pma to follow 200011 acctg month.</t>
  </si>
  <si>
    <t>415208.1- mws added before flash - PMA to follow</t>
  </si>
  <si>
    <t>446039.1- Unify did not load deal - pma to follow 200011 acctg month.</t>
  </si>
  <si>
    <t>416112.2- &amp; 416112.3- Unify loaded deal in error - pma to follow</t>
  </si>
  <si>
    <t>416112.3- Unify loaded deal in error- pma to follow  200011 acctg</t>
  </si>
  <si>
    <t>416112.2- Unify loaded deal in error - pma to follow</t>
  </si>
  <si>
    <t>CITYRIVERSIDE</t>
  </si>
  <si>
    <t>447732.1 - Deal added has been pulled into Unify and invoice sent for new deal - pma to follow</t>
  </si>
  <si>
    <t>COLORADOSPRUTI</t>
  </si>
  <si>
    <t>13982.3 - Deal did not load into Unify - pma to follow</t>
  </si>
  <si>
    <t>Index not settled in Unify PMA to follow, possible $(216.99) DPR as well.</t>
  </si>
  <si>
    <t>447264,447306- Trade Date 10/31- pma will follow 200011 acctg month.</t>
  </si>
  <si>
    <t>427944.1- risk pulled numbers after accrual, 6825mw is correct; PMA to follow- 2000 12 Acct. Month</t>
  </si>
  <si>
    <t>445372.1 time change unify error, 10/29 HE 2, PMA to follow.</t>
  </si>
  <si>
    <t>DUKEENETRA</t>
  </si>
  <si>
    <t>253682- Unify did not load deal - pma to follow 200011 acctg month.</t>
  </si>
  <si>
    <t>381116- Premium change made to deal - PMA to follow</t>
  </si>
  <si>
    <t>385430.1- showed up as draft status by mistake, then fell off- PMA to follow- 2000 12 Acct. Month</t>
  </si>
  <si>
    <t>446040.1- deal did not load into unify- PMA to follow- 2000 12 Acct. Month</t>
  </si>
  <si>
    <t>446043.1- risk flashed after accruals; Unify did not flash at all- PMA to follow- 2000 12 Acct. Month</t>
  </si>
  <si>
    <t>EDISONMISMAR</t>
  </si>
  <si>
    <t>446044.1 - deal did not pull through to unify - PMA to follow</t>
  </si>
  <si>
    <t>EES-WEST</t>
  </si>
  <si>
    <t>Intercompany Rec being done-entries may be needed -PMA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</si>
  <si>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</si>
  <si>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</si>
  <si>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385852.1 - Unify reversed invoice in error. Correction in 2000 11 g/l. New amt in Unify $92,378.77-PMA to follow</t>
  </si>
  <si>
    <t>387085.1 Deal added to tie to counterparty. Researching - PMA to follow</t>
  </si>
  <si>
    <t>ENTERGYPOWMAR</t>
  </si>
  <si>
    <t>428935.1- Unify booked deal in error - pma to follow 200011 acctg month.</t>
  </si>
  <si>
    <t>EUGENEWATELE</t>
  </si>
  <si>
    <t>447695.1 did not load to unify-PMA to follow</t>
  </si>
  <si>
    <t>HAFSLUNDENETRA</t>
  </si>
  <si>
    <t>445798.1 - deal did not pull through to unify - PMA to follow</t>
  </si>
  <si>
    <t>Harbor Cogeneration</t>
  </si>
  <si>
    <t>10/00 California ISO FTR Amoritization.  Portland did not flash in their liquidation file.</t>
  </si>
  <si>
    <t>gas true-up entry needed to 40004000 account - PMA to follow</t>
  </si>
  <si>
    <t>gas estimate - sale to be booked to 40004000 acct - PMA to follow</t>
  </si>
  <si>
    <t>442268.1 - entered by Les Rawson; Call in to Portland to see if this is profit sharing or needs to be reversed out - PMA to follow</t>
  </si>
  <si>
    <t>HQENESER1</t>
  </si>
  <si>
    <t>447036.1 changed for 10/31 delivery to 11/1 delivery per Paul B.  PMA to follow.</t>
  </si>
  <si>
    <t>348594.1- Unify redrafted deal in error - pma to follow 200011acctg</t>
  </si>
  <si>
    <t>Unify duplicated deal in error - PMA will follow 200011 acctg month</t>
  </si>
  <si>
    <t>446504.1 - will not settle until December flash - possible dpr - PMA to follow</t>
  </si>
  <si>
    <t>408250.1- Unify loaded deals in error- pma to follow 200011 acctg month.</t>
  </si>
  <si>
    <t xml:space="preserve"> 394919.1 Unify loaded incorrect demand charge - pma to follow.</t>
  </si>
  <si>
    <t>441954.1- Interdesk move-PMA to follow</t>
  </si>
  <si>
    <t>MERRILL</t>
  </si>
  <si>
    <t>446334,446335- Trade Date 10/30- pma will follow 200011 acctg</t>
  </si>
  <si>
    <t>MISSOURIPUBSER</t>
  </si>
  <si>
    <t>444795.1- cuts on several hours, Risk pulled numbers after accrual- PMA to follow- 2000 12 Acct. Month</t>
  </si>
  <si>
    <t>449948.1- deal added as other side of a bookout for 444796.1; hrs. 11-17; 40mw @ $30; PMA to follow-2000 12 Acct. Month</t>
  </si>
  <si>
    <t>272305.3 DJ MC Sun index not settled PMA to follow, watch for DPR of $105.84</t>
  </si>
  <si>
    <t>MORGAN</t>
  </si>
  <si>
    <t>267839- Premium change made to deal - PMA to follow</t>
  </si>
  <si>
    <t>381422.1 - Amount in EnPower consistent w/ amt in Unify. PMA to follow.</t>
  </si>
  <si>
    <t>NEWENGPOW</t>
  </si>
  <si>
    <t>NET S,P,T - Reconciliation in progress to identify all offsetting &amp; outstanding variances; and any remaining DPR - PMA to follow</t>
  </si>
  <si>
    <t>NEWYORIND</t>
  </si>
  <si>
    <t>NIAGARAMOHENE</t>
  </si>
  <si>
    <t>449686.1 open access refund for prior month, PMA to follow.</t>
  </si>
  <si>
    <t>438606.1- Risk pulled numbers after accrual - pma will follow 200011acctg month.</t>
  </si>
  <si>
    <t>345270.1, 345270.2, 424416.1, 424416.2 - Unify booked deals in error. PMA to follow 2000 11 Acctg.</t>
  </si>
  <si>
    <t>370284.1 demand charge possible DPR will resolve with Pacificor.-PMA to follow</t>
  </si>
  <si>
    <t>124982.1, 128173, 128681, 128947, 129395, 129592 - unify error- should not be in unify - index price problem per S Neal - unify team working on this-PMA to follow</t>
  </si>
  <si>
    <t>107861.1, 124745.1, 124755.1 - should not be in unify - index price problem per S Neal - unify team working on this - PMA to follow</t>
  </si>
  <si>
    <t>358165.1 deal moved to EPMI LT West Trans, PMA to follow.</t>
  </si>
  <si>
    <t>268656.1 and 268656.2 index not settled PMA to follow.</t>
  </si>
  <si>
    <t>444939.2 did not load PMA, various deals index not settled PMA to follow.</t>
  </si>
  <si>
    <t>445171.1,444696.1,423442.3 index not settled PMA to follow, and possible small DPR.</t>
  </si>
  <si>
    <t>Power Resources Managers, LLC</t>
  </si>
  <si>
    <t>will offset with KMD's counterparties-PMA to follow</t>
  </si>
  <si>
    <t>POWEREXCOR</t>
  </si>
  <si>
    <t>447765.1 did not load to unify PMA to follow.</t>
  </si>
  <si>
    <t>PSEGENERES</t>
  </si>
  <si>
    <t>419637- Unify reversed deal in error - pma will follow 200011acctg month.</t>
  </si>
  <si>
    <t>446317- Trade date 10/30- pma will follow 200011 acctg month</t>
  </si>
  <si>
    <t>PUGETSOUENE</t>
  </si>
  <si>
    <t>298777.1- showed up as draft status by mistake, then fell off- PMA to follow- 2000 12 Acct. Month</t>
  </si>
  <si>
    <t>RELIANTENESER</t>
  </si>
  <si>
    <t>Mult deals - deals did not pull through unify - possible dpr b/c of indexes - PMA to follow</t>
  </si>
  <si>
    <t>446506 did not load to unify, PMA to follow.</t>
  </si>
  <si>
    <t>423895.1-$129,725.28- &amp; 423895.2 -$33,187.12- index adjustments for MDPS-Entergy index, pma to follow</t>
  </si>
  <si>
    <t>Index not settled in unify, PMA to follow, $(132.30) possible DPR next month.</t>
  </si>
  <si>
    <t xml:space="preserve"> Unify loaded deal in error - pma will follow 200011 acctg month.</t>
  </si>
  <si>
    <t xml:space="preserve"> Unify did not load deal -pma will follow 200011 acctg.</t>
  </si>
  <si>
    <t>447761.1 - deal did not load to Unify PMA to follow</t>
  </si>
  <si>
    <t>130840.4  - Unify adjustments - PMA to follow</t>
  </si>
  <si>
    <t>Index not settled - PMA to follow</t>
  </si>
  <si>
    <t>130840.2,130840.4,130840.7-index price adjustment-DJ MC-PMA to follow</t>
  </si>
  <si>
    <t>TENNESSEEVALAUT</t>
  </si>
  <si>
    <t>Deal 419165.1 - TVA demand charge of $86,288.81 was recorded 3times in Unify due to time change and deal strip being copied multiple times on the CARP report.  Unify has been corrected.  PMA to follow in Unify in 11/00.</t>
  </si>
  <si>
    <t>TEXASNEWMEXPOW</t>
  </si>
  <si>
    <t>447763.1 - deal did not pull through to unify - PMA to follow</t>
  </si>
  <si>
    <t>TRANSCANPOWDIV</t>
  </si>
  <si>
    <t>443955.1 did not load to Unify- PMA to follow</t>
  </si>
  <si>
    <t>TUCSON</t>
  </si>
  <si>
    <t>417033.1 - deal did not pull though unify ($1496.25) - PMA to follow</t>
  </si>
  <si>
    <t xml:space="preserve"> 446130.1 - deal did not pull through unify $12800 - PMA to follow</t>
  </si>
  <si>
    <t>TXUENETRA</t>
  </si>
  <si>
    <t>447614- Trade date 10/31- pma will follow 200011 acctg variance.</t>
  </si>
  <si>
    <t>UNITEDILLUMCO</t>
  </si>
  <si>
    <t>446024.1- $14,785.83- deal did not load into Unify; 444959.1- ($71.00)- mw change from 6mw to 5mw- PMA to follow- 2000 12 Acct. Month</t>
  </si>
  <si>
    <t>127623.1- Unify redrafted deal in error - pma to follow 200011 acctg.</t>
  </si>
  <si>
    <t>126025,128171,129393,129589- Unify redrafted deals in error - PMA to follow 200011 acctg.</t>
  </si>
  <si>
    <t>378340- Unify reversed deal in error - pma will follow 200011 acctg month.</t>
  </si>
  <si>
    <t>kj</t>
  </si>
  <si>
    <t>Manual SAP entry will be done 200011 acctg to correct.-PMA to follow</t>
  </si>
  <si>
    <t>425766.1- Unify did not load deal - pma to follow 200011 acctg month.</t>
  </si>
  <si>
    <t>446046.1- Unify did not load deal - pma to follow 200011 acctg month.</t>
  </si>
  <si>
    <t>WAPACRSPBANK</t>
  </si>
  <si>
    <t>435545.1 - Unify did not load deals - PMA to follow 200011.</t>
  </si>
  <si>
    <t>440459.1, 446125.1-Unify did not load deals - PMA to follow 200011.</t>
  </si>
  <si>
    <t>444242.1,444248.1 - Deal did not load in Unify- PMA to follow 200011.</t>
  </si>
  <si>
    <t>439325.1- Deal did not load in Unify - PMA to follow 200011.</t>
  </si>
  <si>
    <t>67842.22 Unify needs to be re-drafted to pull in settled index amount.  PMA to follow in 11/00.</t>
  </si>
  <si>
    <t>WESTAREACRSP</t>
  </si>
  <si>
    <t>index not settled 420886.26 and 420886.27 PMA to follow.</t>
  </si>
  <si>
    <t>445369.1 unify loaded an extra hour of 11 Mws because of time change, deal was 11 Mwhs for 25 hours, PMA to follow.</t>
  </si>
  <si>
    <t>447271.1 and 447272.1 did not load (10/31 deals) and 434501.1 index not settled.PMA to follow</t>
  </si>
  <si>
    <t>Other Adjustments:</t>
  </si>
  <si>
    <t>British Columbia</t>
  </si>
  <si>
    <t>Tracy Greene made entry to " Reverse British Columbia"</t>
  </si>
  <si>
    <t>Cash V</t>
  </si>
  <si>
    <t>XFR 10/00 CASH V BALANCE TO 45015000</t>
  </si>
  <si>
    <t>CASHV</t>
  </si>
  <si>
    <t>Offset booked in SAP by Tracy Greene-in Reconciled by Others</t>
  </si>
  <si>
    <t>50845.03 partial offset of $14,323.42 booked manually in SAP, Document#100004438</t>
  </si>
  <si>
    <t>Financial Deal</t>
  </si>
  <si>
    <t>EPMI-LT-NAMGMT</t>
  </si>
  <si>
    <t xml:space="preserve"> AH</t>
  </si>
  <si>
    <t>Reconciled by others - cross portfolio - offset in 553-4501600</t>
  </si>
  <si>
    <t xml:space="preserve"> interd</t>
  </si>
  <si>
    <t>Franchise/Annuity</t>
  </si>
  <si>
    <t>2000 Minnesota Corporation Annual</t>
  </si>
  <si>
    <t>p</t>
  </si>
  <si>
    <t>2000 New York Biennial Statement</t>
  </si>
  <si>
    <t>Powerex, Power Exchange Operation</t>
  </si>
  <si>
    <t>offsets in 45016000 - POWEREX Sept CAD moved to RM&amp;T</t>
  </si>
  <si>
    <t>from above</t>
  </si>
  <si>
    <t>Genco Section:</t>
  </si>
  <si>
    <t>DPR ADJUSTMENTS:</t>
  </si>
  <si>
    <t>genco</t>
  </si>
  <si>
    <t>Offsets 1999 TVA/Genco variances - see attached list for detail</t>
  </si>
  <si>
    <t>Brownsville Power I, L.L.C.</t>
  </si>
  <si>
    <t>Offsets 2000 09 Accounting Variance</t>
  </si>
  <si>
    <t>Caledonia Power I, L.L.C.</t>
  </si>
  <si>
    <t>New Albany Power I, L.L.C.</t>
  </si>
  <si>
    <t xml:space="preserve"> genco</t>
  </si>
  <si>
    <t xml:space="preserve">Offsets 2000 09 Accounting Variance of $190,076,786 - this is part of the variance reversing </t>
  </si>
  <si>
    <t xml:space="preserve">2000 10 Accounting Period - Intercompany EES </t>
  </si>
  <si>
    <t>EES</t>
  </si>
  <si>
    <t>EEMC</t>
  </si>
  <si>
    <t>GL - Manual</t>
  </si>
  <si>
    <t>Unify - Russ</t>
  </si>
  <si>
    <t>2000 07</t>
  </si>
  <si>
    <t>2000 08</t>
  </si>
  <si>
    <t>**</t>
  </si>
  <si>
    <t>2000 09</t>
  </si>
  <si>
    <t>2000 10</t>
  </si>
  <si>
    <t>REV!</t>
  </si>
  <si>
    <t>TOTALS</t>
  </si>
  <si>
    <t>RECONCILIATION</t>
  </si>
  <si>
    <t>intercompany not in Database</t>
  </si>
  <si>
    <t>****  All in "Flash" signs, where negative=expense  and positive=revenue</t>
  </si>
  <si>
    <t>UNIFY versus GL (SAP)</t>
  </si>
  <si>
    <t>ALL Data</t>
  </si>
  <si>
    <t>see Russ v GL system tie-out</t>
  </si>
  <si>
    <t>see intercompany analysis</t>
  </si>
  <si>
    <t>(Unify vs GL - difference)</t>
  </si>
  <si>
    <t>SYSTEM</t>
  </si>
  <si>
    <t>MANUALS</t>
  </si>
  <si>
    <t>Reconciled by Others accounts- manual</t>
  </si>
  <si>
    <t>Reversed in Russ's; not in GL</t>
  </si>
  <si>
    <t>to tie Intercompany(what's in Unify vs. what booked)</t>
  </si>
  <si>
    <t>Russ's file</t>
  </si>
  <si>
    <t>SAP</t>
  </si>
  <si>
    <t>Difference</t>
  </si>
  <si>
    <t>Difference in Flash versus GL &amp; Flash versus Unify</t>
  </si>
  <si>
    <t>GL</t>
  </si>
  <si>
    <t>difference</t>
  </si>
  <si>
    <t>explained variances</t>
  </si>
  <si>
    <t>difference.</t>
  </si>
  <si>
    <t>UNIFY</t>
  </si>
  <si>
    <t xml:space="preserve">explained variances </t>
  </si>
  <si>
    <t>Pd</t>
  </si>
  <si>
    <t>CoCd</t>
  </si>
  <si>
    <t>Account</t>
  </si>
  <si>
    <t>Account Name</t>
  </si>
  <si>
    <t>Order</t>
  </si>
  <si>
    <t>Tr.</t>
  </si>
  <si>
    <t>Prctr</t>
  </si>
  <si>
    <t xml:space="preserve">            Quantity</t>
  </si>
  <si>
    <t>BUn</t>
  </si>
  <si>
    <t xml:space="preserve">      PrCtr Currency</t>
  </si>
  <si>
    <t>Cur</t>
  </si>
  <si>
    <t>Text</t>
  </si>
  <si>
    <t>Reference</t>
  </si>
  <si>
    <t>Allocation field</t>
  </si>
  <si>
    <t>Pay.pe</t>
  </si>
  <si>
    <t>Ref. Doc.</t>
  </si>
  <si>
    <t>Row</t>
  </si>
  <si>
    <t>User</t>
  </si>
  <si>
    <t>Fin Stlmnts-In</t>
  </si>
  <si>
    <t>USD</t>
  </si>
  <si>
    <t>ANNUITY SWAPS TO DESK - EAST</t>
  </si>
  <si>
    <t>200010EAST0553</t>
  </si>
  <si>
    <t>P00503237</t>
  </si>
  <si>
    <t>SO2 IC W/33Q</t>
  </si>
  <si>
    <t>Correct swap with Cross Commodity</t>
  </si>
  <si>
    <t>PWR SWAPS W/C</t>
  </si>
  <si>
    <t>East Option Premiums</t>
  </si>
  <si>
    <t>200009EAST055</t>
  </si>
  <si>
    <t>East Pwr Swap w/Genco</t>
  </si>
  <si>
    <t>EAST POWER SW</t>
  </si>
  <si>
    <t>Est Power swap w/ Cross Commodity</t>
  </si>
  <si>
    <t>E PWR SWAP W/</t>
  </si>
  <si>
    <t>PHYSICAL LIQUIDATIONS - EAST</t>
  </si>
  <si>
    <t>Pwr swaps w/Cross Commodity 08/00</t>
  </si>
  <si>
    <t>Pwr Swaps with Price Book</t>
  </si>
  <si>
    <t>200010A2-GENC</t>
  </si>
  <si>
    <t>Rcls e pwr liq with Genco</t>
  </si>
  <si>
    <t>CORRECT EAST</t>
  </si>
  <si>
    <t>Reverse British Columbia</t>
  </si>
  <si>
    <t xml:space="preserve"> BRITISH COLU</t>
  </si>
  <si>
    <t>Auto Invoice - 09/08/2000</t>
  </si>
  <si>
    <t>EES-OP-0800IC</t>
  </si>
  <si>
    <t>P00514821</t>
  </si>
  <si>
    <t>Auto Invoice - 09/11/2000</t>
  </si>
  <si>
    <t>MWH</t>
  </si>
  <si>
    <t>Auto Invoice - 11/01/2000</t>
  </si>
  <si>
    <t>EES-OP-092900</t>
  </si>
  <si>
    <t>EES-OP-092000</t>
  </si>
  <si>
    <t>Clear Cash V Balance 10/10/00</t>
  </si>
  <si>
    <t>CASH V CLEARI</t>
  </si>
  <si>
    <t>Powerex September CAD from RM&amp;T</t>
  </si>
  <si>
    <t>POWEREX CAD</t>
  </si>
  <si>
    <t>XFR 10/00 CASH V TO 45015000</t>
  </si>
  <si>
    <t>XFR 10/00CASH</t>
  </si>
  <si>
    <t>OTCBF Accrual  Oct-00</t>
  </si>
  <si>
    <t>P00502858</t>
  </si>
  <si>
    <t>OTCBF Expense Adjustment Oct-00</t>
  </si>
  <si>
    <t>OTCBF EXPENSE</t>
  </si>
  <si>
    <t>Sep-00 OTCBF Expense Adjustment Wi</t>
  </si>
  <si>
    <t>Rec by Others - not in database - seen here as is seen in the GL</t>
  </si>
  <si>
    <t>deal type</t>
  </si>
  <si>
    <t>Delivery Period</t>
  </si>
  <si>
    <t>Counterparty</t>
  </si>
  <si>
    <t>Unify Status</t>
  </si>
  <si>
    <t>Ref 1</t>
  </si>
  <si>
    <t>General Ledger</t>
  </si>
  <si>
    <t>Unify</t>
  </si>
  <si>
    <t>Variance</t>
  </si>
  <si>
    <t>Comment</t>
  </si>
  <si>
    <t>199806</t>
  </si>
  <si>
    <t>Illinois Power Comp</t>
  </si>
  <si>
    <t>D</t>
  </si>
  <si>
    <t>zero</t>
  </si>
  <si>
    <t>The Manitoba Hydro-</t>
  </si>
  <si>
    <t>199807</t>
  </si>
  <si>
    <t>Virginia Electric a</t>
  </si>
  <si>
    <t>199808</t>
  </si>
  <si>
    <t>199809</t>
  </si>
  <si>
    <t>199810</t>
  </si>
  <si>
    <t>Louisville Gas And</t>
  </si>
  <si>
    <t>United Power Associ</t>
  </si>
  <si>
    <t>199811</t>
  </si>
  <si>
    <t>El Paso Electric Co</t>
  </si>
  <si>
    <t>199901</t>
  </si>
  <si>
    <t>199902</t>
  </si>
  <si>
    <t>199904</t>
  </si>
  <si>
    <t>199905</t>
  </si>
  <si>
    <t>New England Power Pool</t>
  </si>
  <si>
    <t>199906</t>
  </si>
  <si>
    <t>American Electric Po</t>
  </si>
  <si>
    <t>F</t>
  </si>
  <si>
    <t>199907</t>
  </si>
  <si>
    <t>Dynegy Power Marketing, Inc.</t>
  </si>
  <si>
    <t>Name difference</t>
  </si>
  <si>
    <t>Electric Clearingho</t>
  </si>
  <si>
    <t>PJM Interconnection</t>
  </si>
  <si>
    <t>Dynegy Power Marketi</t>
  </si>
  <si>
    <t>199908</t>
  </si>
  <si>
    <t>Arizona Public Serv</t>
  </si>
  <si>
    <t>El Paso Power Servi</t>
  </si>
  <si>
    <t>Arizona Public Servi</t>
  </si>
  <si>
    <t>199909</t>
  </si>
  <si>
    <t>199910</t>
  </si>
  <si>
    <t>British Columbia Po</t>
  </si>
  <si>
    <t>Minnesota Power, In</t>
  </si>
  <si>
    <t>Powerex Corp.</t>
  </si>
  <si>
    <t>199911</t>
  </si>
  <si>
    <t>Portland General El</t>
  </si>
  <si>
    <t>American Electric Power Service Corporation</t>
  </si>
  <si>
    <t>Avista Corporation - Washington Water Power Division</t>
  </si>
  <si>
    <t>Tosco Refining Company</t>
  </si>
  <si>
    <t>199912</t>
  </si>
  <si>
    <t>Mieco Inc.</t>
  </si>
  <si>
    <t>200001</t>
  </si>
  <si>
    <t>City of Redding</t>
  </si>
  <si>
    <t>ISO New England Inc</t>
  </si>
  <si>
    <t>200002</t>
  </si>
  <si>
    <t>GENCO</t>
  </si>
  <si>
    <t>United Illuminating</t>
  </si>
  <si>
    <t>Delano Energy Compan</t>
  </si>
  <si>
    <t>Tosco Refining Compa</t>
  </si>
  <si>
    <t>200003</t>
  </si>
  <si>
    <t>Delano Energy Compa</t>
  </si>
  <si>
    <t>200004</t>
  </si>
  <si>
    <t>Atlantic Richfield</t>
  </si>
  <si>
    <t>Las Vegas Cogeneration, LP</t>
  </si>
  <si>
    <t>Los Angeles Dept. o</t>
  </si>
  <si>
    <t>Western Area Power</t>
  </si>
  <si>
    <t>Avista Corporation -</t>
  </si>
  <si>
    <t>Las Vegas Cogenerati</t>
  </si>
  <si>
    <t>Los Angeles Dept. of</t>
  </si>
  <si>
    <t>200005</t>
  </si>
  <si>
    <t>CanFibre of Riversi</t>
  </si>
  <si>
    <t>ISO New England In</t>
  </si>
  <si>
    <t>New York Independen</t>
  </si>
  <si>
    <t>Tosco Refining Comp</t>
  </si>
  <si>
    <t>200006</t>
  </si>
  <si>
    <t>Aquila Energy Marke</t>
  </si>
  <si>
    <t>Bonneville Power Ad</t>
  </si>
  <si>
    <t>California Power Ex</t>
  </si>
  <si>
    <t>Enron North America Corp.</t>
  </si>
  <si>
    <t>Las Vegas Cogenerat</t>
  </si>
  <si>
    <t>Montana Power Compa</t>
  </si>
  <si>
    <t>Pacificorp</t>
  </si>
  <si>
    <t>Puget Sound Energy,</t>
  </si>
  <si>
    <t>Sempra Energy Tradi</t>
  </si>
  <si>
    <t>Aquila Energy Market</t>
  </si>
  <si>
    <t>New York Independent</t>
  </si>
  <si>
    <t>PG&amp;E Energy Trading</t>
  </si>
  <si>
    <t>Sempra Energy Tradin</t>
  </si>
  <si>
    <t>200007</t>
  </si>
  <si>
    <t>City of Tacoma, Dep</t>
  </si>
  <si>
    <t>Duke Energy Trading and Marketing, L.L.C.</t>
  </si>
  <si>
    <t>Enron Energy Services, Inc.</t>
  </si>
  <si>
    <t>I/C</t>
  </si>
  <si>
    <t>NSTAR Companies</t>
  </si>
  <si>
    <t>Puget Sound Energy, Inc.</t>
  </si>
  <si>
    <t>Willamette Industri</t>
  </si>
  <si>
    <t>Commonwealth Edison</t>
  </si>
  <si>
    <t>200008</t>
  </si>
  <si>
    <t>Bonneville Power Administration</t>
  </si>
  <si>
    <t>Burbank, City Of</t>
  </si>
  <si>
    <t>California Supplem</t>
  </si>
  <si>
    <t>City of Colton</t>
  </si>
  <si>
    <t>Dynegy Power Market</t>
  </si>
  <si>
    <t>Edison Mission Mark</t>
  </si>
  <si>
    <t>Entergy Power Marke</t>
  </si>
  <si>
    <t>Michigan Electric C</t>
  </si>
  <si>
    <t>Minnesota Power, Inc.</t>
  </si>
  <si>
    <t>Missouri Joint Muni</t>
  </si>
  <si>
    <t>Oglethorpe Power Co</t>
  </si>
  <si>
    <t>Otter Tail Power Company</t>
  </si>
  <si>
    <t>Oxy Vinyls LP</t>
  </si>
  <si>
    <t>Public Service Comp</t>
  </si>
  <si>
    <t>Saguaro Power Company</t>
  </si>
  <si>
    <t>Split Rock Energy,</t>
  </si>
  <si>
    <t>Bonneville Power Adm</t>
  </si>
  <si>
    <t>City of Burbank</t>
  </si>
  <si>
    <t>Edison Mission Marke</t>
  </si>
  <si>
    <t>El Paso Electric Com</t>
  </si>
  <si>
    <t>Michigan Electric Co</t>
  </si>
  <si>
    <t>Missouri Joint Munic</t>
  </si>
  <si>
    <t>Nevada Power Company</t>
  </si>
  <si>
    <t>NRG Power Marketing</t>
  </si>
  <si>
    <t>Oglethorpe Power Cor</t>
  </si>
  <si>
    <t>Otter Tail Power Com</t>
  </si>
  <si>
    <t>PG&amp;E Energy Tradin</t>
  </si>
  <si>
    <t>Public Service Compa</t>
  </si>
  <si>
    <t>Saguaro Power Compan</t>
  </si>
  <si>
    <t>Split Rock Energy, L</t>
  </si>
  <si>
    <t>200009</t>
  </si>
  <si>
    <t>Alabama Electric Co</t>
  </si>
  <si>
    <t>Allegheny Energy Su</t>
  </si>
  <si>
    <t>Alliant Services Company</t>
  </si>
  <si>
    <t>Alternate Power Source, Inc.</t>
  </si>
  <si>
    <t>Amerada Hess Corpor</t>
  </si>
  <si>
    <t>Ameren Energy, Inc.</t>
  </si>
  <si>
    <t>American Electric P</t>
  </si>
  <si>
    <t>Arizona Electric Po</t>
  </si>
  <si>
    <t>Associated Electric</t>
  </si>
  <si>
    <t>Atlantic City Elect</t>
  </si>
  <si>
    <t>Avista Corporation</t>
  </si>
  <si>
    <t>Avista Energy, Inc.</t>
  </si>
  <si>
    <t>BP Energy Company</t>
  </si>
  <si>
    <t>Calpine Power Services Company</t>
  </si>
  <si>
    <t>Cargill-Alliant, LLC</t>
  </si>
  <si>
    <t>Carolina Power &amp; Li</t>
  </si>
  <si>
    <t>Cinergy Services, Inc.</t>
  </si>
  <si>
    <t>CLECO Corporation</t>
  </si>
  <si>
    <t>CLECO Marketing and Trading, LLC</t>
  </si>
  <si>
    <t>CMS Marketing, Serv</t>
  </si>
  <si>
    <t>Coastal Merchant En</t>
  </si>
  <si>
    <t>Colorado River Comm</t>
  </si>
  <si>
    <t>Conectiv Energy Supply, Inc.</t>
  </si>
  <si>
    <t>Consolidated Edison Energy, Inc.</t>
  </si>
  <si>
    <t>Constellation Power</t>
  </si>
  <si>
    <t>Coral Power, L.L.C.</t>
  </si>
  <si>
    <t>Dayton Power and Li</t>
  </si>
  <si>
    <t>Delmarva Power &amp; Li</t>
  </si>
  <si>
    <t>DTE Energy Trading, Inc.</t>
  </si>
  <si>
    <t>Duke Energy Trading</t>
  </si>
  <si>
    <t>Duke Power, a divis</t>
  </si>
  <si>
    <t>East Kentucky Power</t>
  </si>
  <si>
    <t>El Paso Merchant En</t>
  </si>
  <si>
    <t>Eugene Water &amp; Elec</t>
  </si>
  <si>
    <t>FirstEnergy Corp.</t>
  </si>
  <si>
    <t>offsets in Reconciled by Others acct #45016000 Fin. Sttlmts.</t>
  </si>
  <si>
    <t>Florida Power &amp; Light Company</t>
  </si>
  <si>
    <t>Florida Power Corporation</t>
  </si>
  <si>
    <t>FPL Energy Power Marketing, Inc.</t>
  </si>
  <si>
    <t>Garland, City Of</t>
  </si>
  <si>
    <t>GEN SYS Energy</t>
  </si>
  <si>
    <t>Great Bay Power Corporation</t>
  </si>
  <si>
    <t>Griffin Energy Mark</t>
  </si>
  <si>
    <t>HQ Energy Services</t>
  </si>
  <si>
    <t>Idaho Power Company</t>
  </si>
  <si>
    <t>Indiana Municipal P</t>
  </si>
  <si>
    <t>Indianapolis Power</t>
  </si>
  <si>
    <t>Jacksonville Electr</t>
  </si>
  <si>
    <t>Kansas City Power &amp;</t>
  </si>
  <si>
    <t>Koch Energy Trading</t>
  </si>
  <si>
    <t>LG&amp;E Energy Marketi</t>
  </si>
  <si>
    <t>Louisiana Generating L.L.C.</t>
  </si>
  <si>
    <t>Lower Colorado Rive</t>
  </si>
  <si>
    <t>Merchant Energy Gro</t>
  </si>
  <si>
    <t>Merrill Lynch Capit</t>
  </si>
  <si>
    <t>MidAmerican Energy</t>
  </si>
  <si>
    <t>Minnesota Municipal</t>
  </si>
  <si>
    <t>Morgan Stanley Capi</t>
  </si>
  <si>
    <t>Nevada Power Compan</t>
  </si>
  <si>
    <t>Niagara Mohawk Ener</t>
  </si>
  <si>
    <t>Northeast Utilities</t>
  </si>
  <si>
    <t>Northern States Pow</t>
  </si>
  <si>
    <t>NRG Power Marketing Inc.</t>
  </si>
  <si>
    <t>OGE Energy Resources, Inc.</t>
  </si>
  <si>
    <t>Pacific Northwest G</t>
  </si>
  <si>
    <t>PacifiCorp Power Ma</t>
  </si>
  <si>
    <t>Peco Energy Company</t>
  </si>
  <si>
    <t>Power Resources Man</t>
  </si>
  <si>
    <t>PPL EnergyPlus, LLC</t>
  </si>
  <si>
    <t>PSEG Energy Resources &amp; Trade LLC</t>
  </si>
  <si>
    <t>Public Service Elec</t>
  </si>
  <si>
    <t>Public Utility Dist</t>
  </si>
  <si>
    <t>Public Utility District No.1 of Benton County, Washington</t>
  </si>
  <si>
    <t>PUD No. 1 of Grays</t>
  </si>
  <si>
    <t>Rainbow Energy Mark</t>
  </si>
  <si>
    <t>Reliant Energy Serv</t>
  </si>
  <si>
    <t>Sacramento Municipa</t>
  </si>
  <si>
    <t>Salt River Project</t>
  </si>
  <si>
    <t>Saskatchewan Power</t>
  </si>
  <si>
    <t>Sierra Pacific Powe</t>
  </si>
  <si>
    <t>South Carolina Elec</t>
  </si>
  <si>
    <t>Southern Company En</t>
  </si>
  <si>
    <t>Southern Company Se</t>
  </si>
  <si>
    <t>Southern Indiana Ga</t>
  </si>
  <si>
    <t>Split Rock Energy, LLC</t>
  </si>
  <si>
    <t>Tenaska Power Servi</t>
  </si>
  <si>
    <t>Texas-New Mexico Po</t>
  </si>
  <si>
    <t>The City of Azusa</t>
  </si>
  <si>
    <t>The New Power Company</t>
  </si>
  <si>
    <t>Tractebel Energy Ma</t>
  </si>
  <si>
    <t>TransAlta Energy Ma</t>
  </si>
  <si>
    <t>Transcanada Power M</t>
  </si>
  <si>
    <t>TransCanada Power,</t>
  </si>
  <si>
    <t>Tri-State Generatio</t>
  </si>
  <si>
    <t>Valley Electric Ass</t>
  </si>
  <si>
    <t>Wabash Valley Power</t>
  </si>
  <si>
    <t>Western Farmers Ele</t>
  </si>
  <si>
    <t>Western Resources Inc.</t>
  </si>
  <si>
    <t>Wheelabrator Martel</t>
  </si>
  <si>
    <t>Williams Energy Mar</t>
  </si>
  <si>
    <t>Wisconsin Electric</t>
  </si>
  <si>
    <t>Wisconsin Public Se</t>
  </si>
  <si>
    <t>WPS Energy Services</t>
  </si>
  <si>
    <t>Alabama Electric Coo</t>
  </si>
  <si>
    <t>Allegheny Energy Sup</t>
  </si>
  <si>
    <t>Alliant Energy Corporate Services, Inc.</t>
  </si>
  <si>
    <t>Alliant Services Com</t>
  </si>
  <si>
    <t>Alternate Power Sour</t>
  </si>
  <si>
    <t>Amerada Hess Corpora</t>
  </si>
  <si>
    <t>Ameren Energy, Inc.,</t>
  </si>
  <si>
    <t>Arizona Electric Pow</t>
  </si>
  <si>
    <t>Atlantic City Electr</t>
  </si>
  <si>
    <t>Atlantic Richfield C</t>
  </si>
  <si>
    <t>Calpine Power Servic</t>
  </si>
  <si>
    <t>Carolina Power &amp; Lig</t>
  </si>
  <si>
    <t>Central Illinois Lig</t>
  </si>
  <si>
    <t>Cinergy Services, In</t>
  </si>
  <si>
    <t>City of Richland</t>
  </si>
  <si>
    <t>CLECO Marketing and</t>
  </si>
  <si>
    <t>CMS Marketing, Servi</t>
  </si>
  <si>
    <t>Coastal Merchant Ene</t>
  </si>
  <si>
    <t>Conectiv Energy Supp</t>
  </si>
  <si>
    <t>Connecticut Municipa</t>
  </si>
  <si>
    <t>Consolidated Edison</t>
  </si>
  <si>
    <t>Dayton Power and Lig</t>
  </si>
  <si>
    <t>Delmarva Power &amp; Lig</t>
  </si>
  <si>
    <t>DTE Energy Trading,</t>
  </si>
  <si>
    <t>Duke Power, a divisi</t>
  </si>
  <si>
    <t>El Paso Merchant Ene</t>
  </si>
  <si>
    <t>Entergy Power Market</t>
  </si>
  <si>
    <t>Eugene Water &amp; Elect</t>
  </si>
  <si>
    <t>Florida Power &amp; Ligh</t>
  </si>
  <si>
    <t>Florida Power Corpor</t>
  </si>
  <si>
    <t>FPL Energy Power Mar</t>
  </si>
  <si>
    <t>Great Bay Power Corp</t>
  </si>
  <si>
    <t>Griffin Energy Marke</t>
  </si>
  <si>
    <t>HQ Energy Services (</t>
  </si>
  <si>
    <t>Indiana Municipal Po</t>
  </si>
  <si>
    <t>Indianapolis Power &amp;</t>
  </si>
  <si>
    <t>Jacksonville Electri</t>
  </si>
  <si>
    <t>Koch Energy Trading,</t>
  </si>
  <si>
    <t>LG&amp;E Energy Marketin</t>
  </si>
  <si>
    <t>Merchant Energy Grou</t>
  </si>
  <si>
    <t>Merrill Lynch Capita</t>
  </si>
  <si>
    <t>MidAmerican Energy C</t>
  </si>
  <si>
    <t>Montana Power Compan</t>
  </si>
  <si>
    <t>Morgan Stanley Capit</t>
  </si>
  <si>
    <t>Niagara Mohawk Energ</t>
  </si>
  <si>
    <t>Northern States Powe</t>
  </si>
  <si>
    <t>OGE Energy Resources</t>
  </si>
  <si>
    <t>PacifiCorp Power Mar</t>
  </si>
  <si>
    <t>PSEG Energy Resource</t>
  </si>
  <si>
    <t>Public Service Elect</t>
  </si>
  <si>
    <t>Public Utility Dist.</t>
  </si>
  <si>
    <t>Public Utility Distr</t>
  </si>
  <si>
    <t>Rainbow Energy Marke</t>
  </si>
  <si>
    <t>Reliant Energy Servi</t>
  </si>
  <si>
    <t>Sacramento Municipal</t>
  </si>
  <si>
    <t>Salt River Project A</t>
  </si>
  <si>
    <t>Saskatchewan Power C</t>
  </si>
  <si>
    <t>Sierra Pacific Power</t>
  </si>
  <si>
    <t>South Carolina Elect</t>
  </si>
  <si>
    <t>Southern Company Ene</t>
  </si>
  <si>
    <t>Southern Company Ser</t>
  </si>
  <si>
    <t>Southern Indiana Gas</t>
  </si>
  <si>
    <t>Tenaska Power Servic</t>
  </si>
  <si>
    <t>Texas-New Mexico Pow</t>
  </si>
  <si>
    <t>The Manitoba Hydro-E</t>
  </si>
  <si>
    <t>The New Power Compan</t>
  </si>
  <si>
    <t>Tractebel Energy Mar</t>
  </si>
  <si>
    <t>TransAlta Energy Mar</t>
  </si>
  <si>
    <t>Transcanada Power Ma</t>
  </si>
  <si>
    <t>TransCanada Power, a</t>
  </si>
  <si>
    <t>Tri-State Generation</t>
  </si>
  <si>
    <t>Valley Electric Asso</t>
  </si>
  <si>
    <t>Virginia Electric an</t>
  </si>
  <si>
    <t>Western Area Power A</t>
  </si>
  <si>
    <t>Western Farmers Elec</t>
  </si>
  <si>
    <t>Western Resources In</t>
  </si>
  <si>
    <t>Wheelabrator Martell</t>
  </si>
  <si>
    <t>Willamette Industrie</t>
  </si>
  <si>
    <t>Williams Energy Mark</t>
  </si>
  <si>
    <t>Wisconsin Electric P</t>
  </si>
  <si>
    <t>Wisconsin Public Ser</t>
  </si>
  <si>
    <t>WPS Energy Services,</t>
  </si>
  <si>
    <t>200010</t>
  </si>
  <si>
    <t>Alliant Energy Corp</t>
  </si>
  <si>
    <t>Austin, City Of</t>
  </si>
  <si>
    <t>Braintree Electric</t>
  </si>
  <si>
    <t>Brazos Electric Pow</t>
  </si>
  <si>
    <t>Bryan, City Of</t>
  </si>
  <si>
    <t>California Departme</t>
  </si>
  <si>
    <t>Calpine Power Servi</t>
  </si>
  <si>
    <t>Cargill-Alliant, LL</t>
  </si>
  <si>
    <t>Central Illinois Li</t>
  </si>
  <si>
    <t>Cinergy Capital &amp; T</t>
  </si>
  <si>
    <t>Cinergy Services, I</t>
  </si>
  <si>
    <t>City Of Riverside</t>
  </si>
  <si>
    <t>City of Roseville</t>
  </si>
  <si>
    <t>City Public Service</t>
  </si>
  <si>
    <t>Conectiv Energy Sup</t>
  </si>
  <si>
    <t>Entergy Services, I</t>
  </si>
  <si>
    <t>Florida Power &amp; Lig</t>
  </si>
  <si>
    <t>FPL Energy Power Ma</t>
  </si>
  <si>
    <t>Great Bay Power Cor</t>
  </si>
  <si>
    <t>Hafslund Energy Tra</t>
  </si>
  <si>
    <t>Illinova Power Mark</t>
  </si>
  <si>
    <t>Imperial Irrigation</t>
  </si>
  <si>
    <t>Magic Valley Electr</t>
  </si>
  <si>
    <t>Missoula Electric</t>
  </si>
  <si>
    <t>Missouri Public Ser</t>
  </si>
  <si>
    <t>Montana-Dakota Util</t>
  </si>
  <si>
    <t>NewEnergy, Inc.</t>
  </si>
  <si>
    <t>Northern Indiana Pu</t>
  </si>
  <si>
    <t>Oklahoma Gas And El</t>
  </si>
  <si>
    <t>Ontario Power Gener</t>
  </si>
  <si>
    <t>Otter Tail Power Co</t>
  </si>
  <si>
    <t>Pinnacle West Capit</t>
  </si>
  <si>
    <t>PSEG Energy Resourc</t>
  </si>
  <si>
    <t>Reliant Energy HL&amp;P</t>
  </si>
  <si>
    <t>Saguaro Power Compa</t>
  </si>
  <si>
    <t>San Diego Gas &amp; Ele</t>
  </si>
  <si>
    <t>Select Energy, Inc.</t>
  </si>
  <si>
    <t>Sikeston Board of M</t>
  </si>
  <si>
    <t>Smurfit-Stone Conta</t>
  </si>
  <si>
    <t>South Texas Electri</t>
  </si>
  <si>
    <t>Southern Illinois P</t>
  </si>
  <si>
    <t>Southern Minnesota</t>
  </si>
  <si>
    <t>Texas Municipal Pow</t>
  </si>
  <si>
    <t>The New Power Compa</t>
  </si>
  <si>
    <t>Tucson Electric Pow</t>
  </si>
  <si>
    <t>TXU Electric Compan</t>
  </si>
  <si>
    <t>Western Resources I</t>
  </si>
  <si>
    <t>City of Santa Clara</t>
  </si>
  <si>
    <t>ConAgra Energy Servi</t>
  </si>
  <si>
    <t>Energy Services, Inc</t>
  </si>
  <si>
    <t>FirstEnergy Trading</t>
  </si>
  <si>
    <t>Omaha Public Power D</t>
  </si>
  <si>
    <t>TXU Energy Trading C</t>
  </si>
  <si>
    <t>199804</t>
  </si>
  <si>
    <t>PG&amp;E Energy Trading - Power, L.P.</t>
  </si>
  <si>
    <t>199805</t>
  </si>
  <si>
    <t>Michigan Public Power Ag</t>
  </si>
  <si>
    <t>Louisville Gas And Elect</t>
  </si>
  <si>
    <t>Virginia Electric and Po</t>
  </si>
  <si>
    <t>PG&amp;E Energy Trading - Po</t>
  </si>
  <si>
    <t>199812</t>
  </si>
  <si>
    <t>American Electric Power</t>
  </si>
  <si>
    <t>Northern States Power Co</t>
  </si>
  <si>
    <t>Statoil Energy Trading,</t>
  </si>
  <si>
    <t>Public Utility Dist. No.</t>
  </si>
  <si>
    <t>Morgan Stanley Capital G</t>
  </si>
  <si>
    <t>El Paso Electric Company</t>
  </si>
  <si>
    <t>Western Area Power Admin</t>
  </si>
  <si>
    <t>Merchant Energy Group of</t>
  </si>
  <si>
    <t>Montana Power Company ,</t>
  </si>
  <si>
    <t>Las Vegas Cogeneration,</t>
  </si>
  <si>
    <t>New York Independent Sys</t>
  </si>
  <si>
    <t>Enron Canada Corp.</t>
  </si>
  <si>
    <t>Jacksonville Electric Au</t>
  </si>
  <si>
    <t>PJM Interconnection, L.L</t>
  </si>
  <si>
    <t>Portland General Electri</t>
  </si>
  <si>
    <t>TransAlta Energy Marketi</t>
  </si>
  <si>
    <t>California Supplemental</t>
  </si>
  <si>
    <t>City of Tacoma, Departme</t>
  </si>
  <si>
    <t>Conoco Power Marketing I</t>
  </si>
  <si>
    <t>Delano Energy Company, I</t>
  </si>
  <si>
    <t>Dynegy Power Marketing,</t>
  </si>
  <si>
    <t>Enron Energy Service</t>
  </si>
  <si>
    <t>Illinova Power Mar</t>
  </si>
  <si>
    <t>Louisiana-Pacific Corpor</t>
  </si>
  <si>
    <t>United Illuminating Comp</t>
  </si>
  <si>
    <t>Willamette Industries, I</t>
  </si>
  <si>
    <t>Citizens Power Sales</t>
  </si>
  <si>
    <t>Conoco Power Marketi</t>
  </si>
  <si>
    <t>Entergy Services, In</t>
  </si>
  <si>
    <t>Amerada Hess Corporation</t>
  </si>
  <si>
    <t>British Columbia Power E</t>
  </si>
  <si>
    <t>California Power Exchang</t>
  </si>
  <si>
    <t>Entergy Power Marketing</t>
  </si>
  <si>
    <t>Michigan Electric Coordi</t>
  </si>
  <si>
    <t>Powerex, Power Exchange</t>
  </si>
  <si>
    <t>Public Service Company O</t>
  </si>
  <si>
    <t>United Power Association</t>
  </si>
  <si>
    <t>Great River Energy</t>
  </si>
  <si>
    <t>Louisville Gas And E</t>
  </si>
  <si>
    <t>Allegheny Energy Supply</t>
  </si>
  <si>
    <t>Ameren Energy, Inc., as</t>
  </si>
  <si>
    <t>Aquila Energy Marketing</t>
  </si>
  <si>
    <t>Avista Corporation - Was</t>
  </si>
  <si>
    <t>Calpine Power Services C</t>
  </si>
  <si>
    <t>Carolina Power &amp; Light C</t>
  </si>
  <si>
    <t>Central and South West S</t>
  </si>
  <si>
    <t>Central Illinois Light C</t>
  </si>
  <si>
    <t>City of McMinnville Wate</t>
  </si>
  <si>
    <t>CLECO Marketing and Trad</t>
  </si>
  <si>
    <t>Cleco Utility Group, Inc.</t>
  </si>
  <si>
    <t>CMS Marketing, Services</t>
  </si>
  <si>
    <t>Coastal Merchant Energy,</t>
  </si>
  <si>
    <t>Colorado River Commission</t>
  </si>
  <si>
    <t>Connecticut Municipal El</t>
  </si>
  <si>
    <t>Constellation Power Sour</t>
  </si>
  <si>
    <t>Dayton Power and Light C</t>
  </si>
  <si>
    <t>Delano Energy Comp</t>
  </si>
  <si>
    <t>Duke Energy Trading and</t>
  </si>
  <si>
    <t>Duke Power, a division o</t>
  </si>
  <si>
    <t>Edison Mission Marketing</t>
  </si>
  <si>
    <t>El Paso Merchant Energy,</t>
  </si>
  <si>
    <t>Emerald People's Utility</t>
  </si>
  <si>
    <t>Energy New England, LLC,</t>
  </si>
  <si>
    <t>Enron Energy Marketing Corp. (EPU/CNEN)</t>
  </si>
  <si>
    <t>Enron North America</t>
  </si>
  <si>
    <t>Eugene Water &amp; Electric</t>
  </si>
  <si>
    <t>FPL Energy Power Marketi</t>
  </si>
  <si>
    <t>HQ Energy Services (U.S.</t>
  </si>
  <si>
    <t>Idaho Power Company, dba</t>
  </si>
  <si>
    <t>Illinova Energy Partners</t>
  </si>
  <si>
    <t>Indiana Municipal Power</t>
  </si>
  <si>
    <t>Indianapolis Power &amp; Lig</t>
  </si>
  <si>
    <t>Kansas City Power &amp; Ligh</t>
  </si>
  <si>
    <t>KCS Medallion Resources, Inc.</t>
  </si>
  <si>
    <t>Koch Energy Trading, Inc.</t>
  </si>
  <si>
    <t>LG&amp;E Energy Marketing In</t>
  </si>
  <si>
    <t>Los Angeles Dept. of Wat</t>
  </si>
  <si>
    <t>Lower Colorado River Aut</t>
  </si>
  <si>
    <t>Merrill Lynch Capital Se</t>
  </si>
  <si>
    <t>MidAmerican Energy Compa</t>
  </si>
  <si>
    <t>Minnesota Municipal Powe</t>
  </si>
  <si>
    <t>Missoula Electric Cooper</t>
  </si>
  <si>
    <t>Northeast Utilities Serv</t>
  </si>
  <si>
    <t>OGE Energy Resources, In</t>
  </si>
  <si>
    <t>Pacific Northwest Genera</t>
  </si>
  <si>
    <t>PacifiCorp Power Marketi</t>
  </si>
  <si>
    <t>Public Service Electric</t>
  </si>
  <si>
    <t>Public Utility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</si>
</sst>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 numFmtId="172" formatCode="#,##0;\(#,##0\);\-\-"/>
    <numFmt numFmtId="174" formatCode="#,##0.00;\(#,##0.00\);\-\-"/>
    <numFmt numFmtId="181" formatCode="&quot;$&quot;\ #,##0.0000"/>
    <numFmt numFmtId="182" formatCode=";;;"/>
    <numFmt numFmtId="183" formatCode="_(* #,##0_);_(* \(#,##0\);_(* &quot;-&quot;??_);_(@_)"/>
    <numFmt numFmtId="184" formatCode="_(* #,##0.0_);_(* \(#,##0.0\);_(* &quot;-&quot;??_);_(@_)"/>
    <numFmt numFmtId="186" formatCode="&quot;$&quot;#,##0.00;\(&quot;$&quot;#,##0.00\)"/>
    <numFmt numFmtId="188" formatCode="0.00_);\(0.00\)"/>
    <numFmt numFmtId="235" formatCode="General_)"/>
    <numFmt numFmtId="255" formatCode="_(&quot;$&quot;\ * #,##0_);_(&quot;$&quot;\ * \(#,##0\);_(&quot;$&quot;\ * &quot;-&quot;_);_(@_)"/>
    <numFmt numFmtId="256" formatCode="_(&quot;$&quot;\ * #,##0.00_);_(&quot;$&quot;\ * \(#,##0.00\);_(&quot;$&quot;\ * &quot;-&quot;??_);_(@_)"/>
  </numFmts>
  <fonts count="59" x14ac:knownFonts="1">
    <font>
      <sz val="10"/>
      <name val="Arial"/>
    </font>
    <font>
      <sz val="10"/>
      <name val="Arial"/>
    </font>
    <font>
      <sz val="12"/>
      <name val="Arial"/>
    </font>
    <font>
      <sz val="10"/>
      <color indexed="8"/>
      <name val="Arial"/>
    </font>
    <font>
      <sz val="10"/>
      <name val="MS Sans Serif"/>
    </font>
    <font>
      <sz val="10"/>
      <color indexed="8"/>
      <name val="MS Sans Serif"/>
    </font>
    <font>
      <sz val="10"/>
      <name val="Times New Roman"/>
    </font>
    <font>
      <sz val="10"/>
      <name val="Courier"/>
    </font>
    <font>
      <sz val="10"/>
      <name val="Arial"/>
      <family val="2"/>
    </font>
    <font>
      <sz val="8"/>
      <name val="Arial"/>
      <family val="2"/>
    </font>
    <font>
      <b/>
      <sz val="14"/>
      <name val="Arial"/>
      <family val="2"/>
    </font>
    <font>
      <sz val="8.5"/>
      <name val="MS Sans Serif"/>
      <family val="2"/>
    </font>
    <font>
      <sz val="11"/>
      <name val="Arial"/>
      <family val="2"/>
    </font>
    <font>
      <b/>
      <sz val="11"/>
      <name val="Arial"/>
      <family val="2"/>
    </font>
    <font>
      <b/>
      <sz val="11"/>
      <color indexed="12"/>
      <name val="Arial"/>
      <family val="2"/>
    </font>
    <font>
      <b/>
      <sz val="10"/>
      <name val="Arial"/>
      <family val="2"/>
    </font>
    <font>
      <b/>
      <sz val="12"/>
      <name val="Arial"/>
      <family val="2"/>
    </font>
    <font>
      <sz val="12"/>
      <name val="Arial"/>
      <family val="2"/>
    </font>
    <font>
      <b/>
      <sz val="8"/>
      <name val="Arial"/>
      <family val="2"/>
    </font>
    <font>
      <b/>
      <sz val="9"/>
      <name val="Arial"/>
      <family val="2"/>
    </font>
    <font>
      <sz val="9"/>
      <name val="Arial"/>
      <family val="2"/>
    </font>
    <font>
      <b/>
      <sz val="8.5"/>
      <name val="MS Sans Serif"/>
      <family val="2"/>
    </font>
    <font>
      <b/>
      <sz val="9"/>
      <color indexed="8"/>
      <name val="Arial"/>
      <family val="2"/>
    </font>
    <font>
      <sz val="10"/>
      <color indexed="10"/>
      <name val="Arial"/>
      <family val="2"/>
    </font>
    <font>
      <sz val="8"/>
      <color indexed="10"/>
      <name val="Arial"/>
      <family val="2"/>
    </font>
    <font>
      <b/>
      <sz val="10"/>
      <color indexed="57"/>
      <name val="Arial"/>
      <family val="2"/>
    </font>
    <font>
      <b/>
      <sz val="8"/>
      <color indexed="57"/>
      <name val="Arial"/>
      <family val="2"/>
    </font>
    <font>
      <sz val="8.5"/>
      <color indexed="10"/>
      <name val="MS Sans Serif"/>
      <family val="2"/>
    </font>
    <font>
      <b/>
      <sz val="10"/>
      <color indexed="8"/>
      <name val="Arial"/>
      <family val="2"/>
    </font>
    <font>
      <sz val="8"/>
      <color indexed="12"/>
      <name val="Arial"/>
      <family val="2"/>
    </font>
    <font>
      <sz val="9"/>
      <color indexed="12"/>
      <name val="Arial"/>
      <family val="2"/>
    </font>
    <font>
      <sz val="10"/>
      <color indexed="12"/>
      <name val="Arial"/>
      <family val="2"/>
    </font>
    <font>
      <sz val="10"/>
      <color indexed="53"/>
      <name val="Arial"/>
      <family val="2"/>
    </font>
    <font>
      <sz val="8"/>
      <color indexed="53"/>
      <name val="Arial"/>
      <family val="2"/>
    </font>
    <font>
      <sz val="8.5"/>
      <color indexed="53"/>
      <name val="MS Sans Serif"/>
      <family val="2"/>
    </font>
    <font>
      <sz val="8.5"/>
      <color indexed="12"/>
      <name val="MS Sans Serif"/>
      <family val="2"/>
    </font>
    <font>
      <sz val="8"/>
      <name val="Arial"/>
    </font>
    <font>
      <sz val="8"/>
      <name val="MS Sans Serif"/>
      <family val="2"/>
    </font>
    <font>
      <b/>
      <sz val="8.5"/>
      <color indexed="10"/>
      <name val="Arial"/>
      <family val="2"/>
    </font>
    <font>
      <sz val="8.5"/>
      <color indexed="10"/>
      <name val="Arial"/>
      <family val="2"/>
    </font>
    <font>
      <b/>
      <sz val="10"/>
      <name val="MS Sans Serif"/>
      <family val="2"/>
    </font>
    <font>
      <b/>
      <sz val="8"/>
      <name val="MS Sans Serif"/>
    </font>
    <font>
      <sz val="8.5"/>
      <name val="MS Sans Serif"/>
    </font>
    <font>
      <b/>
      <sz val="11"/>
      <name val="MS Sans Serif"/>
    </font>
    <font>
      <sz val="8"/>
      <name val="MS Sans Serif"/>
    </font>
    <font>
      <sz val="8.5"/>
      <color indexed="8"/>
      <name val="MS Sans Serif"/>
      <family val="2"/>
    </font>
    <font>
      <sz val="11"/>
      <name val="MS Sans Serif"/>
      <family val="2"/>
    </font>
    <font>
      <sz val="11"/>
      <color indexed="8"/>
      <name val="MS Sans Serif"/>
      <family val="2"/>
    </font>
    <font>
      <b/>
      <sz val="8"/>
      <color indexed="10"/>
      <name val="Arial"/>
      <family val="2"/>
    </font>
    <font>
      <b/>
      <sz val="9"/>
      <color indexed="12"/>
      <name val="Arial"/>
      <family val="2"/>
    </font>
    <font>
      <sz val="8.5"/>
      <color indexed="48"/>
      <name val="MS Sans Serif"/>
      <family val="2"/>
    </font>
    <font>
      <sz val="8.5"/>
      <color indexed="14"/>
      <name val="MS Sans Serif"/>
      <family val="2"/>
    </font>
    <font>
      <sz val="10"/>
      <name val="MS Sans Serif"/>
      <family val="2"/>
    </font>
    <font>
      <b/>
      <sz val="10"/>
      <color indexed="10"/>
      <name val="Arial"/>
      <family val="2"/>
    </font>
    <font>
      <sz val="16"/>
      <name val="Arial"/>
      <family val="2"/>
    </font>
    <font>
      <b/>
      <sz val="16"/>
      <name val="Arial"/>
      <family val="2"/>
    </font>
    <font>
      <b/>
      <i/>
      <sz val="10"/>
      <name val="Arial"/>
      <family val="2"/>
    </font>
    <font>
      <b/>
      <sz val="8"/>
      <color indexed="81"/>
      <name val="Tahoma"/>
    </font>
    <font>
      <sz val="8"/>
      <color indexed="81"/>
      <name val="Tahoma"/>
    </font>
  </fonts>
  <fills count="1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
      <patternFill patternType="solid">
        <fgColor indexed="15"/>
        <bgColor indexed="64"/>
      </patternFill>
    </fill>
    <fill>
      <patternFill patternType="solid">
        <fgColor indexed="43"/>
        <bgColor indexed="64"/>
      </patternFill>
    </fill>
    <fill>
      <patternFill patternType="solid">
        <fgColor indexed="14"/>
        <bgColor indexed="64"/>
      </patternFill>
    </fill>
    <fill>
      <patternFill patternType="solid">
        <fgColor indexed="47"/>
        <bgColor indexed="64"/>
      </patternFill>
    </fill>
    <fill>
      <patternFill patternType="solid">
        <fgColor indexed="44"/>
        <bgColor indexed="64"/>
      </patternFill>
    </fill>
  </fills>
  <borders count="28">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8">
    <xf numFmtId="0" fontId="0" fillId="0" borderId="0"/>
    <xf numFmtId="43" fontId="1" fillId="0" borderId="0" applyFont="0" applyFill="0" applyBorder="0" applyAlignment="0" applyProtection="0"/>
    <xf numFmtId="44" fontId="1" fillId="0" borderId="0" applyFont="0" applyFill="0" applyBorder="0" applyAlignment="0" applyProtection="0"/>
    <xf numFmtId="170" fontId="1" fillId="0" borderId="0" applyFont="0" applyFill="0" applyBorder="0" applyAlignment="0" applyProtection="0"/>
    <xf numFmtId="0" fontId="4"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2"/>
    <xf numFmtId="0" fontId="5" fillId="0" borderId="0"/>
    <xf numFmtId="0" fontId="5" fillId="0" borderId="0"/>
    <xf numFmtId="0" fontId="4" fillId="0" borderId="0"/>
  </cellStyleXfs>
  <cellXfs count="597">
    <xf numFmtId="0" fontId="0" fillId="0" borderId="0" xfId="0"/>
    <xf numFmtId="0" fontId="8" fillId="0" borderId="0" xfId="15" applyFont="1" applyFill="1" applyAlignment="1">
      <alignment vertical="top"/>
    </xf>
    <xf numFmtId="0" fontId="9" fillId="0" borderId="0" xfId="15" applyFont="1" applyFill="1" applyAlignment="1">
      <alignment horizontal="center" vertical="top"/>
    </xf>
    <xf numFmtId="37" fontId="8" fillId="0" borderId="0" xfId="15" applyNumberFormat="1" applyFont="1" applyFill="1" applyAlignment="1">
      <alignment horizontal="left" vertical="top"/>
    </xf>
    <xf numFmtId="0" fontId="10" fillId="0" borderId="0" xfId="15" applyFont="1" applyFill="1" applyAlignment="1">
      <alignment horizontal="centerContinuous" vertical="top"/>
    </xf>
    <xf numFmtId="0" fontId="8" fillId="0" borderId="0" xfId="15" applyFont="1" applyFill="1" applyAlignment="1">
      <alignment horizontal="centerContinuous" vertical="top"/>
    </xf>
    <xf numFmtId="7" fontId="8" fillId="0" borderId="0" xfId="15" applyNumberFormat="1" applyFont="1" applyFill="1" applyAlignment="1">
      <alignment horizontal="centerContinuous" vertical="top"/>
    </xf>
    <xf numFmtId="37" fontId="8" fillId="0" borderId="0" xfId="15" applyNumberFormat="1" applyFont="1" applyFill="1" applyAlignment="1">
      <alignment horizontal="right" vertical="top"/>
    </xf>
    <xf numFmtId="0" fontId="11" fillId="0" borderId="0" xfId="15" applyFont="1" applyFill="1" applyAlignment="1">
      <alignment vertical="top"/>
    </xf>
    <xf numFmtId="37" fontId="12" fillId="0" borderId="0" xfId="15" applyNumberFormat="1" applyFont="1" applyFill="1" applyAlignment="1">
      <alignment horizontal="left" vertical="top"/>
    </xf>
    <xf numFmtId="0" fontId="13" fillId="0" borderId="0" xfId="15" applyFont="1" applyFill="1" applyAlignment="1">
      <alignment horizontal="centerContinuous" vertical="top"/>
    </xf>
    <xf numFmtId="0" fontId="12" fillId="0" borderId="0" xfId="15" applyFont="1" applyFill="1" applyAlignment="1">
      <alignment horizontal="centerContinuous" vertical="top"/>
    </xf>
    <xf numFmtId="0" fontId="12" fillId="0" borderId="0" xfId="15" applyFont="1" applyFill="1" applyAlignment="1">
      <alignment horizontal="center" vertical="top"/>
    </xf>
    <xf numFmtId="37" fontId="8" fillId="0" borderId="0" xfId="15" applyNumberFormat="1" applyFont="1" applyFill="1" applyAlignment="1">
      <alignment horizontal="center" vertical="top"/>
    </xf>
    <xf numFmtId="7" fontId="12" fillId="0" borderId="0" xfId="15" applyNumberFormat="1" applyFont="1" applyFill="1" applyAlignment="1">
      <alignment horizontal="left" vertical="top"/>
    </xf>
    <xf numFmtId="17" fontId="14" fillId="0" borderId="0" xfId="15" applyNumberFormat="1" applyFont="1" applyFill="1" applyAlignment="1">
      <alignment horizontal="centerContinuous" vertical="top"/>
    </xf>
    <xf numFmtId="37" fontId="12" fillId="0" borderId="0" xfId="15" applyNumberFormat="1" applyFont="1" applyFill="1" applyAlignment="1">
      <alignment horizontal="center" vertical="top"/>
    </xf>
    <xf numFmtId="0" fontId="15" fillId="0" borderId="0" xfId="15" quotePrefix="1" applyFont="1" applyFill="1" applyAlignment="1">
      <alignment vertical="top"/>
    </xf>
    <xf numFmtId="0" fontId="12" fillId="0" borderId="0" xfId="15" applyFont="1" applyFill="1" applyAlignment="1">
      <alignment vertical="top"/>
    </xf>
    <xf numFmtId="17" fontId="12" fillId="0" borderId="0" xfId="15" applyNumberFormat="1" applyFont="1" applyFill="1" applyAlignment="1">
      <alignment horizontal="center" vertical="top"/>
    </xf>
    <xf numFmtId="7" fontId="12" fillId="0" borderId="0" xfId="15" applyNumberFormat="1" applyFont="1" applyFill="1" applyAlignment="1">
      <alignment horizontal="right" vertical="top"/>
    </xf>
    <xf numFmtId="7" fontId="8" fillId="0" borderId="0" xfId="15" applyNumberFormat="1" applyFont="1" applyFill="1" applyAlignment="1">
      <alignment horizontal="right" vertical="top"/>
    </xf>
    <xf numFmtId="37" fontId="16" fillId="0" borderId="0" xfId="15" applyNumberFormat="1" applyFont="1" applyFill="1" applyAlignment="1">
      <alignment horizontal="center" vertical="top"/>
    </xf>
    <xf numFmtId="7" fontId="17" fillId="0" borderId="0" xfId="15" applyNumberFormat="1" applyFont="1" applyFill="1" applyAlignment="1">
      <alignment horizontal="left" vertical="top"/>
    </xf>
    <xf numFmtId="37" fontId="16" fillId="0" borderId="0" xfId="15" applyNumberFormat="1" applyFont="1" applyFill="1" applyAlignment="1">
      <alignment horizontal="centerContinuous" vertical="top"/>
    </xf>
    <xf numFmtId="7" fontId="17" fillId="0" borderId="0" xfId="15" applyNumberFormat="1" applyFont="1" applyFill="1" applyAlignment="1">
      <alignment horizontal="centerContinuous" vertical="top"/>
    </xf>
    <xf numFmtId="7" fontId="16" fillId="0" borderId="0" xfId="15" applyNumberFormat="1" applyFont="1" applyFill="1" applyAlignment="1">
      <alignment horizontal="centerContinuous" vertical="top"/>
    </xf>
    <xf numFmtId="0" fontId="15" fillId="0" borderId="0" xfId="14" applyFont="1" applyFill="1" applyBorder="1" applyAlignment="1">
      <alignment vertical="top"/>
    </xf>
    <xf numFmtId="0" fontId="18" fillId="0" borderId="0" xfId="14" applyFont="1" applyFill="1" applyBorder="1" applyAlignment="1">
      <alignment horizontal="center" vertical="top"/>
    </xf>
    <xf numFmtId="37" fontId="19" fillId="0" borderId="0" xfId="15" applyNumberFormat="1" applyFont="1" applyFill="1" applyAlignment="1">
      <alignment horizontal="center" vertical="top"/>
    </xf>
    <xf numFmtId="7" fontId="20" fillId="0" borderId="0" xfId="15" applyNumberFormat="1" applyFont="1" applyFill="1" applyAlignment="1">
      <alignment horizontal="left" vertical="top"/>
    </xf>
    <xf numFmtId="0" fontId="20" fillId="0" borderId="0" xfId="15" applyFont="1" applyFill="1" applyAlignment="1">
      <alignment vertical="top"/>
    </xf>
    <xf numFmtId="37" fontId="19" fillId="0" borderId="0" xfId="15" applyNumberFormat="1" applyFont="1" applyFill="1" applyAlignment="1">
      <alignment horizontal="centerContinuous" vertical="top"/>
    </xf>
    <xf numFmtId="7" fontId="20" fillId="0" borderId="0" xfId="15" applyNumberFormat="1" applyFont="1" applyFill="1" applyAlignment="1">
      <alignment vertical="top"/>
    </xf>
    <xf numFmtId="7" fontId="20" fillId="0" borderId="0" xfId="15" applyNumberFormat="1" applyFont="1" applyFill="1" applyAlignment="1">
      <alignment horizontal="centerContinuous" vertical="top"/>
    </xf>
    <xf numFmtId="7" fontId="19" fillId="0" borderId="0" xfId="15" applyNumberFormat="1" applyFont="1" applyFill="1" applyAlignment="1">
      <alignment horizontal="centerContinuous" vertical="top"/>
    </xf>
    <xf numFmtId="0" fontId="8" fillId="0" borderId="0" xfId="8" applyFont="1" applyFill="1" applyAlignment="1">
      <alignment vertical="top"/>
    </xf>
    <xf numFmtId="0" fontId="9" fillId="0" borderId="0" xfId="14" applyFont="1" applyFill="1" applyBorder="1" applyAlignment="1">
      <alignment horizontal="center" vertical="top"/>
    </xf>
    <xf numFmtId="37" fontId="19" fillId="0" borderId="3" xfId="14" applyNumberFormat="1" applyFont="1" applyFill="1" applyBorder="1" applyAlignment="1">
      <alignment horizontal="center" vertical="top"/>
    </xf>
    <xf numFmtId="7" fontId="19" fillId="0" borderId="3" xfId="14" applyNumberFormat="1" applyFont="1" applyFill="1" applyBorder="1" applyAlignment="1">
      <alignment horizontal="left" vertical="top"/>
    </xf>
    <xf numFmtId="0" fontId="19" fillId="0" borderId="0" xfId="14" applyFont="1" applyFill="1" applyBorder="1" applyAlignment="1">
      <alignment vertical="top"/>
    </xf>
    <xf numFmtId="7" fontId="19" fillId="0" borderId="3" xfId="14" applyNumberFormat="1" applyFont="1" applyFill="1" applyBorder="1" applyAlignment="1">
      <alignment horizontal="center" vertical="top"/>
    </xf>
    <xf numFmtId="0" fontId="21" fillId="0" borderId="0" xfId="14" applyFont="1" applyFill="1" applyBorder="1" applyAlignment="1">
      <alignment vertical="top"/>
    </xf>
    <xf numFmtId="0" fontId="22" fillId="0" borderId="0" xfId="8" applyFont="1" applyFill="1" applyAlignment="1">
      <alignment vertical="top"/>
    </xf>
    <xf numFmtId="0" fontId="23" fillId="0" borderId="0" xfId="14" applyFont="1" applyFill="1" applyBorder="1" applyAlignment="1">
      <alignment vertical="top"/>
    </xf>
    <xf numFmtId="0" fontId="24" fillId="0" borderId="0" xfId="14" applyFont="1" applyFill="1" applyBorder="1" applyAlignment="1">
      <alignment horizontal="center" vertical="top"/>
    </xf>
    <xf numFmtId="172" fontId="25" fillId="0" borderId="0" xfId="1" applyNumberFormat="1" applyFont="1" applyFill="1" applyBorder="1" applyAlignment="1" applyProtection="1">
      <alignment horizontal="center" vertical="top"/>
    </xf>
    <xf numFmtId="7" fontId="25" fillId="0" borderId="0" xfId="1" applyNumberFormat="1" applyFont="1" applyFill="1" applyBorder="1" applyAlignment="1">
      <alignment horizontal="left" vertical="top"/>
    </xf>
    <xf numFmtId="172" fontId="23" fillId="0" borderId="0" xfId="1" applyNumberFormat="1" applyFont="1" applyFill="1" applyBorder="1" applyAlignment="1">
      <alignment horizontal="right" vertical="top"/>
    </xf>
    <xf numFmtId="44" fontId="25" fillId="0" borderId="0" xfId="1" applyNumberFormat="1" applyFont="1" applyFill="1" applyBorder="1" applyAlignment="1">
      <alignment horizontal="right" vertical="top"/>
    </xf>
    <xf numFmtId="7" fontId="23" fillId="0" borderId="0" xfId="1" applyNumberFormat="1" applyFont="1" applyFill="1" applyBorder="1" applyAlignment="1">
      <alignment horizontal="right" vertical="top"/>
    </xf>
    <xf numFmtId="172" fontId="23" fillId="0" borderId="0" xfId="14" applyNumberFormat="1" applyFont="1" applyFill="1" applyBorder="1" applyAlignment="1">
      <alignment horizontal="right" vertical="top"/>
    </xf>
    <xf numFmtId="0" fontId="23" fillId="0" borderId="0" xfId="8" applyFont="1" applyFill="1" applyAlignment="1">
      <alignment vertical="top"/>
    </xf>
    <xf numFmtId="0" fontId="11" fillId="0" borderId="0" xfId="14" applyFont="1" applyFill="1" applyBorder="1" applyAlignment="1">
      <alignment vertical="top"/>
    </xf>
    <xf numFmtId="0" fontId="24" fillId="0" borderId="0" xfId="14" applyFont="1" applyFill="1" applyBorder="1" applyAlignment="1">
      <alignment vertical="top"/>
    </xf>
    <xf numFmtId="183" fontId="26" fillId="2" borderId="0" xfId="1" applyNumberFormat="1" applyFont="1" applyFill="1" applyBorder="1" applyAlignment="1">
      <alignment horizontal="right" vertical="top"/>
    </xf>
    <xf numFmtId="7" fontId="26" fillId="2" borderId="0" xfId="1" applyNumberFormat="1" applyFont="1" applyFill="1" applyBorder="1" applyAlignment="1">
      <alignment horizontal="right" vertical="top"/>
    </xf>
    <xf numFmtId="7" fontId="24" fillId="0" borderId="0" xfId="1" applyNumberFormat="1" applyFont="1" applyFill="1" applyBorder="1" applyAlignment="1">
      <alignment horizontal="right" vertical="top"/>
    </xf>
    <xf numFmtId="172" fontId="24" fillId="0" borderId="0" xfId="14" applyNumberFormat="1" applyFont="1" applyFill="1" applyBorder="1" applyAlignment="1">
      <alignment horizontal="right" vertical="top"/>
    </xf>
    <xf numFmtId="7" fontId="27" fillId="0" borderId="0" xfId="14" applyNumberFormat="1" applyFont="1" applyFill="1" applyBorder="1" applyAlignment="1">
      <alignment vertical="top"/>
    </xf>
    <xf numFmtId="0" fontId="27" fillId="0" borderId="0" xfId="14" applyFont="1" applyFill="1" applyBorder="1" applyAlignment="1">
      <alignment vertical="top"/>
    </xf>
    <xf numFmtId="0" fontId="8" fillId="0" borderId="0" xfId="14" applyFont="1" applyFill="1" applyBorder="1" applyAlignment="1">
      <alignment vertical="top"/>
    </xf>
    <xf numFmtId="0" fontId="9" fillId="0" borderId="0" xfId="8" applyFont="1" applyFill="1" applyAlignment="1">
      <alignment vertical="top"/>
    </xf>
    <xf numFmtId="0" fontId="9" fillId="0" borderId="0" xfId="14" applyFont="1" applyFill="1" applyBorder="1" applyAlignment="1">
      <alignment vertical="top"/>
    </xf>
    <xf numFmtId="172" fontId="9" fillId="0" borderId="0" xfId="1" applyNumberFormat="1" applyFont="1" applyFill="1" applyBorder="1" applyAlignment="1">
      <alignment horizontal="right" vertical="top"/>
    </xf>
    <xf numFmtId="7" fontId="9" fillId="0" borderId="0" xfId="1" applyNumberFormat="1" applyFont="1" applyFill="1" applyBorder="1" applyAlignment="1">
      <alignment horizontal="right" vertical="top"/>
    </xf>
    <xf numFmtId="172" fontId="9" fillId="0" borderId="0" xfId="14" applyNumberFormat="1" applyFont="1" applyFill="1" applyBorder="1" applyAlignment="1">
      <alignment horizontal="right" vertical="top"/>
    </xf>
    <xf numFmtId="183" fontId="9" fillId="0" borderId="0" xfId="1" applyNumberFormat="1" applyFont="1" applyFill="1" applyBorder="1" applyAlignment="1">
      <alignment horizontal="center" vertical="top"/>
    </xf>
    <xf numFmtId="0" fontId="28" fillId="0" borderId="0" xfId="14" applyFont="1" applyFill="1" applyBorder="1" applyAlignment="1">
      <alignment vertical="top"/>
    </xf>
    <xf numFmtId="0" fontId="24" fillId="0" borderId="0" xfId="8" applyFont="1" applyFill="1" applyAlignment="1">
      <alignment horizontal="center" vertical="top" wrapText="1"/>
    </xf>
    <xf numFmtId="183" fontId="26" fillId="0" borderId="0" xfId="1" applyNumberFormat="1" applyFont="1" applyFill="1" applyBorder="1" applyAlignment="1">
      <alignment horizontal="center" vertical="top"/>
    </xf>
    <xf numFmtId="7" fontId="26" fillId="0" borderId="0" xfId="1" applyNumberFormat="1" applyFont="1" applyFill="1" applyBorder="1" applyAlignment="1">
      <alignment horizontal="right" vertical="top"/>
    </xf>
    <xf numFmtId="0" fontId="24" fillId="0" borderId="0" xfId="14" applyFont="1" applyFill="1" applyBorder="1" applyAlignment="1">
      <alignment horizontal="right" vertical="top"/>
    </xf>
    <xf numFmtId="172" fontId="24" fillId="0" borderId="0" xfId="1" applyNumberFormat="1" applyFont="1" applyFill="1" applyBorder="1" applyAlignment="1">
      <alignment horizontal="right" vertical="top"/>
    </xf>
    <xf numFmtId="44" fontId="26" fillId="0" borderId="0" xfId="1" applyNumberFormat="1" applyFont="1" applyFill="1" applyBorder="1" applyAlignment="1">
      <alignment horizontal="right" vertical="top"/>
    </xf>
    <xf numFmtId="0" fontId="24" fillId="0" borderId="0" xfId="8" applyFont="1" applyFill="1" applyAlignment="1">
      <alignment horizontal="center" vertical="top"/>
    </xf>
    <xf numFmtId="0" fontId="9" fillId="0" borderId="0" xfId="8" applyFont="1" applyFill="1" applyAlignment="1">
      <alignment horizontal="center" vertical="top"/>
    </xf>
    <xf numFmtId="2" fontId="26" fillId="2" borderId="0" xfId="1" applyNumberFormat="1" applyFont="1" applyFill="1" applyBorder="1" applyAlignment="1">
      <alignment horizontal="right" vertical="top"/>
    </xf>
    <xf numFmtId="0" fontId="29" fillId="0" borderId="0" xfId="14" applyFont="1" applyFill="1" applyBorder="1" applyAlignment="1">
      <alignment vertical="top"/>
    </xf>
    <xf numFmtId="172" fontId="29" fillId="0" borderId="0" xfId="1" applyNumberFormat="1" applyFont="1" applyFill="1" applyBorder="1" applyAlignment="1">
      <alignment horizontal="right" vertical="top"/>
    </xf>
    <xf numFmtId="7" fontId="29" fillId="0" borderId="0" xfId="1" applyNumberFormat="1" applyFont="1" applyFill="1" applyBorder="1" applyAlignment="1">
      <alignment horizontal="right" vertical="top"/>
    </xf>
    <xf numFmtId="2" fontId="8" fillId="0" borderId="3" xfId="1" applyNumberFormat="1" applyFont="1" applyFill="1" applyBorder="1" applyAlignment="1">
      <alignment horizontal="center" vertical="top"/>
    </xf>
    <xf numFmtId="7" fontId="8" fillId="0" borderId="3" xfId="2" applyNumberFormat="1" applyFont="1" applyFill="1" applyBorder="1" applyAlignment="1">
      <alignment horizontal="right" vertical="top"/>
    </xf>
    <xf numFmtId="172" fontId="8" fillId="0" borderId="4" xfId="1" applyNumberFormat="1" applyFont="1" applyFill="1" applyBorder="1" applyAlignment="1">
      <alignment horizontal="right" vertical="top"/>
    </xf>
    <xf numFmtId="7" fontId="8" fillId="0" borderId="4" xfId="2" applyNumberFormat="1" applyFont="1" applyFill="1" applyBorder="1" applyAlignment="1">
      <alignment horizontal="right" vertical="top"/>
    </xf>
    <xf numFmtId="7" fontId="20" fillId="0" borderId="0" xfId="2" applyNumberFormat="1" applyFont="1" applyFill="1" applyBorder="1" applyAlignment="1">
      <alignment horizontal="right" vertical="top"/>
    </xf>
    <xf numFmtId="0" fontId="20" fillId="0" borderId="0" xfId="14" applyFont="1" applyFill="1" applyBorder="1" applyAlignment="1">
      <alignment vertical="top"/>
    </xf>
    <xf numFmtId="172" fontId="20" fillId="0" borderId="0" xfId="14" applyNumberFormat="1" applyFont="1" applyFill="1" applyBorder="1" applyAlignment="1">
      <alignment horizontal="right" vertical="top"/>
    </xf>
    <xf numFmtId="7" fontId="30" fillId="0" borderId="0" xfId="2" applyNumberFormat="1" applyFont="1" applyFill="1" applyBorder="1" applyAlignment="1">
      <alignment horizontal="right" vertical="top"/>
    </xf>
    <xf numFmtId="2" fontId="8" fillId="0" borderId="0" xfId="13" applyNumberFormat="1" applyFont="1" applyFill="1" applyAlignment="1">
      <alignment horizontal="center" vertical="top"/>
    </xf>
    <xf numFmtId="7" fontId="31" fillId="0" borderId="0" xfId="1" applyNumberFormat="1" applyFont="1" applyFill="1" applyBorder="1" applyAlignment="1">
      <alignment horizontal="right" vertical="top"/>
    </xf>
    <xf numFmtId="172" fontId="8" fillId="0" borderId="0" xfId="8" applyNumberFormat="1" applyFont="1" applyFill="1" applyAlignment="1">
      <alignment vertical="top"/>
    </xf>
    <xf numFmtId="0" fontId="31" fillId="0" borderId="0" xfId="8" applyFont="1" applyFill="1" applyAlignment="1">
      <alignment vertical="top"/>
    </xf>
    <xf numFmtId="172" fontId="8" fillId="0" borderId="0" xfId="14" applyNumberFormat="1" applyFont="1" applyFill="1" applyBorder="1" applyAlignment="1">
      <alignment horizontal="right" vertical="top"/>
    </xf>
    <xf numFmtId="7" fontId="8" fillId="0" borderId="0" xfId="8" applyNumberFormat="1" applyFont="1" applyFill="1" applyAlignment="1">
      <alignment vertical="top"/>
    </xf>
    <xf numFmtId="2" fontId="25" fillId="0" borderId="0" xfId="13" applyNumberFormat="1" applyFont="1" applyFill="1" applyAlignment="1">
      <alignment horizontal="center" vertical="top"/>
    </xf>
    <xf numFmtId="7" fontId="25" fillId="0" borderId="0" xfId="1" applyNumberFormat="1" applyFont="1" applyFill="1" applyBorder="1" applyAlignment="1">
      <alignment horizontal="right" vertical="top"/>
    </xf>
    <xf numFmtId="8" fontId="23" fillId="0" borderId="0" xfId="14" applyNumberFormat="1" applyFont="1" applyFill="1" applyBorder="1" applyAlignment="1">
      <alignment vertical="top"/>
    </xf>
    <xf numFmtId="172" fontId="23" fillId="0" borderId="0" xfId="13" applyNumberFormat="1" applyFont="1" applyFill="1" applyAlignment="1">
      <alignment horizontal="right" vertical="top"/>
    </xf>
    <xf numFmtId="8" fontId="24" fillId="0" borderId="0" xfId="14" applyNumberFormat="1" applyFont="1" applyFill="1" applyBorder="1" applyAlignment="1">
      <alignment vertical="top"/>
    </xf>
    <xf numFmtId="172" fontId="24" fillId="0" borderId="0" xfId="13" applyNumberFormat="1" applyFont="1" applyFill="1" applyAlignment="1">
      <alignment horizontal="right" vertical="top"/>
    </xf>
    <xf numFmtId="0" fontId="32" fillId="0" borderId="0" xfId="14" applyFont="1" applyFill="1" applyBorder="1" applyAlignment="1">
      <alignment vertical="top"/>
    </xf>
    <xf numFmtId="0" fontId="33" fillId="3" borderId="0" xfId="14" applyFont="1" applyFill="1" applyBorder="1" applyAlignment="1">
      <alignment vertical="top"/>
    </xf>
    <xf numFmtId="0" fontId="33" fillId="3" borderId="0" xfId="8" applyFont="1" applyFill="1" applyBorder="1" applyAlignment="1">
      <alignment horizontal="center" vertical="top" wrapText="1"/>
    </xf>
    <xf numFmtId="183" fontId="25" fillId="2" borderId="0" xfId="13" applyNumberFormat="1" applyFont="1" applyFill="1" applyAlignment="1">
      <alignment horizontal="center" vertical="top"/>
    </xf>
    <xf numFmtId="0" fontId="24" fillId="3" borderId="0" xfId="14" applyFont="1" applyFill="1" applyBorder="1" applyAlignment="1">
      <alignment vertical="top"/>
    </xf>
    <xf numFmtId="172" fontId="24" fillId="3" borderId="0" xfId="14" applyNumberFormat="1" applyFont="1" applyFill="1" applyBorder="1" applyAlignment="1">
      <alignment horizontal="right" vertical="top"/>
    </xf>
    <xf numFmtId="7" fontId="24" fillId="3" borderId="0" xfId="14" applyNumberFormat="1" applyFont="1" applyFill="1" applyBorder="1" applyAlignment="1">
      <alignment horizontal="right" vertical="top"/>
    </xf>
    <xf numFmtId="7" fontId="33" fillId="3" borderId="0" xfId="1" applyNumberFormat="1" applyFont="1" applyFill="1" applyBorder="1" applyAlignment="1">
      <alignment horizontal="right" vertical="top"/>
    </xf>
    <xf numFmtId="0" fontId="33" fillId="4" borderId="0" xfId="14" applyFont="1" applyFill="1" applyBorder="1" applyAlignment="1">
      <alignment vertical="top"/>
    </xf>
    <xf numFmtId="0" fontId="33" fillId="4" borderId="0" xfId="8" applyFont="1" applyFill="1" applyBorder="1" applyAlignment="1">
      <alignment horizontal="center" vertical="top" wrapText="1"/>
    </xf>
    <xf numFmtId="183" fontId="24" fillId="4" borderId="0" xfId="14" applyNumberFormat="1" applyFont="1" applyFill="1" applyBorder="1" applyAlignment="1">
      <alignment horizontal="center" vertical="top"/>
    </xf>
    <xf numFmtId="7" fontId="24" fillId="5" borderId="0" xfId="1" applyNumberFormat="1" applyFont="1" applyFill="1" applyBorder="1" applyAlignment="1">
      <alignment horizontal="right" vertical="top"/>
    </xf>
    <xf numFmtId="0" fontId="24" fillId="4" borderId="0" xfId="14" applyFont="1" applyFill="1" applyBorder="1" applyAlignment="1">
      <alignment vertical="top"/>
    </xf>
    <xf numFmtId="172" fontId="24" fillId="4" borderId="0" xfId="14" applyNumberFormat="1" applyFont="1" applyFill="1" applyBorder="1" applyAlignment="1">
      <alignment horizontal="right" vertical="top"/>
    </xf>
    <xf numFmtId="7" fontId="24" fillId="4" borderId="0" xfId="1" applyNumberFormat="1" applyFont="1" applyFill="1" applyBorder="1" applyAlignment="1">
      <alignment horizontal="right" vertical="top"/>
    </xf>
    <xf numFmtId="7" fontId="24" fillId="4" borderId="0" xfId="14" applyNumberFormat="1" applyFont="1" applyFill="1" applyBorder="1" applyAlignment="1">
      <alignment horizontal="right" vertical="top"/>
    </xf>
    <xf numFmtId="7" fontId="33" fillId="4" borderId="0" xfId="1" applyNumberFormat="1" applyFont="1" applyFill="1" applyBorder="1" applyAlignment="1">
      <alignment horizontal="right" vertical="top"/>
    </xf>
    <xf numFmtId="0" fontId="34" fillId="0" borderId="0" xfId="14" applyFont="1" applyFill="1" applyBorder="1" applyAlignment="1">
      <alignment vertical="top"/>
    </xf>
    <xf numFmtId="0" fontId="33" fillId="3" borderId="0" xfId="8" applyFont="1" applyFill="1" applyAlignment="1">
      <alignment horizontal="center" vertical="top"/>
    </xf>
    <xf numFmtId="183" fontId="24" fillId="3" borderId="0" xfId="14" applyNumberFormat="1" applyFont="1" applyFill="1" applyBorder="1" applyAlignment="1">
      <alignment horizontal="center" vertical="top"/>
    </xf>
    <xf numFmtId="7" fontId="24" fillId="3" borderId="0" xfId="14" quotePrefix="1" applyNumberFormat="1" applyFont="1" applyFill="1" applyBorder="1" applyAlignment="1">
      <alignment horizontal="right" vertical="top"/>
    </xf>
    <xf numFmtId="7" fontId="24" fillId="3" borderId="0" xfId="1" applyNumberFormat="1" applyFont="1" applyFill="1" applyBorder="1" applyAlignment="1">
      <alignment horizontal="right" vertical="top"/>
    </xf>
    <xf numFmtId="44" fontId="34" fillId="0" borderId="0" xfId="2" applyFont="1" applyFill="1" applyBorder="1" applyAlignment="1">
      <alignment vertical="top"/>
    </xf>
    <xf numFmtId="0" fontId="31" fillId="0" borderId="0" xfId="14" applyFont="1" applyFill="1" applyBorder="1" applyAlignment="1">
      <alignment vertical="top"/>
    </xf>
    <xf numFmtId="7" fontId="34" fillId="0" borderId="0" xfId="14" applyNumberFormat="1" applyFont="1" applyFill="1" applyBorder="1" applyAlignment="1">
      <alignment vertical="top"/>
    </xf>
    <xf numFmtId="0" fontId="9" fillId="0" borderId="0" xfId="15" applyFont="1" applyFill="1" applyBorder="1" applyAlignment="1">
      <alignment horizontal="center" vertical="top"/>
    </xf>
    <xf numFmtId="183" fontId="29" fillId="0" borderId="0" xfId="8" applyNumberFormat="1" applyFont="1" applyFill="1" applyAlignment="1">
      <alignment horizontal="center" vertical="top"/>
    </xf>
    <xf numFmtId="0" fontId="29" fillId="0" borderId="0" xfId="8" applyFont="1" applyFill="1" applyAlignment="1">
      <alignment horizontal="right" vertical="top"/>
    </xf>
    <xf numFmtId="0" fontId="29" fillId="0" borderId="0" xfId="15" applyFont="1" applyFill="1" applyBorder="1" applyAlignment="1">
      <alignment vertical="top"/>
    </xf>
    <xf numFmtId="172" fontId="29" fillId="0" borderId="0" xfId="8" applyNumberFormat="1" applyFont="1" applyFill="1" applyAlignment="1">
      <alignment vertical="top"/>
    </xf>
    <xf numFmtId="0" fontId="29" fillId="0" borderId="0" xfId="8" applyFont="1" applyFill="1" applyAlignment="1">
      <alignment vertical="top"/>
    </xf>
    <xf numFmtId="172" fontId="9" fillId="0" borderId="0" xfId="15" applyNumberFormat="1" applyFont="1" applyFill="1" applyBorder="1" applyAlignment="1">
      <alignment horizontal="right" vertical="top"/>
    </xf>
    <xf numFmtId="7" fontId="9" fillId="0" borderId="0" xfId="8" applyNumberFormat="1" applyFont="1" applyFill="1" applyAlignment="1">
      <alignment vertical="top"/>
    </xf>
    <xf numFmtId="0" fontId="35" fillId="0" borderId="0" xfId="14" applyFont="1" applyFill="1" applyBorder="1" applyAlignment="1">
      <alignment vertical="top"/>
    </xf>
    <xf numFmtId="0" fontId="28" fillId="0" borderId="0" xfId="8" applyFont="1" applyFill="1" applyAlignment="1">
      <alignment vertical="top"/>
    </xf>
    <xf numFmtId="0" fontId="23" fillId="0" borderId="0" xfId="15" applyFont="1" applyFill="1" applyBorder="1" applyAlignment="1">
      <alignment vertical="top"/>
    </xf>
    <xf numFmtId="0" fontId="24" fillId="0" borderId="0" xfId="15" applyFont="1" applyFill="1" applyBorder="1" applyAlignment="1">
      <alignment horizontal="center" vertical="top"/>
    </xf>
    <xf numFmtId="183" fontId="26" fillId="0" borderId="0" xfId="1" applyNumberFormat="1" applyFont="1" applyFill="1" applyBorder="1" applyAlignment="1">
      <alignment horizontal="right" vertical="top"/>
    </xf>
    <xf numFmtId="0" fontId="24" fillId="0" borderId="0" xfId="15" applyFont="1" applyFill="1" applyBorder="1" applyAlignment="1">
      <alignment vertical="top"/>
    </xf>
    <xf numFmtId="0" fontId="11" fillId="0" borderId="0" xfId="15" applyFont="1" applyFill="1" applyBorder="1" applyAlignment="1">
      <alignment vertical="top"/>
    </xf>
    <xf numFmtId="172" fontId="24" fillId="0" borderId="0" xfId="15" applyNumberFormat="1" applyFont="1" applyFill="1" applyBorder="1" applyAlignment="1">
      <alignment horizontal="right" vertical="top"/>
    </xf>
    <xf numFmtId="7" fontId="27" fillId="0" borderId="0" xfId="15" applyNumberFormat="1" applyFont="1" applyFill="1" applyBorder="1" applyAlignment="1">
      <alignment vertical="top"/>
    </xf>
    <xf numFmtId="0" fontId="27" fillId="0" borderId="0" xfId="15" applyFont="1" applyFill="1" applyBorder="1" applyAlignment="1">
      <alignment vertical="top"/>
    </xf>
    <xf numFmtId="2" fontId="26" fillId="0" borderId="0" xfId="15" applyNumberFormat="1" applyFont="1" applyFill="1" applyBorder="1" applyAlignment="1">
      <alignment horizontal="center" vertical="top"/>
    </xf>
    <xf numFmtId="0" fontId="32" fillId="0" borderId="0" xfId="15" applyFont="1" applyFill="1" applyBorder="1" applyAlignment="1">
      <alignment vertical="top"/>
    </xf>
    <xf numFmtId="0" fontId="33" fillId="0" borderId="0" xfId="15" applyFont="1" applyFill="1" applyBorder="1" applyAlignment="1">
      <alignment vertical="top"/>
    </xf>
    <xf numFmtId="0" fontId="33" fillId="0" borderId="0" xfId="8" applyFont="1" applyFill="1" applyAlignment="1">
      <alignment horizontal="center" vertical="top" wrapText="1"/>
    </xf>
    <xf numFmtId="7" fontId="33" fillId="0" borderId="0" xfId="1" applyNumberFormat="1" applyFont="1" applyFill="1" applyBorder="1" applyAlignment="1">
      <alignment horizontal="right" vertical="top"/>
    </xf>
    <xf numFmtId="0" fontId="33" fillId="3" borderId="0" xfId="15" applyFont="1" applyFill="1" applyBorder="1" applyAlignment="1">
      <alignment vertical="top"/>
    </xf>
    <xf numFmtId="2" fontId="24" fillId="3" borderId="0" xfId="15" applyNumberFormat="1" applyFont="1" applyFill="1" applyBorder="1" applyAlignment="1">
      <alignment horizontal="center" vertical="top"/>
    </xf>
    <xf numFmtId="0" fontId="24" fillId="3" borderId="0" xfId="15" applyFont="1" applyFill="1" applyBorder="1" applyAlignment="1">
      <alignment vertical="top"/>
    </xf>
    <xf numFmtId="7" fontId="24" fillId="3" borderId="0" xfId="1" quotePrefix="1" applyNumberFormat="1" applyFont="1" applyFill="1" applyBorder="1" applyAlignment="1">
      <alignment horizontal="right" vertical="top"/>
    </xf>
    <xf numFmtId="0" fontId="34" fillId="0" borderId="0" xfId="15" applyFont="1" applyFill="1" applyBorder="1" applyAlignment="1">
      <alignment vertical="top"/>
    </xf>
    <xf numFmtId="0" fontId="9" fillId="3" borderId="0" xfId="8" applyFont="1" applyFill="1" applyAlignment="1">
      <alignment vertical="top"/>
    </xf>
    <xf numFmtId="0" fontId="9" fillId="3" borderId="0" xfId="15" applyFont="1" applyFill="1" applyAlignment="1">
      <alignment horizontal="center" vertical="top"/>
    </xf>
    <xf numFmtId="2" fontId="9" fillId="3" borderId="0" xfId="15" applyNumberFormat="1" applyFont="1" applyFill="1" applyAlignment="1">
      <alignment horizontal="center" vertical="top"/>
    </xf>
    <xf numFmtId="7" fontId="9" fillId="3" borderId="0" xfId="15" applyNumberFormat="1" applyFont="1" applyFill="1" applyAlignment="1">
      <alignment horizontal="right" vertical="top"/>
    </xf>
    <xf numFmtId="8" fontId="9" fillId="3" borderId="0" xfId="15" applyNumberFormat="1" applyFont="1" applyFill="1" applyAlignment="1">
      <alignment vertical="top"/>
    </xf>
    <xf numFmtId="172" fontId="9" fillId="3" borderId="0" xfId="15" applyNumberFormat="1" applyFont="1" applyFill="1" applyAlignment="1">
      <alignment horizontal="right" vertical="top"/>
    </xf>
    <xf numFmtId="7" fontId="34" fillId="0" borderId="0" xfId="15" applyNumberFormat="1" applyFont="1" applyFill="1" applyBorder="1" applyAlignment="1">
      <alignment vertical="top"/>
    </xf>
    <xf numFmtId="2" fontId="9" fillId="0" borderId="4" xfId="1" applyNumberFormat="1" applyFont="1" applyFill="1" applyBorder="1" applyAlignment="1">
      <alignment horizontal="center" vertical="top"/>
    </xf>
    <xf numFmtId="7" fontId="9" fillId="0" borderId="4" xfId="2" applyNumberFormat="1" applyFont="1" applyFill="1" applyBorder="1" applyAlignment="1">
      <alignment horizontal="right" vertical="top"/>
    </xf>
    <xf numFmtId="172" fontId="9" fillId="0" borderId="4" xfId="1" applyNumberFormat="1" applyFont="1" applyFill="1" applyBorder="1" applyAlignment="1">
      <alignment horizontal="right" vertical="top"/>
    </xf>
    <xf numFmtId="2" fontId="9" fillId="0" borderId="0" xfId="15" applyNumberFormat="1" applyFont="1" applyFill="1" applyAlignment="1">
      <alignment horizontal="center" vertical="top"/>
    </xf>
    <xf numFmtId="7" fontId="9" fillId="0" borderId="0" xfId="15" applyNumberFormat="1" applyFont="1" applyFill="1" applyAlignment="1">
      <alignment horizontal="right" vertical="top"/>
    </xf>
    <xf numFmtId="8" fontId="9" fillId="0" borderId="0" xfId="15" applyNumberFormat="1" applyFont="1" applyFill="1" applyAlignment="1">
      <alignment vertical="top"/>
    </xf>
    <xf numFmtId="37" fontId="9" fillId="0" borderId="0" xfId="15" applyNumberFormat="1" applyFont="1" applyFill="1" applyAlignment="1">
      <alignment horizontal="right" vertical="top"/>
    </xf>
    <xf numFmtId="0" fontId="15" fillId="0" borderId="0" xfId="15" applyFont="1" applyFill="1" applyAlignment="1">
      <alignment vertical="top"/>
    </xf>
    <xf numFmtId="0" fontId="29" fillId="0" borderId="0" xfId="14" applyFont="1" applyFill="1" applyBorder="1" applyAlignment="1">
      <alignment horizontal="center" vertical="top"/>
    </xf>
    <xf numFmtId="2" fontId="29" fillId="0" borderId="0" xfId="1" applyNumberFormat="1" applyFont="1" applyFill="1" applyBorder="1" applyAlignment="1">
      <alignment horizontal="center" vertical="top"/>
    </xf>
    <xf numFmtId="37" fontId="29" fillId="0" borderId="0" xfId="1" applyNumberFormat="1" applyFont="1" applyFill="1" applyBorder="1" applyAlignment="1">
      <alignment horizontal="right" vertical="top"/>
    </xf>
    <xf numFmtId="37" fontId="24" fillId="0" borderId="0" xfId="14" applyNumberFormat="1" applyFont="1" applyFill="1" applyBorder="1" applyAlignment="1">
      <alignment horizontal="right" vertical="top"/>
    </xf>
    <xf numFmtId="0" fontId="29" fillId="0" borderId="0" xfId="8" applyFont="1" applyFill="1" applyAlignment="1">
      <alignment horizontal="center" vertical="top"/>
    </xf>
    <xf numFmtId="2" fontId="29" fillId="0" borderId="0" xfId="14" applyNumberFormat="1" applyFont="1" applyFill="1" applyBorder="1" applyAlignment="1">
      <alignment horizontal="center" vertical="top"/>
    </xf>
    <xf numFmtId="7" fontId="29" fillId="5" borderId="0" xfId="1" applyNumberFormat="1" applyFont="1" applyFill="1" applyBorder="1" applyAlignment="1">
      <alignment horizontal="right" vertical="top"/>
    </xf>
    <xf numFmtId="37" fontId="29" fillId="0" borderId="0" xfId="14" applyNumberFormat="1" applyFont="1" applyFill="1" applyBorder="1" applyAlignment="1">
      <alignment horizontal="right" vertical="top"/>
    </xf>
    <xf numFmtId="0" fontId="29" fillId="0" borderId="0" xfId="8" applyFont="1" applyFill="1" applyBorder="1" applyAlignment="1">
      <alignment horizontal="center" vertical="top"/>
    </xf>
    <xf numFmtId="0" fontId="9" fillId="0" borderId="0" xfId="0" applyFont="1" applyAlignment="1">
      <alignment horizontal="center" vertical="top"/>
    </xf>
    <xf numFmtId="2" fontId="29" fillId="0" borderId="0" xfId="15" applyNumberFormat="1" applyFont="1" applyFill="1" applyBorder="1" applyAlignment="1">
      <alignment horizontal="center" vertical="top"/>
    </xf>
    <xf numFmtId="37" fontId="29" fillId="0" borderId="0" xfId="15" applyNumberFormat="1" applyFont="1" applyFill="1" applyBorder="1" applyAlignment="1">
      <alignment horizontal="right" vertical="top"/>
    </xf>
    <xf numFmtId="0" fontId="35" fillId="0" borderId="0" xfId="15" applyFont="1" applyFill="1" applyBorder="1" applyAlignment="1">
      <alignment vertical="top"/>
    </xf>
    <xf numFmtId="0" fontId="9" fillId="0" borderId="0" xfId="15" applyFont="1" applyFill="1" applyBorder="1" applyAlignment="1">
      <alignment vertical="top"/>
    </xf>
    <xf numFmtId="0" fontId="31" fillId="0" borderId="0" xfId="15" applyFont="1" applyFill="1" applyBorder="1" applyAlignment="1">
      <alignment vertical="top"/>
    </xf>
    <xf numFmtId="37" fontId="9" fillId="0" borderId="4" xfId="1" applyNumberFormat="1" applyFont="1" applyFill="1" applyBorder="1" applyAlignment="1">
      <alignment horizontal="right" vertical="top"/>
    </xf>
    <xf numFmtId="2" fontId="9" fillId="0" borderId="5" xfId="15" applyNumberFormat="1" applyFont="1" applyFill="1" applyBorder="1" applyAlignment="1">
      <alignment horizontal="center" vertical="top"/>
    </xf>
    <xf numFmtId="7" fontId="9" fillId="0" borderId="5" xfId="15" applyNumberFormat="1" applyFont="1" applyFill="1" applyBorder="1" applyAlignment="1">
      <alignment horizontal="right" vertical="top"/>
    </xf>
    <xf numFmtId="37" fontId="9" fillId="0" borderId="5" xfId="15" applyNumberFormat="1" applyFont="1" applyFill="1" applyBorder="1" applyAlignment="1">
      <alignment horizontal="right" vertical="top"/>
    </xf>
    <xf numFmtId="7" fontId="18" fillId="0" borderId="5" xfId="15" applyNumberFormat="1" applyFont="1" applyFill="1" applyBorder="1" applyAlignment="1">
      <alignment horizontal="right" vertical="top"/>
    </xf>
    <xf numFmtId="37" fontId="9" fillId="0" borderId="0" xfId="15" applyNumberFormat="1" applyFont="1" applyFill="1" applyAlignment="1">
      <alignment horizontal="center" vertical="top"/>
    </xf>
    <xf numFmtId="0" fontId="36" fillId="0" borderId="0" xfId="0" applyFont="1" applyAlignment="1">
      <alignment horizontal="center" vertical="top"/>
    </xf>
    <xf numFmtId="7" fontId="9" fillId="4" borderId="0" xfId="15" applyNumberFormat="1" applyFont="1" applyFill="1" applyAlignment="1">
      <alignment horizontal="right" vertical="top"/>
    </xf>
    <xf numFmtId="0" fontId="37" fillId="0" borderId="0" xfId="15" applyFont="1" applyFill="1" applyAlignment="1">
      <alignment vertical="top"/>
    </xf>
    <xf numFmtId="37" fontId="9" fillId="0" borderId="0" xfId="15" applyNumberFormat="1" applyFont="1" applyFill="1" applyBorder="1" applyAlignment="1">
      <alignment horizontal="center" vertical="top"/>
    </xf>
    <xf numFmtId="7" fontId="9" fillId="4" borderId="0" xfId="15" applyNumberFormat="1" applyFont="1" applyFill="1" applyBorder="1" applyAlignment="1">
      <alignment horizontal="right" vertical="top"/>
    </xf>
    <xf numFmtId="8" fontId="9" fillId="0" borderId="0" xfId="15" applyNumberFormat="1" applyFont="1" applyFill="1" applyBorder="1" applyAlignment="1">
      <alignment vertical="top"/>
    </xf>
    <xf numFmtId="37" fontId="9" fillId="0" borderId="0" xfId="15" applyNumberFormat="1" applyFont="1" applyFill="1" applyBorder="1" applyAlignment="1">
      <alignment horizontal="right" vertical="top"/>
    </xf>
    <xf numFmtId="7" fontId="9" fillId="0" borderId="0" xfId="15" applyNumberFormat="1" applyFont="1" applyFill="1" applyBorder="1" applyAlignment="1">
      <alignment horizontal="right" vertical="top"/>
    </xf>
    <xf numFmtId="37" fontId="9" fillId="0" borderId="0" xfId="1" applyNumberFormat="1" applyFont="1" applyFill="1" applyBorder="1" applyAlignment="1">
      <alignment horizontal="center" vertical="top"/>
    </xf>
    <xf numFmtId="7" fontId="9" fillId="0" borderId="0" xfId="2" applyNumberFormat="1" applyFont="1" applyFill="1" applyBorder="1" applyAlignment="1">
      <alignment horizontal="right" vertical="top"/>
    </xf>
    <xf numFmtId="37" fontId="9" fillId="0" borderId="0" xfId="1" applyNumberFormat="1" applyFont="1" applyFill="1" applyBorder="1" applyAlignment="1">
      <alignment horizontal="right" vertical="top"/>
    </xf>
    <xf numFmtId="37" fontId="9" fillId="0" borderId="4" xfId="15" applyNumberFormat="1" applyFont="1" applyFill="1" applyBorder="1" applyAlignment="1">
      <alignment horizontal="center" vertical="top"/>
    </xf>
    <xf numFmtId="7" fontId="9" fillId="0" borderId="4" xfId="15" applyNumberFormat="1" applyFont="1" applyFill="1" applyBorder="1" applyAlignment="1">
      <alignment horizontal="right" vertical="top"/>
    </xf>
    <xf numFmtId="8" fontId="9" fillId="0" borderId="4" xfId="15" applyNumberFormat="1" applyFont="1" applyFill="1" applyBorder="1" applyAlignment="1">
      <alignment vertical="top"/>
    </xf>
    <xf numFmtId="37" fontId="9" fillId="0" borderId="4" xfId="15" applyNumberFormat="1" applyFont="1" applyFill="1" applyBorder="1" applyAlignment="1">
      <alignment horizontal="right" vertical="top"/>
    </xf>
    <xf numFmtId="37" fontId="9" fillId="0" borderId="6" xfId="15" applyNumberFormat="1" applyFont="1" applyFill="1" applyBorder="1" applyAlignment="1">
      <alignment horizontal="center" vertical="top"/>
    </xf>
    <xf numFmtId="7" fontId="9" fillId="0" borderId="6" xfId="15" applyNumberFormat="1" applyFont="1" applyFill="1" applyBorder="1" applyAlignment="1">
      <alignment horizontal="right" vertical="top"/>
    </xf>
    <xf numFmtId="37" fontId="9" fillId="0" borderId="6" xfId="15" applyNumberFormat="1" applyFont="1" applyFill="1" applyBorder="1" applyAlignment="1">
      <alignment horizontal="right" vertical="top"/>
    </xf>
    <xf numFmtId="183" fontId="9" fillId="0" borderId="0" xfId="1" applyNumberFormat="1" applyFont="1" applyFill="1" applyAlignment="1">
      <alignment horizontal="center" vertical="top"/>
    </xf>
    <xf numFmtId="44" fontId="9" fillId="6" borderId="5" xfId="2" applyFont="1" applyFill="1" applyBorder="1" applyAlignment="1">
      <alignment horizontal="right" vertical="top"/>
    </xf>
    <xf numFmtId="184" fontId="9" fillId="0" borderId="0" xfId="1" applyNumberFormat="1" applyFont="1" applyFill="1" applyAlignment="1">
      <alignment horizontal="right" vertical="top"/>
    </xf>
    <xf numFmtId="7" fontId="8" fillId="0" borderId="0" xfId="15" applyNumberFormat="1" applyFont="1" applyFill="1" applyAlignment="1">
      <alignment horizontal="left" vertical="top"/>
    </xf>
    <xf numFmtId="8" fontId="8" fillId="0" borderId="0" xfId="15" applyNumberFormat="1" applyFont="1" applyFill="1" applyAlignment="1">
      <alignment vertical="top"/>
    </xf>
    <xf numFmtId="0" fontId="11" fillId="0" borderId="0" xfId="8" applyFont="1" applyFill="1" applyAlignment="1">
      <alignment vertical="top"/>
    </xf>
    <xf numFmtId="0" fontId="11" fillId="0" borderId="0" xfId="15" applyFont="1" applyFill="1" applyAlignment="1">
      <alignment horizontal="center" vertical="top"/>
    </xf>
    <xf numFmtId="37" fontId="11" fillId="0" borderId="0" xfId="15" applyNumberFormat="1" applyFont="1" applyFill="1" applyAlignment="1">
      <alignment horizontal="center" vertical="top"/>
    </xf>
    <xf numFmtId="7" fontId="11" fillId="0" borderId="0" xfId="15" applyNumberFormat="1" applyFont="1" applyFill="1" applyAlignment="1">
      <alignment horizontal="left" vertical="top"/>
    </xf>
    <xf numFmtId="8" fontId="11" fillId="0" borderId="0" xfId="15" applyNumberFormat="1" applyFont="1" applyFill="1" applyAlignment="1">
      <alignment vertical="top"/>
    </xf>
    <xf numFmtId="37" fontId="11" fillId="0" borderId="0" xfId="15" applyNumberFormat="1" applyFont="1" applyFill="1" applyAlignment="1">
      <alignment horizontal="right" vertical="top"/>
    </xf>
    <xf numFmtId="7" fontId="11" fillId="0" borderId="0" xfId="15" applyNumberFormat="1" applyFont="1" applyFill="1" applyAlignment="1">
      <alignment horizontal="right" vertical="top"/>
    </xf>
    <xf numFmtId="0" fontId="11" fillId="0" borderId="7" xfId="14" applyFont="1" applyFill="1" applyBorder="1" applyAlignment="1">
      <alignment vertical="top"/>
    </xf>
    <xf numFmtId="0" fontId="11" fillId="0" borderId="8" xfId="8" applyFont="1" applyFill="1" applyBorder="1" applyAlignment="1">
      <alignment vertical="top"/>
    </xf>
    <xf numFmtId="0" fontId="11" fillId="0" borderId="9" xfId="14" applyFont="1" applyFill="1" applyBorder="1" applyAlignment="1">
      <alignment vertical="top"/>
    </xf>
    <xf numFmtId="0" fontId="11" fillId="0" borderId="10" xfId="8" applyFont="1" applyFill="1" applyBorder="1" applyAlignment="1">
      <alignment vertical="top"/>
    </xf>
    <xf numFmtId="0" fontId="21" fillId="0" borderId="0" xfId="5" applyFont="1" applyFill="1" applyAlignment="1">
      <alignment vertical="top"/>
    </xf>
    <xf numFmtId="44" fontId="11" fillId="0" borderId="0" xfId="2" applyFont="1" applyFill="1" applyBorder="1" applyAlignment="1">
      <alignment vertical="top"/>
    </xf>
    <xf numFmtId="0" fontId="21" fillId="0" borderId="0" xfId="6" applyFont="1" applyFill="1" applyAlignment="1">
      <alignment vertical="top"/>
    </xf>
    <xf numFmtId="0" fontId="11" fillId="0" borderId="0" xfId="6" applyFont="1" applyFill="1" applyAlignment="1">
      <alignment vertical="top"/>
    </xf>
    <xf numFmtId="17" fontId="11" fillId="0" borderId="0" xfId="6" applyNumberFormat="1" applyFont="1" applyFill="1" applyAlignment="1">
      <alignment horizontal="center" vertical="top"/>
    </xf>
    <xf numFmtId="0" fontId="11" fillId="0" borderId="0" xfId="6" applyFont="1" applyFill="1" applyAlignment="1">
      <alignment horizontal="left" vertical="top"/>
    </xf>
    <xf numFmtId="0" fontId="11" fillId="0" borderId="0" xfId="7" applyFont="1" applyFill="1" applyAlignment="1">
      <alignment vertical="top"/>
    </xf>
    <xf numFmtId="44" fontId="11" fillId="0" borderId="0" xfId="2" applyFont="1" applyFill="1" applyAlignment="1">
      <alignment horizontal="right" vertical="top"/>
    </xf>
    <xf numFmtId="7" fontId="21" fillId="0" borderId="0" xfId="15" applyNumberFormat="1" applyFont="1" applyFill="1" applyBorder="1" applyAlignment="1">
      <alignment horizontal="right" vertical="top"/>
    </xf>
    <xf numFmtId="0" fontId="38" fillId="0" borderId="0" xfId="6" applyFont="1" applyFill="1" applyAlignment="1">
      <alignment vertical="top"/>
    </xf>
    <xf numFmtId="0" fontId="39" fillId="0" borderId="0" xfId="6" applyFont="1" applyFill="1" applyAlignment="1">
      <alignment vertical="top"/>
    </xf>
    <xf numFmtId="0" fontId="39" fillId="0" borderId="0" xfId="15" applyFont="1" applyFill="1" applyAlignment="1">
      <alignment horizontal="center" vertical="top"/>
    </xf>
    <xf numFmtId="17" fontId="39" fillId="0" borderId="0" xfId="6" applyNumberFormat="1" applyFont="1" applyFill="1" applyAlignment="1">
      <alignment horizontal="center" vertical="top"/>
    </xf>
    <xf numFmtId="0" fontId="39" fillId="0" borderId="0" xfId="6" applyFont="1" applyFill="1" applyAlignment="1">
      <alignment horizontal="left" vertical="top"/>
    </xf>
    <xf numFmtId="0" fontId="39" fillId="0" borderId="0" xfId="7" applyFont="1" applyFill="1" applyAlignment="1">
      <alignment vertical="top"/>
    </xf>
    <xf numFmtId="37" fontId="39" fillId="0" borderId="0" xfId="15" applyNumberFormat="1" applyFont="1" applyFill="1" applyAlignment="1">
      <alignment horizontal="right" vertical="top"/>
    </xf>
    <xf numFmtId="7" fontId="39" fillId="0" borderId="0" xfId="15" applyNumberFormat="1" applyFont="1" applyFill="1" applyAlignment="1">
      <alignment horizontal="right" vertical="top"/>
    </xf>
    <xf numFmtId="44" fontId="39" fillId="0" borderId="0" xfId="2" applyFont="1" applyFill="1" applyAlignment="1">
      <alignment horizontal="right" vertical="top"/>
    </xf>
    <xf numFmtId="7" fontId="38" fillId="0" borderId="0" xfId="15" applyNumberFormat="1" applyFont="1" applyFill="1" applyBorder="1" applyAlignment="1">
      <alignment horizontal="right" vertical="top"/>
    </xf>
    <xf numFmtId="0" fontId="39" fillId="0" borderId="0" xfId="15" applyFont="1" applyFill="1" applyAlignment="1">
      <alignment vertical="top"/>
    </xf>
    <xf numFmtId="0" fontId="11" fillId="0" borderId="0" xfId="17" applyFont="1" applyAlignment="1">
      <alignment vertical="top"/>
    </xf>
    <xf numFmtId="0" fontId="11" fillId="0" borderId="0" xfId="11" applyFont="1" applyAlignment="1">
      <alignment vertical="top"/>
    </xf>
    <xf numFmtId="0" fontId="11" fillId="0" borderId="0" xfId="11" applyFont="1" applyAlignment="1">
      <alignment horizontal="center" vertical="top"/>
    </xf>
    <xf numFmtId="17" fontId="11" fillId="0" borderId="0" xfId="11" applyNumberFormat="1" applyFont="1" applyAlignment="1">
      <alignment horizontal="center" vertical="top"/>
    </xf>
    <xf numFmtId="7" fontId="11" fillId="0" borderId="0" xfId="11" applyNumberFormat="1" applyFont="1" applyAlignment="1">
      <alignment vertical="top"/>
    </xf>
    <xf numFmtId="0" fontId="11" fillId="0" borderId="0" xfId="17" applyFont="1" applyAlignment="1">
      <alignment horizontal="center" vertical="top"/>
    </xf>
    <xf numFmtId="17" fontId="11" fillId="0" borderId="0" xfId="17" applyNumberFormat="1" applyFont="1" applyAlignment="1">
      <alignment horizontal="center" vertical="top"/>
    </xf>
    <xf numFmtId="0" fontId="11" fillId="0" borderId="0" xfId="17" applyFont="1" applyAlignment="1">
      <alignment horizontal="left" vertical="top"/>
    </xf>
    <xf numFmtId="0" fontId="11" fillId="0" borderId="0" xfId="17" applyFont="1" applyAlignment="1">
      <alignment vertical="top" wrapText="1"/>
    </xf>
    <xf numFmtId="44" fontId="11" fillId="0" borderId="0" xfId="2" applyFont="1" applyAlignment="1">
      <alignment vertical="top"/>
    </xf>
    <xf numFmtId="44" fontId="21" fillId="0" borderId="0" xfId="2" applyFont="1" applyAlignment="1">
      <alignment vertical="top"/>
    </xf>
    <xf numFmtId="0" fontId="40" fillId="0" borderId="0" xfId="6" applyFont="1" applyFill="1" applyAlignment="1">
      <alignment vertical="top"/>
    </xf>
    <xf numFmtId="0" fontId="9" fillId="0" borderId="0" xfId="17" applyFont="1" applyAlignment="1">
      <alignment vertical="top"/>
    </xf>
    <xf numFmtId="0" fontId="24" fillId="0" borderId="0" xfId="6" applyFont="1" applyFill="1" applyAlignment="1">
      <alignment vertical="top"/>
    </xf>
    <xf numFmtId="0" fontId="9" fillId="0" borderId="0" xfId="17" applyFont="1" applyAlignment="1">
      <alignment horizontal="center" vertical="top"/>
    </xf>
    <xf numFmtId="17" fontId="9" fillId="0" borderId="0" xfId="17" applyNumberFormat="1" applyFont="1" applyAlignment="1">
      <alignment horizontal="center" vertical="top"/>
    </xf>
    <xf numFmtId="0" fontId="9" fillId="0" borderId="0" xfId="17" applyFont="1" applyAlignment="1">
      <alignment horizontal="left" vertical="top"/>
    </xf>
    <xf numFmtId="0" fontId="9" fillId="0" borderId="0" xfId="17" applyFont="1" applyAlignment="1">
      <alignment vertical="top" wrapText="1"/>
    </xf>
    <xf numFmtId="44" fontId="24" fillId="0" borderId="0" xfId="2" applyFont="1" applyAlignment="1">
      <alignment vertical="top"/>
    </xf>
    <xf numFmtId="44" fontId="21" fillId="0" borderId="0" xfId="15" applyNumberFormat="1" applyFont="1" applyFill="1" applyAlignment="1">
      <alignment horizontal="right" vertical="top"/>
    </xf>
    <xf numFmtId="7" fontId="11" fillId="0" borderId="0" xfId="7" applyNumberFormat="1" applyFont="1" applyFill="1" applyAlignment="1">
      <alignment horizontal="right" vertical="top"/>
    </xf>
    <xf numFmtId="0" fontId="8" fillId="0" borderId="7" xfId="15" applyFont="1" applyFill="1" applyBorder="1" applyAlignment="1">
      <alignment vertical="top"/>
    </xf>
    <xf numFmtId="0" fontId="21" fillId="7" borderId="11" xfId="6" quotePrefix="1" applyFont="1" applyFill="1" applyBorder="1" applyAlignment="1">
      <alignment vertical="top"/>
    </xf>
    <xf numFmtId="0" fontId="18" fillId="7" borderId="11" xfId="15" applyFont="1" applyFill="1" applyBorder="1" applyAlignment="1">
      <alignment horizontal="center" vertical="top"/>
    </xf>
    <xf numFmtId="17" fontId="21" fillId="7" borderId="11" xfId="6" applyNumberFormat="1" applyFont="1" applyFill="1" applyBorder="1" applyAlignment="1">
      <alignment horizontal="center" vertical="top"/>
    </xf>
    <xf numFmtId="0" fontId="21" fillId="7" borderId="11" xfId="6" applyFont="1" applyFill="1" applyBorder="1" applyAlignment="1">
      <alignment horizontal="left" vertical="top"/>
    </xf>
    <xf numFmtId="0" fontId="41" fillId="7" borderId="11" xfId="7" applyFont="1" applyFill="1" applyBorder="1" applyAlignment="1">
      <alignment vertical="top"/>
    </xf>
    <xf numFmtId="37" fontId="8" fillId="7" borderId="11" xfId="15" applyNumberFormat="1" applyFont="1" applyFill="1" applyBorder="1" applyAlignment="1">
      <alignment horizontal="right" vertical="top"/>
    </xf>
    <xf numFmtId="7" fontId="8" fillId="0" borderId="11" xfId="15" applyNumberFormat="1" applyFont="1" applyFill="1" applyBorder="1" applyAlignment="1">
      <alignment horizontal="right" vertical="top"/>
    </xf>
    <xf numFmtId="0" fontId="42" fillId="0" borderId="8" xfId="10" applyFont="1" applyBorder="1" applyAlignment="1">
      <alignment horizontal="right" vertical="top"/>
    </xf>
    <xf numFmtId="0" fontId="43" fillId="0" borderId="0" xfId="9" applyFont="1" applyBorder="1" applyAlignment="1">
      <alignment vertical="top"/>
    </xf>
    <xf numFmtId="0" fontId="42" fillId="0" borderId="0" xfId="9" applyFont="1" applyBorder="1" applyAlignment="1">
      <alignment vertical="top"/>
    </xf>
    <xf numFmtId="14" fontId="42" fillId="0" borderId="0" xfId="9" applyNumberFormat="1" applyFont="1" applyBorder="1" applyAlignment="1">
      <alignment vertical="top"/>
    </xf>
    <xf numFmtId="7" fontId="42" fillId="0" borderId="0" xfId="9" applyNumberFormat="1" applyFont="1" applyBorder="1" applyAlignment="1">
      <alignment vertical="top"/>
    </xf>
    <xf numFmtId="0" fontId="42" fillId="0" borderId="0" xfId="9" applyFont="1" applyFill="1" applyBorder="1" applyAlignment="1">
      <alignment vertical="top"/>
    </xf>
    <xf numFmtId="0" fontId="8" fillId="3" borderId="12" xfId="15" applyFont="1" applyFill="1" applyBorder="1" applyAlignment="1">
      <alignment vertical="top"/>
    </xf>
    <xf numFmtId="0" fontId="11" fillId="3" borderId="0" xfId="6" applyFont="1" applyFill="1" applyBorder="1" applyAlignment="1">
      <alignment vertical="top"/>
    </xf>
    <xf numFmtId="0" fontId="9" fillId="3" borderId="0" xfId="15" applyFont="1" applyFill="1" applyBorder="1" applyAlignment="1">
      <alignment horizontal="center" vertical="top"/>
    </xf>
    <xf numFmtId="17" fontId="11" fillId="3" borderId="0" xfId="6" applyNumberFormat="1" applyFont="1" applyFill="1" applyBorder="1" applyAlignment="1">
      <alignment horizontal="center" vertical="top"/>
    </xf>
    <xf numFmtId="0" fontId="11" fillId="3" borderId="0" xfId="6" applyFont="1" applyFill="1" applyBorder="1" applyAlignment="1">
      <alignment horizontal="left" vertical="top"/>
    </xf>
    <xf numFmtId="0" fontId="44" fillId="3" borderId="0" xfId="7" applyFont="1" applyFill="1" applyBorder="1" applyAlignment="1">
      <alignment vertical="top"/>
    </xf>
    <xf numFmtId="37" fontId="8" fillId="3" borderId="0" xfId="15" applyNumberFormat="1" applyFont="1" applyFill="1" applyBorder="1" applyAlignment="1">
      <alignment horizontal="right" vertical="top"/>
    </xf>
    <xf numFmtId="7" fontId="8" fillId="3" borderId="0" xfId="15" applyNumberFormat="1" applyFont="1" applyFill="1" applyBorder="1" applyAlignment="1">
      <alignment horizontal="right" vertical="top"/>
    </xf>
    <xf numFmtId="188" fontId="42" fillId="3" borderId="13" xfId="10" applyNumberFormat="1" applyFont="1" applyFill="1" applyBorder="1" applyAlignment="1">
      <alignment horizontal="right" vertical="top"/>
    </xf>
    <xf numFmtId="0" fontId="8" fillId="3" borderId="9" xfId="15" applyFont="1" applyFill="1" applyBorder="1" applyAlignment="1">
      <alignment vertical="top"/>
    </xf>
    <xf numFmtId="0" fontId="11" fillId="3" borderId="14" xfId="6" applyFont="1" applyFill="1" applyBorder="1" applyAlignment="1">
      <alignment vertical="top"/>
    </xf>
    <xf numFmtId="0" fontId="9" fillId="3" borderId="14" xfId="15" applyFont="1" applyFill="1" applyBorder="1" applyAlignment="1">
      <alignment horizontal="center" vertical="top"/>
    </xf>
    <xf numFmtId="17" fontId="11" fillId="3" borderId="14" xfId="6" applyNumberFormat="1" applyFont="1" applyFill="1" applyBorder="1" applyAlignment="1">
      <alignment horizontal="center" vertical="top"/>
    </xf>
    <xf numFmtId="7" fontId="8" fillId="3" borderId="14" xfId="15" applyNumberFormat="1" applyFont="1" applyFill="1" applyBorder="1" applyAlignment="1">
      <alignment horizontal="right" vertical="top"/>
    </xf>
    <xf numFmtId="0" fontId="11" fillId="0" borderId="0" xfId="10" applyFont="1" applyFill="1" applyBorder="1" applyAlignment="1">
      <alignment vertical="top"/>
    </xf>
    <xf numFmtId="0" fontId="11" fillId="0" borderId="0" xfId="10" applyFont="1" applyFill="1" applyBorder="1" applyAlignment="1">
      <alignment horizontal="center" vertical="top"/>
    </xf>
    <xf numFmtId="17" fontId="11" fillId="0" borderId="0" xfId="10" applyNumberFormat="1" applyFont="1" applyFill="1" applyBorder="1" applyAlignment="1">
      <alignment horizontal="center" vertical="top"/>
    </xf>
    <xf numFmtId="0" fontId="11" fillId="0" borderId="0" xfId="10" applyFont="1" applyFill="1" applyBorder="1" applyAlignment="1">
      <alignment horizontal="left" vertical="top"/>
    </xf>
    <xf numFmtId="0" fontId="11" fillId="0" borderId="0" xfId="10" applyFont="1" applyFill="1" applyBorder="1" applyAlignment="1">
      <alignment vertical="top" wrapText="1"/>
    </xf>
    <xf numFmtId="8" fontId="11" fillId="0" borderId="0" xfId="10" applyNumberFormat="1" applyFont="1" applyFill="1" applyBorder="1" applyAlignment="1">
      <alignment horizontal="right" vertical="top"/>
    </xf>
    <xf numFmtId="0" fontId="11" fillId="0" borderId="7" xfId="10" applyFont="1" applyFill="1" applyBorder="1" applyAlignment="1">
      <alignment vertical="top"/>
    </xf>
    <xf numFmtId="0" fontId="21" fillId="7" borderId="11" xfId="10" quotePrefix="1" applyFont="1" applyFill="1" applyBorder="1" applyAlignment="1">
      <alignment vertical="top"/>
    </xf>
    <xf numFmtId="0" fontId="11" fillId="7" borderId="11" xfId="10" applyFont="1" applyFill="1" applyBorder="1" applyAlignment="1">
      <alignment horizontal="center" vertical="top"/>
    </xf>
    <xf numFmtId="17" fontId="11" fillId="7" borderId="11" xfId="10" applyNumberFormat="1" applyFont="1" applyFill="1" applyBorder="1" applyAlignment="1">
      <alignment horizontal="center" vertical="top"/>
    </xf>
    <xf numFmtId="0" fontId="11" fillId="0" borderId="11" xfId="10" applyFont="1" applyFill="1" applyBorder="1" applyAlignment="1">
      <alignment horizontal="left" vertical="top"/>
    </xf>
    <xf numFmtId="0" fontId="11" fillId="0" borderId="11" xfId="10" applyFont="1" applyFill="1" applyBorder="1" applyAlignment="1">
      <alignment vertical="top" wrapText="1"/>
    </xf>
    <xf numFmtId="0" fontId="21" fillId="0" borderId="8" xfId="10" applyFont="1" applyFill="1" applyBorder="1" applyAlignment="1">
      <alignment vertical="top" wrapText="1"/>
    </xf>
    <xf numFmtId="0" fontId="11" fillId="3" borderId="12" xfId="11" applyFont="1" applyFill="1" applyBorder="1" applyAlignment="1">
      <alignment vertical="top"/>
    </xf>
    <xf numFmtId="0" fontId="11" fillId="3" borderId="0" xfId="11" applyFont="1" applyFill="1" applyBorder="1" applyAlignment="1">
      <alignment vertical="top"/>
    </xf>
    <xf numFmtId="0" fontId="11" fillId="3" borderId="0" xfId="11" applyFont="1" applyFill="1" applyBorder="1" applyAlignment="1">
      <alignment horizontal="center" vertical="top"/>
    </xf>
    <xf numFmtId="17" fontId="11" fillId="3" borderId="0" xfId="11" applyNumberFormat="1" applyFont="1" applyFill="1" applyBorder="1" applyAlignment="1">
      <alignment horizontal="center" vertical="top"/>
    </xf>
    <xf numFmtId="7" fontId="11" fillId="3" borderId="13" xfId="11" applyNumberFormat="1" applyFont="1" applyFill="1" applyBorder="1" applyAlignment="1">
      <alignment vertical="top"/>
    </xf>
    <xf numFmtId="0" fontId="11" fillId="3" borderId="0" xfId="0" applyFont="1" applyFill="1" applyBorder="1" applyAlignment="1">
      <alignment vertical="top"/>
    </xf>
    <xf numFmtId="0" fontId="11" fillId="3" borderId="12" xfId="12" applyFont="1" applyFill="1" applyBorder="1" applyAlignment="1">
      <alignment vertical="top"/>
    </xf>
    <xf numFmtId="0" fontId="11" fillId="3" borderId="0" xfId="12" applyFont="1" applyFill="1" applyBorder="1" applyAlignment="1">
      <alignment vertical="top"/>
    </xf>
    <xf numFmtId="0" fontId="11" fillId="3" borderId="0" xfId="12" applyFont="1" applyFill="1" applyBorder="1" applyAlignment="1">
      <alignment horizontal="center" vertical="top"/>
    </xf>
    <xf numFmtId="0" fontId="11" fillId="3" borderId="13" xfId="12" applyFont="1" applyFill="1" applyBorder="1" applyAlignment="1">
      <alignment vertical="top"/>
    </xf>
    <xf numFmtId="0" fontId="11" fillId="0" borderId="0" xfId="12" applyFont="1" applyAlignment="1">
      <alignment vertical="top"/>
    </xf>
    <xf numFmtId="7" fontId="11" fillId="0" borderId="0" xfId="12" applyNumberFormat="1" applyFont="1" applyAlignment="1">
      <alignment vertical="top"/>
    </xf>
    <xf numFmtId="14" fontId="11" fillId="0" borderId="0" xfId="12" applyNumberFormat="1" applyFont="1" applyAlignment="1">
      <alignment vertical="top"/>
    </xf>
    <xf numFmtId="0" fontId="11" fillId="3" borderId="9" xfId="4" applyFont="1" applyFill="1" applyBorder="1" applyAlignment="1">
      <alignment vertical="top"/>
    </xf>
    <xf numFmtId="0" fontId="11" fillId="3" borderId="14" xfId="4" applyFont="1" applyFill="1" applyBorder="1" applyAlignment="1">
      <alignment vertical="top"/>
    </xf>
    <xf numFmtId="0" fontId="11" fillId="3" borderId="14" xfId="4" applyFont="1" applyFill="1" applyBorder="1" applyAlignment="1">
      <alignment horizontal="center" vertical="top"/>
    </xf>
    <xf numFmtId="17" fontId="11" fillId="3" borderId="14" xfId="4" applyNumberFormat="1" applyFont="1" applyFill="1" applyBorder="1" applyAlignment="1">
      <alignment horizontal="center" vertical="top"/>
    </xf>
    <xf numFmtId="0" fontId="11" fillId="3" borderId="14" xfId="4" applyFont="1" applyFill="1" applyBorder="1" applyAlignment="1">
      <alignment horizontal="left" vertical="top"/>
    </xf>
    <xf numFmtId="0" fontId="11" fillId="3" borderId="14" xfId="4" applyFont="1" applyFill="1" applyBorder="1" applyAlignment="1">
      <alignment vertical="top" wrapText="1"/>
    </xf>
    <xf numFmtId="44" fontId="11" fillId="3" borderId="10" xfId="2" applyFont="1" applyFill="1" applyBorder="1" applyAlignment="1">
      <alignment vertical="top"/>
    </xf>
    <xf numFmtId="0" fontId="11" fillId="0" borderId="0" xfId="4" applyFont="1" applyFill="1" applyAlignment="1">
      <alignment vertical="top"/>
    </xf>
    <xf numFmtId="0" fontId="11" fillId="0" borderId="0" xfId="4" applyFont="1" applyAlignment="1">
      <alignment vertical="top"/>
    </xf>
    <xf numFmtId="0" fontId="11" fillId="0" borderId="0" xfId="0" applyFont="1" applyAlignment="1">
      <alignment vertical="top"/>
    </xf>
    <xf numFmtId="0" fontId="11" fillId="0" borderId="0" xfId="0" applyFont="1" applyAlignment="1">
      <alignment horizontal="center" vertical="top"/>
    </xf>
    <xf numFmtId="17" fontId="11" fillId="0" borderId="0" xfId="9" applyNumberFormat="1" applyFont="1" applyAlignment="1">
      <alignment horizontal="center" vertical="top"/>
    </xf>
    <xf numFmtId="0" fontId="11" fillId="0" borderId="0" xfId="0" applyFont="1" applyAlignment="1">
      <alignment horizontal="left" vertical="top"/>
    </xf>
    <xf numFmtId="0" fontId="45" fillId="0" borderId="15" xfId="16" applyFont="1" applyFill="1" applyBorder="1" applyAlignment="1">
      <alignment horizontal="left" vertical="top"/>
    </xf>
    <xf numFmtId="186" fontId="45" fillId="0" borderId="15" xfId="16" applyNumberFormat="1" applyFont="1" applyFill="1" applyBorder="1" applyAlignment="1">
      <alignment horizontal="right" vertical="top"/>
    </xf>
    <xf numFmtId="0" fontId="13" fillId="0" borderId="0" xfId="5" applyFont="1" applyFill="1" applyAlignment="1">
      <alignment vertical="top"/>
    </xf>
    <xf numFmtId="0" fontId="46" fillId="0" borderId="0" xfId="0" applyFont="1" applyAlignment="1">
      <alignment vertical="top"/>
    </xf>
    <xf numFmtId="0" fontId="46" fillId="0" borderId="0" xfId="0" applyFont="1" applyAlignment="1">
      <alignment horizontal="center" vertical="top"/>
    </xf>
    <xf numFmtId="17" fontId="46" fillId="0" borderId="0" xfId="9" applyNumberFormat="1" applyFont="1" applyAlignment="1">
      <alignment horizontal="center" vertical="top"/>
    </xf>
    <xf numFmtId="0" fontId="46" fillId="0" borderId="0" xfId="0" applyFont="1" applyAlignment="1">
      <alignment horizontal="left" vertical="top"/>
    </xf>
    <xf numFmtId="0" fontId="47" fillId="0" borderId="15" xfId="16" applyFont="1" applyFill="1" applyBorder="1" applyAlignment="1">
      <alignment horizontal="left" vertical="top"/>
    </xf>
    <xf numFmtId="44" fontId="47" fillId="0" borderId="15" xfId="2" applyFont="1" applyFill="1" applyBorder="1" applyAlignment="1">
      <alignment horizontal="right" vertical="top"/>
    </xf>
    <xf numFmtId="7" fontId="46" fillId="0" borderId="0" xfId="15" applyNumberFormat="1" applyFont="1" applyFill="1" applyAlignment="1">
      <alignment horizontal="right" vertical="top"/>
    </xf>
    <xf numFmtId="0" fontId="46" fillId="0" borderId="0" xfId="15" applyFont="1" applyFill="1" applyAlignment="1">
      <alignment vertical="top"/>
    </xf>
    <xf numFmtId="0" fontId="21" fillId="0" borderId="0" xfId="15" applyFont="1" applyFill="1" applyAlignment="1">
      <alignment vertical="top"/>
    </xf>
    <xf numFmtId="44" fontId="27" fillId="0" borderId="0" xfId="2" applyFont="1" applyFill="1" applyAlignment="1">
      <alignment horizontal="right" vertical="top"/>
    </xf>
    <xf numFmtId="0" fontId="9" fillId="8" borderId="0" xfId="15" applyFont="1" applyFill="1" applyAlignment="1">
      <alignment vertical="top"/>
    </xf>
    <xf numFmtId="0" fontId="48" fillId="8" borderId="0" xfId="15" applyFont="1" applyFill="1" applyAlignment="1">
      <alignment vertical="top"/>
    </xf>
    <xf numFmtId="0" fontId="9" fillId="8" borderId="0" xfId="15" applyFont="1" applyFill="1" applyAlignment="1">
      <alignment horizontal="center" vertical="top"/>
    </xf>
    <xf numFmtId="17" fontId="42" fillId="8" borderId="0" xfId="11" applyNumberFormat="1" applyFont="1" applyFill="1" applyAlignment="1">
      <alignment horizontal="center" vertical="top"/>
    </xf>
    <xf numFmtId="44" fontId="24" fillId="8" borderId="0" xfId="2" applyFont="1" applyFill="1" applyAlignment="1">
      <alignment horizontal="right" vertical="top"/>
    </xf>
    <xf numFmtId="0" fontId="9" fillId="0" borderId="0" xfId="15" applyFont="1" applyFill="1" applyAlignment="1">
      <alignment vertical="top"/>
    </xf>
    <xf numFmtId="0" fontId="42" fillId="0" borderId="0" xfId="11" applyFont="1" applyFill="1" applyAlignment="1">
      <alignment vertical="top"/>
    </xf>
    <xf numFmtId="0" fontId="42" fillId="0" borderId="0" xfId="11" applyFont="1" applyFill="1" applyAlignment="1">
      <alignment horizontal="center" vertical="top"/>
    </xf>
    <xf numFmtId="17" fontId="42" fillId="0" borderId="0" xfId="11" applyNumberFormat="1" applyFont="1" applyFill="1" applyAlignment="1">
      <alignment horizontal="center" vertical="top"/>
    </xf>
    <xf numFmtId="7" fontId="42" fillId="0" borderId="0" xfId="11" applyNumberFormat="1" applyFont="1" applyFill="1" applyAlignment="1">
      <alignment vertical="top"/>
    </xf>
    <xf numFmtId="0" fontId="0" fillId="0" borderId="0" xfId="0" applyFill="1" applyAlignment="1">
      <alignment vertical="top" wrapText="1"/>
    </xf>
    <xf numFmtId="17" fontId="11" fillId="0" borderId="0" xfId="15" applyNumberFormat="1" applyFont="1" applyFill="1" applyAlignment="1">
      <alignment horizontal="center" vertical="top"/>
    </xf>
    <xf numFmtId="0" fontId="48" fillId="0" borderId="0" xfId="15" applyFont="1" applyFill="1" applyAlignment="1">
      <alignment vertical="top"/>
    </xf>
    <xf numFmtId="17" fontId="9" fillId="0" borderId="0" xfId="15" applyNumberFormat="1" applyFont="1" applyFill="1" applyAlignment="1">
      <alignment horizontal="center" vertical="top"/>
    </xf>
    <xf numFmtId="7" fontId="9" fillId="0" borderId="0" xfId="15" applyNumberFormat="1" applyFont="1" applyFill="1" applyAlignment="1">
      <alignment horizontal="left" vertical="top"/>
    </xf>
    <xf numFmtId="44" fontId="24" fillId="0" borderId="0" xfId="2" applyFont="1" applyFill="1" applyAlignment="1">
      <alignment horizontal="right" vertical="top"/>
    </xf>
    <xf numFmtId="0" fontId="49" fillId="0" borderId="0" xfId="5" applyFont="1" applyFill="1" applyAlignment="1">
      <alignment vertical="top"/>
    </xf>
    <xf numFmtId="0" fontId="30" fillId="0" borderId="0" xfId="8" applyFont="1" applyFill="1" applyAlignment="1">
      <alignment vertical="top"/>
    </xf>
    <xf numFmtId="0" fontId="30" fillId="0" borderId="0" xfId="15" applyFont="1" applyFill="1" applyAlignment="1">
      <alignment horizontal="center" vertical="top"/>
    </xf>
    <xf numFmtId="37" fontId="30" fillId="0" borderId="0" xfId="15" applyNumberFormat="1" applyFont="1" applyFill="1" applyAlignment="1">
      <alignment horizontal="center" vertical="top"/>
    </xf>
    <xf numFmtId="7" fontId="30" fillId="0" borderId="0" xfId="15" applyNumberFormat="1" applyFont="1" applyFill="1" applyAlignment="1">
      <alignment horizontal="right" vertical="top"/>
    </xf>
    <xf numFmtId="0" fontId="30" fillId="0" borderId="0" xfId="14" applyFont="1" applyFill="1" applyBorder="1" applyAlignment="1">
      <alignment horizontal="center" vertical="top"/>
    </xf>
    <xf numFmtId="37" fontId="30" fillId="0" borderId="0" xfId="1" applyNumberFormat="1" applyFont="1" applyFill="1" applyBorder="1" applyAlignment="1">
      <alignment horizontal="center" vertical="top"/>
    </xf>
    <xf numFmtId="7" fontId="30" fillId="0" borderId="0" xfId="2" applyNumberFormat="1" applyFont="1" applyFill="1" applyBorder="1" applyAlignment="1">
      <alignment horizontal="left" vertical="top"/>
    </xf>
    <xf numFmtId="7" fontId="50" fillId="0" borderId="0" xfId="15" applyNumberFormat="1" applyFont="1" applyFill="1" applyAlignment="1">
      <alignment horizontal="right" vertical="top"/>
    </xf>
    <xf numFmtId="0" fontId="13" fillId="9" borderId="0" xfId="5" applyFont="1" applyFill="1" applyAlignment="1">
      <alignment vertical="top"/>
    </xf>
    <xf numFmtId="0" fontId="13" fillId="9" borderId="0" xfId="5" applyFont="1" applyFill="1" applyAlignment="1">
      <alignment horizontal="center" vertical="top"/>
    </xf>
    <xf numFmtId="7" fontId="51" fillId="0" borderId="0" xfId="15" applyNumberFormat="1" applyFont="1" applyFill="1" applyAlignment="1">
      <alignment horizontal="right" vertical="top"/>
    </xf>
    <xf numFmtId="44" fontId="51" fillId="0" borderId="0" xfId="15" applyNumberFormat="1" applyFont="1" applyFill="1" applyAlignment="1">
      <alignment horizontal="right" vertical="top"/>
    </xf>
    <xf numFmtId="44" fontId="11" fillId="0" borderId="0" xfId="2" applyFont="1" applyFill="1" applyAlignment="1">
      <alignment vertical="top"/>
    </xf>
    <xf numFmtId="44" fontId="11" fillId="8" borderId="0" xfId="2" applyFont="1" applyFill="1" applyAlignment="1">
      <alignment vertical="top"/>
    </xf>
    <xf numFmtId="44" fontId="11" fillId="8" borderId="0" xfId="2" applyFont="1" applyFill="1" applyAlignment="1">
      <alignment horizontal="right" vertical="top"/>
    </xf>
    <xf numFmtId="7" fontId="11" fillId="0" borderId="0" xfId="15" applyNumberFormat="1" applyFont="1" applyFill="1" applyAlignment="1">
      <alignment vertical="top"/>
    </xf>
    <xf numFmtId="7" fontId="21" fillId="0" borderId="0" xfId="15" applyNumberFormat="1" applyFont="1" applyFill="1" applyAlignment="1">
      <alignment horizontal="right" vertical="top"/>
    </xf>
    <xf numFmtId="37" fontId="21" fillId="0" borderId="0" xfId="15" applyNumberFormat="1" applyFont="1" applyFill="1" applyAlignment="1">
      <alignment horizontal="right" vertical="top"/>
    </xf>
    <xf numFmtId="7" fontId="53" fillId="3" borderId="5" xfId="15" applyNumberFormat="1" applyFont="1" applyFill="1" applyBorder="1" applyAlignment="1">
      <alignment horizontal="right" vertical="top"/>
    </xf>
    <xf numFmtId="0" fontId="54" fillId="0" borderId="0" xfId="0" applyFont="1"/>
    <xf numFmtId="0" fontId="10" fillId="0" borderId="0" xfId="0" applyFont="1"/>
    <xf numFmtId="0" fontId="0" fillId="0" borderId="0" xfId="0" applyFill="1"/>
    <xf numFmtId="44" fontId="10" fillId="0" borderId="16" xfId="2" applyFont="1" applyBorder="1" applyAlignment="1">
      <alignment horizontal="center"/>
    </xf>
    <xf numFmtId="44" fontId="1" fillId="0" borderId="0" xfId="2"/>
    <xf numFmtId="44" fontId="15" fillId="0" borderId="2" xfId="2" applyFont="1" applyBorder="1"/>
    <xf numFmtId="44" fontId="0" fillId="0" borderId="0" xfId="0" applyNumberFormat="1" applyFill="1"/>
    <xf numFmtId="44" fontId="15" fillId="8" borderId="2" xfId="2" applyFont="1" applyFill="1" applyBorder="1"/>
    <xf numFmtId="44" fontId="15" fillId="0" borderId="2" xfId="2" quotePrefix="1" applyFont="1" applyBorder="1"/>
    <xf numFmtId="44" fontId="15" fillId="0" borderId="2" xfId="2" applyFont="1" applyFill="1" applyBorder="1"/>
    <xf numFmtId="44" fontId="1" fillId="0" borderId="0" xfId="2" applyFill="1"/>
    <xf numFmtId="44" fontId="15" fillId="10" borderId="2" xfId="2" applyFont="1" applyFill="1" applyBorder="1"/>
    <xf numFmtId="0" fontId="8" fillId="0" borderId="0" xfId="0" applyFont="1" applyFill="1" applyAlignment="1">
      <alignment vertical="top" wrapText="1"/>
    </xf>
    <xf numFmtId="44" fontId="15" fillId="11" borderId="2" xfId="2" applyFont="1" applyFill="1" applyBorder="1"/>
    <xf numFmtId="44" fontId="0" fillId="0" borderId="0" xfId="0" applyNumberFormat="1"/>
    <xf numFmtId="0" fontId="0" fillId="0" borderId="0" xfId="0" applyFill="1" applyAlignment="1">
      <alignment wrapText="1"/>
    </xf>
    <xf numFmtId="44" fontId="8" fillId="0" borderId="0" xfId="0" applyNumberFormat="1" applyFont="1" applyFill="1"/>
    <xf numFmtId="0" fontId="15" fillId="0" borderId="0" xfId="0" applyFont="1" applyFill="1" applyBorder="1"/>
    <xf numFmtId="44" fontId="8" fillId="0" borderId="0" xfId="0" applyNumberFormat="1" applyFont="1" applyFill="1" applyBorder="1"/>
    <xf numFmtId="0" fontId="15" fillId="0" borderId="0" xfId="0" applyFont="1" applyFill="1" applyAlignment="1">
      <alignment wrapText="1"/>
    </xf>
    <xf numFmtId="44" fontId="15" fillId="0" borderId="0" xfId="2" applyFont="1"/>
    <xf numFmtId="44" fontId="1" fillId="0" borderId="0" xfId="2" applyNumberFormat="1"/>
    <xf numFmtId="44" fontId="1" fillId="0" borderId="0" xfId="2" applyFont="1"/>
    <xf numFmtId="0" fontId="0" fillId="0" borderId="0" xfId="0" applyAlignment="1">
      <alignment vertical="top"/>
    </xf>
    <xf numFmtId="44" fontId="1" fillId="0" borderId="0" xfId="2" applyAlignment="1">
      <alignment vertical="top"/>
    </xf>
    <xf numFmtId="44" fontId="55" fillId="0" borderId="0" xfId="2" applyFont="1" applyAlignment="1">
      <alignment vertical="top"/>
    </xf>
    <xf numFmtId="44" fontId="15" fillId="0" borderId="11" xfId="2" applyFont="1" applyFill="1" applyBorder="1" applyAlignment="1">
      <alignment horizontal="center" vertical="top" wrapText="1"/>
    </xf>
    <xf numFmtId="0" fontId="56" fillId="0" borderId="0" xfId="0" applyFont="1" applyAlignment="1">
      <alignment vertical="top"/>
    </xf>
    <xf numFmtId="44" fontId="56" fillId="0" borderId="0" xfId="2" applyFont="1" applyAlignment="1">
      <alignment vertical="top"/>
    </xf>
    <xf numFmtId="44" fontId="1" fillId="11" borderId="16" xfId="2" applyFont="1" applyFill="1" applyBorder="1" applyAlignment="1">
      <alignment vertical="top"/>
    </xf>
    <xf numFmtId="0" fontId="16" fillId="0" borderId="0" xfId="0" applyFont="1" applyAlignment="1">
      <alignment vertical="top"/>
    </xf>
    <xf numFmtId="0" fontId="9" fillId="0" borderId="0" xfId="0" applyFont="1" applyAlignment="1">
      <alignment horizontal="center" vertical="top" wrapText="1"/>
    </xf>
    <xf numFmtId="0" fontId="0" fillId="0" borderId="7" xfId="0" applyBorder="1" applyAlignment="1">
      <alignment vertical="top"/>
    </xf>
    <xf numFmtId="44" fontId="1" fillId="0" borderId="11" xfId="2" applyBorder="1" applyAlignment="1">
      <alignment vertical="top"/>
    </xf>
    <xf numFmtId="0" fontId="0" fillId="0" borderId="11" xfId="0" applyBorder="1" applyAlignment="1">
      <alignment vertical="top"/>
    </xf>
    <xf numFmtId="0" fontId="0" fillId="0" borderId="8" xfId="0" applyBorder="1" applyAlignment="1">
      <alignment vertical="top"/>
    </xf>
    <xf numFmtId="0" fontId="0" fillId="0" borderId="12" xfId="0" applyBorder="1" applyAlignment="1">
      <alignment vertical="top"/>
    </xf>
    <xf numFmtId="44" fontId="15" fillId="0" borderId="0" xfId="2" applyFont="1" applyBorder="1" applyAlignment="1">
      <alignment horizontal="center" vertical="top"/>
    </xf>
    <xf numFmtId="0" fontId="0" fillId="0" borderId="0" xfId="0" applyBorder="1" applyAlignment="1">
      <alignment vertical="top"/>
    </xf>
    <xf numFmtId="44" fontId="1" fillId="0" borderId="0" xfId="2" applyBorder="1" applyAlignment="1">
      <alignment vertical="top"/>
    </xf>
    <xf numFmtId="0" fontId="0" fillId="0" borderId="0" xfId="0" applyFill="1" applyBorder="1" applyAlignment="1">
      <alignment horizontal="center" vertical="top"/>
    </xf>
    <xf numFmtId="0" fontId="0" fillId="0" borderId="13" xfId="0" applyBorder="1" applyAlignment="1">
      <alignment vertical="top"/>
    </xf>
    <xf numFmtId="44" fontId="15" fillId="0" borderId="0" xfId="2" applyFont="1" applyFill="1" applyBorder="1" applyAlignment="1">
      <alignment horizontal="center" vertical="top"/>
    </xf>
    <xf numFmtId="0" fontId="9" fillId="0" borderId="17" xfId="0" applyFont="1" applyBorder="1" applyAlignment="1">
      <alignment horizontal="center" vertical="top" wrapText="1"/>
    </xf>
    <xf numFmtId="44" fontId="15" fillId="0" borderId="0" xfId="2" applyFont="1" applyBorder="1" applyAlignment="1">
      <alignment horizontal="center" vertical="top" wrapText="1"/>
    </xf>
    <xf numFmtId="44" fontId="53" fillId="0" borderId="0" xfId="2" applyFont="1" applyBorder="1" applyAlignment="1">
      <alignment horizontal="center" vertical="top" wrapText="1"/>
    </xf>
    <xf numFmtId="0" fontId="15" fillId="0" borderId="13" xfId="0" applyFont="1" applyBorder="1" applyAlignment="1">
      <alignment horizontal="center" vertical="top"/>
    </xf>
    <xf numFmtId="0" fontId="9" fillId="10" borderId="0" xfId="15" applyFont="1" applyFill="1" applyAlignment="1">
      <alignment vertical="top"/>
    </xf>
    <xf numFmtId="0" fontId="15" fillId="0" borderId="0" xfId="0" applyFont="1" applyBorder="1" applyAlignment="1">
      <alignment horizontal="center" vertical="top"/>
    </xf>
    <xf numFmtId="44" fontId="1" fillId="8" borderId="16" xfId="2" applyFill="1" applyBorder="1" applyAlignment="1">
      <alignment vertical="top"/>
    </xf>
    <xf numFmtId="44" fontId="1" fillId="11" borderId="18" xfId="2" applyFont="1" applyFill="1" applyBorder="1" applyAlignment="1">
      <alignment vertical="top"/>
    </xf>
    <xf numFmtId="44" fontId="1" fillId="11" borderId="19" xfId="2" applyFill="1" applyBorder="1" applyAlignment="1">
      <alignment vertical="top"/>
    </xf>
    <xf numFmtId="44" fontId="23" fillId="0" borderId="20" xfId="2" applyFont="1" applyFill="1" applyBorder="1" applyAlignment="1">
      <alignment vertical="top"/>
    </xf>
    <xf numFmtId="44" fontId="23" fillId="0" borderId="16" xfId="0" applyNumberFormat="1" applyFont="1" applyBorder="1" applyAlignment="1">
      <alignment vertical="top"/>
    </xf>
    <xf numFmtId="44" fontId="0" fillId="0" borderId="16" xfId="0" applyNumberFormat="1" applyBorder="1" applyAlignment="1">
      <alignment vertical="top"/>
    </xf>
    <xf numFmtId="44" fontId="0" fillId="0" borderId="0" xfId="0" applyNumberFormat="1" applyBorder="1" applyAlignment="1">
      <alignment vertical="top"/>
    </xf>
    <xf numFmtId="44" fontId="1" fillId="0" borderId="0" xfId="2" applyFill="1" applyBorder="1" applyAlignment="1">
      <alignment vertical="top"/>
    </xf>
    <xf numFmtId="44" fontId="1" fillId="0" borderId="0" xfId="2" applyFont="1" applyBorder="1" applyAlignment="1">
      <alignment vertical="top"/>
    </xf>
    <xf numFmtId="0" fontId="15" fillId="0" borderId="12" xfId="0" applyFont="1" applyBorder="1" applyAlignment="1">
      <alignment vertical="top"/>
    </xf>
    <xf numFmtId="44" fontId="1" fillId="11" borderId="20" xfId="2" applyFill="1" applyBorder="1" applyAlignment="1">
      <alignment vertical="top"/>
    </xf>
    <xf numFmtId="44" fontId="0" fillId="0" borderId="13" xfId="0" applyNumberFormat="1" applyBorder="1" applyAlignment="1">
      <alignment vertical="top"/>
    </xf>
    <xf numFmtId="4" fontId="0" fillId="0" borderId="0" xfId="0" applyNumberFormat="1"/>
    <xf numFmtId="44" fontId="0" fillId="0" borderId="0" xfId="0" applyNumberFormat="1" applyFill="1" applyBorder="1" applyAlignment="1">
      <alignment vertical="top"/>
    </xf>
    <xf numFmtId="0" fontId="15" fillId="4" borderId="21" xfId="0" applyFont="1" applyFill="1" applyBorder="1" applyAlignment="1">
      <alignment horizontal="right" vertical="top"/>
    </xf>
    <xf numFmtId="44" fontId="15" fillId="4" borderId="20" xfId="0" applyNumberFormat="1" applyFont="1" applyFill="1" applyBorder="1" applyAlignment="1">
      <alignment vertical="top"/>
    </xf>
    <xf numFmtId="44" fontId="0" fillId="0" borderId="0" xfId="0" applyNumberFormat="1" applyAlignment="1">
      <alignment vertical="top"/>
    </xf>
    <xf numFmtId="4" fontId="0" fillId="0" borderId="0" xfId="0" applyNumberFormat="1" applyFill="1" applyBorder="1" applyAlignment="1">
      <alignment vertical="top"/>
    </xf>
    <xf numFmtId="44" fontId="23" fillId="0" borderId="0" xfId="0" applyNumberFormat="1" applyFont="1" applyBorder="1" applyAlignment="1">
      <alignment vertical="top"/>
    </xf>
    <xf numFmtId="0" fontId="0" fillId="0" borderId="9" xfId="0" applyBorder="1" applyAlignment="1">
      <alignment vertical="top"/>
    </xf>
    <xf numFmtId="44" fontId="1" fillId="0" borderId="14" xfId="2" applyBorder="1" applyAlignment="1">
      <alignment vertical="top"/>
    </xf>
    <xf numFmtId="44" fontId="1" fillId="0" borderId="14" xfId="2" applyFill="1" applyBorder="1" applyAlignment="1">
      <alignment vertical="top"/>
    </xf>
    <xf numFmtId="44" fontId="0" fillId="0" borderId="14" xfId="0" applyNumberFormat="1" applyFill="1" applyBorder="1" applyAlignment="1">
      <alignment vertical="top"/>
    </xf>
    <xf numFmtId="0" fontId="0" fillId="0" borderId="14" xfId="0" applyBorder="1" applyAlignment="1">
      <alignment vertical="top"/>
    </xf>
    <xf numFmtId="0" fontId="0" fillId="0" borderId="10" xfId="0" applyFill="1" applyBorder="1" applyAlignment="1">
      <alignment vertical="top"/>
    </xf>
    <xf numFmtId="0" fontId="0" fillId="8" borderId="7" xfId="0" applyFill="1" applyBorder="1" applyAlignment="1">
      <alignment vertical="top"/>
    </xf>
    <xf numFmtId="44" fontId="1" fillId="8" borderId="11" xfId="2" applyFill="1" applyBorder="1" applyAlignment="1">
      <alignment vertical="top"/>
    </xf>
    <xf numFmtId="0" fontId="15" fillId="8" borderId="11" xfId="0" applyFont="1" applyFill="1" applyBorder="1" applyAlignment="1">
      <alignment horizontal="center" vertical="top"/>
    </xf>
    <xf numFmtId="0" fontId="0" fillId="8" borderId="11" xfId="0" applyFill="1" applyBorder="1" applyAlignment="1">
      <alignment vertical="top"/>
    </xf>
    <xf numFmtId="0" fontId="0" fillId="8" borderId="8" xfId="0" applyFill="1" applyBorder="1" applyAlignment="1">
      <alignment vertical="top"/>
    </xf>
    <xf numFmtId="0" fontId="15" fillId="8" borderId="22" xfId="0" applyFont="1" applyFill="1" applyBorder="1" applyAlignment="1">
      <alignment vertical="top"/>
    </xf>
    <xf numFmtId="44" fontId="1" fillId="8" borderId="23" xfId="2" applyFill="1" applyBorder="1" applyAlignment="1">
      <alignment vertical="top"/>
    </xf>
    <xf numFmtId="44" fontId="15" fillId="8" borderId="23" xfId="2" applyFont="1" applyFill="1" applyBorder="1" applyAlignment="1">
      <alignment vertical="top"/>
    </xf>
    <xf numFmtId="44" fontId="1" fillId="8" borderId="23" xfId="2" applyFont="1" applyFill="1" applyBorder="1" applyAlignment="1">
      <alignment vertical="top"/>
    </xf>
    <xf numFmtId="44" fontId="0" fillId="8" borderId="24" xfId="0" applyNumberFormat="1" applyFill="1" applyBorder="1" applyAlignment="1">
      <alignment vertical="top"/>
    </xf>
    <xf numFmtId="0" fontId="0" fillId="8" borderId="0" xfId="0" applyFill="1" applyAlignment="1">
      <alignment vertical="top"/>
    </xf>
    <xf numFmtId="0" fontId="0" fillId="8" borderId="13" xfId="0" applyFill="1" applyBorder="1" applyAlignment="1">
      <alignment vertical="top"/>
    </xf>
    <xf numFmtId="0" fontId="15" fillId="8" borderId="25" xfId="0" applyFont="1" applyFill="1" applyBorder="1" applyAlignment="1">
      <alignment vertical="top"/>
    </xf>
    <xf numFmtId="44" fontId="1" fillId="8" borderId="3" xfId="2" applyFill="1" applyBorder="1" applyAlignment="1">
      <alignment vertical="top"/>
    </xf>
    <xf numFmtId="44" fontId="15" fillId="8" borderId="3" xfId="2" applyFont="1" applyFill="1" applyBorder="1" applyAlignment="1">
      <alignment vertical="top"/>
    </xf>
    <xf numFmtId="44" fontId="0" fillId="8" borderId="26" xfId="0" applyNumberFormat="1" applyFill="1" applyBorder="1" applyAlignment="1">
      <alignment vertical="top"/>
    </xf>
    <xf numFmtId="0" fontId="15" fillId="8" borderId="0" xfId="0" applyFont="1" applyFill="1" applyBorder="1" applyAlignment="1">
      <alignment vertical="top"/>
    </xf>
    <xf numFmtId="0" fontId="15" fillId="8" borderId="12" xfId="0" applyFont="1" applyFill="1" applyBorder="1" applyAlignment="1">
      <alignment vertical="top"/>
    </xf>
    <xf numFmtId="44" fontId="1" fillId="8" borderId="0" xfId="2" applyFill="1" applyBorder="1" applyAlignment="1">
      <alignment vertical="top"/>
    </xf>
    <xf numFmtId="44" fontId="15" fillId="8" borderId="0" xfId="2" applyFont="1" applyFill="1" applyBorder="1" applyAlignment="1">
      <alignment vertical="top"/>
    </xf>
    <xf numFmtId="44" fontId="0" fillId="8" borderId="0" xfId="0" applyNumberFormat="1" applyFill="1" applyBorder="1" applyAlignment="1">
      <alignment vertical="top"/>
    </xf>
    <xf numFmtId="0" fontId="0" fillId="8" borderId="0" xfId="0" applyFill="1" applyBorder="1" applyAlignment="1">
      <alignment vertical="top"/>
    </xf>
    <xf numFmtId="0" fontId="15" fillId="8" borderId="0" xfId="0" applyFont="1" applyFill="1" applyBorder="1" applyAlignment="1">
      <alignment vertical="top" wrapText="1"/>
    </xf>
    <xf numFmtId="0" fontId="15" fillId="8" borderId="13" xfId="0" applyFont="1" applyFill="1" applyBorder="1" applyAlignment="1">
      <alignment vertical="top" wrapText="1"/>
    </xf>
    <xf numFmtId="0" fontId="0" fillId="8" borderId="24" xfId="0" applyFill="1" applyBorder="1" applyAlignment="1">
      <alignment vertical="top"/>
    </xf>
    <xf numFmtId="0" fontId="0" fillId="8" borderId="25" xfId="0" applyFill="1" applyBorder="1" applyAlignment="1">
      <alignment vertical="top"/>
    </xf>
    <xf numFmtId="0" fontId="0" fillId="8" borderId="12" xfId="0" applyFill="1" applyBorder="1" applyAlignment="1">
      <alignment vertical="top"/>
    </xf>
    <xf numFmtId="0" fontId="0" fillId="8" borderId="9" xfId="0" applyFill="1" applyBorder="1" applyAlignment="1">
      <alignment vertical="top"/>
    </xf>
    <xf numFmtId="44" fontId="1" fillId="8" borderId="14" xfId="2" applyFill="1" applyBorder="1" applyAlignment="1">
      <alignment vertical="top"/>
    </xf>
    <xf numFmtId="44" fontId="0" fillId="8" borderId="14" xfId="0" applyNumberFormat="1" applyFill="1" applyBorder="1" applyAlignment="1">
      <alignment vertical="top"/>
    </xf>
    <xf numFmtId="0" fontId="15" fillId="0" borderId="0" xfId="0" applyFont="1" applyAlignment="1">
      <alignment vertical="top"/>
    </xf>
    <xf numFmtId="0" fontId="15" fillId="0" borderId="0" xfId="0" applyFont="1"/>
    <xf numFmtId="0" fontId="0" fillId="8" borderId="0" xfId="0" applyFill="1"/>
    <xf numFmtId="4" fontId="0" fillId="8" borderId="0" xfId="0" applyNumberFormat="1" applyFill="1"/>
    <xf numFmtId="0" fontId="0" fillId="2" borderId="0" xfId="0" applyFill="1"/>
    <xf numFmtId="4" fontId="0" fillId="2" borderId="0" xfId="0" applyNumberFormat="1" applyFill="1"/>
    <xf numFmtId="4" fontId="15" fillId="0" borderId="0" xfId="0" applyNumberFormat="1" applyFont="1"/>
    <xf numFmtId="0" fontId="0" fillId="0" borderId="0" xfId="0" applyAlignment="1">
      <alignment horizontal="center"/>
    </xf>
    <xf numFmtId="172" fontId="0" fillId="0" borderId="0" xfId="0" applyNumberFormat="1"/>
    <xf numFmtId="0" fontId="15" fillId="0" borderId="2" xfId="0" applyFont="1" applyBorder="1" applyAlignment="1">
      <alignment horizontal="center" wrapText="1"/>
    </xf>
    <xf numFmtId="0" fontId="0" fillId="0" borderId="0" xfId="0" applyNumberFormat="1" applyFill="1" applyAlignment="1">
      <alignment horizontal="center"/>
    </xf>
    <xf numFmtId="174" fontId="0" fillId="0" borderId="0" xfId="0" applyNumberFormat="1" applyFill="1"/>
    <xf numFmtId="0" fontId="0" fillId="0" borderId="0" xfId="0" applyFill="1" applyAlignment="1">
      <alignment horizontal="center"/>
    </xf>
    <xf numFmtId="0" fontId="0" fillId="8" borderId="0" xfId="0" applyFill="1" applyAlignment="1">
      <alignment horizontal="center"/>
    </xf>
    <xf numFmtId="174" fontId="0" fillId="8" borderId="0" xfId="0" applyNumberFormat="1" applyFill="1"/>
    <xf numFmtId="0" fontId="0" fillId="8" borderId="0" xfId="0" applyNumberFormat="1" applyFill="1" applyAlignment="1">
      <alignment horizontal="center"/>
    </xf>
    <xf numFmtId="174" fontId="0" fillId="0" borderId="23" xfId="0" applyNumberFormat="1" applyBorder="1"/>
    <xf numFmtId="174" fontId="0" fillId="0" borderId="0" xfId="0" applyNumberFormat="1"/>
    <xf numFmtId="174" fontId="0" fillId="2" borderId="0" xfId="0" applyNumberFormat="1" applyFill="1"/>
    <xf numFmtId="174" fontId="16" fillId="0" borderId="0" xfId="0" applyNumberFormat="1" applyFont="1"/>
    <xf numFmtId="174" fontId="0" fillId="0" borderId="0" xfId="0" applyNumberFormat="1" applyAlignment="1">
      <alignment horizontal="center"/>
    </xf>
    <xf numFmtId="174" fontId="0" fillId="0" borderId="0" xfId="0" applyNumberFormat="1" applyBorder="1"/>
    <xf numFmtId="174" fontId="16" fillId="0" borderId="0" xfId="0" quotePrefix="1" applyNumberFormat="1" applyFont="1"/>
    <xf numFmtId="174" fontId="0" fillId="0" borderId="0" xfId="0" applyNumberFormat="1" applyFill="1" applyBorder="1"/>
    <xf numFmtId="182" fontId="0" fillId="0" borderId="0" xfId="0" applyNumberFormat="1"/>
    <xf numFmtId="0" fontId="0" fillId="0" borderId="0" xfId="0" applyAlignment="1">
      <alignment horizontal="center" wrapText="1"/>
    </xf>
    <xf numFmtId="174" fontId="0" fillId="0" borderId="0" xfId="0" applyNumberFormat="1" applyAlignment="1">
      <alignment horizontal="center" wrapText="1"/>
    </xf>
    <xf numFmtId="0" fontId="0" fillId="0" borderId="0" xfId="0" applyAlignment="1">
      <alignment horizontal="left" wrapText="1"/>
    </xf>
    <xf numFmtId="174" fontId="0" fillId="0" borderId="0" xfId="0" applyNumberFormat="1" applyAlignment="1">
      <alignment horizontal="right" wrapText="1"/>
    </xf>
    <xf numFmtId="0" fontId="0" fillId="0" borderId="0" xfId="0" applyNumberFormat="1"/>
    <xf numFmtId="174" fontId="0" fillId="0" borderId="0" xfId="0" applyNumberFormat="1" applyAlignment="1">
      <alignment horizontal="right"/>
    </xf>
    <xf numFmtId="0" fontId="0" fillId="0" borderId="0" xfId="0" quotePrefix="1" applyAlignment="1">
      <alignment horizontal="center"/>
    </xf>
    <xf numFmtId="174" fontId="0" fillId="0" borderId="0" xfId="0" applyNumberFormat="1" applyAlignment="1">
      <alignment horizontal="left"/>
    </xf>
    <xf numFmtId="174" fontId="8" fillId="0" borderId="0" xfId="0" applyNumberFormat="1" applyFont="1" applyBorder="1" applyAlignment="1">
      <alignment horizontal="left"/>
    </xf>
    <xf numFmtId="172" fontId="8" fillId="0" borderId="0" xfId="0" applyNumberFormat="1" applyFont="1" applyBorder="1" applyAlignment="1">
      <alignment horizontal="right" wrapText="1"/>
    </xf>
    <xf numFmtId="174" fontId="0" fillId="0" borderId="0" xfId="0" applyNumberFormat="1" applyFill="1" applyAlignment="1">
      <alignment horizontal="center"/>
    </xf>
    <xf numFmtId="172" fontId="0" fillId="0" borderId="0" xfId="0" applyNumberFormat="1" applyFill="1"/>
    <xf numFmtId="181" fontId="0" fillId="0" borderId="0" xfId="0" applyNumberFormat="1"/>
    <xf numFmtId="174" fontId="0" fillId="0" borderId="0" xfId="0" quotePrefix="1" applyNumberFormat="1" applyFill="1" applyAlignment="1">
      <alignment horizontal="center"/>
    </xf>
    <xf numFmtId="0" fontId="0" fillId="6" borderId="0" xfId="0" applyFill="1" applyAlignment="1">
      <alignment horizontal="center"/>
    </xf>
    <xf numFmtId="174" fontId="0" fillId="6" borderId="0" xfId="0" applyNumberFormat="1" applyFill="1"/>
    <xf numFmtId="174" fontId="8" fillId="6" borderId="0" xfId="0" applyNumberFormat="1" applyFont="1" applyFill="1" applyBorder="1" applyAlignment="1">
      <alignment horizontal="left"/>
    </xf>
    <xf numFmtId="172" fontId="8" fillId="6" borderId="0" xfId="0" applyNumberFormat="1" applyFont="1" applyFill="1" applyBorder="1" applyAlignment="1">
      <alignment horizontal="right" wrapText="1"/>
    </xf>
    <xf numFmtId="0" fontId="0" fillId="6" borderId="0" xfId="0" applyFill="1"/>
    <xf numFmtId="174" fontId="0" fillId="6" borderId="0" xfId="0" quotePrefix="1" applyNumberFormat="1" applyFill="1" applyAlignment="1">
      <alignment horizontal="center"/>
    </xf>
    <xf numFmtId="174" fontId="0" fillId="6" borderId="0" xfId="0" quotePrefix="1" applyNumberFormat="1" applyFill="1" applyAlignment="1">
      <alignment horizontal="right"/>
    </xf>
    <xf numFmtId="181" fontId="0" fillId="6" borderId="0" xfId="0" applyNumberFormat="1" applyFill="1"/>
    <xf numFmtId="0" fontId="0" fillId="3" borderId="0" xfId="0" applyFill="1" applyAlignment="1">
      <alignment horizontal="center"/>
    </xf>
    <xf numFmtId="0" fontId="0" fillId="3" borderId="0" xfId="0" applyFill="1"/>
    <xf numFmtId="174" fontId="0" fillId="3" borderId="0" xfId="0" applyNumberFormat="1" applyFill="1"/>
    <xf numFmtId="0" fontId="0" fillId="3" borderId="0" xfId="0" quotePrefix="1" applyFill="1" applyAlignment="1">
      <alignment horizontal="center"/>
    </xf>
    <xf numFmtId="170" fontId="1" fillId="3" borderId="0" xfId="3" applyFill="1" applyAlignment="1">
      <alignment wrapText="1"/>
    </xf>
    <xf numFmtId="181" fontId="0" fillId="3" borderId="0" xfId="0" applyNumberFormat="1" applyFill="1"/>
    <xf numFmtId="174" fontId="0" fillId="0" borderId="0" xfId="0" quotePrefix="1" applyNumberFormat="1"/>
    <xf numFmtId="0" fontId="0" fillId="0" borderId="0" xfId="0" quotePrefix="1" applyAlignment="1">
      <alignment horizontal="left"/>
    </xf>
    <xf numFmtId="0" fontId="0" fillId="0" borderId="0" xfId="0" applyAlignment="1">
      <alignment horizontal="left" vertical="top" wrapText="1" shrinkToFit="1"/>
    </xf>
    <xf numFmtId="14" fontId="0" fillId="0" borderId="0" xfId="0" applyNumberFormat="1" applyAlignment="1">
      <alignment horizontal="left"/>
    </xf>
    <xf numFmtId="174" fontId="0" fillId="0" borderId="0" xfId="0" applyNumberFormat="1" applyAlignment="1">
      <alignment wrapText="1"/>
    </xf>
    <xf numFmtId="174" fontId="0" fillId="0" borderId="0" xfId="0" quotePrefix="1" applyNumberFormat="1" applyFill="1" applyAlignment="1">
      <alignment horizontal="right"/>
    </xf>
    <xf numFmtId="174" fontId="8" fillId="3" borderId="0" xfId="0" applyNumberFormat="1" applyFont="1" applyFill="1" applyBorder="1" applyAlignment="1">
      <alignment horizontal="left"/>
    </xf>
    <xf numFmtId="174" fontId="0" fillId="3" borderId="0" xfId="0" quotePrefix="1" applyNumberFormat="1" applyFill="1" applyAlignment="1">
      <alignment horizontal="center"/>
    </xf>
    <xf numFmtId="174" fontId="0" fillId="3" borderId="0" xfId="0" applyNumberFormat="1" applyFill="1" applyAlignment="1">
      <alignment wrapText="1"/>
    </xf>
    <xf numFmtId="14" fontId="0" fillId="3" borderId="0" xfId="0" applyNumberFormat="1" applyFill="1"/>
    <xf numFmtId="174" fontId="0" fillId="0" borderId="0" xfId="0" applyNumberFormat="1" applyFill="1" applyAlignment="1">
      <alignment horizontal="right"/>
    </xf>
    <xf numFmtId="170" fontId="1" fillId="0" borderId="0" xfId="3" applyAlignment="1">
      <alignment wrapText="1"/>
    </xf>
    <xf numFmtId="170" fontId="1" fillId="3" borderId="0" xfId="3" applyFont="1" applyFill="1" applyAlignment="1"/>
    <xf numFmtId="0" fontId="11" fillId="4" borderId="0" xfId="15" applyFont="1" applyFill="1" applyAlignment="1">
      <alignment vertical="top"/>
    </xf>
    <xf numFmtId="0" fontId="11" fillId="4" borderId="0" xfId="17" applyFont="1" applyFill="1" applyAlignment="1">
      <alignment vertical="top"/>
    </xf>
    <xf numFmtId="17" fontId="11" fillId="4" borderId="0" xfId="17" applyNumberFormat="1" applyFont="1" applyFill="1" applyAlignment="1">
      <alignment vertical="top"/>
    </xf>
    <xf numFmtId="44" fontId="11" fillId="4" borderId="0" xfId="2" applyFont="1" applyFill="1" applyAlignment="1">
      <alignment vertical="top"/>
    </xf>
    <xf numFmtId="0" fontId="11" fillId="4" borderId="0" xfId="15" applyFont="1" applyFill="1" applyAlignment="1">
      <alignment horizontal="center" vertical="top"/>
    </xf>
    <xf numFmtId="17" fontId="42" fillId="4" borderId="0" xfId="11" applyNumberFormat="1" applyFont="1" applyFill="1" applyAlignment="1">
      <alignment horizontal="center" vertical="top"/>
    </xf>
    <xf numFmtId="7" fontId="11" fillId="4" borderId="0" xfId="15" applyNumberFormat="1" applyFont="1" applyFill="1" applyAlignment="1">
      <alignment horizontal="left" vertical="top"/>
    </xf>
    <xf numFmtId="37" fontId="11" fillId="4" borderId="0" xfId="15" applyNumberFormat="1" applyFont="1" applyFill="1" applyAlignment="1">
      <alignment horizontal="right" vertical="top"/>
    </xf>
    <xf numFmtId="7" fontId="11" fillId="4" borderId="0" xfId="15" applyNumberFormat="1" applyFont="1" applyFill="1" applyAlignment="1">
      <alignment horizontal="right" vertical="top"/>
    </xf>
    <xf numFmtId="0" fontId="48" fillId="10" borderId="0" xfId="15" applyFont="1" applyFill="1" applyAlignment="1">
      <alignment vertical="top"/>
    </xf>
    <xf numFmtId="0" fontId="9" fillId="10" borderId="0" xfId="15" applyFont="1" applyFill="1" applyAlignment="1">
      <alignment horizontal="center" vertical="top"/>
    </xf>
    <xf numFmtId="17" fontId="42" fillId="10" borderId="0" xfId="11" applyNumberFormat="1" applyFont="1" applyFill="1" applyAlignment="1">
      <alignment horizontal="center" vertical="top"/>
    </xf>
    <xf numFmtId="44" fontId="24" fillId="10" borderId="0" xfId="2" applyFont="1" applyFill="1" applyAlignment="1">
      <alignment horizontal="right" vertical="top"/>
    </xf>
    <xf numFmtId="44" fontId="21" fillId="0" borderId="0" xfId="11" applyNumberFormat="1" applyFont="1" applyAlignment="1">
      <alignment vertical="top"/>
    </xf>
    <xf numFmtId="0" fontId="11" fillId="3" borderId="0" xfId="11" applyFont="1" applyFill="1" applyAlignment="1">
      <alignment vertical="top"/>
    </xf>
    <xf numFmtId="0" fontId="11" fillId="3" borderId="0" xfId="11" applyFont="1" applyFill="1" applyAlignment="1">
      <alignment horizontal="center" vertical="top"/>
    </xf>
    <xf numFmtId="17" fontId="11" fillId="3" borderId="0" xfId="11" applyNumberFormat="1" applyFont="1" applyFill="1" applyAlignment="1">
      <alignment horizontal="center" vertical="top"/>
    </xf>
    <xf numFmtId="7" fontId="11" fillId="3" borderId="10" xfId="11" applyNumberFormat="1" applyFont="1" applyFill="1" applyBorder="1" applyAlignment="1">
      <alignment vertical="top"/>
    </xf>
    <xf numFmtId="183" fontId="20" fillId="0" borderId="0" xfId="1" applyNumberFormat="1" applyFont="1" applyFill="1" applyBorder="1" applyAlignment="1">
      <alignment horizontal="center" vertical="top"/>
    </xf>
    <xf numFmtId="7" fontId="9" fillId="0" borderId="0" xfId="15" applyNumberFormat="1" applyFont="1" applyFill="1" applyAlignment="1">
      <alignment horizontal="left" vertical="top" wrapText="1"/>
    </xf>
    <xf numFmtId="0" fontId="11" fillId="0" borderId="0" xfId="11" applyFont="1" applyAlignment="1">
      <alignment vertical="top" wrapText="1"/>
    </xf>
    <xf numFmtId="0" fontId="0" fillId="0" borderId="0" xfId="0" applyFill="1" applyAlignment="1">
      <alignment vertical="top" wrapText="1"/>
    </xf>
    <xf numFmtId="7" fontId="37" fillId="8" borderId="0" xfId="15" applyNumberFormat="1" applyFont="1" applyFill="1" applyAlignment="1">
      <alignment horizontal="left" vertical="top" wrapText="1"/>
    </xf>
    <xf numFmtId="0" fontId="52" fillId="0" borderId="0" xfId="0" applyFont="1" applyAlignment="1">
      <alignment vertical="top" wrapText="1"/>
    </xf>
    <xf numFmtId="0" fontId="52" fillId="8" borderId="0" xfId="0" applyFont="1" applyFill="1" applyAlignment="1">
      <alignment vertical="top" wrapText="1"/>
    </xf>
    <xf numFmtId="7" fontId="9" fillId="10" borderId="0" xfId="15" applyNumberFormat="1" applyFont="1" applyFill="1" applyAlignment="1">
      <alignment horizontal="left" vertical="top" wrapText="1"/>
    </xf>
    <xf numFmtId="0" fontId="0" fillId="10" borderId="0" xfId="0" applyFill="1" applyAlignment="1">
      <alignment vertical="top" wrapText="1"/>
    </xf>
    <xf numFmtId="7" fontId="9" fillId="8" borderId="0" xfId="15" applyNumberFormat="1" applyFont="1" applyFill="1" applyAlignment="1">
      <alignment horizontal="left" vertical="top" wrapText="1"/>
    </xf>
    <xf numFmtId="0" fontId="0" fillId="0" borderId="0" xfId="0" applyAlignment="1">
      <alignment vertical="top" wrapText="1"/>
    </xf>
    <xf numFmtId="0" fontId="11" fillId="3" borderId="14" xfId="6" applyFont="1" applyFill="1" applyBorder="1" applyAlignment="1">
      <alignment horizontal="left" vertical="top" wrapText="1"/>
    </xf>
    <xf numFmtId="0" fontId="0" fillId="0" borderId="14" xfId="0" applyBorder="1" applyAlignment="1">
      <alignment vertical="top" wrapText="1"/>
    </xf>
    <xf numFmtId="174" fontId="0" fillId="0" borderId="0" xfId="0" applyNumberFormat="1" applyAlignment="1">
      <alignment horizontal="left" vertical="top" wrapText="1" shrinkToFit="1"/>
    </xf>
    <xf numFmtId="0" fontId="0" fillId="0" borderId="0" xfId="0" quotePrefix="1" applyAlignment="1">
      <alignment horizontal="left" vertical="top" wrapText="1" shrinkToFit="1"/>
    </xf>
    <xf numFmtId="0" fontId="0" fillId="0" borderId="0" xfId="0" applyAlignment="1">
      <alignment horizontal="left" vertical="top" wrapText="1" shrinkToFit="1"/>
    </xf>
    <xf numFmtId="0" fontId="15" fillId="0" borderId="0" xfId="0" applyFont="1" applyFill="1" applyBorder="1" applyAlignment="1">
      <alignment wrapText="1"/>
    </xf>
    <xf numFmtId="0" fontId="15" fillId="0" borderId="0" xfId="0" applyFont="1" applyFill="1" applyAlignment="1">
      <alignment wrapText="1"/>
    </xf>
    <xf numFmtId="0" fontId="15" fillId="0" borderId="27" xfId="0" applyFont="1" applyFill="1" applyBorder="1" applyAlignment="1">
      <alignment wrapText="1"/>
    </xf>
    <xf numFmtId="44" fontId="54" fillId="0" borderId="0" xfId="2" applyFont="1" applyFill="1" applyAlignment="1">
      <alignment horizontal="center"/>
    </xf>
    <xf numFmtId="44" fontId="54" fillId="0" borderId="0" xfId="2" applyFont="1" applyAlignment="1">
      <alignment horizontal="center"/>
    </xf>
    <xf numFmtId="44" fontId="55" fillId="0" borderId="0" xfId="2" applyFont="1" applyAlignment="1">
      <alignment horizontal="center"/>
    </xf>
    <xf numFmtId="0" fontId="15" fillId="8" borderId="0" xfId="0" applyFont="1" applyFill="1" applyBorder="1" applyAlignment="1">
      <alignment vertical="top" wrapText="1"/>
    </xf>
    <xf numFmtId="0" fontId="15" fillId="8" borderId="13" xfId="0" applyFont="1" applyFill="1" applyBorder="1" applyAlignment="1">
      <alignment vertical="top" wrapText="1"/>
    </xf>
    <xf numFmtId="0" fontId="0" fillId="0" borderId="13" xfId="0" applyBorder="1" applyAlignment="1">
      <alignment vertical="top" wrapText="1"/>
    </xf>
    <xf numFmtId="44" fontId="15" fillId="0" borderId="0" xfId="2" applyFont="1" applyFill="1" applyBorder="1" applyAlignment="1">
      <alignment horizontal="center" vertical="top"/>
    </xf>
    <xf numFmtId="0" fontId="15" fillId="8" borderId="14" xfId="0" applyFont="1" applyFill="1" applyBorder="1" applyAlignment="1">
      <alignment vertical="top" wrapText="1"/>
    </xf>
    <xf numFmtId="0" fontId="0" fillId="0" borderId="10" xfId="0" applyBorder="1" applyAlignment="1">
      <alignment vertical="top" wrapText="1"/>
    </xf>
  </cellXfs>
  <cellStyles count="18">
    <cellStyle name="Comma" xfId="1" builtinId="3"/>
    <cellStyle name="Currency" xfId="2" builtinId="4"/>
    <cellStyle name="Currency_2000 04 PJM Reconciliation" xfId="3"/>
    <cellStyle name="Normal" xfId="0" builtinId="0"/>
    <cellStyle name="Normal__Export All Var FINAL 1-19-00" xfId="4"/>
    <cellStyle name="Normal_9802var" xfId="5"/>
    <cellStyle name="Normal_9803flash - all variances" xfId="6"/>
    <cellStyle name="Normal_9805flash" xfId="7"/>
    <cellStyle name="Normal_9805var" xfId="8"/>
    <cellStyle name="Normal_9908 Export All Var FINAL 9-22-99 2.15pm" xfId="9"/>
    <cellStyle name="Normal_9908 variance" xfId="10"/>
    <cellStyle name="Normal_Export All Variances - with manuals FINAL 112800" xfId="11"/>
    <cellStyle name="Normal_Export All Variances 101700 - Unify and manuals" xfId="12"/>
    <cellStyle name="Normal_FLSHVAR_2" xfId="13"/>
    <cellStyle name="Normal_MARGIN_FLSHVAR_1" xfId="14"/>
    <cellStyle name="Normal_Sheet1" xfId="15"/>
    <cellStyle name="Normal_Sheet2" xfId="16"/>
    <cellStyle name="Normal_Var Report WS - AH copy"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ntSvc/Ksettle/ACCNTNG/FLASH/2000/0006/200004%20flash-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avlicek/source/repos/enron_xls/edrm/Unify%20System%20TieOut%201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2000%20PJM%20Reconcili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JM Monthly Summary 2000 04 V.1"/>
      <sheetName val="200004 Genco Var Report"/>
      <sheetName val="200004 Var Rpt - EPMI"/>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
      <sheetName val="Sheet9"/>
      <sheetName val="Sheet5"/>
      <sheetName val="GL Export 111400"/>
      <sheetName val="Pivot"/>
      <sheetName val="Unify - Russ"/>
    </sheetNames>
    <sheetDataSet>
      <sheetData sheetId="0"/>
      <sheetData sheetId="1"/>
      <sheetData sheetId="2"/>
      <sheetData sheetId="3"/>
      <sheetData sheetId="4">
        <row r="6">
          <cell r="R6" t="str">
            <v>P199806DIllinois Power Co</v>
          </cell>
          <cell r="S6">
            <v>0</v>
          </cell>
        </row>
        <row r="7">
          <cell r="R7" t="str">
            <v>P199806DThe Manitoba Hydr</v>
          </cell>
          <cell r="S7">
            <v>0</v>
          </cell>
        </row>
        <row r="8">
          <cell r="R8" t="str">
            <v>P199807DThe Manitoba Hydr</v>
          </cell>
          <cell r="S8">
            <v>0</v>
          </cell>
        </row>
        <row r="9">
          <cell r="R9" t="str">
            <v>P199807DVirginia Electric</v>
          </cell>
          <cell r="S9">
            <v>31757</v>
          </cell>
        </row>
        <row r="10">
          <cell r="R10" t="str">
            <v>P199808DThe Manitoba Hydr</v>
          </cell>
          <cell r="S10">
            <v>0</v>
          </cell>
        </row>
        <row r="11">
          <cell r="R11" t="str">
            <v>P199809DThe Manitoba Hydr</v>
          </cell>
          <cell r="S11">
            <v>0</v>
          </cell>
        </row>
        <row r="12">
          <cell r="R12" t="str">
            <v>P199810DLouisville Gas An</v>
          </cell>
          <cell r="S12">
            <v>0</v>
          </cell>
        </row>
        <row r="13">
          <cell r="R13" t="str">
            <v>P199810DUnited Power Asso</v>
          </cell>
          <cell r="S13">
            <v>0</v>
          </cell>
        </row>
        <row r="14">
          <cell r="R14" t="str">
            <v xml:space="preserve">P199811DEl Paso Electric </v>
          </cell>
          <cell r="S14">
            <v>0</v>
          </cell>
        </row>
        <row r="15">
          <cell r="R15" t="str">
            <v xml:space="preserve">P199901DEl Paso Electric </v>
          </cell>
          <cell r="S15">
            <v>0</v>
          </cell>
        </row>
        <row r="16">
          <cell r="R16" t="str">
            <v>P199901DIllinois Power Co</v>
          </cell>
          <cell r="S16">
            <v>0</v>
          </cell>
        </row>
        <row r="17">
          <cell r="R17" t="str">
            <v xml:space="preserve">P199902DEl Paso Electric </v>
          </cell>
          <cell r="S17">
            <v>0</v>
          </cell>
        </row>
        <row r="18">
          <cell r="R18" t="str">
            <v>P199902DIllinois Power Co</v>
          </cell>
          <cell r="S18">
            <v>0</v>
          </cell>
        </row>
        <row r="19">
          <cell r="R19" t="str">
            <v>P199904DIllinois Power Co</v>
          </cell>
          <cell r="S19">
            <v>0</v>
          </cell>
        </row>
        <row r="20">
          <cell r="R20" t="str">
            <v>P199905DNew England Power</v>
          </cell>
          <cell r="S20">
            <v>0</v>
          </cell>
        </row>
        <row r="21">
          <cell r="R21" t="str">
            <v>P199905DVirginia Electric</v>
          </cell>
          <cell r="S21">
            <v>-0.02</v>
          </cell>
        </row>
        <row r="22">
          <cell r="R22" t="str">
            <v>P199906DNew England Power</v>
          </cell>
          <cell r="S22">
            <v>0</v>
          </cell>
        </row>
        <row r="23">
          <cell r="R23" t="str">
            <v>P199906FAmerican Electric</v>
          </cell>
          <cell r="S23">
            <v>-0.69</v>
          </cell>
        </row>
        <row r="24">
          <cell r="R24" t="str">
            <v>P199907DDynegy Power Mark</v>
          </cell>
          <cell r="S24">
            <v>35280</v>
          </cell>
        </row>
        <row r="25">
          <cell r="R25" t="str">
            <v>P199907DNew England Power</v>
          </cell>
          <cell r="S25">
            <v>0</v>
          </cell>
        </row>
        <row r="26">
          <cell r="R26" t="str">
            <v>P199907DPJM Interconnecti</v>
          </cell>
          <cell r="S26">
            <v>-0.03</v>
          </cell>
        </row>
        <row r="27">
          <cell r="R27" t="str">
            <v>P199907FDynegy Power Mark</v>
          </cell>
          <cell r="S27">
            <v>-35280</v>
          </cell>
        </row>
        <row r="28">
          <cell r="R28" t="str">
            <v>P199908DArizona Public Se</v>
          </cell>
          <cell r="S28">
            <v>-50</v>
          </cell>
        </row>
        <row r="29">
          <cell r="R29" t="str">
            <v>P199908DEl Paso Power Ser</v>
          </cell>
          <cell r="S29">
            <v>0</v>
          </cell>
        </row>
        <row r="30">
          <cell r="R30" t="str">
            <v>P199908FArizona Public Se</v>
          </cell>
          <cell r="S30">
            <v>50</v>
          </cell>
        </row>
        <row r="31">
          <cell r="R31" t="str">
            <v>P199908FNew England Power</v>
          </cell>
          <cell r="S31">
            <v>0</v>
          </cell>
        </row>
        <row r="32">
          <cell r="R32" t="str">
            <v>P199909DPJM Interconnecti</v>
          </cell>
          <cell r="S32">
            <v>-0.04</v>
          </cell>
        </row>
        <row r="33">
          <cell r="R33" t="str">
            <v>P199909FNew England Power</v>
          </cell>
          <cell r="S33">
            <v>0</v>
          </cell>
        </row>
        <row r="34">
          <cell r="R34" t="str">
            <v xml:space="preserve">P199910DBritish Columbia </v>
          </cell>
          <cell r="S34">
            <v>11646</v>
          </cell>
        </row>
        <row r="35">
          <cell r="R35" t="str">
            <v xml:space="preserve">P199910DMinnesota Power, </v>
          </cell>
          <cell r="S35">
            <v>0</v>
          </cell>
        </row>
        <row r="36">
          <cell r="R36" t="str">
            <v>P199910DPowerex Corp.</v>
          </cell>
          <cell r="S36">
            <v>-11646</v>
          </cell>
        </row>
        <row r="37">
          <cell r="R37" t="str">
            <v xml:space="preserve">P199911DPortland General </v>
          </cell>
          <cell r="S37">
            <v>0</v>
          </cell>
        </row>
        <row r="38">
          <cell r="R38" t="str">
            <v>P199911FAmerican Electric</v>
          </cell>
          <cell r="S38">
            <v>0</v>
          </cell>
        </row>
        <row r="39">
          <cell r="R39" t="str">
            <v>P199911FAvista Corporatio</v>
          </cell>
          <cell r="S39">
            <v>0</v>
          </cell>
        </row>
        <row r="40">
          <cell r="R40" t="str">
            <v>P199911FTosco Refining Co</v>
          </cell>
          <cell r="S40">
            <v>0</v>
          </cell>
        </row>
        <row r="41">
          <cell r="R41" t="str">
            <v>P199912DNew England Power</v>
          </cell>
          <cell r="S41">
            <v>-67731.08</v>
          </cell>
        </row>
        <row r="42">
          <cell r="R42" t="str">
            <v>P199912FMieco Inc.</v>
          </cell>
          <cell r="S42">
            <v>0</v>
          </cell>
        </row>
        <row r="43">
          <cell r="R43" t="str">
            <v>P199912FNew England Power</v>
          </cell>
          <cell r="S43">
            <v>65062.879999999997</v>
          </cell>
        </row>
        <row r="44">
          <cell r="R44" t="str">
            <v>P199912FTosco Refining Co</v>
          </cell>
          <cell r="S44">
            <v>0</v>
          </cell>
        </row>
        <row r="45">
          <cell r="R45" t="str">
            <v>P200001DCity of Redding</v>
          </cell>
          <cell r="S45">
            <v>0</v>
          </cell>
        </row>
        <row r="46">
          <cell r="R46" t="str">
            <v xml:space="preserve">P200001DEl Paso Electric </v>
          </cell>
          <cell r="S46">
            <v>-0.02</v>
          </cell>
        </row>
        <row r="47">
          <cell r="R47" t="str">
            <v>P200001DISO New England I</v>
          </cell>
          <cell r="S47">
            <v>-335570.48</v>
          </cell>
        </row>
        <row r="48">
          <cell r="R48" t="str">
            <v>P200001DNew England Power</v>
          </cell>
          <cell r="S48">
            <v>0</v>
          </cell>
        </row>
        <row r="49">
          <cell r="R49" t="str">
            <v>P200001FNew England Power</v>
          </cell>
          <cell r="S49">
            <v>-0.02</v>
          </cell>
        </row>
        <row r="50">
          <cell r="R50" t="str">
            <v>P200002DArizona Public Se</v>
          </cell>
          <cell r="S50">
            <v>-0.03</v>
          </cell>
        </row>
        <row r="51">
          <cell r="R51" t="str">
            <v xml:space="preserve">P200002DEl Paso Electric </v>
          </cell>
          <cell r="S51">
            <v>-7.0000000000000007E-2</v>
          </cell>
        </row>
        <row r="52">
          <cell r="R52" t="str">
            <v>P200002DISO New England I</v>
          </cell>
          <cell r="S52">
            <v>-289577.96000000002</v>
          </cell>
        </row>
        <row r="53">
          <cell r="R53" t="str">
            <v xml:space="preserve">P200002DNew Albany Power </v>
          </cell>
          <cell r="S53">
            <v>-1196747</v>
          </cell>
        </row>
        <row r="54">
          <cell r="R54" t="str">
            <v>P200002DNew England Power</v>
          </cell>
          <cell r="S54">
            <v>0</v>
          </cell>
        </row>
        <row r="55">
          <cell r="R55" t="str">
            <v>P200002DUnited Illuminati</v>
          </cell>
          <cell r="S55">
            <v>0</v>
          </cell>
        </row>
        <row r="56">
          <cell r="R56" t="str">
            <v>P200002FAmerican Electric</v>
          </cell>
          <cell r="S56">
            <v>-0.04</v>
          </cell>
        </row>
        <row r="57">
          <cell r="R57" t="str">
            <v>P200002FAvista Corporatio</v>
          </cell>
          <cell r="S57">
            <v>0</v>
          </cell>
        </row>
        <row r="58">
          <cell r="R58" t="str">
            <v>P200002FDelano Energy Com</v>
          </cell>
          <cell r="S58">
            <v>-0.06</v>
          </cell>
        </row>
        <row r="59">
          <cell r="R59" t="str">
            <v>P200002FDynegy Power Mark</v>
          </cell>
          <cell r="S59">
            <v>-7.0000000000000007E-2</v>
          </cell>
        </row>
        <row r="60">
          <cell r="R60" t="str">
            <v>P200002FNew England Power</v>
          </cell>
          <cell r="S60">
            <v>-0.09</v>
          </cell>
        </row>
        <row r="61">
          <cell r="R61" t="str">
            <v>P200002FTosco Refining Co</v>
          </cell>
          <cell r="S61">
            <v>-0.02</v>
          </cell>
        </row>
        <row r="62">
          <cell r="R62" t="str">
            <v>P200003DDelano Energy Com</v>
          </cell>
          <cell r="S62">
            <v>7440</v>
          </cell>
        </row>
        <row r="63">
          <cell r="R63" t="str">
            <v xml:space="preserve">P200003DEl Paso Electric </v>
          </cell>
          <cell r="S63">
            <v>-0.13</v>
          </cell>
        </row>
        <row r="64">
          <cell r="R64" t="str">
            <v>P200003DISO New England I</v>
          </cell>
          <cell r="S64">
            <v>-83790.100000000006</v>
          </cell>
        </row>
        <row r="65">
          <cell r="R65" t="str">
            <v>P200003DNew England Power</v>
          </cell>
          <cell r="S65">
            <v>0</v>
          </cell>
        </row>
        <row r="66">
          <cell r="R66" t="str">
            <v>P200003FAmerican Electric</v>
          </cell>
          <cell r="S66">
            <v>-0.19</v>
          </cell>
        </row>
        <row r="67">
          <cell r="R67" t="str">
            <v>P200003FDelano Energy Com</v>
          </cell>
          <cell r="S67">
            <v>-7440</v>
          </cell>
        </row>
        <row r="68">
          <cell r="R68" t="str">
            <v>P200003FDynegy Power Mark</v>
          </cell>
          <cell r="S68">
            <v>-0.35</v>
          </cell>
        </row>
        <row r="69">
          <cell r="R69" t="str">
            <v>P200003FNew England Power</v>
          </cell>
          <cell r="S69">
            <v>-0.06</v>
          </cell>
        </row>
        <row r="70">
          <cell r="R70" t="str">
            <v>P200003FTosco Refining Co</v>
          </cell>
          <cell r="S70">
            <v>0</v>
          </cell>
        </row>
        <row r="71">
          <cell r="R71" t="str">
            <v>P200004DAtlantic Richfiel</v>
          </cell>
          <cell r="S71">
            <v>0</v>
          </cell>
        </row>
        <row r="72">
          <cell r="R72" t="str">
            <v xml:space="preserve">P200004DEl Paso Electric </v>
          </cell>
          <cell r="S72">
            <v>307.55</v>
          </cell>
        </row>
        <row r="73">
          <cell r="R73" t="str">
            <v>P200004DLas Vegas Cogener</v>
          </cell>
          <cell r="S73">
            <v>164192.68</v>
          </cell>
        </row>
        <row r="74">
          <cell r="R74" t="str">
            <v>P200004DLos Angeles Dept.</v>
          </cell>
          <cell r="S74">
            <v>10266.64</v>
          </cell>
        </row>
        <row r="75">
          <cell r="R75" t="str">
            <v xml:space="preserve">P200004DNew Albany Power </v>
          </cell>
          <cell r="S75">
            <v>-1029000</v>
          </cell>
        </row>
        <row r="76">
          <cell r="R76" t="str">
            <v>P200004DNew England Power</v>
          </cell>
          <cell r="S76">
            <v>-166902.66</v>
          </cell>
        </row>
        <row r="77">
          <cell r="R77" t="str">
            <v>P200004DPJM Interconnecti</v>
          </cell>
          <cell r="S77">
            <v>0</v>
          </cell>
        </row>
        <row r="78">
          <cell r="R78" t="str">
            <v>P200004DWestern Area Powe</v>
          </cell>
          <cell r="S78">
            <v>0</v>
          </cell>
        </row>
        <row r="79">
          <cell r="R79" t="str">
            <v>P200004FAvista Corporatio</v>
          </cell>
          <cell r="S79">
            <v>-9793.52</v>
          </cell>
        </row>
        <row r="80">
          <cell r="R80" t="str">
            <v>P200004FLas Vegas Cogener</v>
          </cell>
          <cell r="S80">
            <v>-164192.68</v>
          </cell>
        </row>
        <row r="81">
          <cell r="R81" t="str">
            <v>P200004FLos Angeles Dept.</v>
          </cell>
          <cell r="S81">
            <v>-10266.64</v>
          </cell>
        </row>
        <row r="82">
          <cell r="R82" t="str">
            <v>P200005DCanFibre of River</v>
          </cell>
          <cell r="S82">
            <v>0</v>
          </cell>
        </row>
        <row r="83">
          <cell r="R83" t="str">
            <v xml:space="preserve">P200005DEl Paso Electric </v>
          </cell>
          <cell r="S83">
            <v>-0.08</v>
          </cell>
        </row>
        <row r="84">
          <cell r="R84" t="str">
            <v>P200005DLas Vegas Cogener</v>
          </cell>
          <cell r="S84">
            <v>429726.06</v>
          </cell>
        </row>
        <row r="85">
          <cell r="R85" t="str">
            <v>P200005DNew England Power</v>
          </cell>
          <cell r="S85">
            <v>0</v>
          </cell>
        </row>
        <row r="86">
          <cell r="R86" t="str">
            <v>P200005DNew York Independ</v>
          </cell>
          <cell r="S86">
            <v>-9030.7000000000007</v>
          </cell>
        </row>
        <row r="87">
          <cell r="R87" t="str">
            <v>P200005DTosco Refining Co</v>
          </cell>
          <cell r="S87">
            <v>-0.01</v>
          </cell>
        </row>
        <row r="88">
          <cell r="R88" t="str">
            <v>P200005FAvista Corporatio</v>
          </cell>
          <cell r="S88">
            <v>-6296</v>
          </cell>
        </row>
        <row r="89">
          <cell r="R89" t="str">
            <v>P200005FLas Vegas Cogener</v>
          </cell>
          <cell r="S89">
            <v>-429726.06</v>
          </cell>
        </row>
        <row r="90">
          <cell r="R90" t="str">
            <v>P200005FNew England Power</v>
          </cell>
          <cell r="S90">
            <v>-0.03</v>
          </cell>
        </row>
        <row r="91">
          <cell r="R91" t="str">
            <v>P200006DAquila Energy Mar</v>
          </cell>
          <cell r="S91">
            <v>-3693.02</v>
          </cell>
        </row>
        <row r="92">
          <cell r="R92" t="str">
            <v xml:space="preserve">P200006DBonneville Power </v>
          </cell>
          <cell r="S92">
            <v>901.25</v>
          </cell>
        </row>
        <row r="93">
          <cell r="R93" t="str">
            <v xml:space="preserve">P200006DCalifornia Power </v>
          </cell>
          <cell r="S93">
            <v>0</v>
          </cell>
        </row>
        <row r="94">
          <cell r="R94" t="str">
            <v xml:space="preserve">P200006DEl Paso Electric </v>
          </cell>
          <cell r="S94">
            <v>-0.02</v>
          </cell>
        </row>
        <row r="95">
          <cell r="R95" t="str">
            <v>P200006DEnron North Ameri</v>
          </cell>
          <cell r="S95">
            <v>0</v>
          </cell>
        </row>
        <row r="96">
          <cell r="R96" t="str">
            <v>P200006DLas Vegas Cogener</v>
          </cell>
          <cell r="S96">
            <v>0</v>
          </cell>
        </row>
        <row r="97">
          <cell r="R97" t="str">
            <v>P200006DMontana Power Com</v>
          </cell>
          <cell r="S97">
            <v>0</v>
          </cell>
        </row>
        <row r="98">
          <cell r="R98" t="str">
            <v xml:space="preserve">P200006DNew Albany Power </v>
          </cell>
          <cell r="S98">
            <v>-1028245</v>
          </cell>
        </row>
        <row r="99">
          <cell r="R99" t="str">
            <v>P200006DNew England Power</v>
          </cell>
          <cell r="S99">
            <v>0</v>
          </cell>
        </row>
        <row r="100">
          <cell r="R100" t="str">
            <v>P200006DNew York Independ</v>
          </cell>
          <cell r="S100">
            <v>-46682211.829999998</v>
          </cell>
        </row>
        <row r="101">
          <cell r="R101" t="str">
            <v>P200006DPacificorp</v>
          </cell>
          <cell r="S101">
            <v>0</v>
          </cell>
        </row>
        <row r="102">
          <cell r="R102" t="str">
            <v>P200006DPJM Interconnecti</v>
          </cell>
          <cell r="S102">
            <v>-580049.98</v>
          </cell>
        </row>
        <row r="103">
          <cell r="R103" t="str">
            <v xml:space="preserve">P200006DPortland General </v>
          </cell>
          <cell r="S103">
            <v>0</v>
          </cell>
        </row>
        <row r="104">
          <cell r="R104" t="str">
            <v>P200006DPuget Sound Energ</v>
          </cell>
          <cell r="S104">
            <v>0</v>
          </cell>
        </row>
        <row r="105">
          <cell r="R105" t="str">
            <v>P200006DSempra Energy Tra</v>
          </cell>
          <cell r="S105">
            <v>-591.5</v>
          </cell>
        </row>
        <row r="106">
          <cell r="R106" t="str">
            <v>P200006FAquila Energy Mar</v>
          </cell>
          <cell r="S106">
            <v>3693.02</v>
          </cell>
        </row>
        <row r="107">
          <cell r="R107" t="str">
            <v>P200006FAvista Corporatio</v>
          </cell>
          <cell r="S107">
            <v>-1050</v>
          </cell>
        </row>
        <row r="108">
          <cell r="R108" t="str">
            <v>P200006FNew England Power</v>
          </cell>
          <cell r="S108">
            <v>-0.04</v>
          </cell>
        </row>
        <row r="109">
          <cell r="R109" t="str">
            <v>P200006FNew York Independ</v>
          </cell>
          <cell r="S109">
            <v>46682211.829999998</v>
          </cell>
        </row>
        <row r="110">
          <cell r="R110" t="str">
            <v>P200006FPG&amp;E Energy Tradi</v>
          </cell>
          <cell r="S110">
            <v>-0.35</v>
          </cell>
        </row>
        <row r="111">
          <cell r="R111" t="str">
            <v>P200006FSempra Energy Tra</v>
          </cell>
          <cell r="S111">
            <v>591.5</v>
          </cell>
        </row>
        <row r="112">
          <cell r="R112" t="str">
            <v>P200006FTosco Refining Co</v>
          </cell>
          <cell r="S112">
            <v>0</v>
          </cell>
        </row>
        <row r="113">
          <cell r="R113" t="str">
            <v>P200007DCanFibre of River</v>
          </cell>
          <cell r="S113">
            <v>0</v>
          </cell>
        </row>
        <row r="114">
          <cell r="R114" t="str">
            <v>P200007DCity of Tacoma, D</v>
          </cell>
          <cell r="S114">
            <v>55.2</v>
          </cell>
        </row>
        <row r="115">
          <cell r="R115" t="str">
            <v>P200007DDelano Energy Com</v>
          </cell>
          <cell r="S115">
            <v>24672</v>
          </cell>
        </row>
        <row r="116">
          <cell r="R116" t="str">
            <v>P200007DDuke Energy Tradi</v>
          </cell>
          <cell r="S116">
            <v>0</v>
          </cell>
        </row>
        <row r="117">
          <cell r="R117" t="str">
            <v xml:space="preserve">P200007DEl Paso Electric </v>
          </cell>
          <cell r="S117">
            <v>366.15</v>
          </cell>
        </row>
        <row r="118">
          <cell r="R118" t="str">
            <v>P200007DEnron Energy Serv</v>
          </cell>
          <cell r="S118">
            <v>1718400</v>
          </cell>
        </row>
        <row r="119">
          <cell r="R119" t="str">
            <v>P200007DLas Vegas Cogener</v>
          </cell>
          <cell r="S119">
            <v>0</v>
          </cell>
        </row>
        <row r="120">
          <cell r="R120" t="str">
            <v>P200007DLos Angeles Dept.</v>
          </cell>
          <cell r="S120">
            <v>5510929.0300000003</v>
          </cell>
        </row>
        <row r="121">
          <cell r="R121" t="str">
            <v>P200007DMontana Power Com</v>
          </cell>
          <cell r="S121">
            <v>0</v>
          </cell>
        </row>
        <row r="122">
          <cell r="R122" t="str">
            <v xml:space="preserve">P200007DNew Albany Power </v>
          </cell>
          <cell r="S122">
            <v>-1033840</v>
          </cell>
        </row>
        <row r="123">
          <cell r="R123" t="str">
            <v>P200007DNew England Power</v>
          </cell>
          <cell r="S123">
            <v>66856462.909999996</v>
          </cell>
        </row>
        <row r="124">
          <cell r="R124" t="str">
            <v>P200007DNew York Independ</v>
          </cell>
          <cell r="S124">
            <v>1549206.92</v>
          </cell>
        </row>
        <row r="125">
          <cell r="R125" t="str">
            <v>P200007DNSTAR Companies</v>
          </cell>
          <cell r="S125">
            <v>-3651.1</v>
          </cell>
        </row>
        <row r="126">
          <cell r="R126" t="str">
            <v>P200007DPacificorp</v>
          </cell>
          <cell r="S126">
            <v>0</v>
          </cell>
        </row>
        <row r="127">
          <cell r="R127" t="str">
            <v>P200007DPJM Interconnecti</v>
          </cell>
          <cell r="S127">
            <v>303196.73</v>
          </cell>
        </row>
        <row r="128">
          <cell r="R128" t="str">
            <v>P200007DPuget Sound Energ</v>
          </cell>
          <cell r="S128">
            <v>25817756.789999999</v>
          </cell>
        </row>
        <row r="129">
          <cell r="R129" t="str">
            <v>P200007DVirginia Electric</v>
          </cell>
          <cell r="S129">
            <v>184800</v>
          </cell>
        </row>
        <row r="130">
          <cell r="R130" t="str">
            <v>P200007DWillamette Indust</v>
          </cell>
          <cell r="S130">
            <v>0</v>
          </cell>
        </row>
        <row r="131">
          <cell r="R131" t="str">
            <v>P200007FCommonwealth Edis</v>
          </cell>
          <cell r="S131">
            <v>0</v>
          </cell>
        </row>
        <row r="132">
          <cell r="R132" t="str">
            <v>P200007FDelano Energy Com</v>
          </cell>
          <cell r="S132">
            <v>-31556.01</v>
          </cell>
        </row>
        <row r="133">
          <cell r="R133" t="str">
            <v>P200007FDuke Energy Tradi</v>
          </cell>
          <cell r="S133">
            <v>0</v>
          </cell>
        </row>
        <row r="134">
          <cell r="R134" t="str">
            <v>P200007FDynegy Power Mark</v>
          </cell>
          <cell r="S134">
            <v>0</v>
          </cell>
        </row>
        <row r="135">
          <cell r="R135" t="str">
            <v>P200007FLos Angeles Dept.</v>
          </cell>
          <cell r="S135">
            <v>-5510929.0300000003</v>
          </cell>
        </row>
        <row r="136">
          <cell r="R136" t="str">
            <v>P200007FMieco Inc.</v>
          </cell>
          <cell r="S136">
            <v>0</v>
          </cell>
        </row>
        <row r="137">
          <cell r="R137" t="str">
            <v>P200007FNew England Power</v>
          </cell>
          <cell r="S137">
            <v>-66929698.090000004</v>
          </cell>
        </row>
        <row r="138">
          <cell r="R138" t="str">
            <v>P200007FNew York Independ</v>
          </cell>
          <cell r="S138">
            <v>28051518.490000002</v>
          </cell>
        </row>
        <row r="139">
          <cell r="R139" t="str">
            <v>P200007FNSTAR Companies</v>
          </cell>
          <cell r="S139">
            <v>-79.900000000000006</v>
          </cell>
        </row>
        <row r="140">
          <cell r="R140" t="str">
            <v>P200007FPG&amp;E Energy Tradi</v>
          </cell>
          <cell r="S140">
            <v>328092</v>
          </cell>
        </row>
        <row r="141">
          <cell r="R141" t="str">
            <v>P200007FPuget Sound Energ</v>
          </cell>
          <cell r="S141">
            <v>-25817756.789999999</v>
          </cell>
        </row>
        <row r="142">
          <cell r="R142" t="str">
            <v>P200007FTosco Refining Co</v>
          </cell>
          <cell r="S142">
            <v>0</v>
          </cell>
        </row>
        <row r="143">
          <cell r="R143" t="str">
            <v xml:space="preserve">P200008DBonneville Power </v>
          </cell>
          <cell r="S143">
            <v>24944818.719999999</v>
          </cell>
        </row>
        <row r="144">
          <cell r="R144" t="str">
            <v>P200008DBurbank, City Of</v>
          </cell>
          <cell r="S144">
            <v>10000</v>
          </cell>
        </row>
        <row r="145">
          <cell r="R145" t="str">
            <v xml:space="preserve">P200008DCalifornia Power </v>
          </cell>
          <cell r="S145">
            <v>0</v>
          </cell>
        </row>
        <row r="146">
          <cell r="R146" t="str">
            <v xml:space="preserve">P200008DCalifornia Power </v>
          </cell>
          <cell r="S146">
            <v>0</v>
          </cell>
        </row>
        <row r="147">
          <cell r="R147" t="str">
            <v>P200008DCanFibre of River</v>
          </cell>
          <cell r="S147">
            <v>0</v>
          </cell>
        </row>
        <row r="148">
          <cell r="R148" t="str">
            <v>P200008DCity of Colton</v>
          </cell>
          <cell r="S148">
            <v>10080</v>
          </cell>
        </row>
        <row r="149">
          <cell r="R149" t="str">
            <v>P200008DCity of Redding</v>
          </cell>
          <cell r="S149">
            <v>4284094.25</v>
          </cell>
        </row>
        <row r="150">
          <cell r="R150" t="str">
            <v>P200008DCity of Tacoma, D</v>
          </cell>
          <cell r="S150">
            <v>0</v>
          </cell>
        </row>
        <row r="151">
          <cell r="R151" t="str">
            <v>P200008DDelano Energy Com</v>
          </cell>
          <cell r="S151">
            <v>-0.05</v>
          </cell>
        </row>
        <row r="152">
          <cell r="R152" t="str">
            <v>P200008DDynegy Power Mark</v>
          </cell>
          <cell r="S152">
            <v>-532972.04</v>
          </cell>
        </row>
        <row r="153">
          <cell r="R153" t="str">
            <v xml:space="preserve">P200008DEl Paso Electric </v>
          </cell>
          <cell r="S153">
            <v>4900</v>
          </cell>
        </row>
        <row r="154">
          <cell r="R154" t="str">
            <v>P200008DEnron Energy Serv</v>
          </cell>
          <cell r="S154">
            <v>1169152</v>
          </cell>
        </row>
        <row r="155">
          <cell r="R155" t="str">
            <v>P200008DEntergy Power Mar</v>
          </cell>
          <cell r="S155">
            <v>0</v>
          </cell>
        </row>
        <row r="156">
          <cell r="R156" t="str">
            <v>P200008DLas Vegas Cogener</v>
          </cell>
          <cell r="S156">
            <v>0</v>
          </cell>
        </row>
        <row r="157">
          <cell r="R157" t="str">
            <v>P200008DMichigan Electric</v>
          </cell>
          <cell r="S157">
            <v>75164.5</v>
          </cell>
        </row>
        <row r="158">
          <cell r="R158" t="str">
            <v xml:space="preserve">P200008DMinnesota Power, </v>
          </cell>
          <cell r="S158">
            <v>82390</v>
          </cell>
        </row>
        <row r="159">
          <cell r="R159" t="str">
            <v>P200008DMissouri Joint Mu</v>
          </cell>
          <cell r="S159">
            <v>4156</v>
          </cell>
        </row>
        <row r="160">
          <cell r="R160" t="str">
            <v>P200008DNew England Power</v>
          </cell>
          <cell r="S160">
            <v>82310632.520000011</v>
          </cell>
        </row>
        <row r="161">
          <cell r="R161" t="str">
            <v>P200008DNew York Independ</v>
          </cell>
          <cell r="S161">
            <v>0</v>
          </cell>
        </row>
        <row r="162">
          <cell r="R162" t="str">
            <v xml:space="preserve">P200008DOglethorpe Power </v>
          </cell>
          <cell r="S162">
            <v>25956</v>
          </cell>
        </row>
        <row r="163">
          <cell r="R163" t="str">
            <v xml:space="preserve">P200008DOtter Tail Power </v>
          </cell>
          <cell r="S163">
            <v>197417</v>
          </cell>
        </row>
        <row r="164">
          <cell r="R164" t="str">
            <v>P200008DOxy Vinyls LP</v>
          </cell>
          <cell r="S164">
            <v>0</v>
          </cell>
        </row>
        <row r="165">
          <cell r="R165" t="str">
            <v>P200008DPacificorp</v>
          </cell>
          <cell r="S165">
            <v>0</v>
          </cell>
        </row>
        <row r="166">
          <cell r="R166" t="str">
            <v>P200008DPG&amp;E Energy Tradi</v>
          </cell>
          <cell r="S166">
            <v>1906271.2</v>
          </cell>
        </row>
        <row r="167">
          <cell r="R167" t="str">
            <v>P200008DPJM Interconnecti</v>
          </cell>
          <cell r="S167">
            <v>-2790263.72</v>
          </cell>
        </row>
        <row r="168">
          <cell r="R168" t="str">
            <v xml:space="preserve">P200008DPortland General </v>
          </cell>
          <cell r="S168">
            <v>0</v>
          </cell>
        </row>
        <row r="169">
          <cell r="R169" t="str">
            <v>P200008DPublic Service Co</v>
          </cell>
          <cell r="S169">
            <v>22298985.48</v>
          </cell>
        </row>
        <row r="170">
          <cell r="R170" t="str">
            <v>P200008DPuget Sound Energ</v>
          </cell>
          <cell r="S170">
            <v>0</v>
          </cell>
        </row>
        <row r="171">
          <cell r="R171" t="str">
            <v>P200008DSaguaro Power Com</v>
          </cell>
          <cell r="S171">
            <v>539891.51</v>
          </cell>
        </row>
        <row r="172">
          <cell r="R172" t="str">
            <v>P200008DSplit Rock Energy</v>
          </cell>
          <cell r="S172">
            <v>532829</v>
          </cell>
        </row>
        <row r="173">
          <cell r="R173" t="str">
            <v>P200008DUnited Power Asso</v>
          </cell>
          <cell r="S173">
            <v>43476</v>
          </cell>
        </row>
        <row r="174">
          <cell r="R174" t="str">
            <v>P200008DWillamette Indust</v>
          </cell>
          <cell r="S174">
            <v>-0.01</v>
          </cell>
        </row>
        <row r="175">
          <cell r="R175" t="str">
            <v xml:space="preserve">P200008FBonneville Power </v>
          </cell>
          <cell r="S175">
            <v>-24944818.719999999</v>
          </cell>
        </row>
        <row r="176">
          <cell r="R176" t="str">
            <v>P200008FCity of Burbank</v>
          </cell>
          <cell r="S176">
            <v>-10000</v>
          </cell>
        </row>
        <row r="177">
          <cell r="R177" t="str">
            <v>P200008FCity of Colton</v>
          </cell>
          <cell r="S177">
            <v>-10080</v>
          </cell>
        </row>
        <row r="178">
          <cell r="R178" t="str">
            <v>P200008FCity of Redding</v>
          </cell>
          <cell r="S178">
            <v>-4284269.3499999996</v>
          </cell>
        </row>
        <row r="179">
          <cell r="R179" t="str">
            <v>P200008FEdison Mission Ma</v>
          </cell>
          <cell r="S179">
            <v>0</v>
          </cell>
        </row>
        <row r="180">
          <cell r="R180" t="str">
            <v xml:space="preserve">P200008FEl Paso Electric </v>
          </cell>
          <cell r="S180">
            <v>-0.02</v>
          </cell>
        </row>
        <row r="181">
          <cell r="R181" t="str">
            <v>P200008FMichigan Electric</v>
          </cell>
          <cell r="S181">
            <v>-75164.5</v>
          </cell>
        </row>
        <row r="182">
          <cell r="R182" t="str">
            <v>P200008FMissouri Joint Mu</v>
          </cell>
          <cell r="S182">
            <v>-4156</v>
          </cell>
        </row>
        <row r="183">
          <cell r="R183" t="str">
            <v>P200008FNevada Power Comp</v>
          </cell>
          <cell r="S183">
            <v>-1720</v>
          </cell>
        </row>
        <row r="184">
          <cell r="R184" t="str">
            <v>P200008FNew England Power</v>
          </cell>
          <cell r="S184">
            <v>-82422739.109999999</v>
          </cell>
        </row>
        <row r="185">
          <cell r="R185" t="str">
            <v>P200008FNRG Power Marketi</v>
          </cell>
          <cell r="S185">
            <v>0.25</v>
          </cell>
        </row>
        <row r="186">
          <cell r="R186" t="str">
            <v>P200008FNSTAR Companies</v>
          </cell>
          <cell r="S186">
            <v>-101.61</v>
          </cell>
        </row>
        <row r="187">
          <cell r="R187" t="str">
            <v xml:space="preserve">P200008FOglethorpe Power </v>
          </cell>
          <cell r="S187">
            <v>-25956</v>
          </cell>
        </row>
        <row r="188">
          <cell r="R188" t="str">
            <v xml:space="preserve">P200008FOtter Tail Power </v>
          </cell>
          <cell r="S188">
            <v>-197417</v>
          </cell>
        </row>
        <row r="189">
          <cell r="R189" t="str">
            <v>P200008FPublic Service Co</v>
          </cell>
          <cell r="S189">
            <v>-22298985.48</v>
          </cell>
        </row>
        <row r="190">
          <cell r="R190" t="str">
            <v>P200008FSaguaro Power Com</v>
          </cell>
          <cell r="S190">
            <v>-558254.6</v>
          </cell>
        </row>
        <row r="191">
          <cell r="R191" t="str">
            <v>P200008FSplit Rock Energy</v>
          </cell>
          <cell r="S191">
            <v>-670175.07999999996</v>
          </cell>
        </row>
        <row r="192">
          <cell r="R192" t="str">
            <v xml:space="preserve">P200009DAlabama Electric </v>
          </cell>
          <cell r="S192">
            <v>8840</v>
          </cell>
        </row>
        <row r="193">
          <cell r="R193" t="str">
            <v xml:space="preserve">P200009DAllegheny Energy </v>
          </cell>
          <cell r="S193">
            <v>30050021</v>
          </cell>
        </row>
        <row r="194">
          <cell r="R194" t="str">
            <v xml:space="preserve">P200009DAlliant Services </v>
          </cell>
          <cell r="S194">
            <v>20850</v>
          </cell>
        </row>
        <row r="195">
          <cell r="R195" t="str">
            <v>P200009DAlternate Power S</v>
          </cell>
          <cell r="S195">
            <v>265000</v>
          </cell>
        </row>
        <row r="196">
          <cell r="R196" t="str">
            <v>P200009DAmerada Hess Corp</v>
          </cell>
          <cell r="S196">
            <v>24900</v>
          </cell>
        </row>
        <row r="197">
          <cell r="R197" t="str">
            <v>P200009DAmeren Energy, In</v>
          </cell>
          <cell r="S197">
            <v>3033676</v>
          </cell>
        </row>
        <row r="198">
          <cell r="R198" t="str">
            <v>P200009DAmerican Electric</v>
          </cell>
          <cell r="S198">
            <v>386772973.08999997</v>
          </cell>
        </row>
        <row r="199">
          <cell r="R199" t="str">
            <v>P200009DAquila Energy Mar</v>
          </cell>
          <cell r="S199">
            <v>263082900.28</v>
          </cell>
        </row>
        <row r="200">
          <cell r="R200" t="str">
            <v xml:space="preserve">P200009DArizona Electric </v>
          </cell>
          <cell r="S200">
            <v>5700</v>
          </cell>
        </row>
        <row r="201">
          <cell r="R201" t="str">
            <v>P200009DArizona Public Se</v>
          </cell>
          <cell r="S201">
            <v>48.75</v>
          </cell>
        </row>
        <row r="202">
          <cell r="R202" t="str">
            <v>P200009DAssociated Electr</v>
          </cell>
          <cell r="S202">
            <v>59395</v>
          </cell>
        </row>
        <row r="203">
          <cell r="R203" t="str">
            <v>P200009DAtlantic City Ele</v>
          </cell>
          <cell r="S203">
            <v>660800</v>
          </cell>
        </row>
        <row r="204">
          <cell r="R204" t="str">
            <v>P200009DAtlantic Richfiel</v>
          </cell>
          <cell r="S204">
            <v>2055160.53</v>
          </cell>
        </row>
        <row r="205">
          <cell r="R205" t="str">
            <v>P200009DAvista Corporatio</v>
          </cell>
          <cell r="S205">
            <v>-13125</v>
          </cell>
        </row>
        <row r="206">
          <cell r="R206" t="str">
            <v>P200009DAvista Energy, In</v>
          </cell>
          <cell r="S206">
            <v>-2836</v>
          </cell>
        </row>
        <row r="207">
          <cell r="R207" t="str">
            <v xml:space="preserve">P200009DBonneville Power </v>
          </cell>
          <cell r="S207">
            <v>20142786.989999998</v>
          </cell>
        </row>
        <row r="208">
          <cell r="R208" t="str">
            <v>P200009DBP Energy Company</v>
          </cell>
          <cell r="S208">
            <v>40105600</v>
          </cell>
        </row>
        <row r="209">
          <cell r="R209" t="str">
            <v xml:space="preserve">P200009DBritish Columbia </v>
          </cell>
          <cell r="S209">
            <v>29003226.079999998</v>
          </cell>
        </row>
        <row r="210">
          <cell r="R210" t="str">
            <v>P200009DBrownsville Power</v>
          </cell>
          <cell r="S210">
            <v>933961</v>
          </cell>
        </row>
        <row r="211">
          <cell r="R211" t="str">
            <v>P200009DCaledonia Power I</v>
          </cell>
          <cell r="S211">
            <v>1312924</v>
          </cell>
        </row>
        <row r="212">
          <cell r="R212" t="str">
            <v xml:space="preserve">P200009DCalifornia Power </v>
          </cell>
          <cell r="S212">
            <v>-87846.42</v>
          </cell>
        </row>
        <row r="213">
          <cell r="R213" t="str">
            <v xml:space="preserve">P200009DCalifornia Power </v>
          </cell>
          <cell r="S213">
            <v>-279214.17</v>
          </cell>
        </row>
        <row r="214">
          <cell r="R214" t="str">
            <v>P200009DCalpine Power Ser</v>
          </cell>
          <cell r="S214">
            <v>4674700</v>
          </cell>
        </row>
        <row r="215">
          <cell r="R215" t="str">
            <v>P200009DCanFibre of River</v>
          </cell>
          <cell r="S215">
            <v>0</v>
          </cell>
        </row>
        <row r="216">
          <cell r="R216" t="str">
            <v xml:space="preserve">P200009DCargill-Alliant, </v>
          </cell>
          <cell r="S216">
            <v>2582200</v>
          </cell>
        </row>
        <row r="217">
          <cell r="R217" t="str">
            <v xml:space="preserve">P200009DCarolina Power &amp; </v>
          </cell>
          <cell r="S217">
            <v>1970400</v>
          </cell>
        </row>
        <row r="218">
          <cell r="R218" t="str">
            <v>P200009DCinergy Services,</v>
          </cell>
          <cell r="S218">
            <v>41885046.509999998</v>
          </cell>
        </row>
        <row r="219">
          <cell r="R219" t="str">
            <v>P200009DCity of Redding</v>
          </cell>
          <cell r="S219">
            <v>2345140</v>
          </cell>
        </row>
        <row r="220">
          <cell r="R220" t="str">
            <v>P200009DCity of Tacoma, D</v>
          </cell>
          <cell r="S220">
            <v>-64026.96</v>
          </cell>
        </row>
        <row r="221">
          <cell r="R221" t="str">
            <v>P200009DCLECO Corporation</v>
          </cell>
          <cell r="S221">
            <v>892000</v>
          </cell>
        </row>
        <row r="222">
          <cell r="R222" t="str">
            <v>P200009DCLECO Marketing a</v>
          </cell>
          <cell r="S222">
            <v>926400</v>
          </cell>
        </row>
        <row r="223">
          <cell r="R223" t="str">
            <v>P200009DCMS Marketing, Se</v>
          </cell>
          <cell r="S223">
            <v>8497200</v>
          </cell>
        </row>
        <row r="224">
          <cell r="R224" t="str">
            <v xml:space="preserve">P200009DCoastal Merchant </v>
          </cell>
          <cell r="S224">
            <v>858200</v>
          </cell>
        </row>
        <row r="225">
          <cell r="R225" t="str">
            <v>P200009DColorado River Co</v>
          </cell>
          <cell r="S225">
            <v>0</v>
          </cell>
        </row>
        <row r="226">
          <cell r="R226" t="str">
            <v>P200009DConectiv Energy S</v>
          </cell>
          <cell r="S226">
            <v>802800</v>
          </cell>
        </row>
        <row r="227">
          <cell r="R227" t="str">
            <v>P200009DConsolidated Edis</v>
          </cell>
          <cell r="S227">
            <v>40000</v>
          </cell>
        </row>
        <row r="228">
          <cell r="R228" t="str">
            <v>P200009DConstellation Pow</v>
          </cell>
          <cell r="S228">
            <v>190535986.94999999</v>
          </cell>
        </row>
        <row r="229">
          <cell r="R229" t="str">
            <v>P200009DCoral Power, L.L.</v>
          </cell>
          <cell r="S229">
            <v>30151800</v>
          </cell>
        </row>
        <row r="230">
          <cell r="R230" t="str">
            <v xml:space="preserve">P200009DDayton Power and </v>
          </cell>
          <cell r="S230">
            <v>22870.5</v>
          </cell>
        </row>
        <row r="231">
          <cell r="R231" t="str">
            <v>P200009DDelano Energy Com</v>
          </cell>
          <cell r="S231">
            <v>2766850.1</v>
          </cell>
        </row>
        <row r="232">
          <cell r="R232" t="str">
            <v xml:space="preserve">P200009DDelmarva Power &amp; </v>
          </cell>
          <cell r="S232">
            <v>664000</v>
          </cell>
        </row>
        <row r="233">
          <cell r="R233" t="str">
            <v>P200009DDTE Energy Tradin</v>
          </cell>
          <cell r="S233">
            <v>6523900</v>
          </cell>
        </row>
        <row r="234">
          <cell r="R234" t="str">
            <v>P200009DDuke Energy Tradi</v>
          </cell>
          <cell r="S234">
            <v>255068037.55000001</v>
          </cell>
        </row>
        <row r="235">
          <cell r="R235" t="str">
            <v>P200009DDuke Power, a div</v>
          </cell>
          <cell r="S235">
            <v>66560</v>
          </cell>
        </row>
        <row r="236">
          <cell r="R236" t="str">
            <v>P200009DDynegy Power Mark</v>
          </cell>
          <cell r="S236">
            <v>60036237.789999999</v>
          </cell>
        </row>
        <row r="237">
          <cell r="R237" t="str">
            <v>P200009DEast Kentucky Pow</v>
          </cell>
          <cell r="S237">
            <v>361600</v>
          </cell>
        </row>
        <row r="238">
          <cell r="R238" t="str">
            <v>P200009DEdison Mission Ma</v>
          </cell>
          <cell r="S238">
            <v>149993201</v>
          </cell>
        </row>
        <row r="239">
          <cell r="R239" t="str">
            <v xml:space="preserve">P200009DEl Paso Electric </v>
          </cell>
          <cell r="S239">
            <v>-114513.9</v>
          </cell>
        </row>
        <row r="240">
          <cell r="R240" t="str">
            <v xml:space="preserve">P200009DEl Paso Electric </v>
          </cell>
          <cell r="S240">
            <v>-9623.5</v>
          </cell>
        </row>
        <row r="241">
          <cell r="R241" t="str">
            <v xml:space="preserve">P200009DEl Paso Merchant </v>
          </cell>
          <cell r="S241">
            <v>173432312</v>
          </cell>
        </row>
        <row r="242">
          <cell r="R242" t="str">
            <v>P200009DEnron Energy Serv</v>
          </cell>
          <cell r="S242">
            <v>576</v>
          </cell>
        </row>
        <row r="243">
          <cell r="R243" t="str">
            <v>P200009DEntergy Power Mar</v>
          </cell>
          <cell r="S243">
            <v>13003942</v>
          </cell>
        </row>
        <row r="244">
          <cell r="R244" t="str">
            <v>P200009DEugene Water &amp; El</v>
          </cell>
          <cell r="S244">
            <v>259555</v>
          </cell>
        </row>
        <row r="245">
          <cell r="R245" t="str">
            <v>P200009DFirstEnergy Corp.</v>
          </cell>
          <cell r="S245">
            <v>100900</v>
          </cell>
        </row>
        <row r="246">
          <cell r="R246" t="str">
            <v>P200009DFlorida Power &amp; L</v>
          </cell>
          <cell r="S246">
            <v>1845726</v>
          </cell>
        </row>
        <row r="247">
          <cell r="R247" t="str">
            <v>P200009DFlorida Power Cor</v>
          </cell>
          <cell r="S247">
            <v>704000</v>
          </cell>
        </row>
        <row r="248">
          <cell r="R248" t="str">
            <v xml:space="preserve">P200009DFPL Energy Power </v>
          </cell>
          <cell r="S248">
            <v>273800</v>
          </cell>
        </row>
        <row r="249">
          <cell r="R249" t="str">
            <v>P200009DGarland, City Of</v>
          </cell>
          <cell r="S249">
            <v>30250</v>
          </cell>
        </row>
        <row r="250">
          <cell r="R250" t="str">
            <v>P200009DGEN SYS Energy</v>
          </cell>
          <cell r="S250">
            <v>86660</v>
          </cell>
        </row>
        <row r="251">
          <cell r="R251" t="str">
            <v>P200009DGreat Bay Power C</v>
          </cell>
          <cell r="S251">
            <v>2012600</v>
          </cell>
        </row>
        <row r="252">
          <cell r="R252" t="str">
            <v>P200009DGriffin Energy Ma</v>
          </cell>
          <cell r="S252">
            <v>380000</v>
          </cell>
        </row>
        <row r="253">
          <cell r="R253" t="str">
            <v>P200009DHarbor Cogenerati</v>
          </cell>
          <cell r="S253">
            <v>2843548.86</v>
          </cell>
        </row>
        <row r="254">
          <cell r="R254" t="str">
            <v>P200009DHQ Energy Service</v>
          </cell>
          <cell r="S254">
            <v>17847130</v>
          </cell>
        </row>
        <row r="255">
          <cell r="R255" t="str">
            <v>P200009DIdaho Power Compa</v>
          </cell>
          <cell r="S255">
            <v>-124800</v>
          </cell>
        </row>
        <row r="256">
          <cell r="R256" t="str">
            <v>P200009DIndiana Municipal</v>
          </cell>
          <cell r="S256">
            <v>45200</v>
          </cell>
        </row>
        <row r="257">
          <cell r="R257" t="str">
            <v>P200009DIndianapolis Powe</v>
          </cell>
          <cell r="S257">
            <v>135516</v>
          </cell>
        </row>
        <row r="258">
          <cell r="R258" t="str">
            <v>P200009DJacksonville Elec</v>
          </cell>
          <cell r="S258">
            <v>723529.5</v>
          </cell>
        </row>
        <row r="259">
          <cell r="R259" t="str">
            <v>P200009DKansas City Power</v>
          </cell>
          <cell r="S259">
            <v>3200</v>
          </cell>
        </row>
        <row r="260">
          <cell r="R260" t="str">
            <v>P200009DKoch Energy Tradi</v>
          </cell>
          <cell r="S260">
            <v>61660900</v>
          </cell>
        </row>
        <row r="261">
          <cell r="R261" t="str">
            <v>P200009DLas Vegas Cogener</v>
          </cell>
          <cell r="S261">
            <v>914067.67</v>
          </cell>
        </row>
        <row r="262">
          <cell r="R262" t="str">
            <v>P200009DLG&amp;E Energy Marke</v>
          </cell>
          <cell r="S262">
            <v>1736000</v>
          </cell>
        </row>
        <row r="263">
          <cell r="R263" t="str">
            <v>P200009DLos Angeles Dept.</v>
          </cell>
          <cell r="S263">
            <v>2013284</v>
          </cell>
        </row>
        <row r="264">
          <cell r="R264" t="str">
            <v>P200009DLouisiana Generat</v>
          </cell>
          <cell r="S264">
            <v>3250</v>
          </cell>
        </row>
        <row r="265">
          <cell r="R265" t="str">
            <v>P200009DLower Colorado Ri</v>
          </cell>
          <cell r="S265">
            <v>0</v>
          </cell>
        </row>
        <row r="266">
          <cell r="R266" t="str">
            <v>P200009DMerchant Energy G</v>
          </cell>
          <cell r="S266">
            <v>22628150</v>
          </cell>
        </row>
        <row r="267">
          <cell r="R267" t="str">
            <v>P200009DMerrill Lynch Cap</v>
          </cell>
          <cell r="S267">
            <v>53250881.140000001</v>
          </cell>
        </row>
        <row r="268">
          <cell r="R268" t="str">
            <v>P200009DMichigan Electric</v>
          </cell>
          <cell r="S268">
            <v>33773</v>
          </cell>
        </row>
        <row r="269">
          <cell r="R269" t="str">
            <v>P200009DMidAmerican Energ</v>
          </cell>
          <cell r="S269">
            <v>596842.5</v>
          </cell>
        </row>
        <row r="270">
          <cell r="R270" t="str">
            <v>P200009DMieco Inc.</v>
          </cell>
          <cell r="S270">
            <v>68190678.120000005</v>
          </cell>
        </row>
        <row r="271">
          <cell r="R271" t="str">
            <v>P200009DMinnesota Municip</v>
          </cell>
          <cell r="S271">
            <v>304837.5</v>
          </cell>
        </row>
        <row r="272">
          <cell r="R272" t="str">
            <v>P200009DMontana Power Com</v>
          </cell>
          <cell r="S272">
            <v>3096693.15</v>
          </cell>
        </row>
        <row r="273">
          <cell r="R273" t="str">
            <v>P200009DMorgan Stanley Ca</v>
          </cell>
          <cell r="S273">
            <v>20226000</v>
          </cell>
        </row>
        <row r="274">
          <cell r="R274" t="str">
            <v>P200009DNevada Power Comp</v>
          </cell>
          <cell r="S274">
            <v>3777201.36</v>
          </cell>
        </row>
        <row r="275">
          <cell r="R275" t="str">
            <v xml:space="preserve">P200009DNew Albany Power </v>
          </cell>
          <cell r="S275">
            <v>355586</v>
          </cell>
        </row>
        <row r="276">
          <cell r="R276" t="str">
            <v>P200009DNew England Power</v>
          </cell>
          <cell r="S276">
            <v>63642935.660000004</v>
          </cell>
        </row>
        <row r="277">
          <cell r="R277" t="str">
            <v>P200009DNew York Independ</v>
          </cell>
          <cell r="S277">
            <v>0</v>
          </cell>
        </row>
        <row r="278">
          <cell r="R278" t="str">
            <v>P200009DNiagara Mohawk En</v>
          </cell>
          <cell r="S278">
            <v>4840</v>
          </cell>
        </row>
        <row r="279">
          <cell r="R279" t="str">
            <v>P200009DNortheast Utiliti</v>
          </cell>
          <cell r="S279">
            <v>496780</v>
          </cell>
        </row>
        <row r="280">
          <cell r="R280" t="str">
            <v>P200009DNorthern States P</v>
          </cell>
          <cell r="S280">
            <v>1432372</v>
          </cell>
        </row>
        <row r="281">
          <cell r="R281" t="str">
            <v>P200009DNRG Power Marketi</v>
          </cell>
          <cell r="S281">
            <v>895850</v>
          </cell>
        </row>
        <row r="282">
          <cell r="R282" t="str">
            <v>P200009DNSTAR Companies</v>
          </cell>
          <cell r="S282">
            <v>46606.57</v>
          </cell>
        </row>
        <row r="283">
          <cell r="R283" t="str">
            <v>P200009DOGE Energy Resour</v>
          </cell>
          <cell r="S283">
            <v>2156000</v>
          </cell>
        </row>
        <row r="284">
          <cell r="R284" t="str">
            <v xml:space="preserve">P200009DOglethorpe Power </v>
          </cell>
          <cell r="S284">
            <v>145856</v>
          </cell>
        </row>
        <row r="285">
          <cell r="R285" t="str">
            <v xml:space="preserve">P200009DOtter Tail Power </v>
          </cell>
          <cell r="S285">
            <v>209025</v>
          </cell>
        </row>
        <row r="286">
          <cell r="R286" t="str">
            <v>P200009DOxy Vinyls LP</v>
          </cell>
          <cell r="S286">
            <v>0</v>
          </cell>
        </row>
        <row r="287">
          <cell r="R287" t="str">
            <v>P200009DPacific Northwest</v>
          </cell>
          <cell r="S287">
            <v>0</v>
          </cell>
        </row>
        <row r="288">
          <cell r="R288" t="str">
            <v>P200009DPacificorp</v>
          </cell>
          <cell r="S288">
            <v>-121615</v>
          </cell>
        </row>
        <row r="289">
          <cell r="R289" t="str">
            <v xml:space="preserve">P200009DPacifiCorp Power </v>
          </cell>
          <cell r="S289">
            <v>14359100</v>
          </cell>
        </row>
        <row r="290">
          <cell r="R290" t="str">
            <v>P200009DPeco Energy Compa</v>
          </cell>
          <cell r="S290">
            <v>3530940</v>
          </cell>
        </row>
        <row r="291">
          <cell r="R291" t="str">
            <v>P200009DPG&amp;E Energy Tradi</v>
          </cell>
          <cell r="S291">
            <v>97560246.439999998</v>
          </cell>
        </row>
        <row r="292">
          <cell r="R292" t="str">
            <v>P200009DPJM Interconnecti</v>
          </cell>
          <cell r="S292">
            <v>-188034.69</v>
          </cell>
        </row>
        <row r="293">
          <cell r="R293" t="str">
            <v xml:space="preserve">P200009DPortland General </v>
          </cell>
          <cell r="S293">
            <v>-13432.66</v>
          </cell>
        </row>
        <row r="294">
          <cell r="R294" t="str">
            <v>P200009DPower Resources M</v>
          </cell>
          <cell r="S294">
            <v>108800</v>
          </cell>
        </row>
        <row r="295">
          <cell r="R295" t="str">
            <v>P200009DPPL EnergyPlus, L</v>
          </cell>
          <cell r="S295">
            <v>7285680</v>
          </cell>
        </row>
        <row r="296">
          <cell r="R296" t="str">
            <v>P200009DPSEG Energy Resou</v>
          </cell>
          <cell r="S296">
            <v>428400</v>
          </cell>
        </row>
        <row r="297">
          <cell r="R297" t="str">
            <v>P200009DPublic Service Co</v>
          </cell>
          <cell r="S297">
            <v>29480360</v>
          </cell>
        </row>
        <row r="298">
          <cell r="R298" t="str">
            <v>P200009DPublic Service Co</v>
          </cell>
          <cell r="S298">
            <v>9336340</v>
          </cell>
        </row>
        <row r="299">
          <cell r="R299" t="str">
            <v>P200009DPublic Service El</v>
          </cell>
          <cell r="S299">
            <v>13885200</v>
          </cell>
        </row>
        <row r="300">
          <cell r="R300" t="str">
            <v>P200009DPublic Utility Di</v>
          </cell>
          <cell r="S300">
            <v>3181200</v>
          </cell>
        </row>
        <row r="301">
          <cell r="R301" t="str">
            <v>P200009DPublic Utility Di</v>
          </cell>
          <cell r="S301">
            <v>1010700</v>
          </cell>
        </row>
        <row r="302">
          <cell r="R302" t="str">
            <v>P200009DPublic Utility Di</v>
          </cell>
          <cell r="S302">
            <v>0</v>
          </cell>
        </row>
        <row r="303">
          <cell r="R303" t="str">
            <v>P200009DPublic Utility Di</v>
          </cell>
          <cell r="S303">
            <v>-51200</v>
          </cell>
        </row>
        <row r="304">
          <cell r="R304" t="str">
            <v>P200009DPUD No. 1 of Gray</v>
          </cell>
          <cell r="S304">
            <v>0</v>
          </cell>
        </row>
        <row r="305">
          <cell r="R305" t="str">
            <v>P200009DRainbow Energy Ma</v>
          </cell>
          <cell r="S305">
            <v>22400</v>
          </cell>
        </row>
        <row r="306">
          <cell r="R306" t="str">
            <v>P200009DReliant Energy Se</v>
          </cell>
          <cell r="S306">
            <v>151061292.08000001</v>
          </cell>
        </row>
        <row r="307">
          <cell r="R307" t="str">
            <v>P200009DSacramento Munici</v>
          </cell>
          <cell r="S307">
            <v>25500</v>
          </cell>
        </row>
        <row r="308">
          <cell r="R308" t="str">
            <v>P200009DSaguaro Power Com</v>
          </cell>
          <cell r="S308">
            <v>326859</v>
          </cell>
        </row>
        <row r="309">
          <cell r="R309" t="str">
            <v>P200009DSalt River Projec</v>
          </cell>
          <cell r="S309">
            <v>4980035</v>
          </cell>
        </row>
        <row r="310">
          <cell r="R310" t="str">
            <v>P200009DSaskatchewan Powe</v>
          </cell>
          <cell r="S310">
            <v>6125</v>
          </cell>
        </row>
        <row r="311">
          <cell r="R311" t="str">
            <v>P200009DSeattle City Ligh</v>
          </cell>
          <cell r="S311">
            <v>329600</v>
          </cell>
        </row>
        <row r="312">
          <cell r="R312" t="str">
            <v>P200009DSempra Energy Tra</v>
          </cell>
          <cell r="S312">
            <v>126074800</v>
          </cell>
        </row>
        <row r="313">
          <cell r="R313" t="str">
            <v>P200009DSierra Pacific Po</v>
          </cell>
          <cell r="S313">
            <v>6603952</v>
          </cell>
        </row>
        <row r="314">
          <cell r="R314" t="str">
            <v>P200009DSouth Carolina El</v>
          </cell>
          <cell r="S314">
            <v>16884.46</v>
          </cell>
        </row>
        <row r="315">
          <cell r="R315" t="str">
            <v xml:space="preserve">P200009DSouthern Company </v>
          </cell>
          <cell r="S315">
            <v>218916638.5</v>
          </cell>
        </row>
        <row r="316">
          <cell r="R316" t="str">
            <v xml:space="preserve">P200009DSouthern Company </v>
          </cell>
          <cell r="S316">
            <v>81190.5</v>
          </cell>
        </row>
        <row r="317">
          <cell r="R317" t="str">
            <v xml:space="preserve">P200009DSouthern Indiana </v>
          </cell>
          <cell r="S317">
            <v>464045.25</v>
          </cell>
        </row>
        <row r="318">
          <cell r="R318" t="str">
            <v>P200009DSplit Rock Energy</v>
          </cell>
          <cell r="S318">
            <v>337550</v>
          </cell>
        </row>
        <row r="319">
          <cell r="R319" t="str">
            <v>P200009DTenaska Power Ser</v>
          </cell>
          <cell r="S319">
            <v>252850</v>
          </cell>
        </row>
        <row r="320">
          <cell r="R320" t="str">
            <v xml:space="preserve">P200009DTexas-New Mexico </v>
          </cell>
          <cell r="S320">
            <v>65750</v>
          </cell>
        </row>
        <row r="321">
          <cell r="R321" t="str">
            <v>P200009DThe City of Azusa</v>
          </cell>
          <cell r="S321">
            <v>0</v>
          </cell>
        </row>
        <row r="322">
          <cell r="R322" t="str">
            <v>P200009DThe Manitoba Hydr</v>
          </cell>
          <cell r="S322">
            <v>1301341</v>
          </cell>
        </row>
        <row r="323">
          <cell r="R323" t="str">
            <v>P200009DThe New Power Com</v>
          </cell>
          <cell r="S323">
            <v>225920</v>
          </cell>
        </row>
        <row r="324">
          <cell r="R324" t="str">
            <v>P200009DTosco Refining Co</v>
          </cell>
          <cell r="S324">
            <v>1512241.78</v>
          </cell>
        </row>
        <row r="325">
          <cell r="R325" t="str">
            <v xml:space="preserve">P200009DTractebel Energy </v>
          </cell>
          <cell r="S325">
            <v>86008300</v>
          </cell>
        </row>
        <row r="326">
          <cell r="R326" t="str">
            <v xml:space="preserve">P200009DTransAlta Energy </v>
          </cell>
          <cell r="S326">
            <v>28536284</v>
          </cell>
        </row>
        <row r="327">
          <cell r="R327" t="str">
            <v>P200009DTranscanada Power</v>
          </cell>
          <cell r="S327">
            <v>386000</v>
          </cell>
        </row>
        <row r="328">
          <cell r="R328" t="str">
            <v>P200009DTransCanada Power</v>
          </cell>
          <cell r="S328">
            <v>3695000</v>
          </cell>
        </row>
        <row r="329">
          <cell r="R329" t="str">
            <v>P200009DTri-State Generat</v>
          </cell>
          <cell r="S329">
            <v>250760</v>
          </cell>
        </row>
        <row r="330">
          <cell r="R330" t="str">
            <v>P200009DUnited Illuminati</v>
          </cell>
          <cell r="S330">
            <v>-11510.4</v>
          </cell>
        </row>
        <row r="331">
          <cell r="R331" t="str">
            <v>P200009DUnited Power Asso</v>
          </cell>
          <cell r="S331">
            <v>5370</v>
          </cell>
        </row>
        <row r="332">
          <cell r="R332" t="str">
            <v>P200009DValley Electric A</v>
          </cell>
          <cell r="S332">
            <v>925022.86</v>
          </cell>
        </row>
        <row r="333">
          <cell r="R333" t="str">
            <v>P200009DVirginia Electric</v>
          </cell>
          <cell r="S333">
            <v>23699033.5</v>
          </cell>
        </row>
        <row r="334">
          <cell r="R334" t="str">
            <v>P200009DWabash Valley Pow</v>
          </cell>
          <cell r="S334">
            <v>436800</v>
          </cell>
        </row>
        <row r="335">
          <cell r="R335" t="str">
            <v>P200009DWestern Area Powe</v>
          </cell>
          <cell r="S335">
            <v>0</v>
          </cell>
        </row>
        <row r="336">
          <cell r="R336" t="str">
            <v>P200009DWestern Area Powe</v>
          </cell>
          <cell r="S336">
            <v>101050</v>
          </cell>
        </row>
        <row r="337">
          <cell r="R337" t="str">
            <v>P200009DWestern Farmers E</v>
          </cell>
          <cell r="S337">
            <v>8385</v>
          </cell>
        </row>
        <row r="338">
          <cell r="R338" t="str">
            <v>P200009DWestern Resources</v>
          </cell>
          <cell r="S338">
            <v>12324800</v>
          </cell>
        </row>
        <row r="339">
          <cell r="R339" t="str">
            <v>P200009DWheelabrator Mart</v>
          </cell>
          <cell r="S339">
            <v>874510.58</v>
          </cell>
        </row>
        <row r="340">
          <cell r="R340" t="str">
            <v>P200009DWillamette Indust</v>
          </cell>
          <cell r="S340">
            <v>527813.86</v>
          </cell>
        </row>
        <row r="341">
          <cell r="R341" t="str">
            <v>P200009DWilliams Energy M</v>
          </cell>
          <cell r="S341">
            <v>107360261.5</v>
          </cell>
        </row>
        <row r="342">
          <cell r="R342" t="str">
            <v>P200009DWisconsin Electri</v>
          </cell>
          <cell r="S342">
            <v>15600</v>
          </cell>
        </row>
        <row r="343">
          <cell r="R343" t="str">
            <v xml:space="preserve">P200009DWisconsin Public </v>
          </cell>
          <cell r="S343">
            <v>73320</v>
          </cell>
        </row>
        <row r="344">
          <cell r="R344" t="str">
            <v>P200009DWPS Energy Servic</v>
          </cell>
          <cell r="S344">
            <v>221000</v>
          </cell>
        </row>
        <row r="345">
          <cell r="R345" t="str">
            <v xml:space="preserve">P200009FAlabama Electric </v>
          </cell>
          <cell r="S345">
            <v>-8840</v>
          </cell>
        </row>
        <row r="346">
          <cell r="R346" t="str">
            <v xml:space="preserve">P200009FAllegheny Energy </v>
          </cell>
          <cell r="S346">
            <v>-30050021</v>
          </cell>
        </row>
        <row r="347">
          <cell r="R347" t="str">
            <v>P200009FAlliant Energy Co</v>
          </cell>
          <cell r="S347">
            <v>-20850</v>
          </cell>
        </row>
        <row r="348">
          <cell r="R348" t="str">
            <v>P200009FAlternate Power S</v>
          </cell>
          <cell r="S348">
            <v>-265000</v>
          </cell>
        </row>
        <row r="349">
          <cell r="R349" t="str">
            <v>P200009FAmerada Hess Corp</v>
          </cell>
          <cell r="S349">
            <v>-24900</v>
          </cell>
        </row>
        <row r="350">
          <cell r="R350" t="str">
            <v>P200009FAmeren Energy, In</v>
          </cell>
          <cell r="S350">
            <v>-3034995.5</v>
          </cell>
        </row>
        <row r="351">
          <cell r="R351" t="str">
            <v>P200009FAmerican Electric</v>
          </cell>
          <cell r="S351">
            <v>-386773107.08999997</v>
          </cell>
        </row>
        <row r="352">
          <cell r="R352" t="str">
            <v>P200009FAquila Energy Mar</v>
          </cell>
          <cell r="S352">
            <v>-263100360.94999999</v>
          </cell>
        </row>
        <row r="353">
          <cell r="R353" t="str">
            <v xml:space="preserve">P200009FArizona Electric </v>
          </cell>
          <cell r="S353">
            <v>-5700</v>
          </cell>
        </row>
        <row r="354">
          <cell r="R354" t="str">
            <v>P200009FArizona Public Se</v>
          </cell>
          <cell r="S354">
            <v>-48.75</v>
          </cell>
        </row>
        <row r="355">
          <cell r="R355" t="str">
            <v>P200009FAssociated Electr</v>
          </cell>
          <cell r="S355">
            <v>-59395</v>
          </cell>
        </row>
        <row r="356">
          <cell r="R356" t="str">
            <v>P200009FAtlantic City Ele</v>
          </cell>
          <cell r="S356">
            <v>-660800</v>
          </cell>
        </row>
        <row r="357">
          <cell r="R357" t="str">
            <v>P200009FAtlantic Richfiel</v>
          </cell>
          <cell r="S357">
            <v>-2114197.41</v>
          </cell>
        </row>
        <row r="358">
          <cell r="R358" t="str">
            <v xml:space="preserve">P200009FBonneville Power </v>
          </cell>
          <cell r="S358">
            <v>-20142786.989999998</v>
          </cell>
        </row>
        <row r="359">
          <cell r="R359" t="str">
            <v>P200009FBP Energy Company</v>
          </cell>
          <cell r="S359">
            <v>-40105600</v>
          </cell>
        </row>
        <row r="360">
          <cell r="R360" t="str">
            <v>P200009FCalpine Power Ser</v>
          </cell>
          <cell r="S360">
            <v>-4674700</v>
          </cell>
        </row>
        <row r="361">
          <cell r="R361" t="str">
            <v xml:space="preserve">P200009FCargill-Alliant, </v>
          </cell>
          <cell r="S361">
            <v>-2582200</v>
          </cell>
        </row>
        <row r="362">
          <cell r="R362" t="str">
            <v xml:space="preserve">P200009FCarolina Power &amp; </v>
          </cell>
          <cell r="S362">
            <v>-1970400</v>
          </cell>
        </row>
        <row r="363">
          <cell r="R363" t="str">
            <v xml:space="preserve">P200009FCentral Illinois </v>
          </cell>
          <cell r="S363">
            <v>-1500</v>
          </cell>
        </row>
        <row r="364">
          <cell r="R364" t="str">
            <v>P200009FCinergy Services,</v>
          </cell>
          <cell r="S364">
            <v>-41954780.509999998</v>
          </cell>
        </row>
        <row r="365">
          <cell r="R365" t="str">
            <v>P200009FCity of Redding</v>
          </cell>
          <cell r="S365">
            <v>-2345140</v>
          </cell>
        </row>
        <row r="366">
          <cell r="R366" t="str">
            <v>P200009FCity of Richland</v>
          </cell>
          <cell r="S366">
            <v>-21120</v>
          </cell>
        </row>
        <row r="367">
          <cell r="R367" t="str">
            <v>P200009FCLECO Corporation</v>
          </cell>
          <cell r="S367">
            <v>-892000</v>
          </cell>
        </row>
        <row r="368">
          <cell r="R368" t="str">
            <v>P200009FCLECO Marketing a</v>
          </cell>
          <cell r="S368">
            <v>-926400</v>
          </cell>
        </row>
        <row r="369">
          <cell r="R369" t="str">
            <v>P200009FCMS Marketing, Se</v>
          </cell>
          <cell r="S369">
            <v>-8497200</v>
          </cell>
        </row>
        <row r="370">
          <cell r="R370" t="str">
            <v xml:space="preserve">P200009FCoastal Merchant </v>
          </cell>
          <cell r="S370">
            <v>-858200</v>
          </cell>
        </row>
        <row r="371">
          <cell r="R371" t="str">
            <v>P200009FConectiv Energy S</v>
          </cell>
          <cell r="S371">
            <v>-802800</v>
          </cell>
        </row>
        <row r="372">
          <cell r="R372" t="str">
            <v>P200009FConnecticut Munic</v>
          </cell>
          <cell r="S372">
            <v>-4840</v>
          </cell>
        </row>
        <row r="373">
          <cell r="R373" t="str">
            <v>P200009FConsolidated Edis</v>
          </cell>
          <cell r="S373">
            <v>-40000</v>
          </cell>
        </row>
        <row r="374">
          <cell r="R374" t="str">
            <v>P200009FConstellation Pow</v>
          </cell>
          <cell r="S374">
            <v>-190535986.94999999</v>
          </cell>
        </row>
        <row r="375">
          <cell r="R375" t="str">
            <v>P200009FCoral Power, L.L.</v>
          </cell>
          <cell r="S375">
            <v>-30333200</v>
          </cell>
        </row>
        <row r="376">
          <cell r="R376" t="str">
            <v xml:space="preserve">P200009FDayton Power and </v>
          </cell>
          <cell r="S376">
            <v>-31195.5</v>
          </cell>
        </row>
        <row r="377">
          <cell r="R377" t="str">
            <v>P200009FDelano Energy Com</v>
          </cell>
          <cell r="S377">
            <v>-2820205.68</v>
          </cell>
        </row>
        <row r="378">
          <cell r="R378" t="str">
            <v xml:space="preserve">P200009FDelmarva Power &amp; </v>
          </cell>
          <cell r="S378">
            <v>-664000</v>
          </cell>
        </row>
        <row r="379">
          <cell r="R379" t="str">
            <v>P200009FDTE Energy Tradin</v>
          </cell>
          <cell r="S379">
            <v>-6523900</v>
          </cell>
        </row>
        <row r="380">
          <cell r="R380" t="str">
            <v>P200009FDuke Energy Tradi</v>
          </cell>
          <cell r="S380">
            <v>-255052965.55000001</v>
          </cell>
        </row>
        <row r="381">
          <cell r="R381" t="str">
            <v>P200009FDuke Power, a div</v>
          </cell>
          <cell r="S381">
            <v>-78432</v>
          </cell>
        </row>
        <row r="382">
          <cell r="R382" t="str">
            <v>P200009FDynegy Power Mark</v>
          </cell>
          <cell r="S382">
            <v>-60070684.600000001</v>
          </cell>
        </row>
        <row r="383">
          <cell r="R383" t="str">
            <v>P200009FEast Kentucky Pow</v>
          </cell>
          <cell r="S383">
            <v>-361600</v>
          </cell>
        </row>
        <row r="384">
          <cell r="R384" t="str">
            <v>P200009FEdison Mission Ma</v>
          </cell>
          <cell r="S384">
            <v>-149993201</v>
          </cell>
        </row>
        <row r="385">
          <cell r="R385" t="str">
            <v xml:space="preserve">P200009FEl Paso Merchant </v>
          </cell>
          <cell r="S385">
            <v>-173430782</v>
          </cell>
        </row>
        <row r="386">
          <cell r="R386" t="str">
            <v>P200009FEntergy Power Mar</v>
          </cell>
          <cell r="S386">
            <v>-13007542</v>
          </cell>
        </row>
        <row r="387">
          <cell r="R387" t="str">
            <v>P200009FEugene Water &amp; El</v>
          </cell>
          <cell r="S387">
            <v>-259555</v>
          </cell>
        </row>
        <row r="388">
          <cell r="R388" t="str">
            <v>P200009FFirstEnergy Corp.</v>
          </cell>
          <cell r="S388">
            <v>-100900</v>
          </cell>
        </row>
        <row r="389">
          <cell r="R389" t="str">
            <v>P200009FFlorida Power &amp; L</v>
          </cell>
          <cell r="S389">
            <v>-1861666.38</v>
          </cell>
        </row>
        <row r="390">
          <cell r="R390" t="str">
            <v>P200009FFlorida Power Cor</v>
          </cell>
          <cell r="S390">
            <v>-704000</v>
          </cell>
        </row>
        <row r="391">
          <cell r="R391" t="str">
            <v xml:space="preserve">P200009FFPL Energy Power </v>
          </cell>
          <cell r="S391">
            <v>-273800</v>
          </cell>
        </row>
        <row r="392">
          <cell r="R392" t="str">
            <v>P200009FGarland, City Of</v>
          </cell>
          <cell r="S392">
            <v>-30250</v>
          </cell>
        </row>
        <row r="393">
          <cell r="R393" t="str">
            <v>P200009FGEN SYS Energy</v>
          </cell>
          <cell r="S393">
            <v>-86660</v>
          </cell>
        </row>
        <row r="394">
          <cell r="R394" t="str">
            <v>P200009FGreat Bay Power C</v>
          </cell>
          <cell r="S394">
            <v>-2012600</v>
          </cell>
        </row>
        <row r="395">
          <cell r="R395" t="str">
            <v>P200009FGriffin Energy Ma</v>
          </cell>
          <cell r="S395">
            <v>-380000</v>
          </cell>
        </row>
        <row r="396">
          <cell r="R396" t="str">
            <v>P200009FHarbor Cogenerati</v>
          </cell>
          <cell r="S396">
            <v>-2892026.86</v>
          </cell>
        </row>
        <row r="397">
          <cell r="R397" t="str">
            <v>P200009FHQ Energy Service</v>
          </cell>
          <cell r="S397">
            <v>-17847130</v>
          </cell>
        </row>
        <row r="398">
          <cell r="R398" t="str">
            <v>P200009FIndiana Municipal</v>
          </cell>
          <cell r="S398">
            <v>-45200</v>
          </cell>
        </row>
        <row r="399">
          <cell r="R399" t="str">
            <v>P200009FIndianapolis Powe</v>
          </cell>
          <cell r="S399">
            <v>-135516</v>
          </cell>
        </row>
        <row r="400">
          <cell r="R400" t="str">
            <v>P200009FJacksonville Elec</v>
          </cell>
          <cell r="S400">
            <v>-21081.83</v>
          </cell>
        </row>
        <row r="401">
          <cell r="R401" t="str">
            <v>P200009FKansas City Power</v>
          </cell>
          <cell r="S401">
            <v>-3200</v>
          </cell>
        </row>
        <row r="402">
          <cell r="R402" t="str">
            <v>P200009FKoch Energy Tradi</v>
          </cell>
          <cell r="S402">
            <v>-61660900</v>
          </cell>
        </row>
        <row r="403">
          <cell r="R403" t="str">
            <v>P200009FLas Vegas Cogener</v>
          </cell>
          <cell r="S403">
            <v>-972518.24</v>
          </cell>
        </row>
        <row r="404">
          <cell r="R404" t="str">
            <v>P200009FLG&amp;E Energy Marke</v>
          </cell>
          <cell r="S404">
            <v>-1736000</v>
          </cell>
        </row>
        <row r="405">
          <cell r="R405" t="str">
            <v>P200009FLos Angeles Dept.</v>
          </cell>
          <cell r="S405">
            <v>-2013284</v>
          </cell>
        </row>
        <row r="406">
          <cell r="R406" t="str">
            <v>P200009FMerchant Energy G</v>
          </cell>
          <cell r="S406">
            <v>-22628150</v>
          </cell>
        </row>
        <row r="407">
          <cell r="R407" t="str">
            <v>P200009FMerrill Lynch Cap</v>
          </cell>
          <cell r="S407">
            <v>-53250881.140000001</v>
          </cell>
        </row>
        <row r="408">
          <cell r="R408" t="str">
            <v>P200009FMichigan Electric</v>
          </cell>
          <cell r="S408">
            <v>-33773</v>
          </cell>
        </row>
        <row r="409">
          <cell r="R409" t="str">
            <v>P200009FMidAmerican Energ</v>
          </cell>
          <cell r="S409">
            <v>-596590</v>
          </cell>
        </row>
        <row r="410">
          <cell r="R410" t="str">
            <v>P200009FMieco Inc.</v>
          </cell>
          <cell r="S410">
            <v>-68196335</v>
          </cell>
        </row>
        <row r="411">
          <cell r="R411" t="str">
            <v>P200009FMinnesota Municip</v>
          </cell>
          <cell r="S411">
            <v>-304527.5</v>
          </cell>
        </row>
        <row r="412">
          <cell r="R412" t="str">
            <v>P200009FMontana Power Com</v>
          </cell>
          <cell r="S412">
            <v>-3098136.35</v>
          </cell>
        </row>
        <row r="413">
          <cell r="R413" t="str">
            <v>P200009FMorgan Stanley Ca</v>
          </cell>
          <cell r="S413">
            <v>-20226000</v>
          </cell>
        </row>
        <row r="414">
          <cell r="R414" t="str">
            <v>P200009FNevada Power Comp</v>
          </cell>
          <cell r="S414">
            <v>-3713110</v>
          </cell>
        </row>
        <row r="415">
          <cell r="R415" t="str">
            <v>P200009FNew England Power</v>
          </cell>
          <cell r="S415">
            <v>-66059518.449999996</v>
          </cell>
        </row>
        <row r="416">
          <cell r="R416" t="str">
            <v>P200009FNiagara Mohawk En</v>
          </cell>
          <cell r="S416">
            <v>-4840</v>
          </cell>
        </row>
        <row r="417">
          <cell r="R417" t="str">
            <v>P200009FNortheast Utiliti</v>
          </cell>
          <cell r="S417">
            <v>-496780</v>
          </cell>
        </row>
        <row r="418">
          <cell r="R418" t="str">
            <v>P200009FNorthern States P</v>
          </cell>
          <cell r="S418">
            <v>-1432372</v>
          </cell>
        </row>
        <row r="419">
          <cell r="R419" t="str">
            <v>P200009FNRG Power Marketi</v>
          </cell>
          <cell r="S419">
            <v>-901456</v>
          </cell>
        </row>
        <row r="420">
          <cell r="R420" t="str">
            <v>P200009FNSTAR Companies</v>
          </cell>
          <cell r="S420">
            <v>-52720.14</v>
          </cell>
        </row>
        <row r="421">
          <cell r="R421" t="str">
            <v>P200009FOGE Energy Resour</v>
          </cell>
          <cell r="S421">
            <v>-2156000</v>
          </cell>
        </row>
        <row r="422">
          <cell r="R422" t="str">
            <v xml:space="preserve">P200009FOglethorpe Power </v>
          </cell>
          <cell r="S422">
            <v>-145856</v>
          </cell>
        </row>
        <row r="423">
          <cell r="R423" t="str">
            <v xml:space="preserve">P200009FOtter Tail Power </v>
          </cell>
          <cell r="S423">
            <v>-209025</v>
          </cell>
        </row>
        <row r="424">
          <cell r="R424" t="str">
            <v xml:space="preserve">P200009FPacifiCorp Power </v>
          </cell>
          <cell r="S424">
            <v>-14359100</v>
          </cell>
        </row>
        <row r="425">
          <cell r="R425" t="str">
            <v>P200009FPeco Energy Compa</v>
          </cell>
          <cell r="S425">
            <v>-3619740</v>
          </cell>
        </row>
        <row r="426">
          <cell r="R426" t="str">
            <v>P200009FPG&amp;E Energy Tradi</v>
          </cell>
          <cell r="S426">
            <v>-97560246.439999998</v>
          </cell>
        </row>
        <row r="427">
          <cell r="R427" t="str">
            <v>P200009FPowerex Corp.</v>
          </cell>
          <cell r="S427">
            <v>-29003246.879999999</v>
          </cell>
        </row>
        <row r="428">
          <cell r="R428" t="str">
            <v>P200009FPPL EnergyPlus, L</v>
          </cell>
          <cell r="S428">
            <v>-7285680</v>
          </cell>
        </row>
        <row r="429">
          <cell r="R429" t="str">
            <v>P200009FPPL Montana, LLC</v>
          </cell>
          <cell r="S429">
            <v>-42400</v>
          </cell>
        </row>
        <row r="430">
          <cell r="R430" t="str">
            <v>P200009FPSEG Energy Resou</v>
          </cell>
          <cell r="S430">
            <v>-574400</v>
          </cell>
        </row>
        <row r="431">
          <cell r="R431" t="str">
            <v>P200009FPublic Service Co</v>
          </cell>
          <cell r="S431">
            <v>-29480360</v>
          </cell>
        </row>
        <row r="432">
          <cell r="R432" t="str">
            <v>P200009FPublic Service Co</v>
          </cell>
          <cell r="S432">
            <v>-9336340</v>
          </cell>
        </row>
        <row r="433">
          <cell r="R433" t="str">
            <v>P200009FPublic Service El</v>
          </cell>
          <cell r="S433">
            <v>-13310800</v>
          </cell>
        </row>
        <row r="434">
          <cell r="R434" t="str">
            <v>P200009FPublic Utility Di</v>
          </cell>
          <cell r="S434">
            <v>-3181200</v>
          </cell>
        </row>
        <row r="435">
          <cell r="R435" t="str">
            <v>P200009FPublic Utility Di</v>
          </cell>
          <cell r="S435">
            <v>-1010700</v>
          </cell>
        </row>
        <row r="436">
          <cell r="R436" t="str">
            <v>P200009FRainbow Energy Ma</v>
          </cell>
          <cell r="S436">
            <v>-22400</v>
          </cell>
        </row>
        <row r="437">
          <cell r="R437" t="str">
            <v>P200009FReliant Energy Se</v>
          </cell>
          <cell r="S437">
            <v>-151061292.08000001</v>
          </cell>
        </row>
        <row r="438">
          <cell r="R438" t="str">
            <v>P200009FSacramento Munici</v>
          </cell>
          <cell r="S438">
            <v>-25500</v>
          </cell>
        </row>
        <row r="439">
          <cell r="R439" t="str">
            <v>P200009FSaguaro Power Com</v>
          </cell>
          <cell r="S439">
            <v>-326859</v>
          </cell>
        </row>
        <row r="440">
          <cell r="R440" t="str">
            <v>P200009FSalt River Projec</v>
          </cell>
          <cell r="S440">
            <v>-4980200</v>
          </cell>
        </row>
        <row r="441">
          <cell r="R441" t="str">
            <v>P200009FSaskatchewan Powe</v>
          </cell>
          <cell r="S441">
            <v>-6125</v>
          </cell>
        </row>
        <row r="442">
          <cell r="R442" t="str">
            <v>P200009FSeattle City Ligh</v>
          </cell>
          <cell r="S442">
            <v>-329600</v>
          </cell>
        </row>
        <row r="443">
          <cell r="R443" t="str">
            <v>P200009FSempra Energy Tra</v>
          </cell>
          <cell r="S443">
            <v>-126717200</v>
          </cell>
        </row>
        <row r="444">
          <cell r="R444" t="str">
            <v>P200009FSierra Pacific Po</v>
          </cell>
          <cell r="S444">
            <v>-6619368</v>
          </cell>
        </row>
        <row r="445">
          <cell r="R445" t="str">
            <v>P200009FSouth Carolina El</v>
          </cell>
          <cell r="S445">
            <v>-16884.46</v>
          </cell>
        </row>
        <row r="446">
          <cell r="R446" t="str">
            <v xml:space="preserve">P200009FSouthern Company </v>
          </cell>
          <cell r="S446">
            <v>-218914538.5</v>
          </cell>
        </row>
        <row r="447">
          <cell r="R447" t="str">
            <v xml:space="preserve">P200009FSouthern Company </v>
          </cell>
          <cell r="S447">
            <v>-83410.5</v>
          </cell>
        </row>
        <row r="448">
          <cell r="R448" t="str">
            <v xml:space="preserve">P200009FSouthern Indiana </v>
          </cell>
          <cell r="S448">
            <v>-464045.25</v>
          </cell>
        </row>
        <row r="449">
          <cell r="R449" t="str">
            <v>P200009FSplit Rock Energy</v>
          </cell>
          <cell r="S449">
            <v>-345319.15</v>
          </cell>
        </row>
        <row r="450">
          <cell r="R450" t="str">
            <v>P200009FTenaska Power Ser</v>
          </cell>
          <cell r="S450">
            <v>-252850</v>
          </cell>
        </row>
        <row r="451">
          <cell r="R451" t="str">
            <v xml:space="preserve">P200009FTexas-New Mexico </v>
          </cell>
          <cell r="S451">
            <v>-65750</v>
          </cell>
        </row>
        <row r="452">
          <cell r="R452" t="str">
            <v>P200009FThe Manitoba Hydr</v>
          </cell>
          <cell r="S452">
            <v>-1309014.22</v>
          </cell>
        </row>
        <row r="453">
          <cell r="R453" t="str">
            <v>P200009FThe New Power Com</v>
          </cell>
          <cell r="S453">
            <v>-225920</v>
          </cell>
        </row>
        <row r="454">
          <cell r="R454" t="str">
            <v>P200009FTosco Refining Co</v>
          </cell>
          <cell r="S454">
            <v>-1724437.64</v>
          </cell>
        </row>
        <row r="455">
          <cell r="R455" t="str">
            <v xml:space="preserve">P200009FTractebel Energy </v>
          </cell>
          <cell r="S455">
            <v>-86008300</v>
          </cell>
        </row>
        <row r="456">
          <cell r="R456" t="str">
            <v xml:space="preserve">P200009FTransAlta Energy </v>
          </cell>
          <cell r="S456">
            <v>-28780178</v>
          </cell>
        </row>
        <row r="457">
          <cell r="R457" t="str">
            <v>P200009FTranscanada Power</v>
          </cell>
          <cell r="S457">
            <v>-386000</v>
          </cell>
        </row>
        <row r="458">
          <cell r="R458" t="str">
            <v>P200009FTransCanada Power</v>
          </cell>
          <cell r="S458">
            <v>-3695000</v>
          </cell>
        </row>
        <row r="459">
          <cell r="R459" t="str">
            <v>P200009FTri-State Generat</v>
          </cell>
          <cell r="S459">
            <v>-250760</v>
          </cell>
        </row>
        <row r="460">
          <cell r="R460" t="str">
            <v>P200009FValley Electric A</v>
          </cell>
          <cell r="S460">
            <v>-925732.57</v>
          </cell>
        </row>
        <row r="461">
          <cell r="R461" t="str">
            <v>P200009FVirginia Electric</v>
          </cell>
          <cell r="S461">
            <v>-23866898.5</v>
          </cell>
        </row>
        <row r="462">
          <cell r="R462" t="str">
            <v>P200009FWabash Valley Pow</v>
          </cell>
          <cell r="S462">
            <v>-436800</v>
          </cell>
        </row>
        <row r="463">
          <cell r="R463" t="str">
            <v>P200009FWestern Area Powe</v>
          </cell>
          <cell r="S463">
            <v>-101050</v>
          </cell>
        </row>
        <row r="464">
          <cell r="R464" t="str">
            <v>P200009FWestern Farmers E</v>
          </cell>
          <cell r="S464">
            <v>-8385</v>
          </cell>
        </row>
        <row r="465">
          <cell r="R465" t="str">
            <v>P200009FWestern Resources</v>
          </cell>
          <cell r="S465">
            <v>-12324800</v>
          </cell>
        </row>
        <row r="466">
          <cell r="R466" t="str">
            <v>P200009FWheelabrator Mart</v>
          </cell>
          <cell r="S466">
            <v>-927609.27</v>
          </cell>
        </row>
        <row r="467">
          <cell r="R467" t="str">
            <v>P200009FWillamette Indust</v>
          </cell>
          <cell r="S467">
            <v>-569897.68999999994</v>
          </cell>
        </row>
        <row r="468">
          <cell r="R468" t="str">
            <v>P200009FWilliams Energy M</v>
          </cell>
          <cell r="S468">
            <v>-107501711.5</v>
          </cell>
        </row>
        <row r="469">
          <cell r="R469" t="str">
            <v>P200009FWisconsin Electri</v>
          </cell>
          <cell r="S469">
            <v>-15600</v>
          </cell>
        </row>
        <row r="470">
          <cell r="R470" t="str">
            <v xml:space="preserve">P200009FWisconsin Public </v>
          </cell>
          <cell r="S470">
            <v>-73320</v>
          </cell>
        </row>
        <row r="471">
          <cell r="R471" t="str">
            <v>P200009FWPS Energy Servic</v>
          </cell>
          <cell r="S471">
            <v>-221000</v>
          </cell>
        </row>
        <row r="472">
          <cell r="R472" t="str">
            <v>P200010DAlliant Energy Co</v>
          </cell>
          <cell r="S472">
            <v>-80701</v>
          </cell>
        </row>
        <row r="473">
          <cell r="R473" t="str">
            <v>P200010DAmerada Hess Corp</v>
          </cell>
          <cell r="S473">
            <v>-664000</v>
          </cell>
        </row>
        <row r="474">
          <cell r="R474" t="str">
            <v>P200010DAmeren Energy, In</v>
          </cell>
          <cell r="S474">
            <v>-2750350</v>
          </cell>
        </row>
        <row r="475">
          <cell r="R475" t="str">
            <v>P200010DAmerican Electric</v>
          </cell>
          <cell r="S475">
            <v>-285865766.94999999</v>
          </cell>
        </row>
        <row r="476">
          <cell r="R476" t="str">
            <v>P200010DAquila Energy Mar</v>
          </cell>
          <cell r="S476">
            <v>-265178152.44</v>
          </cell>
        </row>
        <row r="477">
          <cell r="R477" t="str">
            <v>P200010DArizona Public Se</v>
          </cell>
          <cell r="S477">
            <v>-8071210.25</v>
          </cell>
        </row>
        <row r="478">
          <cell r="R478" t="str">
            <v>P200010DAssociated Electr</v>
          </cell>
          <cell r="S478">
            <v>-109293.5</v>
          </cell>
        </row>
        <row r="479">
          <cell r="R479" t="str">
            <v>P200010DAtlantic City Ele</v>
          </cell>
          <cell r="S479">
            <v>-786643.2</v>
          </cell>
        </row>
        <row r="480">
          <cell r="R480" t="str">
            <v>P200010DAtlantic Richfiel</v>
          </cell>
          <cell r="S480">
            <v>-1797914.93</v>
          </cell>
        </row>
        <row r="481">
          <cell r="R481" t="str">
            <v>P200010DAustin, City Of</v>
          </cell>
          <cell r="S481">
            <v>1802.77</v>
          </cell>
        </row>
        <row r="482">
          <cell r="R482" t="str">
            <v>P200010DAvista Corporatio</v>
          </cell>
          <cell r="S482">
            <v>-7524808.25</v>
          </cell>
        </row>
        <row r="483">
          <cell r="R483" t="str">
            <v>P200010DAvista Energy, In</v>
          </cell>
          <cell r="S483">
            <v>-86383231</v>
          </cell>
        </row>
        <row r="484">
          <cell r="R484" t="str">
            <v xml:space="preserve">P200010DBonneville Power </v>
          </cell>
          <cell r="S484">
            <v>-10820557.49</v>
          </cell>
        </row>
        <row r="485">
          <cell r="R485" t="str">
            <v>P200010DBraintree Electri</v>
          </cell>
          <cell r="S485">
            <v>-36750</v>
          </cell>
        </row>
        <row r="486">
          <cell r="R486" t="str">
            <v>P200010DBrazos Electric P</v>
          </cell>
          <cell r="S486">
            <v>1907.59</v>
          </cell>
        </row>
        <row r="487">
          <cell r="R487" t="str">
            <v>P200010DBryan, City Of</v>
          </cell>
          <cell r="S487">
            <v>-59062.64</v>
          </cell>
        </row>
        <row r="488">
          <cell r="R488" t="str">
            <v>P200010DCalifornia Depart</v>
          </cell>
          <cell r="S488">
            <v>-506636.73</v>
          </cell>
        </row>
        <row r="489">
          <cell r="R489" t="str">
            <v xml:space="preserve">P200010DCalifornia Power </v>
          </cell>
          <cell r="S489">
            <v>-830243.74</v>
          </cell>
        </row>
        <row r="490">
          <cell r="R490" t="str">
            <v xml:space="preserve">P200010DCalifornia Power </v>
          </cell>
          <cell r="S490">
            <v>-8922250.6899999995</v>
          </cell>
        </row>
        <row r="491">
          <cell r="R491" t="str">
            <v>P200010DCalpine Power Ser</v>
          </cell>
          <cell r="S491">
            <v>-3398625</v>
          </cell>
        </row>
        <row r="492">
          <cell r="R492" t="str">
            <v xml:space="preserve">P200010DCargill-Alliant, </v>
          </cell>
          <cell r="S492">
            <v>-14321422.5</v>
          </cell>
        </row>
        <row r="493">
          <cell r="R493" t="str">
            <v xml:space="preserve">P200010DCarolina Power &amp; </v>
          </cell>
          <cell r="S493">
            <v>-764844</v>
          </cell>
        </row>
        <row r="494">
          <cell r="R494" t="str">
            <v xml:space="preserve">P200010DCentral Illinois </v>
          </cell>
          <cell r="S494">
            <v>-158701</v>
          </cell>
        </row>
        <row r="495">
          <cell r="R495" t="str">
            <v>P200010DCinergy Capital &amp;</v>
          </cell>
          <cell r="S495">
            <v>-38640</v>
          </cell>
        </row>
        <row r="496">
          <cell r="R496" t="str">
            <v>P200010DCinergy Services,</v>
          </cell>
          <cell r="S496">
            <v>-35557438.020000003</v>
          </cell>
        </row>
        <row r="497">
          <cell r="R497" t="str">
            <v>P200010DCity of Redding</v>
          </cell>
          <cell r="S497">
            <v>-2938962.5</v>
          </cell>
        </row>
        <row r="498">
          <cell r="R498" t="str">
            <v>P200010DCity Of Riverside</v>
          </cell>
          <cell r="S498">
            <v>-704056</v>
          </cell>
        </row>
        <row r="499">
          <cell r="R499" t="str">
            <v>P200010DCity of Roseville</v>
          </cell>
          <cell r="S499">
            <v>-1115565</v>
          </cell>
        </row>
        <row r="500">
          <cell r="R500" t="str">
            <v>P200010DCity of Tacoma, D</v>
          </cell>
          <cell r="S500">
            <v>-2378932.7599999998</v>
          </cell>
        </row>
        <row r="501">
          <cell r="R501" t="str">
            <v>P200010DCity Public Servi</v>
          </cell>
          <cell r="S501">
            <v>1482.38</v>
          </cell>
        </row>
        <row r="502">
          <cell r="R502" t="str">
            <v>P200010DCLECO Marketing a</v>
          </cell>
          <cell r="S502">
            <v>-29800</v>
          </cell>
        </row>
        <row r="503">
          <cell r="R503" t="str">
            <v>P200010DCMS Marketing, Se</v>
          </cell>
          <cell r="S503">
            <v>-5591658.6399999997</v>
          </cell>
        </row>
        <row r="504">
          <cell r="R504" t="str">
            <v xml:space="preserve">P200010DCoastal Merchant </v>
          </cell>
          <cell r="S504">
            <v>-2580164</v>
          </cell>
        </row>
        <row r="505">
          <cell r="R505" t="str">
            <v>P200010DColorado River Co</v>
          </cell>
          <cell r="S505">
            <v>-7872714.2800000003</v>
          </cell>
        </row>
        <row r="506">
          <cell r="R506" t="str">
            <v>P200010DCommonwealth Edis</v>
          </cell>
          <cell r="S506">
            <v>-9038715</v>
          </cell>
        </row>
        <row r="507">
          <cell r="R507" t="str">
            <v>P200010DConectiv Energy S</v>
          </cell>
          <cell r="S507">
            <v>-678400</v>
          </cell>
        </row>
        <row r="508">
          <cell r="R508" t="str">
            <v>P200010DConsolidated Edis</v>
          </cell>
          <cell r="S508">
            <v>-40000</v>
          </cell>
        </row>
        <row r="509">
          <cell r="R509" t="str">
            <v>P200010DConstellation Pow</v>
          </cell>
          <cell r="S509">
            <v>-65008286.25</v>
          </cell>
        </row>
        <row r="510">
          <cell r="R510" t="str">
            <v>P200010DCoral Power, L.L.</v>
          </cell>
          <cell r="S510">
            <v>-21809275</v>
          </cell>
        </row>
        <row r="511">
          <cell r="R511" t="str">
            <v>P200010DDelano Energy Com</v>
          </cell>
          <cell r="S511">
            <v>-2566320.9300000002</v>
          </cell>
        </row>
        <row r="512">
          <cell r="R512" t="str">
            <v xml:space="preserve">P200010DDelmarva Power &amp; </v>
          </cell>
          <cell r="S512">
            <v>-2153360</v>
          </cell>
        </row>
        <row r="513">
          <cell r="R513" t="str">
            <v>P200010DDTE Energy Tradin</v>
          </cell>
          <cell r="S513">
            <v>-6306340</v>
          </cell>
        </row>
        <row r="514">
          <cell r="R514" t="str">
            <v>P200010DDuke Energy Tradi</v>
          </cell>
          <cell r="S514">
            <v>-182987036.5</v>
          </cell>
        </row>
        <row r="515">
          <cell r="R515" t="str">
            <v>P200010DDuke Power, a div</v>
          </cell>
          <cell r="S515">
            <v>-2526941</v>
          </cell>
        </row>
        <row r="516">
          <cell r="R516" t="str">
            <v>P200010DDynegy Power Mark</v>
          </cell>
          <cell r="S516">
            <v>-80649258</v>
          </cell>
        </row>
        <row r="517">
          <cell r="R517" t="str">
            <v>P200010DEast Kentucky Pow</v>
          </cell>
          <cell r="S517">
            <v>-410600</v>
          </cell>
        </row>
        <row r="518">
          <cell r="R518" t="str">
            <v>P200010DEdison Mission Ma</v>
          </cell>
          <cell r="S518">
            <v>-121676268</v>
          </cell>
        </row>
        <row r="519">
          <cell r="R519" t="str">
            <v xml:space="preserve">P200010DEl Paso Electric </v>
          </cell>
          <cell r="S519">
            <v>-6503860.3099999996</v>
          </cell>
        </row>
        <row r="520">
          <cell r="R520" t="str">
            <v xml:space="preserve">P200010DEl Paso Merchant </v>
          </cell>
          <cell r="S520">
            <v>-92599886.459999993</v>
          </cell>
        </row>
        <row r="521">
          <cell r="R521" t="str">
            <v>P200010DEnron Energy Serv</v>
          </cell>
          <cell r="S521">
            <v>-100857114.08</v>
          </cell>
        </row>
        <row r="522">
          <cell r="R522" t="str">
            <v>P200010DEntergy Power Mar</v>
          </cell>
          <cell r="S522">
            <v>-12625992.5</v>
          </cell>
        </row>
        <row r="523">
          <cell r="R523" t="str">
            <v>P200010DEntergy Services,</v>
          </cell>
          <cell r="S523">
            <v>-14780</v>
          </cell>
        </row>
        <row r="524">
          <cell r="R524" t="str">
            <v>P200010DEugene Water &amp; El</v>
          </cell>
          <cell r="S524">
            <v>-519983.07</v>
          </cell>
        </row>
        <row r="525">
          <cell r="R525" t="str">
            <v>P200010DFirstEnergy Corp.</v>
          </cell>
          <cell r="S525">
            <v>-111949</v>
          </cell>
        </row>
        <row r="526">
          <cell r="R526" t="str">
            <v>P200010DFlorida Power &amp; L</v>
          </cell>
          <cell r="S526">
            <v>-2034780</v>
          </cell>
        </row>
        <row r="527">
          <cell r="R527" t="str">
            <v xml:space="preserve">P200010DFPL Energy Power </v>
          </cell>
          <cell r="S527">
            <v>-1699913.4</v>
          </cell>
        </row>
        <row r="528">
          <cell r="R528" t="str">
            <v>P200010DGarland, City Of</v>
          </cell>
          <cell r="S528">
            <v>49.28</v>
          </cell>
        </row>
        <row r="529">
          <cell r="R529" t="str">
            <v>P200010DGEN SYS Energy</v>
          </cell>
          <cell r="S529">
            <v>-20800</v>
          </cell>
        </row>
        <row r="530">
          <cell r="R530" t="str">
            <v>P200010DGreat Bay Power C</v>
          </cell>
          <cell r="S530">
            <v>-606900</v>
          </cell>
        </row>
        <row r="531">
          <cell r="R531" t="str">
            <v>P200010DGriffin Energy Ma</v>
          </cell>
          <cell r="S531">
            <v>-399800</v>
          </cell>
        </row>
        <row r="532">
          <cell r="R532" t="str">
            <v>P200010DHafslund Energy T</v>
          </cell>
          <cell r="S532">
            <v>-8065138.75</v>
          </cell>
        </row>
        <row r="533">
          <cell r="R533" t="str">
            <v>P200010DHarbor Cogenerati</v>
          </cell>
          <cell r="S533">
            <v>-1229627.19</v>
          </cell>
        </row>
        <row r="534">
          <cell r="R534" t="str">
            <v>P200010DHQ Energy Service</v>
          </cell>
          <cell r="S534">
            <v>-10419912.5</v>
          </cell>
        </row>
        <row r="535">
          <cell r="R535" t="str">
            <v>P200010DIdaho Power Compa</v>
          </cell>
          <cell r="S535">
            <v>-70708330</v>
          </cell>
        </row>
        <row r="536">
          <cell r="R536" t="str">
            <v>P200010DIllinova Power Ma</v>
          </cell>
          <cell r="S536">
            <v>-30108</v>
          </cell>
        </row>
        <row r="537">
          <cell r="R537" t="str">
            <v>P200010DImperial Irrigati</v>
          </cell>
          <cell r="S537">
            <v>-13000</v>
          </cell>
        </row>
        <row r="538">
          <cell r="R538" t="str">
            <v>P200010DIndianapolis Powe</v>
          </cell>
          <cell r="S538">
            <v>-1307592</v>
          </cell>
        </row>
        <row r="539">
          <cell r="R539" t="str">
            <v>P200010DJacksonville Elec</v>
          </cell>
          <cell r="S539">
            <v>-36448</v>
          </cell>
        </row>
        <row r="540">
          <cell r="R540" t="str">
            <v>P200010DKansas City Power</v>
          </cell>
          <cell r="S540">
            <v>-9815</v>
          </cell>
        </row>
        <row r="541">
          <cell r="R541" t="str">
            <v>P200010DKoch Energy Tradi</v>
          </cell>
          <cell r="S541">
            <v>-37102640</v>
          </cell>
        </row>
        <row r="542">
          <cell r="R542" t="str">
            <v>P200010DLas Vegas Cogener</v>
          </cell>
          <cell r="S542">
            <v>-1186312.94</v>
          </cell>
        </row>
        <row r="543">
          <cell r="R543" t="str">
            <v>P200010DLos Angeles Dept.</v>
          </cell>
          <cell r="S543">
            <v>-416042</v>
          </cell>
        </row>
        <row r="544">
          <cell r="R544" t="str">
            <v>P200010DLower Colorado Ri</v>
          </cell>
          <cell r="S544">
            <v>-59073.86</v>
          </cell>
        </row>
        <row r="545">
          <cell r="R545" t="str">
            <v>P200010DMagic Valley Elec</v>
          </cell>
          <cell r="S545">
            <v>12.85</v>
          </cell>
        </row>
        <row r="546">
          <cell r="R546" t="str">
            <v>P200010DMerchant Energy G</v>
          </cell>
          <cell r="S546">
            <v>-13296715</v>
          </cell>
        </row>
        <row r="547">
          <cell r="R547" t="str">
            <v>P200010DMerrill Lynch Cap</v>
          </cell>
          <cell r="S547">
            <v>-55095613.75</v>
          </cell>
        </row>
        <row r="548">
          <cell r="R548" t="str">
            <v>P200010DMichigan Electric</v>
          </cell>
          <cell r="S548">
            <v>-195303</v>
          </cell>
        </row>
        <row r="549">
          <cell r="R549" t="str">
            <v>P200010DMidAmerican Energ</v>
          </cell>
          <cell r="S549">
            <v>-102050</v>
          </cell>
        </row>
        <row r="550">
          <cell r="R550" t="str">
            <v>P200010DMieco Inc.</v>
          </cell>
          <cell r="S550">
            <v>-18671488.75</v>
          </cell>
        </row>
        <row r="551">
          <cell r="R551" t="str">
            <v>P200010DMinnesota Municip</v>
          </cell>
          <cell r="S551">
            <v>-107470</v>
          </cell>
        </row>
        <row r="552">
          <cell r="R552" t="str">
            <v>P200010DMissouri Public S</v>
          </cell>
          <cell r="S552">
            <v>-370056</v>
          </cell>
        </row>
        <row r="553">
          <cell r="R553" t="str">
            <v>P200010DMontana Power Com</v>
          </cell>
          <cell r="S553">
            <v>-2912674.2</v>
          </cell>
        </row>
        <row r="554">
          <cell r="R554" t="str">
            <v>P200010DMontana-Dakota Ut</v>
          </cell>
          <cell r="S554">
            <v>-4065</v>
          </cell>
        </row>
        <row r="555">
          <cell r="R555" t="str">
            <v>P200010DMorgan Stanley Ca</v>
          </cell>
          <cell r="S555">
            <v>-33411680.25</v>
          </cell>
        </row>
        <row r="556">
          <cell r="R556" t="str">
            <v>P200010DNevada Power Comp</v>
          </cell>
          <cell r="S556">
            <v>-100382.52</v>
          </cell>
        </row>
        <row r="557">
          <cell r="R557" t="str">
            <v>P200010DNew England Power</v>
          </cell>
          <cell r="S557">
            <v>-82397625.680000007</v>
          </cell>
        </row>
        <row r="558">
          <cell r="R558" t="str">
            <v>P200010DNew York Independ</v>
          </cell>
          <cell r="S558">
            <v>3388698.25</v>
          </cell>
        </row>
        <row r="559">
          <cell r="R559" t="str">
            <v>P200010DNewEnergy, Inc.</v>
          </cell>
          <cell r="S559">
            <v>-2230410</v>
          </cell>
        </row>
        <row r="560">
          <cell r="R560" t="str">
            <v>P200010DNortheast Utiliti</v>
          </cell>
          <cell r="S560">
            <v>-1229720</v>
          </cell>
        </row>
        <row r="561">
          <cell r="R561" t="str">
            <v xml:space="preserve">P200010DNorthern Indiana </v>
          </cell>
          <cell r="S561">
            <v>-7366837</v>
          </cell>
        </row>
        <row r="562">
          <cell r="R562" t="str">
            <v>P200010DNorthern States P</v>
          </cell>
          <cell r="S562">
            <v>-688971.3</v>
          </cell>
        </row>
        <row r="563">
          <cell r="R563" t="str">
            <v>P200010DNRG Power Marketi</v>
          </cell>
          <cell r="S563">
            <v>-3524763.5</v>
          </cell>
        </row>
        <row r="564">
          <cell r="R564" t="str">
            <v>P200010DNSTAR Companies</v>
          </cell>
          <cell r="S564">
            <v>-197409.21</v>
          </cell>
        </row>
        <row r="565">
          <cell r="R565" t="str">
            <v xml:space="preserve">P200010DOglethorpe Power </v>
          </cell>
          <cell r="S565">
            <v>-4550</v>
          </cell>
        </row>
        <row r="566">
          <cell r="R566" t="str">
            <v xml:space="preserve">P200010DOklahoma Gas And </v>
          </cell>
          <cell r="S566">
            <v>-1625</v>
          </cell>
        </row>
        <row r="567">
          <cell r="R567" t="str">
            <v>P200010DOntario Power Gen</v>
          </cell>
          <cell r="S567">
            <v>-1404710</v>
          </cell>
        </row>
        <row r="568">
          <cell r="R568" t="str">
            <v xml:space="preserve">P200010DOtter Tail Power </v>
          </cell>
          <cell r="S568">
            <v>-885732</v>
          </cell>
        </row>
        <row r="569">
          <cell r="R569" t="str">
            <v>P200010DPacificorp</v>
          </cell>
          <cell r="S569">
            <v>-45854326.640000001</v>
          </cell>
        </row>
        <row r="570">
          <cell r="R570" t="str">
            <v xml:space="preserve">P200010DPacifiCorp Power </v>
          </cell>
          <cell r="S570">
            <v>-1223187.5</v>
          </cell>
        </row>
        <row r="571">
          <cell r="R571" t="str">
            <v>P200010DPeco Energy Compa</v>
          </cell>
          <cell r="S571">
            <v>-3024720</v>
          </cell>
        </row>
        <row r="572">
          <cell r="R572" t="str">
            <v>P200010DPG&amp;E Energy Tradi</v>
          </cell>
          <cell r="S572">
            <v>-128426045.05</v>
          </cell>
        </row>
        <row r="573">
          <cell r="R573" t="str">
            <v>P200010DPinnacle West Cap</v>
          </cell>
          <cell r="S573">
            <v>-1138744</v>
          </cell>
        </row>
        <row r="574">
          <cell r="R574" t="str">
            <v>P200010DPJM Interconnecti</v>
          </cell>
          <cell r="S574">
            <v>-23517338.75</v>
          </cell>
        </row>
        <row r="575">
          <cell r="R575" t="str">
            <v xml:space="preserve">P200010DPortland General </v>
          </cell>
          <cell r="S575">
            <v>-15981081.09</v>
          </cell>
        </row>
        <row r="576">
          <cell r="R576" t="str">
            <v>P200010DPowerex Corp.</v>
          </cell>
          <cell r="S576">
            <v>-17312449.030000001</v>
          </cell>
        </row>
        <row r="577">
          <cell r="R577" t="str">
            <v>P200010DPPL EnergyPlus, L</v>
          </cell>
          <cell r="S577">
            <v>-6091304</v>
          </cell>
        </row>
        <row r="578">
          <cell r="R578" t="str">
            <v>P200010DPSEG Energy Resou</v>
          </cell>
          <cell r="S578">
            <v>-11008000</v>
          </cell>
        </row>
        <row r="579">
          <cell r="R579" t="str">
            <v>P200010DPublic Service Co</v>
          </cell>
          <cell r="S579">
            <v>-50362764</v>
          </cell>
        </row>
        <row r="580">
          <cell r="R580" t="str">
            <v>P200010DPublic Service Co</v>
          </cell>
          <cell r="S580">
            <v>-9724270</v>
          </cell>
        </row>
        <row r="581">
          <cell r="R581" t="str">
            <v>P200010DPublic Utility Di</v>
          </cell>
          <cell r="S581">
            <v>-4037562.5</v>
          </cell>
        </row>
        <row r="582">
          <cell r="R582" t="str">
            <v>P200010DPublic Utility Di</v>
          </cell>
          <cell r="S582">
            <v>-111200</v>
          </cell>
        </row>
        <row r="583">
          <cell r="R583" t="str">
            <v>P200010DPublic Utility Di</v>
          </cell>
          <cell r="S583">
            <v>-438155</v>
          </cell>
        </row>
        <row r="584">
          <cell r="R584" t="str">
            <v>P200010DPublic Utility Di</v>
          </cell>
          <cell r="S584">
            <v>-840</v>
          </cell>
        </row>
        <row r="585">
          <cell r="R585" t="str">
            <v>P200010DPUD No. 1 of Gray</v>
          </cell>
          <cell r="S585">
            <v>-504</v>
          </cell>
        </row>
        <row r="586">
          <cell r="R586" t="str">
            <v>P200010DPuget Sound Energ</v>
          </cell>
          <cell r="S586">
            <v>-28284894.75</v>
          </cell>
        </row>
        <row r="587">
          <cell r="R587" t="str">
            <v>P200010DRainbow Energy Ma</v>
          </cell>
          <cell r="S587">
            <v>-305200</v>
          </cell>
        </row>
        <row r="588">
          <cell r="R588" t="str">
            <v>P200010DReliant Energy HL</v>
          </cell>
          <cell r="S588">
            <v>-985656.88</v>
          </cell>
        </row>
        <row r="589">
          <cell r="R589" t="str">
            <v>P200010DReliant Energy Se</v>
          </cell>
          <cell r="S589">
            <v>-86647872.890000001</v>
          </cell>
        </row>
        <row r="590">
          <cell r="R590" t="str">
            <v>P200010DSacramento Munici</v>
          </cell>
          <cell r="S590">
            <v>-1279200</v>
          </cell>
        </row>
        <row r="591">
          <cell r="R591" t="str">
            <v>P200010DSaguaro Power Com</v>
          </cell>
          <cell r="S591">
            <v>-51021.58</v>
          </cell>
        </row>
        <row r="592">
          <cell r="R592" t="str">
            <v>P200010DSalt River Projec</v>
          </cell>
          <cell r="S592">
            <v>-1845480</v>
          </cell>
        </row>
        <row r="593">
          <cell r="R593" t="str">
            <v>P200010DSan Diego Gas &amp; E</v>
          </cell>
          <cell r="S593">
            <v>-4867200</v>
          </cell>
        </row>
        <row r="594">
          <cell r="R594" t="str">
            <v>P200010DSaskatchewan Powe</v>
          </cell>
          <cell r="S594">
            <v>-25616.5</v>
          </cell>
        </row>
        <row r="595">
          <cell r="R595" t="str">
            <v>P200010DSeattle City Ligh</v>
          </cell>
          <cell r="S595">
            <v>-360700</v>
          </cell>
        </row>
        <row r="596">
          <cell r="R596" t="str">
            <v>P200010DSelect Energy, In</v>
          </cell>
          <cell r="S596">
            <v>-1875700</v>
          </cell>
        </row>
        <row r="597">
          <cell r="R597" t="str">
            <v>P200010DSempra Energy Tra</v>
          </cell>
          <cell r="S597">
            <v>-88766606.680000007</v>
          </cell>
        </row>
        <row r="598">
          <cell r="R598" t="str">
            <v>P200010DSierra Pacific Po</v>
          </cell>
          <cell r="S598">
            <v>-6920900</v>
          </cell>
        </row>
        <row r="599">
          <cell r="R599" t="str">
            <v>P200010DSikeston Board of</v>
          </cell>
          <cell r="S599">
            <v>-28938.6</v>
          </cell>
        </row>
        <row r="600">
          <cell r="R600" t="str">
            <v>P200010DSmurfit-Stone Con</v>
          </cell>
          <cell r="S600">
            <v>-673200</v>
          </cell>
        </row>
        <row r="601">
          <cell r="R601" t="str">
            <v>P200010DSouth Carolina El</v>
          </cell>
          <cell r="S601">
            <v>-111941.5</v>
          </cell>
        </row>
        <row r="602">
          <cell r="R602" t="str">
            <v>P200010DSouth Texas Elect</v>
          </cell>
          <cell r="S602">
            <v>1222.73</v>
          </cell>
        </row>
        <row r="603">
          <cell r="R603" t="str">
            <v xml:space="preserve">P200010DSouthern Company </v>
          </cell>
          <cell r="S603">
            <v>-1568256</v>
          </cell>
        </row>
        <row r="604">
          <cell r="R604" t="str">
            <v xml:space="preserve">P200010DSouthern Company </v>
          </cell>
          <cell r="S604">
            <v>-139576007.75</v>
          </cell>
        </row>
        <row r="605">
          <cell r="R605" t="str">
            <v>P200010DSouthern Illinois</v>
          </cell>
          <cell r="S605">
            <v>-92000</v>
          </cell>
        </row>
        <row r="606">
          <cell r="R606" t="str">
            <v>P200010DSouthern Minnesot</v>
          </cell>
          <cell r="S606">
            <v>-4800</v>
          </cell>
        </row>
        <row r="607">
          <cell r="R607" t="str">
            <v>P200010DSplit Rock Energy</v>
          </cell>
          <cell r="S607">
            <v>-384653.3</v>
          </cell>
        </row>
        <row r="608">
          <cell r="R608" t="str">
            <v>P200010DTexas Municipal P</v>
          </cell>
          <cell r="S608">
            <v>778.81</v>
          </cell>
        </row>
        <row r="609">
          <cell r="R609" t="str">
            <v xml:space="preserve">P200010DTexas-New Mexico </v>
          </cell>
          <cell r="S609">
            <v>-4303.9799999999996</v>
          </cell>
        </row>
        <row r="610">
          <cell r="R610" t="str">
            <v>P200010DThe City of Azusa</v>
          </cell>
          <cell r="S610">
            <v>-934110</v>
          </cell>
        </row>
        <row r="611">
          <cell r="R611" t="str">
            <v>P200010DThe Manitoba Hydr</v>
          </cell>
          <cell r="S611">
            <v>-2454726</v>
          </cell>
        </row>
        <row r="612">
          <cell r="R612" t="str">
            <v>P200010DThe New Power Com</v>
          </cell>
          <cell r="S612">
            <v>-248512</v>
          </cell>
        </row>
        <row r="613">
          <cell r="R613" t="str">
            <v>P200010DTosco Refining Co</v>
          </cell>
          <cell r="S613">
            <v>-1538557.17</v>
          </cell>
        </row>
        <row r="614">
          <cell r="R614" t="str">
            <v xml:space="preserve">P200010DTractebel Energy </v>
          </cell>
          <cell r="S614">
            <v>-49061340</v>
          </cell>
        </row>
        <row r="615">
          <cell r="R615" t="str">
            <v xml:space="preserve">P200010DTransAlta Energy </v>
          </cell>
          <cell r="S615">
            <v>-27883013.260000002</v>
          </cell>
        </row>
        <row r="616">
          <cell r="R616" t="str">
            <v>P200010DTranscanada Power</v>
          </cell>
          <cell r="S616">
            <v>-438800</v>
          </cell>
        </row>
        <row r="617">
          <cell r="R617" t="str">
            <v>P200010DTransCanada Power</v>
          </cell>
          <cell r="S617">
            <v>-438320</v>
          </cell>
        </row>
        <row r="618">
          <cell r="R618" t="str">
            <v>P200010DTri-State Generat</v>
          </cell>
          <cell r="S618">
            <v>-43691.5</v>
          </cell>
        </row>
        <row r="619">
          <cell r="R619" t="str">
            <v>P200010DTucson Electric P</v>
          </cell>
          <cell r="S619">
            <v>-1672104.55</v>
          </cell>
        </row>
        <row r="620">
          <cell r="R620" t="str">
            <v>P200010DTXU Electric Comp</v>
          </cell>
          <cell r="S620">
            <v>22239.83</v>
          </cell>
        </row>
        <row r="621">
          <cell r="R621" t="str">
            <v>P200010DUnited Illuminati</v>
          </cell>
          <cell r="S621">
            <v>-4055559.41</v>
          </cell>
        </row>
        <row r="622">
          <cell r="R622" t="str">
            <v>P200010DUnited Power Asso</v>
          </cell>
          <cell r="S622">
            <v>-4045</v>
          </cell>
        </row>
        <row r="623">
          <cell r="R623" t="str">
            <v>P200010DValley Electric A</v>
          </cell>
          <cell r="S623">
            <v>-279294.52</v>
          </cell>
        </row>
        <row r="624">
          <cell r="R624" t="str">
            <v>P200010DVirginia Electric</v>
          </cell>
          <cell r="S624">
            <v>-13223458.5</v>
          </cell>
        </row>
        <row r="625">
          <cell r="R625" t="str">
            <v>P200010DWabash Valley Pow</v>
          </cell>
          <cell r="S625">
            <v>-1174480</v>
          </cell>
        </row>
        <row r="626">
          <cell r="R626" t="str">
            <v>P200010DWestern Area Powe</v>
          </cell>
          <cell r="S626">
            <v>-935576.7</v>
          </cell>
        </row>
        <row r="627">
          <cell r="R627" t="str">
            <v>P200010DWestern Area Powe</v>
          </cell>
          <cell r="S627">
            <v>-13276.5</v>
          </cell>
        </row>
        <row r="628">
          <cell r="R628" t="str">
            <v>P200010DWestern Resources</v>
          </cell>
          <cell r="S628">
            <v>-4736920</v>
          </cell>
        </row>
        <row r="629">
          <cell r="R629" t="str">
            <v>P200010DWheelabrator Mart</v>
          </cell>
          <cell r="S629">
            <v>-897509.19</v>
          </cell>
        </row>
        <row r="630">
          <cell r="R630" t="str">
            <v>P200010DWillamette Indust</v>
          </cell>
          <cell r="S630">
            <v>-492471.72</v>
          </cell>
        </row>
        <row r="631">
          <cell r="R631" t="str">
            <v>P200010DWilliams Energy M</v>
          </cell>
          <cell r="S631">
            <v>-203265630.75</v>
          </cell>
        </row>
        <row r="632">
          <cell r="R632" t="str">
            <v>P200010DWisconsin Electri</v>
          </cell>
          <cell r="S632">
            <v>-198891</v>
          </cell>
        </row>
        <row r="633">
          <cell r="R633" t="str">
            <v xml:space="preserve">P200010DWisconsin Public </v>
          </cell>
          <cell r="S633">
            <v>-73315</v>
          </cell>
        </row>
        <row r="634">
          <cell r="R634" t="str">
            <v xml:space="preserve">P200010FAllegheny Energy </v>
          </cell>
          <cell r="S634">
            <v>-16646784.5</v>
          </cell>
        </row>
        <row r="635">
          <cell r="R635" t="str">
            <v>P200010FAlternate Power S</v>
          </cell>
          <cell r="S635">
            <v>-260362.5</v>
          </cell>
        </row>
        <row r="636">
          <cell r="R636" t="str">
            <v>P200010FAquila Energy Mar</v>
          </cell>
          <cell r="S636">
            <v>-480180</v>
          </cell>
        </row>
        <row r="637">
          <cell r="R637" t="str">
            <v>P200010FAvista Energy, In</v>
          </cell>
          <cell r="S637">
            <v>-223300</v>
          </cell>
        </row>
        <row r="638">
          <cell r="R638" t="str">
            <v>P200010FBP Energy Company</v>
          </cell>
          <cell r="S638">
            <v>-55709021</v>
          </cell>
        </row>
        <row r="639">
          <cell r="R639" t="str">
            <v>P200010FCity of Santa Cla</v>
          </cell>
          <cell r="S639">
            <v>-5578200</v>
          </cell>
        </row>
        <row r="640">
          <cell r="R640" t="str">
            <v>P200010FConAgra Energy Se</v>
          </cell>
          <cell r="S640">
            <v>-1456000</v>
          </cell>
        </row>
        <row r="641">
          <cell r="R641" t="str">
            <v xml:space="preserve">P200010FDayton Power and </v>
          </cell>
          <cell r="S641">
            <v>-84728.5</v>
          </cell>
        </row>
        <row r="642">
          <cell r="R642" t="str">
            <v>P200010FDuke Energy Tradi</v>
          </cell>
          <cell r="S642">
            <v>-252000</v>
          </cell>
        </row>
        <row r="643">
          <cell r="R643" t="str">
            <v xml:space="preserve">P200010FEl Paso Merchant </v>
          </cell>
          <cell r="S643">
            <v>-311480</v>
          </cell>
        </row>
        <row r="644">
          <cell r="R644" t="str">
            <v xml:space="preserve">P200010FEnergy Services, </v>
          </cell>
          <cell r="S644">
            <v>-539380</v>
          </cell>
        </row>
        <row r="645">
          <cell r="R645" t="str">
            <v>P200010FFirstEnergy Tradi</v>
          </cell>
          <cell r="S645">
            <v>-643200</v>
          </cell>
        </row>
        <row r="646">
          <cell r="R646" t="str">
            <v>P200010FFlorida Power Cor</v>
          </cell>
          <cell r="S646">
            <v>-4944</v>
          </cell>
        </row>
        <row r="647">
          <cell r="R647" t="str">
            <v xml:space="preserve">P200010FFPL Energy Power </v>
          </cell>
          <cell r="S647">
            <v>-87600</v>
          </cell>
        </row>
        <row r="648">
          <cell r="R648" t="str">
            <v>P200010FLG&amp;E Energy Marke</v>
          </cell>
          <cell r="S648">
            <v>-1927295</v>
          </cell>
        </row>
        <row r="649">
          <cell r="R649" t="str">
            <v>P200010FNiagara Mohawk En</v>
          </cell>
          <cell r="S649">
            <v>-661290.96</v>
          </cell>
        </row>
        <row r="650">
          <cell r="R650" t="str">
            <v>P200010FNRG Power Marketi</v>
          </cell>
          <cell r="S650">
            <v>-219000</v>
          </cell>
        </row>
        <row r="651">
          <cell r="R651" t="str">
            <v>P200010FOGE Energy Resour</v>
          </cell>
          <cell r="S651">
            <v>-1306800</v>
          </cell>
        </row>
        <row r="652">
          <cell r="R652" t="str">
            <v>P200010FOmaha Public Powe</v>
          </cell>
          <cell r="S652">
            <v>-87411.82</v>
          </cell>
        </row>
        <row r="653">
          <cell r="R653" t="str">
            <v xml:space="preserve">P200010FSouthern Indiana </v>
          </cell>
          <cell r="S653">
            <v>-816859.5</v>
          </cell>
        </row>
        <row r="654">
          <cell r="R654" t="str">
            <v>P200010FTXU Energy Tradin</v>
          </cell>
          <cell r="S654">
            <v>-3021040</v>
          </cell>
        </row>
        <row r="655">
          <cell r="R655" t="str">
            <v>P200010FWilliams Energy M</v>
          </cell>
          <cell r="S655">
            <v>-33600</v>
          </cell>
        </row>
        <row r="656">
          <cell r="R656" t="str">
            <v>S199804FPG&amp;E Energy Tradi</v>
          </cell>
          <cell r="S656">
            <v>0</v>
          </cell>
        </row>
        <row r="657">
          <cell r="R657" t="str">
            <v>S199805DMichigan Public P</v>
          </cell>
          <cell r="S657">
            <v>0</v>
          </cell>
        </row>
        <row r="658">
          <cell r="R658" t="str">
            <v>S199806DLouisville Gas An</v>
          </cell>
          <cell r="S658">
            <v>0</v>
          </cell>
        </row>
        <row r="659">
          <cell r="R659" t="str">
            <v>S199806DVirginia Electric</v>
          </cell>
          <cell r="S659">
            <v>-0.02</v>
          </cell>
        </row>
        <row r="660">
          <cell r="R660" t="str">
            <v>S199807DLouisville Gas An</v>
          </cell>
          <cell r="S660">
            <v>0</v>
          </cell>
        </row>
        <row r="661">
          <cell r="R661" t="str">
            <v>S199807DPG&amp;E Energy Tradi</v>
          </cell>
          <cell r="S661">
            <v>-325386.34000000003</v>
          </cell>
        </row>
        <row r="662">
          <cell r="R662" t="str">
            <v>S199807DVirginia Electric</v>
          </cell>
          <cell r="S662">
            <v>-266533.02</v>
          </cell>
        </row>
        <row r="663">
          <cell r="R663" t="str">
            <v>S199808DVirginia Electric</v>
          </cell>
          <cell r="S663">
            <v>-0.02</v>
          </cell>
        </row>
        <row r="664">
          <cell r="R664" t="str">
            <v>S199812DCinergy Services,</v>
          </cell>
          <cell r="S664">
            <v>0</v>
          </cell>
        </row>
        <row r="665">
          <cell r="R665" t="str">
            <v>S199901FConstellation Pow</v>
          </cell>
          <cell r="S665">
            <v>0.02</v>
          </cell>
        </row>
        <row r="666">
          <cell r="R666" t="str">
            <v>S199902DAmerican Electric</v>
          </cell>
          <cell r="S666">
            <v>0</v>
          </cell>
        </row>
        <row r="667">
          <cell r="R667" t="str">
            <v>S199902FConstellation Pow</v>
          </cell>
          <cell r="S667">
            <v>0.02</v>
          </cell>
        </row>
        <row r="668">
          <cell r="R668" t="str">
            <v>S199905FConstellation Pow</v>
          </cell>
          <cell r="S668">
            <v>0.02</v>
          </cell>
        </row>
        <row r="669">
          <cell r="R669" t="str">
            <v>S199905FPG&amp;E Energy Tradi</v>
          </cell>
          <cell r="S669">
            <v>0.03</v>
          </cell>
        </row>
        <row r="670">
          <cell r="R670" t="str">
            <v>S199906DNorthern States P</v>
          </cell>
          <cell r="S670">
            <v>0</v>
          </cell>
        </row>
        <row r="671">
          <cell r="R671" t="str">
            <v>S199906FConstellation Pow</v>
          </cell>
          <cell r="S671">
            <v>0.01</v>
          </cell>
        </row>
        <row r="672">
          <cell r="R672" t="str">
            <v>S199906FISO New England I</v>
          </cell>
          <cell r="S672">
            <v>0</v>
          </cell>
        </row>
        <row r="673">
          <cell r="R673" t="str">
            <v>S199906FNew England Power</v>
          </cell>
          <cell r="S673">
            <v>0</v>
          </cell>
        </row>
        <row r="674">
          <cell r="R674" t="str">
            <v>S199906FPG&amp;E Energy Tradi</v>
          </cell>
          <cell r="S674">
            <v>0.16</v>
          </cell>
        </row>
        <row r="675">
          <cell r="R675" t="str">
            <v>S199907DNorthern States P</v>
          </cell>
          <cell r="S675">
            <v>0</v>
          </cell>
        </row>
        <row r="676">
          <cell r="R676" t="str">
            <v>S199907FConstellation Pow</v>
          </cell>
          <cell r="S676">
            <v>0.01</v>
          </cell>
        </row>
        <row r="677">
          <cell r="R677" t="str">
            <v>S199907FPG&amp;E Energy Tradi</v>
          </cell>
          <cell r="S677">
            <v>0.01</v>
          </cell>
        </row>
        <row r="678">
          <cell r="R678" t="str">
            <v>S199908DNorthern States P</v>
          </cell>
          <cell r="S678">
            <v>0</v>
          </cell>
        </row>
        <row r="679">
          <cell r="R679" t="str">
            <v>S199908DStatoil Energy Tr</v>
          </cell>
          <cell r="S679">
            <v>0</v>
          </cell>
        </row>
        <row r="680">
          <cell r="R680" t="str">
            <v>S199908FISO New England I</v>
          </cell>
          <cell r="S680">
            <v>0</v>
          </cell>
        </row>
        <row r="681">
          <cell r="R681" t="str">
            <v>S199908FPG&amp;E Energy Tradi</v>
          </cell>
          <cell r="S681">
            <v>0</v>
          </cell>
        </row>
        <row r="682">
          <cell r="R682" t="str">
            <v>S199909DNorthern States P</v>
          </cell>
          <cell r="S682">
            <v>0</v>
          </cell>
        </row>
        <row r="683">
          <cell r="R683" t="str">
            <v>S199909FISO New England I</v>
          </cell>
          <cell r="S683">
            <v>0</v>
          </cell>
        </row>
        <row r="684">
          <cell r="R684" t="str">
            <v>S199909FNew England Power</v>
          </cell>
          <cell r="S684">
            <v>0</v>
          </cell>
        </row>
        <row r="685">
          <cell r="R685" t="str">
            <v xml:space="preserve">S199910DMinnesota Power, </v>
          </cell>
          <cell r="S685">
            <v>0</v>
          </cell>
        </row>
        <row r="686">
          <cell r="R686" t="str">
            <v>S199910DNew England Power</v>
          </cell>
          <cell r="S686">
            <v>2327.5</v>
          </cell>
        </row>
        <row r="687">
          <cell r="R687" t="str">
            <v>S199910DNorthern States P</v>
          </cell>
          <cell r="S687">
            <v>0</v>
          </cell>
        </row>
        <row r="688">
          <cell r="R688" t="str">
            <v>S199910FISO New England I</v>
          </cell>
          <cell r="S688">
            <v>0</v>
          </cell>
        </row>
        <row r="689">
          <cell r="R689" t="str">
            <v>S199911DAmerican Electric</v>
          </cell>
          <cell r="S689">
            <v>0</v>
          </cell>
        </row>
        <row r="690">
          <cell r="R690" t="str">
            <v>S199911DPublic Utility Di</v>
          </cell>
          <cell r="S690">
            <v>0</v>
          </cell>
        </row>
        <row r="691">
          <cell r="R691" t="str">
            <v>S199912DMorgan Stanley Ca</v>
          </cell>
          <cell r="S691">
            <v>-36960</v>
          </cell>
        </row>
        <row r="692">
          <cell r="R692" t="str">
            <v>S199912DNew England Power</v>
          </cell>
          <cell r="S692">
            <v>1153</v>
          </cell>
        </row>
        <row r="693">
          <cell r="R693" t="str">
            <v>S199912FISO New England I</v>
          </cell>
          <cell r="S693">
            <v>0</v>
          </cell>
        </row>
        <row r="694">
          <cell r="R694" t="str">
            <v>S199912FNew England Power</v>
          </cell>
          <cell r="S694">
            <v>-1153</v>
          </cell>
        </row>
        <row r="695">
          <cell r="R695" t="str">
            <v xml:space="preserve">S200001DEl Paso Electric </v>
          </cell>
          <cell r="S695">
            <v>0</v>
          </cell>
        </row>
        <row r="696">
          <cell r="R696" t="str">
            <v>S200001FNew England Power</v>
          </cell>
          <cell r="S696">
            <v>0.09</v>
          </cell>
        </row>
        <row r="697">
          <cell r="R697" t="str">
            <v>S200002DAmerican Electric</v>
          </cell>
          <cell r="S697">
            <v>0</v>
          </cell>
        </row>
        <row r="698">
          <cell r="R698" t="str">
            <v>S200002DNew England Power</v>
          </cell>
          <cell r="S698">
            <v>-1034.3699999999999</v>
          </cell>
        </row>
        <row r="699">
          <cell r="R699" t="str">
            <v>S200002DVirginia Electric</v>
          </cell>
          <cell r="S699">
            <v>0.01</v>
          </cell>
        </row>
        <row r="700">
          <cell r="R700" t="str">
            <v>S200002DWestern Area Powe</v>
          </cell>
          <cell r="S700">
            <v>-717.6</v>
          </cell>
        </row>
        <row r="701">
          <cell r="R701" t="str">
            <v>S200002FPG&amp;E Energy Tradi</v>
          </cell>
          <cell r="S701">
            <v>0.02</v>
          </cell>
        </row>
        <row r="702">
          <cell r="R702" t="str">
            <v>S200002FWestern Area Powe</v>
          </cell>
          <cell r="S702">
            <v>717.59999999997672</v>
          </cell>
        </row>
        <row r="703">
          <cell r="R703" t="str">
            <v>S200003DMerchant Energy G</v>
          </cell>
          <cell r="S703">
            <v>0</v>
          </cell>
        </row>
        <row r="704">
          <cell r="R704" t="str">
            <v>S200003DMontana Power Com</v>
          </cell>
          <cell r="S704">
            <v>0</v>
          </cell>
        </row>
        <row r="705">
          <cell r="R705" t="str">
            <v>S200003FNew England Power</v>
          </cell>
          <cell r="S705">
            <v>0</v>
          </cell>
        </row>
        <row r="706">
          <cell r="R706" t="str">
            <v>S200003FPG&amp;E Energy Tradi</v>
          </cell>
          <cell r="S706">
            <v>0.18</v>
          </cell>
        </row>
        <row r="707">
          <cell r="R707" t="str">
            <v>S200004DLas Vegas Cogener</v>
          </cell>
          <cell r="S707">
            <v>-116734.95</v>
          </cell>
        </row>
        <row r="708">
          <cell r="R708" t="str">
            <v>S200004DNew England Power</v>
          </cell>
          <cell r="S708">
            <v>-1249.97</v>
          </cell>
        </row>
        <row r="709">
          <cell r="R709" t="str">
            <v>S200004FAvista Corporatio</v>
          </cell>
          <cell r="S709">
            <v>12936</v>
          </cell>
        </row>
        <row r="710">
          <cell r="R710" t="str">
            <v>S200004FDynegy Power Mark</v>
          </cell>
          <cell r="S710">
            <v>-12188</v>
          </cell>
        </row>
        <row r="711">
          <cell r="R711" t="str">
            <v>S200004FLas Vegas Cogener</v>
          </cell>
          <cell r="S711">
            <v>116734.95</v>
          </cell>
        </row>
        <row r="712">
          <cell r="R712" t="str">
            <v xml:space="preserve">S200005DEl Paso Electric </v>
          </cell>
          <cell r="S712">
            <v>0</v>
          </cell>
        </row>
        <row r="713">
          <cell r="R713" t="str">
            <v>S200005DLas Vegas Cogener</v>
          </cell>
          <cell r="S713">
            <v>-13355.92</v>
          </cell>
        </row>
        <row r="714">
          <cell r="R714" t="str">
            <v>S200005DNew York Independ</v>
          </cell>
          <cell r="S714">
            <v>11.23</v>
          </cell>
        </row>
        <row r="715">
          <cell r="R715" t="str">
            <v>S200005DVirginia Electric</v>
          </cell>
          <cell r="S715">
            <v>0.03</v>
          </cell>
        </row>
        <row r="716">
          <cell r="R716" t="str">
            <v>S200005FAvista Corporatio</v>
          </cell>
          <cell r="S716">
            <v>-300</v>
          </cell>
        </row>
        <row r="717">
          <cell r="R717" t="str">
            <v>S200005FDynegy Power Mark</v>
          </cell>
          <cell r="S717">
            <v>0.02</v>
          </cell>
        </row>
        <row r="718">
          <cell r="R718" t="str">
            <v>S200005FLas Vegas Cogener</v>
          </cell>
          <cell r="S718">
            <v>30532.79</v>
          </cell>
        </row>
        <row r="719">
          <cell r="R719" t="str">
            <v>S200005FMerrill Lynch Cap</v>
          </cell>
          <cell r="S719">
            <v>7.0000000000000007E-2</v>
          </cell>
        </row>
        <row r="720">
          <cell r="R720" t="str">
            <v>S200005FNew England Power</v>
          </cell>
          <cell r="S720">
            <v>0</v>
          </cell>
        </row>
        <row r="721">
          <cell r="R721" t="str">
            <v>S200005FPuget Sound Energ</v>
          </cell>
          <cell r="S721">
            <v>0.01</v>
          </cell>
        </row>
        <row r="722">
          <cell r="R722" t="str">
            <v xml:space="preserve">S200006DEl Paso Electric </v>
          </cell>
          <cell r="S722">
            <v>0</v>
          </cell>
        </row>
        <row r="723">
          <cell r="R723" t="str">
            <v>S200006DEnron Canada Corp</v>
          </cell>
          <cell r="S723">
            <v>0</v>
          </cell>
        </row>
        <row r="724">
          <cell r="R724" t="str">
            <v>S200006DJacksonville Elec</v>
          </cell>
          <cell r="S724">
            <v>512500</v>
          </cell>
        </row>
        <row r="725">
          <cell r="R725" t="str">
            <v>S200006DPacificorp</v>
          </cell>
          <cell r="S725">
            <v>0</v>
          </cell>
        </row>
        <row r="726">
          <cell r="R726" t="str">
            <v>S200006DPJM Interconnecti</v>
          </cell>
          <cell r="S726">
            <v>442537.52</v>
          </cell>
        </row>
        <row r="727">
          <cell r="R727" t="str">
            <v xml:space="preserve">S200006DPortland General </v>
          </cell>
          <cell r="S727">
            <v>-27679.87</v>
          </cell>
        </row>
        <row r="728">
          <cell r="R728" t="str">
            <v>S200006DPuget Sound Energ</v>
          </cell>
          <cell r="S728">
            <v>0.06</v>
          </cell>
        </row>
        <row r="729">
          <cell r="R729" t="str">
            <v xml:space="preserve">S200006DTransAlta Energy </v>
          </cell>
          <cell r="S729">
            <v>-270400</v>
          </cell>
        </row>
        <row r="730">
          <cell r="R730" t="str">
            <v>S200006DWestern Area Powe</v>
          </cell>
          <cell r="S730">
            <v>0</v>
          </cell>
        </row>
        <row r="731">
          <cell r="R731" t="str">
            <v>S200006FAvista Corporatio</v>
          </cell>
          <cell r="S731">
            <v>3665</v>
          </cell>
        </row>
        <row r="732">
          <cell r="R732" t="str">
            <v>S200006FDynegy Power Mark</v>
          </cell>
          <cell r="S732">
            <v>0.08</v>
          </cell>
        </row>
        <row r="733">
          <cell r="R733" t="str">
            <v>S200006FMerrill Lynch Cap</v>
          </cell>
          <cell r="S733">
            <v>0.11</v>
          </cell>
        </row>
        <row r="734">
          <cell r="R734" t="str">
            <v>S200006FNew England Power</v>
          </cell>
          <cell r="S734">
            <v>0</v>
          </cell>
        </row>
        <row r="735">
          <cell r="R735" t="str">
            <v>S200006FPG&amp;E Energy Tradi</v>
          </cell>
          <cell r="S735">
            <v>0.28000000000000003</v>
          </cell>
        </row>
        <row r="736">
          <cell r="R736" t="str">
            <v xml:space="preserve">S200006FTransAlta Energy </v>
          </cell>
          <cell r="S736">
            <v>270400</v>
          </cell>
        </row>
        <row r="737">
          <cell r="R737" t="str">
            <v>S200007DAmerican Electric</v>
          </cell>
          <cell r="S737">
            <v>-116600</v>
          </cell>
        </row>
        <row r="738">
          <cell r="R738" t="str">
            <v>S200007DCalifornia Supple</v>
          </cell>
          <cell r="S738">
            <v>0</v>
          </cell>
        </row>
        <row r="739">
          <cell r="R739" t="str">
            <v>S200007DCity of Tacoma, D</v>
          </cell>
          <cell r="S739">
            <v>-2097.6</v>
          </cell>
        </row>
        <row r="740">
          <cell r="R740" t="str">
            <v>S200007DConoco Power Mark</v>
          </cell>
          <cell r="S740">
            <v>1352.4</v>
          </cell>
        </row>
        <row r="741">
          <cell r="R741" t="str">
            <v>S200007DDelano Energy Com</v>
          </cell>
          <cell r="S741">
            <v>-27855.119999999999</v>
          </cell>
        </row>
        <row r="742">
          <cell r="R742" t="str">
            <v>S200007DDynegy Power Mark</v>
          </cell>
          <cell r="S742">
            <v>-42400</v>
          </cell>
        </row>
        <row r="743">
          <cell r="R743" t="str">
            <v>S200007DEnron Energy Serv</v>
          </cell>
          <cell r="S743">
            <v>-2771922.1</v>
          </cell>
        </row>
        <row r="744">
          <cell r="R744" t="str">
            <v>S200007DLouisiana-Pacific</v>
          </cell>
          <cell r="S744">
            <v>0</v>
          </cell>
        </row>
        <row r="745">
          <cell r="R745" t="str">
            <v>S200007DMorgan Stanley Ca</v>
          </cell>
          <cell r="S745">
            <v>0.01</v>
          </cell>
        </row>
        <row r="746">
          <cell r="R746" t="str">
            <v>S200007DNew England Power</v>
          </cell>
          <cell r="S746">
            <v>-64153931.649999999</v>
          </cell>
        </row>
        <row r="747">
          <cell r="R747" t="str">
            <v>S200007DNew York Independ</v>
          </cell>
          <cell r="S747">
            <v>-28805719.41</v>
          </cell>
        </row>
        <row r="748">
          <cell r="R748" t="str">
            <v>S200007DPacificorp</v>
          </cell>
          <cell r="S748">
            <v>4481.96</v>
          </cell>
        </row>
        <row r="749">
          <cell r="R749" t="str">
            <v>S200007DPuget Sound Energ</v>
          </cell>
          <cell r="S749">
            <v>-31995064.670000002</v>
          </cell>
        </row>
        <row r="750">
          <cell r="R750" t="str">
            <v>S200007DUnited Illuminati</v>
          </cell>
          <cell r="S750">
            <v>-3216854.8</v>
          </cell>
        </row>
        <row r="751">
          <cell r="R751" t="str">
            <v>S200007DVirginia Electric</v>
          </cell>
          <cell r="S751">
            <v>0.04</v>
          </cell>
        </row>
        <row r="752">
          <cell r="R752" t="str">
            <v>S200007DWillamette Indust</v>
          </cell>
          <cell r="S752">
            <v>0</v>
          </cell>
        </row>
        <row r="753">
          <cell r="R753" t="str">
            <v>S200007FConoco Power Mark</v>
          </cell>
          <cell r="S753">
            <v>-1352.4</v>
          </cell>
        </row>
        <row r="754">
          <cell r="R754" t="str">
            <v>S200007FDelano Energy Com</v>
          </cell>
          <cell r="S754">
            <v>27855.119999999999</v>
          </cell>
        </row>
        <row r="755">
          <cell r="R755" t="str">
            <v>S200007FDynegy Power Mark</v>
          </cell>
          <cell r="S755">
            <v>0.12</v>
          </cell>
        </row>
        <row r="756">
          <cell r="R756" t="str">
            <v>S200007FEdison Mission Ma</v>
          </cell>
          <cell r="S756">
            <v>0</v>
          </cell>
        </row>
        <row r="757">
          <cell r="R757" t="str">
            <v>S200007FEntergy Services,</v>
          </cell>
          <cell r="S757">
            <v>6747.41</v>
          </cell>
        </row>
        <row r="758">
          <cell r="R758" t="str">
            <v>S200007FNew England Power</v>
          </cell>
          <cell r="S758">
            <v>64148625.93</v>
          </cell>
        </row>
        <row r="759">
          <cell r="R759" t="str">
            <v>S200007FNSTAR Companies</v>
          </cell>
          <cell r="S759">
            <v>-146980.03</v>
          </cell>
        </row>
        <row r="760">
          <cell r="R760" t="str">
            <v>S200007FPG&amp;E Energy Tradi</v>
          </cell>
          <cell r="S760">
            <v>0.22</v>
          </cell>
        </row>
        <row r="761">
          <cell r="R761" t="str">
            <v>S200007FPuget Sound Energ</v>
          </cell>
          <cell r="S761">
            <v>31995064.670000002</v>
          </cell>
        </row>
        <row r="762">
          <cell r="R762" t="str">
            <v>S200008DAmerada Hess Corp</v>
          </cell>
          <cell r="S762">
            <v>0.01</v>
          </cell>
        </row>
        <row r="763">
          <cell r="R763" t="str">
            <v xml:space="preserve">S200008DBritish Columbia </v>
          </cell>
          <cell r="S763">
            <v>-3141684.49</v>
          </cell>
        </row>
        <row r="764">
          <cell r="R764" t="str">
            <v xml:space="preserve">S200008DCalifornia Power </v>
          </cell>
          <cell r="S764">
            <v>0</v>
          </cell>
        </row>
        <row r="765">
          <cell r="R765" t="str">
            <v xml:space="preserve">S200008DCalifornia Power </v>
          </cell>
          <cell r="S765">
            <v>0</v>
          </cell>
        </row>
        <row r="766">
          <cell r="R766" t="str">
            <v>S200008DCity of Tacoma, D</v>
          </cell>
          <cell r="S766">
            <v>0</v>
          </cell>
        </row>
        <row r="767">
          <cell r="R767" t="str">
            <v>S200008DEnron Energy Serv</v>
          </cell>
          <cell r="S767">
            <v>-1874244.62</v>
          </cell>
        </row>
        <row r="768">
          <cell r="R768" t="str">
            <v>S200008DEntergy Power Mar</v>
          </cell>
          <cell r="S768">
            <v>0</v>
          </cell>
        </row>
        <row r="769">
          <cell r="R769" t="str">
            <v>S200008DLas Vegas Cogener</v>
          </cell>
          <cell r="S769">
            <v>0</v>
          </cell>
        </row>
        <row r="770">
          <cell r="R770" t="str">
            <v>S200008DMichigan Electric</v>
          </cell>
          <cell r="S770">
            <v>-65440</v>
          </cell>
        </row>
        <row r="771">
          <cell r="R771" t="str">
            <v>S200008DMorgan Stanley Ca</v>
          </cell>
          <cell r="S771">
            <v>532972.16</v>
          </cell>
        </row>
        <row r="772">
          <cell r="R772" t="str">
            <v>S200008DNew England Power</v>
          </cell>
          <cell r="S772">
            <v>-81307862.719999999</v>
          </cell>
        </row>
        <row r="773">
          <cell r="R773" t="str">
            <v>S200008DNew York Independ</v>
          </cell>
          <cell r="S773">
            <v>0</v>
          </cell>
        </row>
        <row r="774">
          <cell r="R774" t="str">
            <v>S200008DOxy Vinyls LP</v>
          </cell>
          <cell r="S774">
            <v>-7565.6</v>
          </cell>
        </row>
        <row r="775">
          <cell r="R775" t="str">
            <v>S200008DPacificorp</v>
          </cell>
          <cell r="S775">
            <v>0</v>
          </cell>
        </row>
        <row r="776">
          <cell r="R776" t="str">
            <v>S200008DPG&amp;E Energy Tradi</v>
          </cell>
          <cell r="S776">
            <v>-1169600</v>
          </cell>
        </row>
        <row r="777">
          <cell r="R777" t="str">
            <v>S200008DPJM Interconnecti</v>
          </cell>
          <cell r="S777">
            <v>2656576.7200000002</v>
          </cell>
        </row>
        <row r="778">
          <cell r="R778" t="str">
            <v xml:space="preserve">S200008DPortland General </v>
          </cell>
          <cell r="S778">
            <v>0</v>
          </cell>
        </row>
        <row r="779">
          <cell r="R779" t="str">
            <v>S200008DPowerex Corp.</v>
          </cell>
          <cell r="S779">
            <v>3143874.49</v>
          </cell>
        </row>
        <row r="780">
          <cell r="R780" t="str">
            <v>S200008DPowerex, Power Ex</v>
          </cell>
          <cell r="S780">
            <v>-1350</v>
          </cell>
        </row>
        <row r="781">
          <cell r="R781" t="str">
            <v>S200008DPublic Service Co</v>
          </cell>
          <cell r="S781">
            <v>-15426108.6</v>
          </cell>
        </row>
        <row r="782">
          <cell r="R782" t="str">
            <v>S200008DPuget Sound Energ</v>
          </cell>
          <cell r="S782">
            <v>-222299.99</v>
          </cell>
        </row>
        <row r="783">
          <cell r="R783" t="str">
            <v>S200008DSplit Rock Energy</v>
          </cell>
          <cell r="S783">
            <v>-181043</v>
          </cell>
        </row>
        <row r="784">
          <cell r="R784" t="str">
            <v>S200008DUnited Power Asso</v>
          </cell>
          <cell r="S784">
            <v>-2175602</v>
          </cell>
        </row>
        <row r="785">
          <cell r="R785" t="str">
            <v>S200008DVirginia Electric</v>
          </cell>
          <cell r="S785">
            <v>0.09</v>
          </cell>
        </row>
        <row r="786">
          <cell r="R786" t="str">
            <v>S200008DWillamette Indust</v>
          </cell>
          <cell r="S786">
            <v>0</v>
          </cell>
        </row>
        <row r="787">
          <cell r="R787" t="str">
            <v>S200008FConstellation Pow</v>
          </cell>
          <cell r="S787">
            <v>-3.84</v>
          </cell>
        </row>
        <row r="788">
          <cell r="R788" t="str">
            <v>S200008FDynegy Power Mark</v>
          </cell>
          <cell r="S788">
            <v>0.08</v>
          </cell>
        </row>
        <row r="789">
          <cell r="R789" t="str">
            <v>S200008FEdison Mission Ma</v>
          </cell>
          <cell r="S789">
            <v>0</v>
          </cell>
        </row>
        <row r="790">
          <cell r="R790" t="str">
            <v>S200008FLouisville Gas An</v>
          </cell>
          <cell r="S790">
            <v>10625</v>
          </cell>
        </row>
        <row r="791">
          <cell r="R791" t="str">
            <v>S200008FMichigan Electric</v>
          </cell>
          <cell r="S791">
            <v>65440</v>
          </cell>
        </row>
        <row r="792">
          <cell r="R792" t="str">
            <v>S200008FNew England Power</v>
          </cell>
          <cell r="S792">
            <v>81223454.849999994</v>
          </cell>
        </row>
        <row r="793">
          <cell r="R793" t="str">
            <v>S200008FNSTAR Companies</v>
          </cell>
          <cell r="S793">
            <v>-155693.51999999999</v>
          </cell>
        </row>
        <row r="794">
          <cell r="R794" t="str">
            <v>S200008FOxy Vinyls LP</v>
          </cell>
          <cell r="S794">
            <v>7565.6</v>
          </cell>
        </row>
        <row r="795">
          <cell r="R795" t="str">
            <v>S200008FPG&amp;E Energy Tradi</v>
          </cell>
          <cell r="S795">
            <v>0.17</v>
          </cell>
        </row>
        <row r="796">
          <cell r="R796" t="str">
            <v>S200008FPublic Service Co</v>
          </cell>
          <cell r="S796">
            <v>15426108.6</v>
          </cell>
        </row>
        <row r="797">
          <cell r="R797" t="str">
            <v>S200008FSaguaro Power Com</v>
          </cell>
          <cell r="S797">
            <v>81400</v>
          </cell>
        </row>
        <row r="798">
          <cell r="R798" t="str">
            <v>S200008FSplit Rock Energy</v>
          </cell>
          <cell r="S798">
            <v>14737</v>
          </cell>
        </row>
        <row r="799">
          <cell r="R799" t="str">
            <v>S200008FUnited Power Asso</v>
          </cell>
          <cell r="S799">
            <v>2337742.1</v>
          </cell>
        </row>
        <row r="800">
          <cell r="R800" t="str">
            <v xml:space="preserve">S200009DAllegheny Energy </v>
          </cell>
          <cell r="S800">
            <v>-22732848</v>
          </cell>
        </row>
        <row r="801">
          <cell r="R801" t="str">
            <v xml:space="preserve">S200009DAlliant Services </v>
          </cell>
          <cell r="S801">
            <v>-977550</v>
          </cell>
        </row>
        <row r="802">
          <cell r="R802" t="str">
            <v>S200009DAlternate Power S</v>
          </cell>
          <cell r="S802">
            <v>-16980</v>
          </cell>
        </row>
        <row r="803">
          <cell r="R803" t="str">
            <v>S200009DAmerada Hess Corp</v>
          </cell>
          <cell r="S803">
            <v>-18663</v>
          </cell>
        </row>
        <row r="804">
          <cell r="R804" t="str">
            <v>S200009DAmeren Energy, In</v>
          </cell>
          <cell r="S804">
            <v>-6119600</v>
          </cell>
        </row>
        <row r="805">
          <cell r="R805" t="str">
            <v>S200009DAmerican Electric</v>
          </cell>
          <cell r="S805">
            <v>-349219582.10000002</v>
          </cell>
        </row>
        <row r="806">
          <cell r="R806" t="str">
            <v>S200009DAquila Energy Mar</v>
          </cell>
          <cell r="S806">
            <v>-255776395.03</v>
          </cell>
        </row>
        <row r="807">
          <cell r="R807" t="str">
            <v>S200009DAvista Corporatio</v>
          </cell>
          <cell r="S807">
            <v>30769</v>
          </cell>
        </row>
        <row r="808">
          <cell r="R808" t="str">
            <v>S200009DAvista Energy, In</v>
          </cell>
          <cell r="S808">
            <v>12780</v>
          </cell>
        </row>
        <row r="809">
          <cell r="R809" t="str">
            <v xml:space="preserve">S200009DBonneville Power </v>
          </cell>
          <cell r="S809">
            <v>-45429000</v>
          </cell>
        </row>
        <row r="810">
          <cell r="R810" t="str">
            <v>S200009DBP Energy Company</v>
          </cell>
          <cell r="S810">
            <v>-32663900</v>
          </cell>
        </row>
        <row r="811">
          <cell r="R811" t="str">
            <v xml:space="preserve">S200009DBritish Columbia </v>
          </cell>
          <cell r="S811">
            <v>-25856671.77</v>
          </cell>
        </row>
        <row r="812">
          <cell r="R812" t="str">
            <v xml:space="preserve">S200009DCalifornia Power </v>
          </cell>
          <cell r="S812">
            <v>216612.54</v>
          </cell>
        </row>
        <row r="813">
          <cell r="R813" t="str">
            <v xml:space="preserve">S200009DCalifornia Power </v>
          </cell>
          <cell r="S813">
            <v>330135.03000000003</v>
          </cell>
        </row>
        <row r="814">
          <cell r="R814" t="str">
            <v>S200009DCalpine Power Ser</v>
          </cell>
          <cell r="S814">
            <v>-6358213.75</v>
          </cell>
        </row>
        <row r="815">
          <cell r="R815" t="str">
            <v xml:space="preserve">S200009DCargill-Alliant, </v>
          </cell>
          <cell r="S815">
            <v>-3832790</v>
          </cell>
        </row>
        <row r="816">
          <cell r="R816" t="str">
            <v xml:space="preserve">S200009DCarolina Power &amp; </v>
          </cell>
          <cell r="S816">
            <v>-743800</v>
          </cell>
        </row>
        <row r="817">
          <cell r="R817" t="str">
            <v>S200009DCentral and South</v>
          </cell>
          <cell r="S817">
            <v>-147740</v>
          </cell>
        </row>
        <row r="818">
          <cell r="R818" t="str">
            <v xml:space="preserve">S200009DCentral Illinois </v>
          </cell>
          <cell r="S818">
            <v>-550168</v>
          </cell>
        </row>
        <row r="819">
          <cell r="R819" t="str">
            <v>S200009DCinergy Services,</v>
          </cell>
          <cell r="S819">
            <v>-37814171.380000003</v>
          </cell>
        </row>
        <row r="820">
          <cell r="R820" t="str">
            <v>S200009DCity of McMinnvil</v>
          </cell>
          <cell r="S820">
            <v>-85320</v>
          </cell>
        </row>
        <row r="821">
          <cell r="R821" t="str">
            <v>S200009DCity of Redding</v>
          </cell>
          <cell r="S821">
            <v>-337440</v>
          </cell>
        </row>
        <row r="822">
          <cell r="R822" t="str">
            <v>S200009DCity of Roseville</v>
          </cell>
          <cell r="S822">
            <v>-1764000</v>
          </cell>
        </row>
        <row r="823">
          <cell r="R823" t="str">
            <v>S200009DCity of Tacoma, D</v>
          </cell>
          <cell r="S823">
            <v>8347.2000000000007</v>
          </cell>
        </row>
        <row r="824">
          <cell r="R824" t="str">
            <v>S200009DCLECO Corporation</v>
          </cell>
          <cell r="S824">
            <v>-127800</v>
          </cell>
        </row>
        <row r="825">
          <cell r="R825" t="str">
            <v>S200009DCLECO Marketing a</v>
          </cell>
          <cell r="S825">
            <v>-1396400</v>
          </cell>
        </row>
        <row r="826">
          <cell r="R826" t="str">
            <v>S200009DCleco Utility Gro</v>
          </cell>
          <cell r="S826">
            <v>-30400</v>
          </cell>
        </row>
        <row r="827">
          <cell r="R827" t="str">
            <v>S200009DCMS Marketing, Se</v>
          </cell>
          <cell r="S827">
            <v>-4375586.38</v>
          </cell>
        </row>
        <row r="828">
          <cell r="R828" t="str">
            <v xml:space="preserve">S200009DCoastal Merchant </v>
          </cell>
          <cell r="S828">
            <v>-540800</v>
          </cell>
        </row>
        <row r="829">
          <cell r="R829" t="str">
            <v>S200009DColorado River Co</v>
          </cell>
          <cell r="S829">
            <v>0</v>
          </cell>
        </row>
        <row r="830">
          <cell r="R830" t="str">
            <v>S200009DConectiv Energy S</v>
          </cell>
          <cell r="S830">
            <v>-4358800</v>
          </cell>
        </row>
        <row r="831">
          <cell r="R831" t="str">
            <v>S200009DConnecticut Munic</v>
          </cell>
          <cell r="S831">
            <v>-324900</v>
          </cell>
        </row>
        <row r="832">
          <cell r="R832" t="str">
            <v>S200009DConoco Power Mark</v>
          </cell>
          <cell r="S832">
            <v>-4200791.04</v>
          </cell>
        </row>
        <row r="833">
          <cell r="R833" t="str">
            <v>S200009DConstellation Pow</v>
          </cell>
          <cell r="S833">
            <v>-177321610.31</v>
          </cell>
        </row>
        <row r="834">
          <cell r="R834" t="str">
            <v xml:space="preserve">S200009DDayton Power and </v>
          </cell>
          <cell r="S834">
            <v>-237666</v>
          </cell>
        </row>
        <row r="835">
          <cell r="R835" t="str">
            <v>S200009DDTE Energy Tradin</v>
          </cell>
          <cell r="S835">
            <v>-7034800</v>
          </cell>
        </row>
        <row r="836">
          <cell r="R836" t="str">
            <v>S200009DDuke Energy Tradi</v>
          </cell>
          <cell r="S836">
            <v>-275275200</v>
          </cell>
        </row>
        <row r="837">
          <cell r="R837" t="str">
            <v>S200009DDuke Power, a div</v>
          </cell>
          <cell r="S837">
            <v>-9310</v>
          </cell>
        </row>
        <row r="838">
          <cell r="R838" t="str">
            <v>S200009DDynegy Power Mark</v>
          </cell>
          <cell r="S838">
            <v>-63397396.979999997</v>
          </cell>
        </row>
        <row r="839">
          <cell r="R839" t="str">
            <v>S200009DEdison Mission Ma</v>
          </cell>
          <cell r="S839">
            <v>-158234564.72</v>
          </cell>
        </row>
        <row r="840">
          <cell r="R840" t="str">
            <v xml:space="preserve">S200009DEl Paso Electric </v>
          </cell>
          <cell r="S840">
            <v>40119.839999999997</v>
          </cell>
        </row>
        <row r="841">
          <cell r="R841" t="str">
            <v xml:space="preserve">S200009DEl Paso Merchant </v>
          </cell>
          <cell r="S841">
            <v>-220246612</v>
          </cell>
        </row>
        <row r="842">
          <cell r="R842" t="str">
            <v xml:space="preserve">S200009DEmerald People's </v>
          </cell>
          <cell r="S842">
            <v>-112428</v>
          </cell>
        </row>
        <row r="843">
          <cell r="R843" t="str">
            <v>S200009DEnergy New Englan</v>
          </cell>
          <cell r="S843">
            <v>-58200</v>
          </cell>
        </row>
        <row r="844">
          <cell r="R844" t="str">
            <v>S200009DEnron Energy Mark</v>
          </cell>
          <cell r="S844">
            <v>-92278.32</v>
          </cell>
        </row>
        <row r="845">
          <cell r="R845" t="str">
            <v>S200009DEnron Energy Serv</v>
          </cell>
          <cell r="S845">
            <v>162803.28</v>
          </cell>
        </row>
        <row r="846">
          <cell r="R846" t="str">
            <v>S200009DEntergy Power Mar</v>
          </cell>
          <cell r="S846">
            <v>-7826527</v>
          </cell>
        </row>
        <row r="847">
          <cell r="R847" t="str">
            <v>S200009DEugene Water &amp; El</v>
          </cell>
          <cell r="S847">
            <v>-576000</v>
          </cell>
        </row>
        <row r="848">
          <cell r="R848" t="str">
            <v>S200009DFlorida Power &amp; L</v>
          </cell>
          <cell r="S848">
            <v>-28587</v>
          </cell>
        </row>
        <row r="849">
          <cell r="R849" t="str">
            <v>S200009DFlorida Power Cor</v>
          </cell>
          <cell r="S849">
            <v>-1301759</v>
          </cell>
        </row>
        <row r="850">
          <cell r="R850" t="str">
            <v xml:space="preserve">S200009DFPL Energy Power </v>
          </cell>
          <cell r="S850">
            <v>-70400</v>
          </cell>
        </row>
        <row r="851">
          <cell r="R851" t="str">
            <v>S200009DHQ Energy Service</v>
          </cell>
          <cell r="S851">
            <v>-8256600</v>
          </cell>
        </row>
        <row r="852">
          <cell r="R852" t="str">
            <v>S200009DIdaho Power Compa</v>
          </cell>
          <cell r="S852">
            <v>36825</v>
          </cell>
        </row>
        <row r="853">
          <cell r="R853" t="str">
            <v>S200009DIllinova Energy P</v>
          </cell>
          <cell r="S853">
            <v>-546000</v>
          </cell>
        </row>
        <row r="854">
          <cell r="R854" t="str">
            <v>S200009DIndiana Municipal</v>
          </cell>
          <cell r="S854">
            <v>-45200</v>
          </cell>
        </row>
        <row r="855">
          <cell r="R855" t="str">
            <v>S200009DIndianapolis Powe</v>
          </cell>
          <cell r="S855">
            <v>-7650</v>
          </cell>
        </row>
        <row r="856">
          <cell r="R856" t="str">
            <v>S200009DJacksonville Elec</v>
          </cell>
          <cell r="S856">
            <v>-1099050.44</v>
          </cell>
        </row>
        <row r="857">
          <cell r="R857" t="str">
            <v>S200009DKansas City Power</v>
          </cell>
          <cell r="S857">
            <v>-43280</v>
          </cell>
        </row>
        <row r="858">
          <cell r="R858" t="str">
            <v>S200009DKCS Medallion Res</v>
          </cell>
          <cell r="S858">
            <v>-20000</v>
          </cell>
        </row>
        <row r="859">
          <cell r="R859" t="str">
            <v>S200009DKoch Energy Tradi</v>
          </cell>
          <cell r="S859">
            <v>-53444700</v>
          </cell>
        </row>
        <row r="860">
          <cell r="R860" t="str">
            <v>S200009DLG&amp;E Energy Marke</v>
          </cell>
          <cell r="S860">
            <v>-5321600</v>
          </cell>
        </row>
        <row r="861">
          <cell r="R861" t="str">
            <v>S200009DLos Angeles Dept.</v>
          </cell>
          <cell r="S861">
            <v>-1645623.85</v>
          </cell>
        </row>
        <row r="862">
          <cell r="R862" t="str">
            <v>S200009DLouisiana-Pacific</v>
          </cell>
          <cell r="S862">
            <v>-616227.92000000004</v>
          </cell>
        </row>
        <row r="863">
          <cell r="R863" t="str">
            <v>S200009DLower Colorado Ri</v>
          </cell>
          <cell r="S863">
            <v>0</v>
          </cell>
        </row>
        <row r="864">
          <cell r="R864" t="str">
            <v>S200009DMerchant Energy G</v>
          </cell>
          <cell r="S864">
            <v>-18760500</v>
          </cell>
        </row>
        <row r="865">
          <cell r="R865" t="str">
            <v>S200009DMerrill Lynch Cap</v>
          </cell>
          <cell r="S865">
            <v>-52987900</v>
          </cell>
        </row>
        <row r="866">
          <cell r="R866" t="str">
            <v>S200009DMichigan Electric</v>
          </cell>
          <cell r="S866">
            <v>-1174273</v>
          </cell>
        </row>
        <row r="867">
          <cell r="R867" t="str">
            <v>S200009DMidAmerican Energ</v>
          </cell>
          <cell r="S867">
            <v>-24835</v>
          </cell>
        </row>
        <row r="868">
          <cell r="R868" t="str">
            <v>S200009DMieco Inc.</v>
          </cell>
          <cell r="S868">
            <v>-42660600</v>
          </cell>
        </row>
        <row r="869">
          <cell r="R869" t="str">
            <v>S200009DMinnesota Municip</v>
          </cell>
          <cell r="S869">
            <v>-106955</v>
          </cell>
        </row>
        <row r="870">
          <cell r="R870" t="str">
            <v>S200009DMissoula Electric</v>
          </cell>
          <cell r="S870">
            <v>-3168</v>
          </cell>
        </row>
        <row r="871">
          <cell r="R871" t="str">
            <v>S200009DMontana Power Com</v>
          </cell>
          <cell r="S871">
            <v>-2620</v>
          </cell>
        </row>
        <row r="872">
          <cell r="R872" t="str">
            <v>S200009DMorgan Stanley Ca</v>
          </cell>
          <cell r="S872">
            <v>-14067850</v>
          </cell>
        </row>
        <row r="873">
          <cell r="R873" t="str">
            <v>S200009DNevada Power Comp</v>
          </cell>
          <cell r="S873">
            <v>-10169500</v>
          </cell>
        </row>
        <row r="874">
          <cell r="R874" t="str">
            <v>S200009DNew England Power</v>
          </cell>
          <cell r="S874">
            <v>-52907790.329999998</v>
          </cell>
        </row>
        <row r="875">
          <cell r="R875" t="str">
            <v>S200009DNew York Independ</v>
          </cell>
          <cell r="S875">
            <v>8256456.8300000001</v>
          </cell>
        </row>
        <row r="876">
          <cell r="R876" t="str">
            <v>S200009DNortheast Utiliti</v>
          </cell>
          <cell r="S876">
            <v>-1460440</v>
          </cell>
        </row>
        <row r="877">
          <cell r="R877" t="str">
            <v>S200009DNorthern States P</v>
          </cell>
          <cell r="S877">
            <v>-1581425</v>
          </cell>
        </row>
        <row r="878">
          <cell r="R878" t="str">
            <v>S200009DNRG Power Marketi</v>
          </cell>
          <cell r="S878">
            <v>-2083400</v>
          </cell>
        </row>
        <row r="879">
          <cell r="R879" t="str">
            <v>S200009DNSTAR Companies</v>
          </cell>
          <cell r="S879">
            <v>-15210052.939999999</v>
          </cell>
        </row>
        <row r="880">
          <cell r="R880" t="str">
            <v>S200009DOGE Energy Resour</v>
          </cell>
          <cell r="S880">
            <v>-5072000</v>
          </cell>
        </row>
        <row r="881">
          <cell r="R881" t="str">
            <v xml:space="preserve">S200009DOtter Tail Power </v>
          </cell>
          <cell r="S881">
            <v>-148130</v>
          </cell>
        </row>
        <row r="882">
          <cell r="R882" t="str">
            <v>S200009DPacific Northwest</v>
          </cell>
          <cell r="S882">
            <v>-1355400</v>
          </cell>
        </row>
        <row r="883">
          <cell r="R883" t="str">
            <v>S200009DPacificorp</v>
          </cell>
          <cell r="S883">
            <v>-2100</v>
          </cell>
        </row>
        <row r="884">
          <cell r="R884" t="str">
            <v xml:space="preserve">S200009DPacifiCorp Power </v>
          </cell>
          <cell r="S884">
            <v>-11458000</v>
          </cell>
        </row>
        <row r="885">
          <cell r="R885" t="str">
            <v>S200009DPG&amp;E Energy Tradi</v>
          </cell>
          <cell r="S885">
            <v>-89110068.689999998</v>
          </cell>
        </row>
        <row r="886">
          <cell r="R886" t="str">
            <v>S200009DPJM Interconnecti</v>
          </cell>
          <cell r="S886">
            <v>450854.56</v>
          </cell>
        </row>
        <row r="887">
          <cell r="R887" t="str">
            <v xml:space="preserve">S200009DPortland General </v>
          </cell>
          <cell r="S887">
            <v>57881.05</v>
          </cell>
        </row>
        <row r="888">
          <cell r="R888" t="str">
            <v>S200009DPPL EnergyPlus, L</v>
          </cell>
          <cell r="S888">
            <v>-4912700</v>
          </cell>
        </row>
        <row r="889">
          <cell r="R889" t="str">
            <v>S200009DPublic Service Co</v>
          </cell>
          <cell r="S889">
            <v>-32713937.5</v>
          </cell>
        </row>
        <row r="890">
          <cell r="R890" t="str">
            <v>S200009DPublic Service Co</v>
          </cell>
          <cell r="S890">
            <v>-12099644</v>
          </cell>
        </row>
        <row r="891">
          <cell r="R891" t="str">
            <v>S200009DPublic Service El</v>
          </cell>
          <cell r="S891">
            <v>-29923700</v>
          </cell>
        </row>
        <row r="892">
          <cell r="R892" t="str">
            <v>S200009DPublic Utility Di</v>
          </cell>
          <cell r="S892">
            <v>-2162200</v>
          </cell>
        </row>
        <row r="893">
          <cell r="R893" t="str">
            <v>S200009DPublic Utility Di</v>
          </cell>
          <cell r="S893">
            <v>0</v>
          </cell>
        </row>
        <row r="894">
          <cell r="R894" t="str">
            <v>S200009DPuget Sound Energ</v>
          </cell>
          <cell r="S894">
            <v>0</v>
          </cell>
        </row>
        <row r="895">
          <cell r="R895" t="str">
            <v>S200009DRainbow Energy Ma</v>
          </cell>
          <cell r="S895">
            <v>-446400</v>
          </cell>
        </row>
        <row r="896">
          <cell r="R896" t="str">
            <v>S200009DReliant Energy HL</v>
          </cell>
          <cell r="S896">
            <v>-1717520</v>
          </cell>
        </row>
        <row r="897">
          <cell r="R897" t="str">
            <v>S200009DReliant Energy Se</v>
          </cell>
          <cell r="S897">
            <v>-128917748.66</v>
          </cell>
        </row>
        <row r="898">
          <cell r="R898" t="str">
            <v>S200009DSacramento Munici</v>
          </cell>
          <cell r="S898">
            <v>-4311700</v>
          </cell>
        </row>
        <row r="899">
          <cell r="R899" t="str">
            <v>S200009DSalt River Projec</v>
          </cell>
          <cell r="S899">
            <v>-3478672.5</v>
          </cell>
        </row>
        <row r="900">
          <cell r="R900" t="str">
            <v>S200009DSaskatchewan Powe</v>
          </cell>
          <cell r="S900">
            <v>-66565</v>
          </cell>
        </row>
        <row r="901">
          <cell r="R901" t="str">
            <v>S200009DSeattle City Ligh</v>
          </cell>
          <cell r="S901">
            <v>-1543550</v>
          </cell>
        </row>
        <row r="902">
          <cell r="R902" t="str">
            <v>S200009DSempra Energy Tra</v>
          </cell>
          <cell r="S902">
            <v>-132849180</v>
          </cell>
        </row>
        <row r="903">
          <cell r="R903" t="str">
            <v>S200009DSierra Pacific Po</v>
          </cell>
          <cell r="S903">
            <v>-9268000</v>
          </cell>
        </row>
        <row r="904">
          <cell r="R904" t="str">
            <v>S200009DSmurfit-Stone Con</v>
          </cell>
          <cell r="S904">
            <v>-2397225.84</v>
          </cell>
        </row>
        <row r="905">
          <cell r="R905" t="str">
            <v>S200009DSouth Carolina El</v>
          </cell>
          <cell r="S905">
            <v>-80938.2</v>
          </cell>
        </row>
        <row r="906">
          <cell r="R906" t="str">
            <v xml:space="preserve">S200009DSouthern Company </v>
          </cell>
          <cell r="S906">
            <v>-1436743</v>
          </cell>
        </row>
        <row r="907">
          <cell r="R907" t="str">
            <v xml:space="preserve">S200009DSouthern Company </v>
          </cell>
          <cell r="S907">
            <v>-194602422.75</v>
          </cell>
        </row>
        <row r="908">
          <cell r="R908" t="str">
            <v>S200009DSplit Rock Energy</v>
          </cell>
          <cell r="S908">
            <v>-216836</v>
          </cell>
        </row>
        <row r="909">
          <cell r="R909" t="str">
            <v>S200009DTampa Electric Co</v>
          </cell>
          <cell r="S909">
            <v>-120012.4</v>
          </cell>
        </row>
        <row r="910">
          <cell r="R910" t="str">
            <v>S200009DTenaska Power Ser</v>
          </cell>
          <cell r="S910">
            <v>-16400</v>
          </cell>
        </row>
        <row r="911">
          <cell r="R911" t="str">
            <v xml:space="preserve">S200009DTexas-New Mexico </v>
          </cell>
          <cell r="S911">
            <v>0</v>
          </cell>
        </row>
        <row r="912">
          <cell r="R912" t="str">
            <v>S200009DThe City of Azusa</v>
          </cell>
          <cell r="S912">
            <v>0</v>
          </cell>
        </row>
        <row r="913">
          <cell r="R913" t="str">
            <v xml:space="preserve">S200009DTractebel Energy </v>
          </cell>
          <cell r="S913">
            <v>-63082200</v>
          </cell>
        </row>
        <row r="914">
          <cell r="R914" t="str">
            <v xml:space="preserve">S200009DTransAlta Energy </v>
          </cell>
          <cell r="S914">
            <v>-23004300</v>
          </cell>
        </row>
        <row r="915">
          <cell r="R915" t="str">
            <v>S200009DTurlock Irrigatio</v>
          </cell>
          <cell r="S915">
            <v>-2129000</v>
          </cell>
        </row>
        <row r="916">
          <cell r="R916" t="str">
            <v>S200009DUnited Illuminati</v>
          </cell>
          <cell r="S916">
            <v>0</v>
          </cell>
        </row>
        <row r="917">
          <cell r="R917" t="str">
            <v>S200009DUnited Power Asso</v>
          </cell>
          <cell r="S917">
            <v>-1686740</v>
          </cell>
        </row>
        <row r="918">
          <cell r="R918" t="str">
            <v>S200009DValley Electric A</v>
          </cell>
          <cell r="S918">
            <v>-1213657.3</v>
          </cell>
        </row>
        <row r="919">
          <cell r="R919" t="str">
            <v>S200009DVermont Public Po</v>
          </cell>
          <cell r="S919">
            <v>-192417.5</v>
          </cell>
        </row>
        <row r="920">
          <cell r="R920" t="str">
            <v>S200009DVernon, City of</v>
          </cell>
          <cell r="S920">
            <v>-1109000</v>
          </cell>
        </row>
        <row r="921">
          <cell r="R921" t="str">
            <v>S200009DVirginia Electric</v>
          </cell>
          <cell r="S921">
            <v>-21872350.039999999</v>
          </cell>
        </row>
        <row r="922">
          <cell r="R922" t="str">
            <v>S200009DWestern Area Powe</v>
          </cell>
          <cell r="S922">
            <v>-4232633.5999999996</v>
          </cell>
        </row>
        <row r="923">
          <cell r="R923" t="str">
            <v>S200009DWestern Area Powe</v>
          </cell>
          <cell r="S923">
            <v>-20000</v>
          </cell>
        </row>
        <row r="924">
          <cell r="R924" t="str">
            <v>S200009DWestern Resources</v>
          </cell>
          <cell r="S924">
            <v>-7909190</v>
          </cell>
        </row>
        <row r="925">
          <cell r="R925" t="str">
            <v>S200009DWilliams Energy M</v>
          </cell>
          <cell r="S925">
            <v>-76721762.409999996</v>
          </cell>
        </row>
        <row r="926">
          <cell r="R926" t="str">
            <v xml:space="preserve">S200009FAllegheny Energy </v>
          </cell>
          <cell r="S926">
            <v>22742690.289999999</v>
          </cell>
        </row>
        <row r="927">
          <cell r="R927" t="str">
            <v>S200009FAlliant Energy Co</v>
          </cell>
          <cell r="S927">
            <v>977550</v>
          </cell>
        </row>
        <row r="928">
          <cell r="R928" t="str">
            <v>S200009FAlternate Power S</v>
          </cell>
          <cell r="S928">
            <v>16980</v>
          </cell>
        </row>
        <row r="929">
          <cell r="R929" t="str">
            <v>S200009FAmerada Hess Corp</v>
          </cell>
          <cell r="S929">
            <v>18662.75</v>
          </cell>
        </row>
        <row r="930">
          <cell r="R930" t="str">
            <v>S200009FAmeren Energy, In</v>
          </cell>
          <cell r="S930">
            <v>6119600</v>
          </cell>
        </row>
        <row r="931">
          <cell r="R931" t="str">
            <v>S200009FAmerican Electric</v>
          </cell>
          <cell r="S931">
            <v>349233479.38</v>
          </cell>
        </row>
        <row r="932">
          <cell r="R932" t="str">
            <v>S200009FAquila Energy Mar</v>
          </cell>
          <cell r="S932">
            <v>255808950.12</v>
          </cell>
        </row>
        <row r="933">
          <cell r="R933" t="str">
            <v xml:space="preserve">S200009FBonneville Power </v>
          </cell>
          <cell r="S933">
            <v>45429000</v>
          </cell>
        </row>
        <row r="934">
          <cell r="R934" t="str">
            <v>S200009FBP Energy Company</v>
          </cell>
          <cell r="S934">
            <v>32663900</v>
          </cell>
        </row>
        <row r="935">
          <cell r="R935" t="str">
            <v>S200009FCalpine Power Ser</v>
          </cell>
          <cell r="S935">
            <v>6361042.1900000004</v>
          </cell>
        </row>
        <row r="936">
          <cell r="R936" t="str">
            <v xml:space="preserve">S200009FCargill-Alliant, </v>
          </cell>
          <cell r="S936">
            <v>3832790</v>
          </cell>
        </row>
        <row r="937">
          <cell r="R937" t="str">
            <v xml:space="preserve">S200009FCarolina Power &amp; </v>
          </cell>
          <cell r="S937">
            <v>743800</v>
          </cell>
        </row>
        <row r="938">
          <cell r="R938" t="str">
            <v>S200009FCentral and South</v>
          </cell>
          <cell r="S938">
            <v>147740</v>
          </cell>
        </row>
        <row r="939">
          <cell r="R939" t="str">
            <v xml:space="preserve">S200009FCentral Illinois </v>
          </cell>
          <cell r="S939">
            <v>552800</v>
          </cell>
        </row>
        <row r="940">
          <cell r="R940" t="str">
            <v>S200009FCinergy Services,</v>
          </cell>
          <cell r="S940">
            <v>37814171.380000003</v>
          </cell>
        </row>
        <row r="941">
          <cell r="R941" t="str">
            <v>S200009FCity of McMinnvil</v>
          </cell>
          <cell r="S941">
            <v>85320</v>
          </cell>
        </row>
        <row r="942">
          <cell r="R942" t="str">
            <v>S200009FCity of Redding</v>
          </cell>
          <cell r="S942">
            <v>337440</v>
          </cell>
        </row>
        <row r="943">
          <cell r="R943" t="str">
            <v>S200009FCity of Roseville</v>
          </cell>
          <cell r="S943">
            <v>1764000</v>
          </cell>
        </row>
        <row r="944">
          <cell r="R944" t="str">
            <v>S200009FCLECO Corporation</v>
          </cell>
          <cell r="S944">
            <v>127800</v>
          </cell>
        </row>
        <row r="945">
          <cell r="R945" t="str">
            <v>S200009FCLECO Marketing a</v>
          </cell>
          <cell r="S945">
            <v>1396400</v>
          </cell>
        </row>
        <row r="946">
          <cell r="R946" t="str">
            <v>S200009FCleco Utility Gro</v>
          </cell>
          <cell r="S946">
            <v>30400</v>
          </cell>
        </row>
        <row r="947">
          <cell r="R947" t="str">
            <v>S200009FCMS Marketing, Se</v>
          </cell>
          <cell r="S947">
            <v>4375586.38</v>
          </cell>
        </row>
        <row r="948">
          <cell r="R948" t="str">
            <v xml:space="preserve">S200009FCoastal Merchant </v>
          </cell>
          <cell r="S948">
            <v>540800</v>
          </cell>
        </row>
        <row r="949">
          <cell r="R949" t="str">
            <v>S200009FConectiv Energy S</v>
          </cell>
          <cell r="S949">
            <v>4358800</v>
          </cell>
        </row>
        <row r="950">
          <cell r="R950" t="str">
            <v>S200009FConnecticut Munic</v>
          </cell>
          <cell r="S950">
            <v>324900</v>
          </cell>
        </row>
        <row r="951">
          <cell r="R951" t="str">
            <v>S200009FConoco Power Mark</v>
          </cell>
          <cell r="S951">
            <v>4215266.88</v>
          </cell>
        </row>
        <row r="952">
          <cell r="R952" t="str">
            <v>S200009FConstellation Pow</v>
          </cell>
          <cell r="S952">
            <v>177348666.48000002</v>
          </cell>
        </row>
        <row r="953">
          <cell r="R953" t="str">
            <v xml:space="preserve">S200009FDayton Power and </v>
          </cell>
          <cell r="S953">
            <v>237666</v>
          </cell>
        </row>
        <row r="954">
          <cell r="R954" t="str">
            <v>S200009FDTE Energy Tradin</v>
          </cell>
          <cell r="S954">
            <v>7034800</v>
          </cell>
        </row>
        <row r="955">
          <cell r="R955" t="str">
            <v>S200009FDuke Energy Tradi</v>
          </cell>
          <cell r="S955">
            <v>275275200</v>
          </cell>
        </row>
        <row r="956">
          <cell r="R956" t="str">
            <v>S200009FDuke Power, a div</v>
          </cell>
          <cell r="S956">
            <v>6510</v>
          </cell>
        </row>
        <row r="957">
          <cell r="R957" t="str">
            <v>S200009FDynegy Power Mark</v>
          </cell>
          <cell r="S957">
            <v>63402448.020000003</v>
          </cell>
        </row>
        <row r="958">
          <cell r="R958" t="str">
            <v>S200009FEdison Mission Ma</v>
          </cell>
          <cell r="S958">
            <v>158234564.25999999</v>
          </cell>
        </row>
        <row r="959">
          <cell r="R959" t="str">
            <v xml:space="preserve">S200009FEl Paso Merchant </v>
          </cell>
          <cell r="S959">
            <v>220251112</v>
          </cell>
        </row>
        <row r="960">
          <cell r="R960" t="str">
            <v xml:space="preserve">S200009FEmerald People's </v>
          </cell>
          <cell r="S960">
            <v>112428</v>
          </cell>
        </row>
        <row r="961">
          <cell r="R961" t="str">
            <v>S200009FEnergy New Englan</v>
          </cell>
          <cell r="S961">
            <v>58200</v>
          </cell>
        </row>
        <row r="962">
          <cell r="R962" t="str">
            <v>S200009FEntergy Power Mar</v>
          </cell>
          <cell r="S962">
            <v>7826527</v>
          </cell>
        </row>
        <row r="963">
          <cell r="R963" t="str">
            <v>S200009FEugene Water &amp; El</v>
          </cell>
          <cell r="S963">
            <v>576000</v>
          </cell>
        </row>
        <row r="964">
          <cell r="R964" t="str">
            <v>S200009FFlorida Power &amp; L</v>
          </cell>
          <cell r="S964">
            <v>28587</v>
          </cell>
        </row>
        <row r="965">
          <cell r="R965" t="str">
            <v>S200009FFlorida Power Cor</v>
          </cell>
          <cell r="S965">
            <v>1314802</v>
          </cell>
        </row>
        <row r="966">
          <cell r="R966" t="str">
            <v xml:space="preserve">S200009FFPL Energy Power </v>
          </cell>
          <cell r="S966">
            <v>70400</v>
          </cell>
        </row>
        <row r="967">
          <cell r="R967" t="str">
            <v>S200009FHarbor Cogenerati</v>
          </cell>
          <cell r="S967">
            <v>1859931.5</v>
          </cell>
        </row>
        <row r="968">
          <cell r="R968" t="str">
            <v>S200009FHQ Energy Service</v>
          </cell>
          <cell r="S968">
            <v>8256600</v>
          </cell>
        </row>
        <row r="969">
          <cell r="R969" t="str">
            <v>S200009FIllinova Energy P</v>
          </cell>
          <cell r="S969">
            <v>546000</v>
          </cell>
        </row>
        <row r="970">
          <cell r="R970" t="str">
            <v>S200009FIndiana Municipal</v>
          </cell>
          <cell r="S970">
            <v>45200</v>
          </cell>
        </row>
        <row r="971">
          <cell r="R971" t="str">
            <v>S200009FIndianapolis Powe</v>
          </cell>
          <cell r="S971">
            <v>7650</v>
          </cell>
        </row>
        <row r="972">
          <cell r="R972" t="str">
            <v>S200009FJacksonville Elec</v>
          </cell>
          <cell r="S972">
            <v>1096447.82</v>
          </cell>
        </row>
        <row r="973">
          <cell r="R973" t="str">
            <v>S200009FKansas City Power</v>
          </cell>
          <cell r="S973">
            <v>63280</v>
          </cell>
        </row>
        <row r="974">
          <cell r="R974" t="str">
            <v>S200009FKoch Energy Tradi</v>
          </cell>
          <cell r="S974">
            <v>53444700</v>
          </cell>
        </row>
        <row r="975">
          <cell r="R975" t="str">
            <v>S200009FLas Vegas Cogener</v>
          </cell>
          <cell r="S975">
            <v>172518.16</v>
          </cell>
        </row>
        <row r="976">
          <cell r="R976" t="str">
            <v>S200009FLG&amp;E Energy Marke</v>
          </cell>
          <cell r="S976">
            <v>5321600</v>
          </cell>
        </row>
        <row r="977">
          <cell r="R977" t="str">
            <v>S200009FLos Angeles Dept.</v>
          </cell>
          <cell r="S977">
            <v>1654373.85</v>
          </cell>
        </row>
        <row r="978">
          <cell r="R978" t="str">
            <v>S200009FLouisiana-Pacific</v>
          </cell>
          <cell r="S978">
            <v>618214.80000000005</v>
          </cell>
        </row>
        <row r="979">
          <cell r="R979" t="str">
            <v>S200009FMerchant Energy G</v>
          </cell>
          <cell r="S979">
            <v>18760500</v>
          </cell>
        </row>
        <row r="980">
          <cell r="R980" t="str">
            <v>S200009FMerrill Lynch Cap</v>
          </cell>
          <cell r="S980">
            <v>52987900</v>
          </cell>
        </row>
        <row r="981">
          <cell r="R981" t="str">
            <v>S200009FMichigan Electric</v>
          </cell>
          <cell r="S981">
            <v>1174273</v>
          </cell>
        </row>
        <row r="982">
          <cell r="R982" t="str">
            <v>S200009FMidAmerican Energ</v>
          </cell>
          <cell r="S982">
            <v>24835</v>
          </cell>
        </row>
        <row r="983">
          <cell r="R983" t="str">
            <v>S200009FMieco Inc.</v>
          </cell>
          <cell r="S983">
            <v>42660600</v>
          </cell>
        </row>
        <row r="984">
          <cell r="R984" t="str">
            <v>S200009FMinnesota Municip</v>
          </cell>
          <cell r="S984">
            <v>106955</v>
          </cell>
        </row>
        <row r="985">
          <cell r="R985" t="str">
            <v xml:space="preserve">S200009FMinnesota Power, </v>
          </cell>
          <cell r="S985">
            <v>84000</v>
          </cell>
        </row>
        <row r="986">
          <cell r="R986" t="str">
            <v>S200009FMissoula Electric</v>
          </cell>
          <cell r="S986">
            <v>3168</v>
          </cell>
        </row>
        <row r="987">
          <cell r="R987" t="str">
            <v>S200009FMontana Power Com</v>
          </cell>
          <cell r="S987">
            <v>2620</v>
          </cell>
        </row>
        <row r="988">
          <cell r="R988" t="str">
            <v>S200009FMorgan Stanley Ca</v>
          </cell>
          <cell r="S988">
            <v>14067850</v>
          </cell>
        </row>
        <row r="989">
          <cell r="R989" t="str">
            <v>S200009FNevada Power Comp</v>
          </cell>
          <cell r="S989">
            <v>10169500</v>
          </cell>
        </row>
        <row r="990">
          <cell r="R990" t="str">
            <v>S200009FNew England Power</v>
          </cell>
          <cell r="S990">
            <v>55985712.659999996</v>
          </cell>
        </row>
        <row r="991">
          <cell r="R991" t="str">
            <v>S200009FNortheast Utiliti</v>
          </cell>
          <cell r="S991">
            <v>1460440</v>
          </cell>
        </row>
        <row r="992">
          <cell r="R992" t="str">
            <v>S200009FNorthern States P</v>
          </cell>
          <cell r="S992">
            <v>1581854</v>
          </cell>
        </row>
        <row r="993">
          <cell r="R993" t="str">
            <v>S200009FNRG Power Marketi</v>
          </cell>
          <cell r="S993">
            <v>2083400</v>
          </cell>
        </row>
        <row r="994">
          <cell r="R994" t="str">
            <v>S200009FNSTAR Companies</v>
          </cell>
          <cell r="S994">
            <v>15160414.93</v>
          </cell>
        </row>
        <row r="995">
          <cell r="R995" t="str">
            <v>S200009FOGE Energy Resour</v>
          </cell>
          <cell r="S995">
            <v>5072000</v>
          </cell>
        </row>
        <row r="996">
          <cell r="R996" t="str">
            <v xml:space="preserve">S200009FOtter Tail Power </v>
          </cell>
          <cell r="S996">
            <v>145205</v>
          </cell>
        </row>
        <row r="997">
          <cell r="R997" t="str">
            <v>S200009FPacific Northwest</v>
          </cell>
          <cell r="S997">
            <v>1355400</v>
          </cell>
        </row>
        <row r="998">
          <cell r="R998" t="str">
            <v xml:space="preserve">S200009FPacifiCorp Power </v>
          </cell>
          <cell r="S998">
            <v>11458000</v>
          </cell>
        </row>
        <row r="999">
          <cell r="R999" t="str">
            <v>S200009FPG&amp;E Energy Tradi</v>
          </cell>
          <cell r="S999">
            <v>89111174.339999989</v>
          </cell>
        </row>
        <row r="1000">
          <cell r="R1000" t="str">
            <v>S200009FPowerex Corp.</v>
          </cell>
          <cell r="S1000">
            <v>25856671.77</v>
          </cell>
        </row>
        <row r="1001">
          <cell r="R1001" t="str">
            <v>S200009FPPL EnergyPlus, L</v>
          </cell>
          <cell r="S1001">
            <v>4912700</v>
          </cell>
        </row>
        <row r="1002">
          <cell r="R1002" t="str">
            <v>S200009FPSEG Energy Resou</v>
          </cell>
          <cell r="S1002">
            <v>1944000</v>
          </cell>
        </row>
        <row r="1003">
          <cell r="R1003" t="str">
            <v>S200009FPublic Service Co</v>
          </cell>
          <cell r="S1003">
            <v>32713937.5</v>
          </cell>
        </row>
        <row r="1004">
          <cell r="R1004" t="str">
            <v>S200009FPublic Service Co</v>
          </cell>
          <cell r="S1004">
            <v>12100894</v>
          </cell>
        </row>
        <row r="1005">
          <cell r="R1005" t="str">
            <v>S200009FPublic Service El</v>
          </cell>
          <cell r="S1005">
            <v>27979700</v>
          </cell>
        </row>
        <row r="1006">
          <cell r="R1006" t="str">
            <v>S200009FPublic Utility Di</v>
          </cell>
          <cell r="S1006">
            <v>2162200</v>
          </cell>
        </row>
        <row r="1007">
          <cell r="R1007" t="str">
            <v>S200009FRainbow Energy Ma</v>
          </cell>
          <cell r="S1007">
            <v>446238</v>
          </cell>
        </row>
        <row r="1008">
          <cell r="R1008" t="str">
            <v>S200009FReliant Energy HL</v>
          </cell>
          <cell r="S1008">
            <v>1753165</v>
          </cell>
        </row>
        <row r="1009">
          <cell r="R1009" t="str">
            <v>S200009FReliant Energy Se</v>
          </cell>
          <cell r="S1009">
            <v>128887573.66</v>
          </cell>
        </row>
        <row r="1010">
          <cell r="R1010" t="str">
            <v>S200009FSacramento Munici</v>
          </cell>
          <cell r="S1010">
            <v>4311700</v>
          </cell>
        </row>
        <row r="1011">
          <cell r="R1011" t="str">
            <v>S200009FSaguaro Power Com</v>
          </cell>
          <cell r="S1011">
            <v>53518.94</v>
          </cell>
        </row>
        <row r="1012">
          <cell r="R1012" t="str">
            <v>S200009FSalt River Projec</v>
          </cell>
          <cell r="S1012">
            <v>3489096.5</v>
          </cell>
        </row>
        <row r="1013">
          <cell r="R1013" t="str">
            <v>S200009FSaskatchewan Powe</v>
          </cell>
          <cell r="S1013">
            <v>65365</v>
          </cell>
        </row>
        <row r="1014">
          <cell r="R1014" t="str">
            <v>S200009FSeattle City Ligh</v>
          </cell>
          <cell r="S1014">
            <v>1549950</v>
          </cell>
        </row>
        <row r="1015">
          <cell r="R1015" t="str">
            <v>S200009FSempra Energy Tra</v>
          </cell>
          <cell r="S1015">
            <v>133355580</v>
          </cell>
        </row>
        <row r="1016">
          <cell r="R1016" t="str">
            <v>S200009FSierra Pacific Po</v>
          </cell>
          <cell r="S1016">
            <v>9268000</v>
          </cell>
        </row>
        <row r="1017">
          <cell r="R1017" t="str">
            <v>S200009FSmurfit-Stone Con</v>
          </cell>
          <cell r="S1017">
            <v>2401767.2799999998</v>
          </cell>
        </row>
        <row r="1018">
          <cell r="R1018" t="str">
            <v>S200009FSouth Carolina El</v>
          </cell>
          <cell r="S1018">
            <v>80937</v>
          </cell>
        </row>
        <row r="1019">
          <cell r="R1019" t="str">
            <v xml:space="preserve">S200009FSouthern Company </v>
          </cell>
          <cell r="S1019">
            <v>1436743</v>
          </cell>
        </row>
        <row r="1020">
          <cell r="R1020" t="str">
            <v xml:space="preserve">S200009FSouthern Company </v>
          </cell>
          <cell r="S1020">
            <v>194602422.75</v>
          </cell>
        </row>
        <row r="1021">
          <cell r="R1021" t="str">
            <v>S200009FSplit Rock Energy</v>
          </cell>
          <cell r="S1021">
            <v>71776</v>
          </cell>
        </row>
        <row r="1022">
          <cell r="R1022" t="str">
            <v>S200009FTampa Electric Co</v>
          </cell>
          <cell r="S1022">
            <v>130392.4</v>
          </cell>
        </row>
        <row r="1023">
          <cell r="R1023" t="str">
            <v>S200009FTenaska Power Ser</v>
          </cell>
          <cell r="S1023">
            <v>16400</v>
          </cell>
        </row>
        <row r="1024">
          <cell r="R1024" t="str">
            <v xml:space="preserve">S200009FTractebel Energy </v>
          </cell>
          <cell r="S1024">
            <v>63082200</v>
          </cell>
        </row>
        <row r="1025">
          <cell r="R1025" t="str">
            <v xml:space="preserve">S200009FTransAlta Energy </v>
          </cell>
          <cell r="S1025">
            <v>23384700</v>
          </cell>
        </row>
        <row r="1026">
          <cell r="R1026" t="str">
            <v>S200009FTurlock Irrigatio</v>
          </cell>
          <cell r="S1026">
            <v>2129000</v>
          </cell>
        </row>
        <row r="1027">
          <cell r="R1027" t="str">
            <v>S200009FUnited Power Asso</v>
          </cell>
          <cell r="S1027">
            <v>1823888</v>
          </cell>
        </row>
        <row r="1028">
          <cell r="R1028" t="str">
            <v>S200009FValley Electric A</v>
          </cell>
          <cell r="S1028">
            <v>1509997.29</v>
          </cell>
        </row>
        <row r="1029">
          <cell r="R1029" t="str">
            <v>S200009FVermont Public Po</v>
          </cell>
          <cell r="S1029">
            <v>192417.5</v>
          </cell>
        </row>
        <row r="1030">
          <cell r="R1030" t="str">
            <v>S200009FVernon, City of</v>
          </cell>
          <cell r="S1030">
            <v>1109000</v>
          </cell>
        </row>
        <row r="1031">
          <cell r="R1031" t="str">
            <v>S200009FVirginia Electric</v>
          </cell>
          <cell r="S1031">
            <v>21874410.059999999</v>
          </cell>
        </row>
        <row r="1032">
          <cell r="R1032" t="str">
            <v>S200009FWestern Area Powe</v>
          </cell>
          <cell r="S1032">
            <v>4232706.4000000004</v>
          </cell>
        </row>
        <row r="1033">
          <cell r="R1033" t="str">
            <v>S200009FWestern Area Powe</v>
          </cell>
          <cell r="S1033">
            <v>20000</v>
          </cell>
        </row>
        <row r="1034">
          <cell r="R1034" t="str">
            <v>S200009FWestern Resources</v>
          </cell>
          <cell r="S1034">
            <v>7910390</v>
          </cell>
        </row>
        <row r="1035">
          <cell r="R1035" t="str">
            <v>S200009FWillamette Indust</v>
          </cell>
          <cell r="S1035">
            <v>143087.18</v>
          </cell>
        </row>
        <row r="1036">
          <cell r="R1036" t="str">
            <v>S200009FWilliams Energy M</v>
          </cell>
          <cell r="S1036">
            <v>76721762.409999996</v>
          </cell>
        </row>
        <row r="1037">
          <cell r="R1037" t="str">
            <v>S200010DAlliant Energy Co</v>
          </cell>
          <cell r="S1037">
            <v>607200</v>
          </cell>
        </row>
        <row r="1038">
          <cell r="R1038" t="str">
            <v>S200010DAmerada Hess Corp</v>
          </cell>
          <cell r="S1038">
            <v>10850</v>
          </cell>
        </row>
        <row r="1039">
          <cell r="R1039" t="str">
            <v>S200010DAmeren Energy, In</v>
          </cell>
          <cell r="S1039">
            <v>1951290</v>
          </cell>
        </row>
        <row r="1040">
          <cell r="R1040" t="str">
            <v>S200010DAmerican Electric</v>
          </cell>
          <cell r="S1040">
            <v>252570199.25</v>
          </cell>
        </row>
        <row r="1041">
          <cell r="R1041" t="str">
            <v>S200010DAquila Energy Mar</v>
          </cell>
          <cell r="S1041">
            <v>275092617.33999997</v>
          </cell>
        </row>
        <row r="1042">
          <cell r="R1042" t="str">
            <v>S200010DArizona Public Se</v>
          </cell>
          <cell r="S1042">
            <v>10706617.75</v>
          </cell>
        </row>
        <row r="1043">
          <cell r="R1043" t="str">
            <v>S200010DAvista Corporatio</v>
          </cell>
          <cell r="S1043">
            <v>4475290</v>
          </cell>
        </row>
        <row r="1044">
          <cell r="R1044" t="str">
            <v>S200010DAvista Energy, In</v>
          </cell>
          <cell r="S1044">
            <v>88253587.75</v>
          </cell>
        </row>
        <row r="1045">
          <cell r="R1045" t="str">
            <v xml:space="preserve">S200010DBonneville Power </v>
          </cell>
          <cell r="S1045">
            <v>17053872.5</v>
          </cell>
        </row>
        <row r="1046">
          <cell r="R1046" t="str">
            <v>S200010DCalifornia Depart</v>
          </cell>
          <cell r="S1046">
            <v>400588.73</v>
          </cell>
        </row>
        <row r="1047">
          <cell r="R1047" t="str">
            <v xml:space="preserve">S200010DCalifornia Power </v>
          </cell>
          <cell r="S1047">
            <v>15520724.32</v>
          </cell>
        </row>
        <row r="1048">
          <cell r="R1048" t="str">
            <v xml:space="preserve">S200010DCalifornia Power </v>
          </cell>
          <cell r="S1048">
            <v>45315010.990000002</v>
          </cell>
        </row>
        <row r="1049">
          <cell r="R1049" t="str">
            <v>S200010DCalifornia Supple</v>
          </cell>
          <cell r="S1049">
            <v>340.5</v>
          </cell>
        </row>
        <row r="1050">
          <cell r="R1050" t="str">
            <v>S200010DCalpine Power Ser</v>
          </cell>
          <cell r="S1050">
            <v>8067644.0300000003</v>
          </cell>
        </row>
        <row r="1051">
          <cell r="R1051" t="str">
            <v xml:space="preserve">S200010DCargill-Alliant, </v>
          </cell>
          <cell r="S1051">
            <v>10089160.73</v>
          </cell>
        </row>
        <row r="1052">
          <cell r="R1052" t="str">
            <v xml:space="preserve">S200010DCarolina Power &amp; </v>
          </cell>
          <cell r="S1052">
            <v>1997600</v>
          </cell>
        </row>
        <row r="1053">
          <cell r="R1053" t="str">
            <v xml:space="preserve">S200010DCentral Illinois </v>
          </cell>
          <cell r="S1053">
            <v>519900</v>
          </cell>
        </row>
        <row r="1054">
          <cell r="R1054" t="str">
            <v>S200010DCinergy Services,</v>
          </cell>
          <cell r="S1054">
            <v>32444519.649999999</v>
          </cell>
        </row>
        <row r="1055">
          <cell r="R1055" t="str">
            <v>S200010DCity of McMinnvil</v>
          </cell>
          <cell r="S1055">
            <v>243168</v>
          </cell>
        </row>
        <row r="1056">
          <cell r="R1056" t="str">
            <v>S200010DCity of Redding</v>
          </cell>
          <cell r="S1056">
            <v>378040</v>
          </cell>
        </row>
        <row r="1057">
          <cell r="R1057" t="str">
            <v>S200010DCity Of Riverside</v>
          </cell>
          <cell r="S1057">
            <v>777613.2</v>
          </cell>
        </row>
        <row r="1058">
          <cell r="R1058" t="str">
            <v>S200010DCity of Tacoma, D</v>
          </cell>
          <cell r="S1058">
            <v>3492055.41</v>
          </cell>
        </row>
        <row r="1059">
          <cell r="R1059" t="str">
            <v>S200010DCLECO Corporation</v>
          </cell>
          <cell r="S1059">
            <v>40200</v>
          </cell>
        </row>
        <row r="1060">
          <cell r="R1060" t="str">
            <v>S200010DCLECO Marketing a</v>
          </cell>
          <cell r="S1060">
            <v>66200</v>
          </cell>
        </row>
        <row r="1061">
          <cell r="R1061" t="str">
            <v>S200010DCMS Marketing, Se</v>
          </cell>
          <cell r="S1061">
            <v>4367160</v>
          </cell>
        </row>
        <row r="1062">
          <cell r="R1062" t="str">
            <v xml:space="preserve">S200010DCoastal Merchant </v>
          </cell>
          <cell r="S1062">
            <v>2225400</v>
          </cell>
        </row>
        <row r="1063">
          <cell r="R1063" t="str">
            <v>S200010DColorado River Co</v>
          </cell>
          <cell r="S1063">
            <v>7046300</v>
          </cell>
        </row>
        <row r="1064">
          <cell r="R1064" t="str">
            <v xml:space="preserve">S200010DColorado Springs </v>
          </cell>
          <cell r="S1064">
            <v>312883.90999999997</v>
          </cell>
        </row>
        <row r="1065">
          <cell r="R1065" t="str">
            <v>S200010DCommonwealth Edis</v>
          </cell>
          <cell r="S1065">
            <v>8049167</v>
          </cell>
        </row>
        <row r="1066">
          <cell r="R1066" t="str">
            <v>S200010DConectiv Energy S</v>
          </cell>
          <cell r="S1066">
            <v>3441800</v>
          </cell>
        </row>
        <row r="1067">
          <cell r="R1067" t="str">
            <v>S200010DConoco Power Mark</v>
          </cell>
          <cell r="S1067">
            <v>3534673.38</v>
          </cell>
        </row>
        <row r="1068">
          <cell r="R1068" t="str">
            <v>S200010DConsolidated Edis</v>
          </cell>
          <cell r="S1068">
            <v>489640.75</v>
          </cell>
        </row>
        <row r="1069">
          <cell r="R1069" t="str">
            <v>S200010DConstellation Pow</v>
          </cell>
          <cell r="S1069">
            <v>65410772.979999997</v>
          </cell>
        </row>
        <row r="1070">
          <cell r="R1070" t="str">
            <v xml:space="preserve">S200010DDelmarva Power &amp; </v>
          </cell>
          <cell r="S1070">
            <v>646800</v>
          </cell>
        </row>
        <row r="1071">
          <cell r="R1071" t="str">
            <v>S200010DDTE Energy Tradin</v>
          </cell>
          <cell r="S1071">
            <v>3288700</v>
          </cell>
        </row>
        <row r="1072">
          <cell r="R1072" t="str">
            <v>S200010DDuke Energy Tradi</v>
          </cell>
          <cell r="S1072">
            <v>176345346.99000001</v>
          </cell>
        </row>
        <row r="1073">
          <cell r="R1073" t="str">
            <v>S200010DDuke Power, a div</v>
          </cell>
          <cell r="S1073">
            <v>1210800</v>
          </cell>
        </row>
        <row r="1074">
          <cell r="R1074" t="str">
            <v>S200010DDynegy Power Mark</v>
          </cell>
          <cell r="S1074">
            <v>83553692.739999995</v>
          </cell>
        </row>
        <row r="1075">
          <cell r="R1075" t="str">
            <v>S200010DEdison Mission Ma</v>
          </cell>
          <cell r="S1075">
            <v>127442416.15000001</v>
          </cell>
        </row>
        <row r="1076">
          <cell r="R1076" t="str">
            <v xml:space="preserve">S200010DEl Paso Electric </v>
          </cell>
          <cell r="S1076">
            <v>4300341.8600000003</v>
          </cell>
        </row>
        <row r="1077">
          <cell r="R1077" t="str">
            <v xml:space="preserve">S200010DEl Paso Merchant </v>
          </cell>
          <cell r="S1077">
            <v>105756631.45999999</v>
          </cell>
        </row>
        <row r="1078">
          <cell r="R1078" t="str">
            <v>S200010DEnron Energy Mark</v>
          </cell>
          <cell r="S1078">
            <v>84979.98</v>
          </cell>
        </row>
        <row r="1079">
          <cell r="R1079" t="str">
            <v>S200010DEnron Energy Serv</v>
          </cell>
          <cell r="S1079">
            <v>130142748.27</v>
          </cell>
        </row>
        <row r="1080">
          <cell r="R1080" t="str">
            <v>S200010DEntergy Power Mar</v>
          </cell>
          <cell r="S1080">
            <v>5910700</v>
          </cell>
        </row>
        <row r="1081">
          <cell r="R1081" t="str">
            <v>S200010DEugene Water &amp; El</v>
          </cell>
          <cell r="S1081">
            <v>3616312.5</v>
          </cell>
        </row>
        <row r="1082">
          <cell r="R1082" t="str">
            <v>S200010DFlorida Power &amp; L</v>
          </cell>
          <cell r="S1082">
            <v>135854</v>
          </cell>
        </row>
        <row r="1083">
          <cell r="R1083" t="str">
            <v xml:space="preserve">S200010DFPL Energy Power </v>
          </cell>
          <cell r="S1083">
            <v>271700</v>
          </cell>
        </row>
        <row r="1084">
          <cell r="R1084" t="str">
            <v>S200010DGPU Advanced Reso</v>
          </cell>
          <cell r="S1084">
            <v>448800</v>
          </cell>
        </row>
        <row r="1085">
          <cell r="R1085" t="str">
            <v>S200010DGPU Service, Inc.</v>
          </cell>
          <cell r="S1085">
            <v>10996160</v>
          </cell>
        </row>
        <row r="1086">
          <cell r="R1086" t="str">
            <v>S200010DGreat Bay Power C</v>
          </cell>
          <cell r="S1086">
            <v>307068.75</v>
          </cell>
        </row>
        <row r="1087">
          <cell r="R1087" t="str">
            <v>S200010DGriffin Energy Ma</v>
          </cell>
          <cell r="S1087">
            <v>23200</v>
          </cell>
        </row>
        <row r="1088">
          <cell r="R1088" t="str">
            <v>S200010DHafslund Energy T</v>
          </cell>
          <cell r="S1088">
            <v>13340763.83</v>
          </cell>
        </row>
        <row r="1089">
          <cell r="R1089" t="str">
            <v>S200010DHarbor Cogenerati</v>
          </cell>
          <cell r="S1089">
            <v>29569.39</v>
          </cell>
        </row>
        <row r="1090">
          <cell r="R1090" t="str">
            <v>S200010DHinson Power Comp</v>
          </cell>
          <cell r="S1090">
            <v>462510</v>
          </cell>
        </row>
        <row r="1091">
          <cell r="R1091" t="str">
            <v>S200010DHQ Energy Service</v>
          </cell>
          <cell r="S1091">
            <v>11909140</v>
          </cell>
        </row>
        <row r="1092">
          <cell r="R1092" t="str">
            <v>S200010DIdaho Power Compa</v>
          </cell>
          <cell r="S1092">
            <v>43353393.75</v>
          </cell>
        </row>
        <row r="1093">
          <cell r="R1093" t="str">
            <v>S200010DIndiana Municipal</v>
          </cell>
          <cell r="S1093">
            <v>101600</v>
          </cell>
        </row>
        <row r="1094">
          <cell r="R1094" t="str">
            <v>S200010DIndianapolis Powe</v>
          </cell>
          <cell r="S1094">
            <v>34800</v>
          </cell>
        </row>
        <row r="1095">
          <cell r="R1095" t="str">
            <v>S200010DJacksonville Elec</v>
          </cell>
          <cell r="S1095">
            <v>2243238.7000000002</v>
          </cell>
        </row>
        <row r="1096">
          <cell r="R1096" t="str">
            <v>S200010DKeyspan Energy Tr</v>
          </cell>
          <cell r="S1096">
            <v>26750</v>
          </cell>
        </row>
        <row r="1097">
          <cell r="R1097" t="str">
            <v>S200010DKoch Energy Tradi</v>
          </cell>
          <cell r="S1097">
            <v>40337440</v>
          </cell>
        </row>
        <row r="1098">
          <cell r="R1098" t="str">
            <v>S200010DLas Vegas Cogener</v>
          </cell>
          <cell r="S1098">
            <v>18650.82</v>
          </cell>
        </row>
        <row r="1099">
          <cell r="R1099" t="str">
            <v>S200010DLos Angeles Dept.</v>
          </cell>
          <cell r="S1099">
            <v>662266.55000000005</v>
          </cell>
        </row>
        <row r="1100">
          <cell r="R1100" t="str">
            <v>S200010DLower Colorado Ri</v>
          </cell>
          <cell r="S1100">
            <v>814744</v>
          </cell>
        </row>
        <row r="1101">
          <cell r="R1101" t="str">
            <v>S200010DMerchant Energy G</v>
          </cell>
          <cell r="S1101">
            <v>7384770</v>
          </cell>
        </row>
        <row r="1102">
          <cell r="R1102" t="str">
            <v>S200010DMerrill Lynch Cap</v>
          </cell>
          <cell r="S1102">
            <v>56707184</v>
          </cell>
        </row>
        <row r="1103">
          <cell r="R1103" t="str">
            <v>S200010DMichigan Electric</v>
          </cell>
          <cell r="S1103">
            <v>318085</v>
          </cell>
        </row>
        <row r="1104">
          <cell r="R1104" t="str">
            <v>S200010DMichigan South Ce</v>
          </cell>
          <cell r="S1104">
            <v>507278.48</v>
          </cell>
        </row>
        <row r="1105">
          <cell r="R1105" t="str">
            <v>S200010DMidAmerican Energ</v>
          </cell>
          <cell r="S1105">
            <v>580800</v>
          </cell>
        </row>
        <row r="1106">
          <cell r="R1106" t="str">
            <v>S200010DMieco Inc.</v>
          </cell>
          <cell r="S1106">
            <v>24780555.949999999</v>
          </cell>
        </row>
        <row r="1107">
          <cell r="R1107" t="str">
            <v>S200010DMinnesota Municip</v>
          </cell>
          <cell r="S1107">
            <v>56510</v>
          </cell>
        </row>
        <row r="1108">
          <cell r="R1108" t="str">
            <v xml:space="preserve">S200010DMinnesota Power, </v>
          </cell>
          <cell r="S1108">
            <v>110000</v>
          </cell>
        </row>
        <row r="1109">
          <cell r="R1109" t="str">
            <v>S200010DMissouri Public S</v>
          </cell>
          <cell r="S1109">
            <v>21112</v>
          </cell>
        </row>
        <row r="1110">
          <cell r="R1110" t="str">
            <v>S200010DMontana Power Com</v>
          </cell>
          <cell r="S1110">
            <v>12430</v>
          </cell>
        </row>
        <row r="1111">
          <cell r="R1111" t="str">
            <v>S200010DMorgan Stanley Ca</v>
          </cell>
          <cell r="S1111">
            <v>41782720</v>
          </cell>
        </row>
        <row r="1112">
          <cell r="R1112" t="str">
            <v>S200010DNevada Power Comp</v>
          </cell>
          <cell r="S1112">
            <v>1553255</v>
          </cell>
        </row>
        <row r="1113">
          <cell r="R1113" t="str">
            <v>S200010DNew England Power</v>
          </cell>
          <cell r="S1113">
            <v>77669857.120000005</v>
          </cell>
        </row>
        <row r="1114">
          <cell r="R1114" t="str">
            <v>S200010DNew York Independ</v>
          </cell>
          <cell r="S1114">
            <v>1680958.32</v>
          </cell>
        </row>
        <row r="1115">
          <cell r="R1115" t="str">
            <v>S200010DNewEnergy, Inc.</v>
          </cell>
          <cell r="S1115">
            <v>2200025</v>
          </cell>
        </row>
        <row r="1116">
          <cell r="R1116" t="str">
            <v>S200010DNortheast Utiliti</v>
          </cell>
          <cell r="S1116">
            <v>1232100</v>
          </cell>
        </row>
        <row r="1117">
          <cell r="R1117" t="str">
            <v xml:space="preserve">S200010DNorthern Indiana </v>
          </cell>
          <cell r="S1117">
            <v>4863708</v>
          </cell>
        </row>
        <row r="1118">
          <cell r="R1118" t="str">
            <v>S200010DNorthern States P</v>
          </cell>
          <cell r="S1118">
            <v>804406</v>
          </cell>
        </row>
        <row r="1119">
          <cell r="R1119" t="str">
            <v>S200010DNRG Power Marketi</v>
          </cell>
          <cell r="S1119">
            <v>2354300</v>
          </cell>
        </row>
        <row r="1120">
          <cell r="R1120" t="str">
            <v>S200010DNSTAR Companies</v>
          </cell>
          <cell r="S1120">
            <v>10741177.9</v>
          </cell>
        </row>
        <row r="1121">
          <cell r="R1121" t="str">
            <v xml:space="preserve">S200010DOtter Tail Power </v>
          </cell>
          <cell r="S1121">
            <v>251960</v>
          </cell>
        </row>
        <row r="1122">
          <cell r="R1122" t="str">
            <v>S200010DPacificorp</v>
          </cell>
          <cell r="S1122">
            <v>36397618.5</v>
          </cell>
        </row>
        <row r="1123">
          <cell r="R1123" t="str">
            <v>S200010DPG&amp;E Energy Tradi</v>
          </cell>
          <cell r="S1123">
            <v>113479982.29000001</v>
          </cell>
        </row>
        <row r="1124">
          <cell r="R1124" t="str">
            <v>S200010DPinnacle West Cap</v>
          </cell>
          <cell r="S1124">
            <v>53000</v>
          </cell>
        </row>
        <row r="1125">
          <cell r="R1125" t="str">
            <v>S200010DPJM Interconnecti</v>
          </cell>
          <cell r="S1125">
            <v>21532737.859999999</v>
          </cell>
        </row>
        <row r="1126">
          <cell r="R1126" t="str">
            <v xml:space="preserve">S200010DPortland General </v>
          </cell>
          <cell r="S1126">
            <v>16009695.93</v>
          </cell>
        </row>
        <row r="1127">
          <cell r="R1127" t="str">
            <v>S200010DPowerex Corp.</v>
          </cell>
          <cell r="S1127">
            <v>26673383.949999999</v>
          </cell>
        </row>
        <row r="1128">
          <cell r="R1128" t="str">
            <v>S200010DPPL EnergyPlus, L</v>
          </cell>
          <cell r="S1128">
            <v>3251480</v>
          </cell>
        </row>
        <row r="1129">
          <cell r="R1129" t="str">
            <v>S200010DPSEG Energy Resou</v>
          </cell>
          <cell r="S1129">
            <v>12766760</v>
          </cell>
        </row>
        <row r="1130">
          <cell r="R1130" t="str">
            <v>S200010DPublic Service Co</v>
          </cell>
          <cell r="S1130">
            <v>49661217.159999996</v>
          </cell>
        </row>
        <row r="1131">
          <cell r="R1131" t="str">
            <v>S200010DPublic Service Co</v>
          </cell>
          <cell r="S1131">
            <v>13706190</v>
          </cell>
        </row>
        <row r="1132">
          <cell r="R1132" t="str">
            <v>S200010DPublic Utility Di</v>
          </cell>
          <cell r="S1132">
            <v>6867767</v>
          </cell>
        </row>
        <row r="1133">
          <cell r="R1133" t="str">
            <v>S200010DPublic Utility Di</v>
          </cell>
          <cell r="S1133">
            <v>4891.25</v>
          </cell>
        </row>
        <row r="1134">
          <cell r="R1134" t="str">
            <v>S200010DPuget Sound Energ</v>
          </cell>
          <cell r="S1134">
            <v>19431506.050000001</v>
          </cell>
        </row>
        <row r="1135">
          <cell r="R1135" t="str">
            <v>S200010DRainbow Energy Ma</v>
          </cell>
          <cell r="S1135">
            <v>517600</v>
          </cell>
        </row>
        <row r="1136">
          <cell r="R1136" t="str">
            <v>S200010DReliant Energy HL</v>
          </cell>
          <cell r="S1136">
            <v>639875</v>
          </cell>
        </row>
        <row r="1137">
          <cell r="R1137" t="str">
            <v>S200010DReliant Energy Se</v>
          </cell>
          <cell r="S1137">
            <v>79175881.489999995</v>
          </cell>
        </row>
        <row r="1138">
          <cell r="R1138" t="str">
            <v>S200010DSacramento Munici</v>
          </cell>
          <cell r="S1138">
            <v>4235592.5</v>
          </cell>
        </row>
        <row r="1139">
          <cell r="R1139" t="str">
            <v>S200010DSalt River Projec</v>
          </cell>
          <cell r="S1139">
            <v>1856545.25</v>
          </cell>
        </row>
        <row r="1140">
          <cell r="R1140" t="str">
            <v>S200010DSan Diego Gas &amp; E</v>
          </cell>
          <cell r="S1140">
            <v>3575000</v>
          </cell>
        </row>
        <row r="1141">
          <cell r="R1141" t="str">
            <v>S200010DSeattle City Ligh</v>
          </cell>
          <cell r="S1141">
            <v>9364985</v>
          </cell>
        </row>
        <row r="1142">
          <cell r="R1142" t="str">
            <v>S200010DSelect Energy, In</v>
          </cell>
          <cell r="S1142">
            <v>2950301.25</v>
          </cell>
        </row>
        <row r="1143">
          <cell r="R1143" t="str">
            <v>S200010DSempra Energy Tra</v>
          </cell>
          <cell r="S1143">
            <v>80784869.680000007</v>
          </cell>
        </row>
        <row r="1144">
          <cell r="R1144" t="str">
            <v>S200010DSierra Pacific Po</v>
          </cell>
          <cell r="S1144">
            <v>8427908.75</v>
          </cell>
        </row>
        <row r="1145">
          <cell r="R1145" t="str">
            <v>S200010DSmurfit-Stone Con</v>
          </cell>
          <cell r="S1145">
            <v>2373756.04</v>
          </cell>
        </row>
        <row r="1146">
          <cell r="R1146" t="str">
            <v>S200010DSouth Carolina El</v>
          </cell>
          <cell r="S1146">
            <v>292096.8</v>
          </cell>
        </row>
        <row r="1147">
          <cell r="R1147" t="str">
            <v xml:space="preserve">S200010DSouthern Company </v>
          </cell>
          <cell r="S1147">
            <v>1237180</v>
          </cell>
        </row>
        <row r="1148">
          <cell r="R1148" t="str">
            <v xml:space="preserve">S200010DSouthern Company </v>
          </cell>
          <cell r="S1148">
            <v>138514684</v>
          </cell>
        </row>
        <row r="1149">
          <cell r="R1149" t="str">
            <v>S200010DSouthern Illinois</v>
          </cell>
          <cell r="S1149">
            <v>48800</v>
          </cell>
        </row>
        <row r="1150">
          <cell r="R1150" t="str">
            <v>S200010DSplit Rock Energy</v>
          </cell>
          <cell r="S1150">
            <v>259515</v>
          </cell>
        </row>
        <row r="1151">
          <cell r="R1151" t="str">
            <v>S200010DTenaska Power Ser</v>
          </cell>
          <cell r="S1151">
            <v>35400</v>
          </cell>
        </row>
        <row r="1152">
          <cell r="R1152" t="str">
            <v xml:space="preserve">S200010DTexas-New Mexico </v>
          </cell>
          <cell r="S1152">
            <v>540930</v>
          </cell>
        </row>
        <row r="1153">
          <cell r="R1153" t="str">
            <v>S200010DThe City of Azusa</v>
          </cell>
          <cell r="S1153">
            <v>823640.5</v>
          </cell>
        </row>
        <row r="1154">
          <cell r="R1154" t="str">
            <v>S200010DThe Manitoba Hydr</v>
          </cell>
          <cell r="S1154">
            <v>47900</v>
          </cell>
        </row>
        <row r="1155">
          <cell r="R1155" t="str">
            <v>S200010DTillamook Peoples</v>
          </cell>
          <cell r="S1155">
            <v>366596.05</v>
          </cell>
        </row>
        <row r="1156">
          <cell r="R1156" t="str">
            <v xml:space="preserve">S200010DTractebel Energy </v>
          </cell>
          <cell r="S1156">
            <v>49942330</v>
          </cell>
        </row>
        <row r="1157">
          <cell r="R1157" t="str">
            <v xml:space="preserve">S200010DTransAlta Energy </v>
          </cell>
          <cell r="S1157">
            <v>19380920</v>
          </cell>
        </row>
        <row r="1158">
          <cell r="R1158" t="str">
            <v>S200010DTransCanada Power</v>
          </cell>
          <cell r="S1158">
            <v>868400</v>
          </cell>
        </row>
        <row r="1159">
          <cell r="R1159" t="str">
            <v>S200010DTucson Electric P</v>
          </cell>
          <cell r="S1159">
            <v>160255</v>
          </cell>
        </row>
        <row r="1160">
          <cell r="R1160" t="str">
            <v>S200010DTurlock Irrigatio</v>
          </cell>
          <cell r="S1160">
            <v>513450</v>
          </cell>
        </row>
        <row r="1161">
          <cell r="R1161" t="str">
            <v>S200010DUnited Illuminati</v>
          </cell>
          <cell r="S1161">
            <v>20785187.549999997</v>
          </cell>
        </row>
        <row r="1162">
          <cell r="R1162" t="str">
            <v>S200010DUnited Power Asso</v>
          </cell>
          <cell r="S1162">
            <v>2761000</v>
          </cell>
        </row>
        <row r="1163">
          <cell r="R1163" t="str">
            <v xml:space="preserve">S200010DUtilicorp United </v>
          </cell>
          <cell r="S1163">
            <v>160000</v>
          </cell>
        </row>
        <row r="1164">
          <cell r="R1164" t="str">
            <v>S200010DValley Electric A</v>
          </cell>
          <cell r="S1164">
            <v>901920.65</v>
          </cell>
        </row>
        <row r="1165">
          <cell r="R1165" t="str">
            <v>S200010DVermont Public Po</v>
          </cell>
          <cell r="S1165">
            <v>211987.5</v>
          </cell>
        </row>
        <row r="1166">
          <cell r="R1166" t="str">
            <v>S200010DVirginia Electric</v>
          </cell>
          <cell r="S1166">
            <v>13788566.26</v>
          </cell>
        </row>
        <row r="1167">
          <cell r="R1167" t="str">
            <v>S200010DWestern Area Powe</v>
          </cell>
          <cell r="S1167">
            <v>4041492.7</v>
          </cell>
        </row>
        <row r="1168">
          <cell r="R1168" t="str">
            <v>S200010DWestern Area Powe</v>
          </cell>
          <cell r="S1168">
            <v>27000</v>
          </cell>
        </row>
        <row r="1169">
          <cell r="R1169" t="str">
            <v>S200010DWestern Resources</v>
          </cell>
          <cell r="S1169">
            <v>4525724.5</v>
          </cell>
        </row>
        <row r="1170">
          <cell r="R1170" t="str">
            <v>S200010DWheelabrator Mart</v>
          </cell>
          <cell r="S1170">
            <v>20735</v>
          </cell>
        </row>
        <row r="1171">
          <cell r="R1171" t="str">
            <v>S200010DWillamette Indust</v>
          </cell>
          <cell r="S1171">
            <v>1455</v>
          </cell>
        </row>
        <row r="1172">
          <cell r="R1172" t="str">
            <v>S200010DWilliams Energy M</v>
          </cell>
          <cell r="S1172">
            <v>161626684.75999999</v>
          </cell>
        </row>
        <row r="1173">
          <cell r="R1173" t="str">
            <v>S200010DWisconsin Electri</v>
          </cell>
          <cell r="S1173">
            <v>100910</v>
          </cell>
        </row>
        <row r="1174">
          <cell r="R1174" t="str">
            <v xml:space="preserve">S200010FAllegheny Energy </v>
          </cell>
          <cell r="S1174">
            <v>20878241.98</v>
          </cell>
        </row>
        <row r="1175">
          <cell r="R1175" t="str">
            <v>S200010FAmerican Electric</v>
          </cell>
          <cell r="S1175">
            <v>36000</v>
          </cell>
        </row>
        <row r="1176">
          <cell r="R1176" t="str">
            <v xml:space="preserve">S200010FAsh Grove Cement </v>
          </cell>
          <cell r="S1176">
            <v>296882.5</v>
          </cell>
        </row>
        <row r="1177">
          <cell r="R1177" t="str">
            <v>S200010FAssociated Electr</v>
          </cell>
          <cell r="S1177">
            <v>679870</v>
          </cell>
        </row>
        <row r="1178">
          <cell r="R1178" t="str">
            <v>S200010FAvista Energy, In</v>
          </cell>
          <cell r="S1178">
            <v>310000</v>
          </cell>
        </row>
        <row r="1179">
          <cell r="R1179" t="str">
            <v>S200010FBoston Edison Com</v>
          </cell>
          <cell r="S1179">
            <v>812500</v>
          </cell>
        </row>
        <row r="1180">
          <cell r="R1180" t="str">
            <v>S200010FBP Energy Company</v>
          </cell>
          <cell r="S1180">
            <v>61315905</v>
          </cell>
        </row>
        <row r="1181">
          <cell r="R1181" t="str">
            <v>S200010FCity of Roseville</v>
          </cell>
          <cell r="S1181">
            <v>1825250</v>
          </cell>
        </row>
        <row r="1182">
          <cell r="R1182" t="str">
            <v>S200010FCity of Santa Cla</v>
          </cell>
          <cell r="S1182">
            <v>10694800</v>
          </cell>
        </row>
        <row r="1183">
          <cell r="R1183" t="str">
            <v>S200010FCity of Tallahass</v>
          </cell>
          <cell r="S1183">
            <v>3152</v>
          </cell>
        </row>
        <row r="1184">
          <cell r="R1184" t="str">
            <v>S200010FCommonwealth Edis</v>
          </cell>
          <cell r="S1184">
            <v>32000</v>
          </cell>
        </row>
        <row r="1185">
          <cell r="R1185" t="str">
            <v>S200010FConAgra Energy Se</v>
          </cell>
          <cell r="S1185">
            <v>4581760.25</v>
          </cell>
        </row>
        <row r="1186">
          <cell r="R1186" t="str">
            <v>S200010FConstellation Pow</v>
          </cell>
          <cell r="S1186">
            <v>262080</v>
          </cell>
        </row>
        <row r="1187">
          <cell r="R1187" t="str">
            <v>S200010FCoral Power, L.L.</v>
          </cell>
          <cell r="S1187">
            <v>15130380</v>
          </cell>
        </row>
        <row r="1188">
          <cell r="R1188" t="str">
            <v xml:space="preserve">S200010FDayton Power and </v>
          </cell>
          <cell r="S1188">
            <v>105650</v>
          </cell>
        </row>
        <row r="1189">
          <cell r="R1189" t="str">
            <v>S200010FEast Kentucky Pow</v>
          </cell>
          <cell r="S1189">
            <v>27200</v>
          </cell>
        </row>
        <row r="1190">
          <cell r="R1190" t="str">
            <v>S200010FEast Texas Electr</v>
          </cell>
          <cell r="S1190">
            <v>155076.75</v>
          </cell>
        </row>
        <row r="1191">
          <cell r="R1191" t="str">
            <v xml:space="preserve">S200010FEl Paso Merchant </v>
          </cell>
          <cell r="S1191">
            <v>306000</v>
          </cell>
        </row>
        <row r="1192">
          <cell r="R1192" t="str">
            <v xml:space="preserve">S200010FEmerald People's </v>
          </cell>
          <cell r="S1192">
            <v>116331.75</v>
          </cell>
        </row>
        <row r="1193">
          <cell r="R1193" t="str">
            <v>S200010FEnergy West Resou</v>
          </cell>
          <cell r="S1193">
            <v>156476.5</v>
          </cell>
        </row>
        <row r="1194">
          <cell r="R1194" t="str">
            <v>S200010FEntergy Services,</v>
          </cell>
          <cell r="S1194">
            <v>8025212</v>
          </cell>
        </row>
        <row r="1195">
          <cell r="R1195" t="str">
            <v>S200010FFirstEnergy Corp.</v>
          </cell>
          <cell r="S1195">
            <v>19800</v>
          </cell>
        </row>
        <row r="1196">
          <cell r="R1196" t="str">
            <v>S200010FFirstEnergy Tradi</v>
          </cell>
          <cell r="S1196">
            <v>831000</v>
          </cell>
        </row>
        <row r="1197">
          <cell r="R1197" t="str">
            <v>S200010FFlorida Power Cor</v>
          </cell>
          <cell r="S1197">
            <v>687646</v>
          </cell>
        </row>
        <row r="1198">
          <cell r="R1198" t="str">
            <v>S200010FGEN SYS Energy</v>
          </cell>
          <cell r="S1198">
            <v>24000</v>
          </cell>
        </row>
        <row r="1199">
          <cell r="R1199" t="str">
            <v>S200010FHetch-Hetchy Wate</v>
          </cell>
          <cell r="S1199">
            <v>532000</v>
          </cell>
        </row>
        <row r="1200">
          <cell r="R1200" t="str">
            <v>S200010FKansas City Power</v>
          </cell>
          <cell r="S1200">
            <v>9600</v>
          </cell>
        </row>
        <row r="1201">
          <cell r="R1201" t="str">
            <v>S200010FKoch Energy Tradi</v>
          </cell>
          <cell r="S1201">
            <v>24000</v>
          </cell>
        </row>
        <row r="1202">
          <cell r="R1202" t="str">
            <v>S200010FLG&amp;E Energy Marke</v>
          </cell>
          <cell r="S1202">
            <v>3405040</v>
          </cell>
        </row>
        <row r="1203">
          <cell r="R1203" t="str">
            <v>S200010FLouisiana-Pacific</v>
          </cell>
          <cell r="S1203">
            <v>250320</v>
          </cell>
        </row>
        <row r="1204">
          <cell r="R1204" t="str">
            <v>S200010FMerrill Lynch Cap</v>
          </cell>
          <cell r="S1204">
            <v>16000</v>
          </cell>
        </row>
        <row r="1205">
          <cell r="R1205" t="str">
            <v>S200010FMissoula Electric</v>
          </cell>
          <cell r="S1205">
            <v>3278</v>
          </cell>
        </row>
        <row r="1206">
          <cell r="R1206" t="str">
            <v>S200010FMissouri Joint Mu</v>
          </cell>
          <cell r="S1206">
            <v>544159</v>
          </cell>
        </row>
        <row r="1207">
          <cell r="R1207" t="str">
            <v>S200010FModesto Irrigatio</v>
          </cell>
          <cell r="S1207">
            <v>100649.5</v>
          </cell>
        </row>
        <row r="1208">
          <cell r="R1208" t="str">
            <v>S200010FMontana-Dakota Ut</v>
          </cell>
          <cell r="S1208">
            <v>2025</v>
          </cell>
        </row>
        <row r="1209">
          <cell r="R1209" t="str">
            <v>S200010FMorgan Stanley Ca</v>
          </cell>
          <cell r="S1209">
            <v>8080080</v>
          </cell>
        </row>
        <row r="1210">
          <cell r="R1210" t="str">
            <v>S200010FNiagara Mohawk En</v>
          </cell>
          <cell r="S1210">
            <v>701600</v>
          </cell>
        </row>
        <row r="1211">
          <cell r="R1211" t="str">
            <v>S200010FOGE Energy Resour</v>
          </cell>
          <cell r="S1211">
            <v>1781660</v>
          </cell>
        </row>
        <row r="1212">
          <cell r="R1212" t="str">
            <v xml:space="preserve">S200010FOglethorpe Power </v>
          </cell>
          <cell r="S1212">
            <v>152421</v>
          </cell>
        </row>
        <row r="1213">
          <cell r="R1213" t="str">
            <v xml:space="preserve">S200010FOklahoma Gas And </v>
          </cell>
          <cell r="S1213">
            <v>64000</v>
          </cell>
        </row>
        <row r="1214">
          <cell r="R1214" t="str">
            <v>S200010FPacific Northwest</v>
          </cell>
          <cell r="S1214">
            <v>3590137</v>
          </cell>
        </row>
        <row r="1215">
          <cell r="R1215" t="str">
            <v>S200010FPeco Energy Compa</v>
          </cell>
          <cell r="S1215">
            <v>2834880</v>
          </cell>
        </row>
        <row r="1216">
          <cell r="R1216" t="str">
            <v>S200010FPSEG Energy Resou</v>
          </cell>
          <cell r="S1216">
            <v>47040</v>
          </cell>
        </row>
        <row r="1217">
          <cell r="R1217" t="str">
            <v>S200010FPublic Utility Di</v>
          </cell>
          <cell r="S1217">
            <v>1050400</v>
          </cell>
        </row>
        <row r="1218">
          <cell r="R1218" t="str">
            <v>S200010FPublic Utility Di</v>
          </cell>
          <cell r="S1218">
            <v>50800</v>
          </cell>
        </row>
        <row r="1219">
          <cell r="R1219" t="str">
            <v>S200010FPuget Sound Energ</v>
          </cell>
          <cell r="S1219">
            <v>830000</v>
          </cell>
        </row>
        <row r="1220">
          <cell r="R1220" t="str">
            <v>S200010FReliant Energy Se</v>
          </cell>
          <cell r="S1220">
            <v>44000</v>
          </cell>
        </row>
        <row r="1221">
          <cell r="R1221" t="str">
            <v>S200010FSaskatchewan Powe</v>
          </cell>
          <cell r="S1221">
            <v>11090</v>
          </cell>
        </row>
        <row r="1222">
          <cell r="R1222" t="str">
            <v>S200010FSoutheastern Powe</v>
          </cell>
          <cell r="S1222">
            <v>305044</v>
          </cell>
        </row>
        <row r="1223">
          <cell r="R1223" t="str">
            <v xml:space="preserve">S200010FSouthern Indiana </v>
          </cell>
          <cell r="S1223">
            <v>55056</v>
          </cell>
        </row>
        <row r="1224">
          <cell r="R1224" t="str">
            <v>S200010FTampa Electric Co</v>
          </cell>
          <cell r="S1224">
            <v>31050</v>
          </cell>
        </row>
        <row r="1225">
          <cell r="R1225" t="str">
            <v>S200010FTri-State Generat</v>
          </cell>
          <cell r="S1225">
            <v>107220</v>
          </cell>
        </row>
        <row r="1226">
          <cell r="R1226" t="str">
            <v>S200010FTXU Electric Comp</v>
          </cell>
          <cell r="S1226">
            <v>99790</v>
          </cell>
        </row>
        <row r="1227">
          <cell r="R1227" t="str">
            <v>S200010FTXU Energy Tradin</v>
          </cell>
          <cell r="S1227">
            <v>4334560</v>
          </cell>
        </row>
        <row r="1228">
          <cell r="R1228" t="str">
            <v>S200010FVernon, City of</v>
          </cell>
          <cell r="S1228">
            <v>948531.25</v>
          </cell>
        </row>
        <row r="1229">
          <cell r="R1229" t="str">
            <v>S200010FVirginia Electric</v>
          </cell>
          <cell r="S1229">
            <v>56000</v>
          </cell>
        </row>
        <row r="1230">
          <cell r="R1230" t="str">
            <v>S200010FWabash Valley Pow</v>
          </cell>
          <cell r="S1230">
            <v>3021560</v>
          </cell>
        </row>
        <row r="1231">
          <cell r="R1231" t="str">
            <v>S200010FWilliams Energy M</v>
          </cell>
          <cell r="S1231">
            <v>126280</v>
          </cell>
        </row>
        <row r="1232">
          <cell r="R1232" t="str">
            <v xml:space="preserve">T199906DBonneville Power </v>
          </cell>
          <cell r="S1232">
            <v>5560</v>
          </cell>
        </row>
        <row r="1233">
          <cell r="R1233" t="str">
            <v xml:space="preserve">T199906FBonneville Power </v>
          </cell>
          <cell r="S1233">
            <v>-5560</v>
          </cell>
        </row>
        <row r="1234">
          <cell r="R1234" t="str">
            <v xml:space="preserve">T199907DBonneville Power </v>
          </cell>
          <cell r="S1234">
            <v>3181</v>
          </cell>
        </row>
        <row r="1235">
          <cell r="R1235" t="str">
            <v xml:space="preserve">T199907FBonneville Power </v>
          </cell>
          <cell r="S1235">
            <v>-3181</v>
          </cell>
        </row>
        <row r="1236">
          <cell r="R1236" t="str">
            <v>T199911DNorthern States P</v>
          </cell>
          <cell r="S1236">
            <v>4143.24</v>
          </cell>
        </row>
        <row r="1237">
          <cell r="R1237" t="str">
            <v>T199911FNorthern States P</v>
          </cell>
          <cell r="S1237">
            <v>-4143.24</v>
          </cell>
        </row>
        <row r="1238">
          <cell r="R1238" t="str">
            <v>T200001DMontana Power Com</v>
          </cell>
          <cell r="S1238">
            <v>0</v>
          </cell>
        </row>
        <row r="1239">
          <cell r="R1239" t="str">
            <v>T200001FNorthern States P</v>
          </cell>
          <cell r="S1239">
            <v>-627.67999999999995</v>
          </cell>
        </row>
        <row r="1240">
          <cell r="R1240" t="str">
            <v>T200002DConsolidated Edis</v>
          </cell>
          <cell r="S1240">
            <v>0</v>
          </cell>
        </row>
        <row r="1241">
          <cell r="R1241" t="str">
            <v>T200002DMontana Power Com</v>
          </cell>
          <cell r="S1241">
            <v>0</v>
          </cell>
        </row>
        <row r="1242">
          <cell r="R1242" t="str">
            <v>T200002DWestern Area Powe</v>
          </cell>
          <cell r="S1242">
            <v>0</v>
          </cell>
        </row>
        <row r="1243">
          <cell r="R1243" t="str">
            <v>T200003DArizona Public Se</v>
          </cell>
          <cell r="S1243">
            <v>0</v>
          </cell>
        </row>
        <row r="1244">
          <cell r="R1244" t="str">
            <v>T200003DNorthern States P</v>
          </cell>
          <cell r="S1244">
            <v>76.739999999999995</v>
          </cell>
        </row>
        <row r="1245">
          <cell r="R1245" t="str">
            <v>T200003DWestern Area Powe</v>
          </cell>
          <cell r="S1245">
            <v>0</v>
          </cell>
        </row>
        <row r="1246">
          <cell r="R1246" t="str">
            <v>T200003DWestern Area Powe</v>
          </cell>
          <cell r="S1246">
            <v>0</v>
          </cell>
        </row>
        <row r="1247">
          <cell r="R1247" t="str">
            <v>T200003FNorthern States P</v>
          </cell>
          <cell r="S1247">
            <v>-130.78</v>
          </cell>
        </row>
        <row r="1248">
          <cell r="R1248" t="str">
            <v xml:space="preserve">T200004DBonneville Power </v>
          </cell>
          <cell r="S1248">
            <v>3657.22</v>
          </cell>
        </row>
        <row r="1249">
          <cell r="R1249" t="str">
            <v>T200004DNorthern States P</v>
          </cell>
          <cell r="S1249">
            <v>190</v>
          </cell>
        </row>
        <row r="1250">
          <cell r="R1250" t="str">
            <v>T200004DWestern Area Powe</v>
          </cell>
          <cell r="S1250">
            <v>0</v>
          </cell>
        </row>
        <row r="1251">
          <cell r="R1251" t="str">
            <v xml:space="preserve">T200004FBonneville Power </v>
          </cell>
          <cell r="S1251">
            <v>-3563.28</v>
          </cell>
        </row>
        <row r="1252">
          <cell r="R1252" t="str">
            <v>T200004FNorthern States P</v>
          </cell>
          <cell r="S1252">
            <v>-190.3</v>
          </cell>
        </row>
        <row r="1253">
          <cell r="R1253" t="str">
            <v>T200005DArizona Public Se</v>
          </cell>
          <cell r="S1253">
            <v>0</v>
          </cell>
        </row>
        <row r="1254">
          <cell r="R1254" t="str">
            <v xml:space="preserve">T200005DBonneville Power </v>
          </cell>
          <cell r="S1254">
            <v>267475.84000000003</v>
          </cell>
        </row>
        <row r="1255">
          <cell r="R1255" t="str">
            <v>T200005DCentral Hudson Ga</v>
          </cell>
          <cell r="S1255">
            <v>0</v>
          </cell>
        </row>
        <row r="1256">
          <cell r="R1256" t="str">
            <v>T200005DNew York State El</v>
          </cell>
          <cell r="S1256">
            <v>0</v>
          </cell>
        </row>
        <row r="1257">
          <cell r="R1257" t="str">
            <v>T200005DNorthern States P</v>
          </cell>
          <cell r="S1257">
            <v>41.75</v>
          </cell>
        </row>
        <row r="1258">
          <cell r="R1258" t="str">
            <v>T200005DSalt River Projec</v>
          </cell>
          <cell r="S1258">
            <v>0</v>
          </cell>
        </row>
        <row r="1259">
          <cell r="R1259" t="str">
            <v xml:space="preserve">T200005FBonneville Power </v>
          </cell>
          <cell r="S1259">
            <v>-267475.84000000003</v>
          </cell>
        </row>
        <row r="1260">
          <cell r="R1260" t="str">
            <v>T200005FNorthern States P</v>
          </cell>
          <cell r="S1260">
            <v>-6849.48</v>
          </cell>
        </row>
        <row r="1261">
          <cell r="R1261" t="str">
            <v xml:space="preserve">T200006DBonneville Power </v>
          </cell>
          <cell r="S1261">
            <v>430144.6</v>
          </cell>
        </row>
        <row r="1262">
          <cell r="R1262" t="str">
            <v>T200006DNew York Independ</v>
          </cell>
          <cell r="S1262">
            <v>0</v>
          </cell>
        </row>
        <row r="1263">
          <cell r="R1263" t="str">
            <v>T200006DNorthern States P</v>
          </cell>
          <cell r="S1263">
            <v>95.15</v>
          </cell>
        </row>
        <row r="1264">
          <cell r="R1264" t="str">
            <v>T200006DPJM Interconnecti</v>
          </cell>
          <cell r="S1264">
            <v>0</v>
          </cell>
        </row>
        <row r="1265">
          <cell r="R1265" t="str">
            <v xml:space="preserve">T200006DPortland General </v>
          </cell>
          <cell r="S1265">
            <v>0</v>
          </cell>
        </row>
        <row r="1266">
          <cell r="R1266" t="str">
            <v xml:space="preserve">T200006FBonneville Power </v>
          </cell>
          <cell r="S1266">
            <v>-430154.6</v>
          </cell>
        </row>
        <row r="1267">
          <cell r="R1267" t="str">
            <v>T200006FNorthern States P</v>
          </cell>
          <cell r="S1267">
            <v>-6895.15</v>
          </cell>
        </row>
        <row r="1268">
          <cell r="R1268" t="str">
            <v xml:space="preserve">T200007DBonneville Power </v>
          </cell>
          <cell r="S1268">
            <v>386507.7</v>
          </cell>
        </row>
        <row r="1269">
          <cell r="R1269" t="str">
            <v>T200007DCinergy Services,</v>
          </cell>
          <cell r="S1269">
            <v>0</v>
          </cell>
        </row>
        <row r="1270">
          <cell r="R1270" t="str">
            <v>T200007DEntergy Services,</v>
          </cell>
          <cell r="S1270">
            <v>1459.02</v>
          </cell>
        </row>
        <row r="1271">
          <cell r="R1271" t="str">
            <v>T200007DFranklin County P</v>
          </cell>
          <cell r="S1271">
            <v>0</v>
          </cell>
        </row>
        <row r="1272">
          <cell r="R1272" t="str">
            <v>T200007DLos Angeles Dept.</v>
          </cell>
          <cell r="S1272">
            <v>188811.79</v>
          </cell>
        </row>
        <row r="1273">
          <cell r="R1273" t="str">
            <v>T200007DNew York Independ</v>
          </cell>
          <cell r="S1273">
            <v>0</v>
          </cell>
        </row>
        <row r="1274">
          <cell r="R1274" t="str">
            <v>T200007DPacificorp</v>
          </cell>
          <cell r="S1274">
            <v>3604.31</v>
          </cell>
        </row>
        <row r="1275">
          <cell r="R1275" t="str">
            <v>T200007DPJM Interconnecti</v>
          </cell>
          <cell r="S1275">
            <v>0</v>
          </cell>
        </row>
        <row r="1276">
          <cell r="R1276" t="str">
            <v xml:space="preserve">T200007DPortland General </v>
          </cell>
          <cell r="S1276">
            <v>0</v>
          </cell>
        </row>
        <row r="1277">
          <cell r="R1277" t="str">
            <v>T200007FAssociated Electr</v>
          </cell>
          <cell r="S1277">
            <v>-3141.8</v>
          </cell>
        </row>
        <row r="1278">
          <cell r="R1278" t="str">
            <v xml:space="preserve">T200007FBonneville Power </v>
          </cell>
          <cell r="S1278">
            <v>-387326.7</v>
          </cell>
        </row>
        <row r="1279">
          <cell r="R1279" t="str">
            <v>T200007FEntergy Services,</v>
          </cell>
          <cell r="S1279">
            <v>-1459.02</v>
          </cell>
        </row>
        <row r="1280">
          <cell r="R1280" t="str">
            <v>T200007FLos Angeles Dept.</v>
          </cell>
          <cell r="S1280">
            <v>-188811.79</v>
          </cell>
        </row>
        <row r="1281">
          <cell r="R1281" t="str">
            <v>T200007FNorthern States P</v>
          </cell>
          <cell r="S1281">
            <v>-6800</v>
          </cell>
        </row>
        <row r="1282">
          <cell r="R1282" t="str">
            <v>T200007FPacificorp</v>
          </cell>
          <cell r="S1282">
            <v>-4272.08</v>
          </cell>
        </row>
        <row r="1283">
          <cell r="R1283" t="str">
            <v xml:space="preserve">T200008DBonneville Power </v>
          </cell>
          <cell r="S1283">
            <v>524366.61</v>
          </cell>
        </row>
        <row r="1284">
          <cell r="R1284" t="str">
            <v>T200008DCinergy Services,</v>
          </cell>
          <cell r="S1284">
            <v>636926.43000000005</v>
          </cell>
        </row>
        <row r="1285">
          <cell r="R1285" t="str">
            <v>T200008DCommonwealth Edis</v>
          </cell>
          <cell r="S1285">
            <v>37754.480000000003</v>
          </cell>
        </row>
        <row r="1286">
          <cell r="R1286" t="str">
            <v>T200008DGeorgia Transmiss</v>
          </cell>
          <cell r="S1286">
            <v>52150.44</v>
          </cell>
        </row>
        <row r="1287">
          <cell r="R1287" t="str">
            <v>T200008DLos Angeles Dept.</v>
          </cell>
          <cell r="S1287">
            <v>0</v>
          </cell>
        </row>
        <row r="1288">
          <cell r="R1288" t="str">
            <v>T200008DNevada Power Comp</v>
          </cell>
          <cell r="S1288">
            <v>42599.7</v>
          </cell>
        </row>
        <row r="1289">
          <cell r="R1289" t="str">
            <v>T200008DNew England Power</v>
          </cell>
          <cell r="S1289">
            <v>1329.4</v>
          </cell>
        </row>
        <row r="1290">
          <cell r="R1290" t="str">
            <v>T200008DNew York Independ</v>
          </cell>
          <cell r="S1290">
            <v>0</v>
          </cell>
        </row>
        <row r="1291">
          <cell r="R1291" t="str">
            <v>T200008DNiagara Mohawk Po</v>
          </cell>
          <cell r="S1291">
            <v>-10435.24</v>
          </cell>
        </row>
        <row r="1292">
          <cell r="R1292" t="str">
            <v>T200008DPacificorp</v>
          </cell>
          <cell r="S1292">
            <v>0</v>
          </cell>
        </row>
        <row r="1293">
          <cell r="R1293" t="str">
            <v>T200008DPJM Interconnecti</v>
          </cell>
          <cell r="S1293">
            <v>0</v>
          </cell>
        </row>
        <row r="1294">
          <cell r="R1294" t="str">
            <v xml:space="preserve">T200008DPortland General </v>
          </cell>
          <cell r="S1294">
            <v>0</v>
          </cell>
        </row>
        <row r="1295">
          <cell r="R1295" t="str">
            <v>T200008DPublic Utility Di</v>
          </cell>
          <cell r="S1295">
            <v>0</v>
          </cell>
        </row>
        <row r="1296">
          <cell r="R1296" t="str">
            <v>T200008DPublic Utility Di</v>
          </cell>
          <cell r="S1296">
            <v>0</v>
          </cell>
        </row>
        <row r="1297">
          <cell r="R1297" t="str">
            <v>T200008DWisconsin Electri</v>
          </cell>
          <cell r="S1297">
            <v>0</v>
          </cell>
        </row>
        <row r="1298">
          <cell r="R1298" t="str">
            <v xml:space="preserve">T200008FBonneville Power </v>
          </cell>
          <cell r="S1298">
            <v>-524316.61</v>
          </cell>
        </row>
        <row r="1299">
          <cell r="R1299" t="str">
            <v>T200008FCinergy Services,</v>
          </cell>
          <cell r="S1299">
            <v>-636926.43000000005</v>
          </cell>
        </row>
        <row r="1300">
          <cell r="R1300" t="str">
            <v>T200008FCommonwealth Edis</v>
          </cell>
          <cell r="S1300">
            <v>-34741.760000000002</v>
          </cell>
        </row>
        <row r="1301">
          <cell r="R1301" t="str">
            <v>T200008FGeorgia Transmiss</v>
          </cell>
          <cell r="S1301">
            <v>-52150.44</v>
          </cell>
        </row>
        <row r="1302">
          <cell r="R1302" t="str">
            <v>T200008FNevada Power Comp</v>
          </cell>
          <cell r="S1302">
            <v>-41757.4</v>
          </cell>
        </row>
        <row r="1303">
          <cell r="R1303" t="str">
            <v>T200008FNorthern States P</v>
          </cell>
          <cell r="S1303">
            <v>-5836.08</v>
          </cell>
        </row>
        <row r="1304">
          <cell r="R1304" t="str">
            <v xml:space="preserve">T200009DAllegheny Power, </v>
          </cell>
          <cell r="S1304">
            <v>111850.5</v>
          </cell>
        </row>
        <row r="1305">
          <cell r="R1305" t="str">
            <v>T200009DAmeren Services C</v>
          </cell>
          <cell r="S1305">
            <v>247981.38</v>
          </cell>
        </row>
        <row r="1306">
          <cell r="R1306" t="str">
            <v>T200009DAmerican Electric</v>
          </cell>
          <cell r="S1306">
            <v>120471.12</v>
          </cell>
        </row>
        <row r="1307">
          <cell r="R1307" t="str">
            <v>T200009DArizona Public Se</v>
          </cell>
          <cell r="S1307">
            <v>0</v>
          </cell>
        </row>
        <row r="1308">
          <cell r="R1308" t="str">
            <v>T200009DAssociated Electr</v>
          </cell>
          <cell r="S1308">
            <v>499.2</v>
          </cell>
        </row>
        <row r="1309">
          <cell r="R1309" t="str">
            <v xml:space="preserve">T200009DBonneville Power </v>
          </cell>
          <cell r="S1309">
            <v>300392.52</v>
          </cell>
        </row>
        <row r="1310">
          <cell r="R1310" t="str">
            <v>T200009DCinergy Services,</v>
          </cell>
          <cell r="S1310">
            <v>165516.6</v>
          </cell>
        </row>
        <row r="1311">
          <cell r="R1311" t="str">
            <v>T200009DCommonwealth Edis</v>
          </cell>
          <cell r="S1311">
            <v>0</v>
          </cell>
        </row>
        <row r="1312">
          <cell r="R1312" t="str">
            <v>T200009DConsolidated Edis</v>
          </cell>
          <cell r="S1312">
            <v>643.5</v>
          </cell>
        </row>
        <row r="1313">
          <cell r="R1313" t="str">
            <v>T200009DDuke Electric Tra</v>
          </cell>
          <cell r="S1313">
            <v>3330.6</v>
          </cell>
        </row>
        <row r="1314">
          <cell r="R1314" t="str">
            <v>T200009DEntergy Services,</v>
          </cell>
          <cell r="S1314">
            <v>1474.78</v>
          </cell>
        </row>
        <row r="1315">
          <cell r="R1315" t="str">
            <v>T200009DFirstEnergy Syste</v>
          </cell>
          <cell r="S1315">
            <v>10473.52</v>
          </cell>
        </row>
        <row r="1316">
          <cell r="R1316" t="str">
            <v>T200009DFlorida Power &amp; L</v>
          </cell>
          <cell r="S1316">
            <v>8503.89</v>
          </cell>
        </row>
        <row r="1317">
          <cell r="R1317" t="str">
            <v>T200009DFranklin County P</v>
          </cell>
          <cell r="S1317">
            <v>0</v>
          </cell>
        </row>
        <row r="1318">
          <cell r="R1318" t="str">
            <v>T200009DGeorgia Transmiss</v>
          </cell>
          <cell r="S1318">
            <v>32006.78</v>
          </cell>
        </row>
        <row r="1319">
          <cell r="R1319" t="str">
            <v>T200009DJacksonville Elec</v>
          </cell>
          <cell r="S1319">
            <v>9042.9699999999993</v>
          </cell>
        </row>
        <row r="1320">
          <cell r="R1320" t="str">
            <v>T200009DLos Angeles Dept.</v>
          </cell>
          <cell r="S1320">
            <v>0</v>
          </cell>
        </row>
        <row r="1321">
          <cell r="R1321" t="str">
            <v>T200009DLouisville Gas An</v>
          </cell>
          <cell r="S1321">
            <v>4191.45</v>
          </cell>
        </row>
        <row r="1322">
          <cell r="R1322" t="str">
            <v>T200009DMAPPCOR</v>
          </cell>
          <cell r="S1322">
            <v>269336.46000000002</v>
          </cell>
        </row>
        <row r="1323">
          <cell r="R1323" t="str">
            <v>T200009DMichigan Electric</v>
          </cell>
          <cell r="S1323">
            <v>2289</v>
          </cell>
        </row>
        <row r="1324">
          <cell r="R1324" t="str">
            <v>T200009DMontana Power Com</v>
          </cell>
          <cell r="S1324">
            <v>150</v>
          </cell>
        </row>
        <row r="1325">
          <cell r="R1325" t="str">
            <v>T200009DNevada Power Comp</v>
          </cell>
          <cell r="S1325">
            <v>0</v>
          </cell>
        </row>
        <row r="1326">
          <cell r="R1326" t="str">
            <v>T200009DNew York Independ</v>
          </cell>
          <cell r="S1326">
            <v>0</v>
          </cell>
        </row>
        <row r="1327">
          <cell r="R1327" t="str">
            <v>T200009DNiagara Mohawk Po</v>
          </cell>
          <cell r="S1327">
            <v>-656.68</v>
          </cell>
        </row>
        <row r="1328">
          <cell r="R1328" t="str">
            <v xml:space="preserve">T200009DNorthern Indiana </v>
          </cell>
          <cell r="S1328">
            <v>468</v>
          </cell>
        </row>
        <row r="1329">
          <cell r="R1329" t="str">
            <v>T200009DNorthern States P</v>
          </cell>
          <cell r="S1329">
            <v>18310.53</v>
          </cell>
        </row>
        <row r="1330">
          <cell r="R1330" t="str">
            <v>T200009DPacificorp</v>
          </cell>
          <cell r="S1330">
            <v>0</v>
          </cell>
        </row>
        <row r="1331">
          <cell r="R1331" t="str">
            <v>T200009DPJM Interconnecti</v>
          </cell>
          <cell r="S1331">
            <v>0</v>
          </cell>
        </row>
        <row r="1332">
          <cell r="R1332" t="str">
            <v xml:space="preserve">T200009DPortland General </v>
          </cell>
          <cell r="S1332">
            <v>0</v>
          </cell>
        </row>
        <row r="1333">
          <cell r="R1333" t="str">
            <v>T200009DPublic Utility Di</v>
          </cell>
          <cell r="S1333">
            <v>0</v>
          </cell>
        </row>
        <row r="1334">
          <cell r="R1334" t="str">
            <v>T200009DPublic Utility Di</v>
          </cell>
          <cell r="S1334">
            <v>0</v>
          </cell>
        </row>
        <row r="1335">
          <cell r="R1335" t="str">
            <v>T200009DPUD No. 1 of Gray</v>
          </cell>
          <cell r="S1335">
            <v>0</v>
          </cell>
        </row>
        <row r="1336">
          <cell r="R1336" t="str">
            <v>T200009DSeattle City Ligh</v>
          </cell>
          <cell r="S1336">
            <v>0</v>
          </cell>
        </row>
        <row r="1337">
          <cell r="R1337" t="str">
            <v xml:space="preserve">T200009DSouthern Company </v>
          </cell>
          <cell r="S1337">
            <v>72676.570000000007</v>
          </cell>
        </row>
        <row r="1338">
          <cell r="R1338" t="str">
            <v>T200009DSouthwest Power P</v>
          </cell>
          <cell r="S1338">
            <v>5842.68</v>
          </cell>
        </row>
        <row r="1339">
          <cell r="R1339" t="str">
            <v xml:space="preserve">T200009DTennessee Valley </v>
          </cell>
          <cell r="S1339">
            <v>781501.68</v>
          </cell>
        </row>
        <row r="1340">
          <cell r="R1340" t="str">
            <v>T200009DThe Power Authori</v>
          </cell>
          <cell r="S1340">
            <v>582.75</v>
          </cell>
        </row>
        <row r="1341">
          <cell r="R1341" t="str">
            <v>T200009DWestern Area Powe</v>
          </cell>
          <cell r="S1341">
            <v>16250</v>
          </cell>
        </row>
        <row r="1342">
          <cell r="R1342" t="str">
            <v>T200009DWisconsin Electri</v>
          </cell>
          <cell r="S1342">
            <v>0</v>
          </cell>
        </row>
        <row r="1343">
          <cell r="R1343" t="str">
            <v xml:space="preserve">T200009FAllegheny Power, </v>
          </cell>
          <cell r="S1343">
            <v>-105859.3</v>
          </cell>
        </row>
        <row r="1344">
          <cell r="R1344" t="str">
            <v>T200009FAmeren Services C</v>
          </cell>
          <cell r="S1344">
            <v>-248206.74</v>
          </cell>
        </row>
        <row r="1345">
          <cell r="R1345" t="str">
            <v>T200009FAmerican Electric</v>
          </cell>
          <cell r="S1345">
            <v>-132639.24</v>
          </cell>
        </row>
        <row r="1346">
          <cell r="R1346" t="str">
            <v>T200009FAssociated Electr</v>
          </cell>
          <cell r="S1346">
            <v>-2860.79</v>
          </cell>
        </row>
        <row r="1347">
          <cell r="R1347" t="str">
            <v xml:space="preserve">T200009FBonneville Power </v>
          </cell>
          <cell r="S1347">
            <v>-307914.02</v>
          </cell>
        </row>
        <row r="1348">
          <cell r="R1348" t="str">
            <v>T200009FCinergy Services,</v>
          </cell>
          <cell r="S1348">
            <v>-166851.20000000001</v>
          </cell>
        </row>
        <row r="1349">
          <cell r="R1349" t="str">
            <v>T200009FConsolidated Edis</v>
          </cell>
          <cell r="S1349">
            <v>-4711.55</v>
          </cell>
        </row>
        <row r="1350">
          <cell r="R1350" t="str">
            <v>T200009FDuke Electric Tra</v>
          </cell>
          <cell r="S1350">
            <v>-3330.6</v>
          </cell>
        </row>
        <row r="1351">
          <cell r="R1351" t="str">
            <v>T200009FElectric Reliabil</v>
          </cell>
          <cell r="S1351">
            <v>-25</v>
          </cell>
        </row>
        <row r="1352">
          <cell r="R1352" t="str">
            <v>T200009FEntergy Services,</v>
          </cell>
          <cell r="S1352">
            <v>-1064.6500000000001</v>
          </cell>
        </row>
        <row r="1353">
          <cell r="R1353" t="str">
            <v>T200009FFirstEnergy Syste</v>
          </cell>
          <cell r="S1353">
            <v>-8917.01</v>
          </cell>
        </row>
        <row r="1354">
          <cell r="R1354" t="str">
            <v>T200009FFlorida Power &amp; L</v>
          </cell>
          <cell r="S1354">
            <v>-2683</v>
          </cell>
        </row>
        <row r="1355">
          <cell r="R1355" t="str">
            <v>T200009FGeorgia Transmiss</v>
          </cell>
          <cell r="S1355">
            <v>-32937.120000000003</v>
          </cell>
        </row>
        <row r="1356">
          <cell r="R1356" t="str">
            <v>T200009FJacksonville Elec</v>
          </cell>
          <cell r="S1356">
            <v>-5828.4</v>
          </cell>
        </row>
        <row r="1357">
          <cell r="R1357" t="str">
            <v>T200009FLouisville Gas An</v>
          </cell>
          <cell r="S1357">
            <v>-4191.45</v>
          </cell>
        </row>
        <row r="1358">
          <cell r="R1358" t="str">
            <v>T200009FMAPPCOR</v>
          </cell>
          <cell r="S1358">
            <v>-288168.57</v>
          </cell>
        </row>
        <row r="1359">
          <cell r="R1359" t="str">
            <v>T200009FMontana Power Com</v>
          </cell>
          <cell r="S1359">
            <v>-150</v>
          </cell>
        </row>
        <row r="1360">
          <cell r="R1360" t="str">
            <v xml:space="preserve">T200009FNorthern Indiana </v>
          </cell>
          <cell r="S1360">
            <v>-382.2</v>
          </cell>
        </row>
        <row r="1361">
          <cell r="R1361" t="str">
            <v>T200009FNorthern States P</v>
          </cell>
          <cell r="S1361">
            <v>-7801.92</v>
          </cell>
        </row>
        <row r="1362">
          <cell r="R1362" t="str">
            <v>T200009FOmaha Public Powe</v>
          </cell>
          <cell r="S1362">
            <v>-111.6</v>
          </cell>
        </row>
        <row r="1363">
          <cell r="R1363" t="str">
            <v xml:space="preserve">T200009FSouthern Company </v>
          </cell>
          <cell r="S1363">
            <v>-72411.789999999994</v>
          </cell>
        </row>
        <row r="1364">
          <cell r="R1364" t="str">
            <v>T200009FSouthwest Power P</v>
          </cell>
          <cell r="S1364">
            <v>-3855.13</v>
          </cell>
        </row>
        <row r="1365">
          <cell r="R1365" t="str">
            <v xml:space="preserve">T200009FTennessee Valley </v>
          </cell>
          <cell r="S1365">
            <v>-783076.15</v>
          </cell>
        </row>
        <row r="1366">
          <cell r="R1366" t="str">
            <v>T200009FThe Power Authori</v>
          </cell>
          <cell r="S1366">
            <v>-3863.55</v>
          </cell>
        </row>
        <row r="1367">
          <cell r="R1367" t="str">
            <v>T200009FWestern Area Powe</v>
          </cell>
          <cell r="S1367">
            <v>-812.9</v>
          </cell>
        </row>
        <row r="1368">
          <cell r="R1368" t="str">
            <v>T200009FWestern Area Powe</v>
          </cell>
          <cell r="S1368">
            <v>-16250</v>
          </cell>
        </row>
        <row r="1369">
          <cell r="R1369" t="str">
            <v xml:space="preserve">T200010DAllegheny Power, </v>
          </cell>
          <cell r="S1369">
            <v>-15569.6</v>
          </cell>
        </row>
        <row r="1370">
          <cell r="R1370" t="str">
            <v>T200010DAmeren Services C</v>
          </cell>
          <cell r="S1370">
            <v>-17509.509999999998</v>
          </cell>
        </row>
        <row r="1371">
          <cell r="R1371" t="str">
            <v>T200010DAmerican Electric</v>
          </cell>
          <cell r="S1371">
            <v>-15050.52</v>
          </cell>
        </row>
        <row r="1372">
          <cell r="R1372" t="str">
            <v>T200010DArizona Public Se</v>
          </cell>
          <cell r="S1372">
            <v>-72.150000000000006</v>
          </cell>
        </row>
        <row r="1373">
          <cell r="R1373" t="str">
            <v>T200010DAssociated Electr</v>
          </cell>
          <cell r="S1373">
            <v>-3090</v>
          </cell>
        </row>
        <row r="1374">
          <cell r="R1374" t="str">
            <v xml:space="preserve">T200010DBonneville Power </v>
          </cell>
          <cell r="S1374">
            <v>-181131.78</v>
          </cell>
        </row>
        <row r="1375">
          <cell r="R1375" t="str">
            <v>T200010DCinergy Services,</v>
          </cell>
          <cell r="S1375">
            <v>-335363.20000000001</v>
          </cell>
        </row>
        <row r="1376">
          <cell r="R1376" t="str">
            <v>T200010DCity of Richland</v>
          </cell>
          <cell r="S1376">
            <v>-1880</v>
          </cell>
        </row>
        <row r="1377">
          <cell r="R1377" t="str">
            <v>T200010DCommonwealth Edis</v>
          </cell>
          <cell r="S1377">
            <v>-85355.65</v>
          </cell>
        </row>
        <row r="1378">
          <cell r="R1378" t="str">
            <v>T200010DConsolidated Edis</v>
          </cell>
          <cell r="S1378">
            <v>-45807.38</v>
          </cell>
        </row>
        <row r="1379">
          <cell r="R1379" t="str">
            <v>T200010DDuke Electric Tra</v>
          </cell>
          <cell r="S1379">
            <v>-5494.6</v>
          </cell>
        </row>
        <row r="1380">
          <cell r="R1380" t="str">
            <v>T200010DElectric Reliabil</v>
          </cell>
          <cell r="S1380">
            <v>-2855.4</v>
          </cell>
        </row>
        <row r="1381">
          <cell r="R1381" t="str">
            <v>T200010DEntergy Services,</v>
          </cell>
          <cell r="S1381">
            <v>-917</v>
          </cell>
        </row>
        <row r="1382">
          <cell r="R1382" t="str">
            <v>T200010DFirstEnergy Syste</v>
          </cell>
          <cell r="S1382">
            <v>-12672.45</v>
          </cell>
        </row>
        <row r="1383">
          <cell r="R1383" t="str">
            <v>T200010DFranklin County P</v>
          </cell>
          <cell r="S1383">
            <v>-3716.25</v>
          </cell>
        </row>
        <row r="1384">
          <cell r="R1384" t="str">
            <v>T200010DGeorgia Transmiss</v>
          </cell>
          <cell r="S1384">
            <v>-19508.53</v>
          </cell>
        </row>
        <row r="1385">
          <cell r="R1385" t="str">
            <v>T200010DLos Angeles Dept.</v>
          </cell>
          <cell r="S1385">
            <v>-180427.5</v>
          </cell>
        </row>
        <row r="1386">
          <cell r="R1386" t="str">
            <v>T200010DLouisville Gas An</v>
          </cell>
          <cell r="S1386">
            <v>-91295.95</v>
          </cell>
        </row>
        <row r="1387">
          <cell r="R1387" t="str">
            <v>T200010DMAPPCOR</v>
          </cell>
          <cell r="S1387">
            <v>-441859.95</v>
          </cell>
        </row>
        <row r="1388">
          <cell r="R1388" t="str">
            <v>T200010DNevada Power Comp</v>
          </cell>
          <cell r="S1388">
            <v>-36771.089999999997</v>
          </cell>
        </row>
        <row r="1389">
          <cell r="R1389" t="str">
            <v>T200010DNew York Independ</v>
          </cell>
          <cell r="S1389">
            <v>-27159.19</v>
          </cell>
        </row>
        <row r="1390">
          <cell r="R1390" t="str">
            <v>T200010DNiagara Mohawk Po</v>
          </cell>
          <cell r="S1390">
            <v>-5668.47</v>
          </cell>
        </row>
        <row r="1391">
          <cell r="R1391" t="str">
            <v xml:space="preserve">T200010DNorthern Indiana </v>
          </cell>
          <cell r="S1391">
            <v>-2560.16</v>
          </cell>
        </row>
        <row r="1392">
          <cell r="R1392" t="str">
            <v>T200010DNorthern States P</v>
          </cell>
          <cell r="S1392">
            <v>-27200</v>
          </cell>
        </row>
        <row r="1393">
          <cell r="R1393" t="str">
            <v>T200010DOmaha Public Powe</v>
          </cell>
          <cell r="S1393">
            <v>-5</v>
          </cell>
        </row>
        <row r="1394">
          <cell r="R1394" t="str">
            <v>T200010DPacificorp</v>
          </cell>
          <cell r="S1394">
            <v>-23313.279999999999</v>
          </cell>
        </row>
        <row r="1395">
          <cell r="R1395" t="str">
            <v>T200010DPJM Interconnecti</v>
          </cell>
          <cell r="S1395">
            <v>-113530.3</v>
          </cell>
        </row>
        <row r="1396">
          <cell r="R1396" t="str">
            <v xml:space="preserve">T200010DPortland General </v>
          </cell>
          <cell r="S1396">
            <v>-153065.96</v>
          </cell>
        </row>
        <row r="1397">
          <cell r="R1397" t="str">
            <v>T200010DPublic Utility Di</v>
          </cell>
          <cell r="S1397">
            <v>-8739</v>
          </cell>
        </row>
        <row r="1398">
          <cell r="R1398" t="str">
            <v>T200010DPublic Utility Di</v>
          </cell>
          <cell r="S1398">
            <v>-83977</v>
          </cell>
        </row>
        <row r="1399">
          <cell r="R1399" t="str">
            <v>T200010DPUD No. 1 of Gray</v>
          </cell>
          <cell r="S1399">
            <v>-14154</v>
          </cell>
        </row>
        <row r="1400">
          <cell r="R1400" t="str">
            <v>T200010DReliant Energy HL</v>
          </cell>
          <cell r="S1400">
            <v>-98</v>
          </cell>
        </row>
        <row r="1401">
          <cell r="R1401" t="str">
            <v>T200010DSalt River Projec</v>
          </cell>
          <cell r="S1401">
            <v>-400</v>
          </cell>
        </row>
        <row r="1402">
          <cell r="R1402" t="str">
            <v xml:space="preserve">T200010DSouthern Company </v>
          </cell>
          <cell r="S1402">
            <v>-33302.080000000002</v>
          </cell>
        </row>
        <row r="1403">
          <cell r="R1403" t="str">
            <v>T200010DSouthwest Power P</v>
          </cell>
          <cell r="S1403">
            <v>-24941.05</v>
          </cell>
        </row>
        <row r="1404">
          <cell r="R1404" t="str">
            <v xml:space="preserve">T200010DTennessee Valley </v>
          </cell>
          <cell r="S1404">
            <v>-448729.15</v>
          </cell>
        </row>
        <row r="1405">
          <cell r="R1405" t="str">
            <v xml:space="preserve">T200010DTexas-New Mexico </v>
          </cell>
          <cell r="S1405">
            <v>-110</v>
          </cell>
        </row>
        <row r="1406">
          <cell r="R1406" t="str">
            <v>T200010DThe Power Authori</v>
          </cell>
          <cell r="S1406">
            <v>-5462.73</v>
          </cell>
        </row>
        <row r="1407">
          <cell r="R1407" t="str">
            <v>T200010DWisconsin Electri</v>
          </cell>
          <cell r="S1407">
            <v>-5749</v>
          </cell>
        </row>
        <row r="1410">
          <cell r="S1410">
            <v>56993006.470003627</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Recon"/>
      <sheetName val="PJM Invoice Totals"/>
      <sheetName val="PJM Bill"/>
      <sheetName val="Deal Comparison"/>
      <sheetName val="Sum All"/>
      <sheetName val="Enpwr - Unfy Recon"/>
      <sheetName val="Flash Dtl"/>
      <sheetName val="CARP Dtl"/>
      <sheetName val="Unify Dtl"/>
    </sheetNames>
    <sheetDataSet>
      <sheetData sheetId="0" refreshError="1"/>
      <sheetData sheetId="1">
        <row r="5">
          <cell r="R5">
            <v>99523.68</v>
          </cell>
        </row>
        <row r="6">
          <cell r="R6">
            <v>2826.96</v>
          </cell>
        </row>
        <row r="7">
          <cell r="R7">
            <v>14</v>
          </cell>
        </row>
        <row r="10">
          <cell r="R10">
            <v>200359.73</v>
          </cell>
        </row>
        <row r="11">
          <cell r="R11">
            <v>66772.77</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T618"/>
  <sheetViews>
    <sheetView tabSelected="1" workbookViewId="0">
      <selection activeCell="M508" sqref="M508"/>
    </sheetView>
  </sheetViews>
  <sheetFormatPr defaultColWidth="9.109375" defaultRowHeight="10.199999999999999" x14ac:dyDescent="0.25"/>
  <cols>
    <col min="1" max="1" width="5.6640625" style="8" customWidth="1"/>
    <col min="2" max="2" width="18.6640625" style="8" customWidth="1"/>
    <col min="3" max="3" width="13.33203125" style="214" customWidth="1"/>
    <col min="4" max="4" width="14.44140625" style="215" bestFit="1" customWidth="1"/>
    <col min="5" max="5" width="18.33203125" style="216" customWidth="1"/>
    <col min="6" max="6" width="0.88671875" style="8" customWidth="1"/>
    <col min="7" max="7" width="18" style="218" customWidth="1"/>
    <col min="8" max="8" width="16.88671875" style="219" bestFit="1" customWidth="1"/>
    <col min="9" max="9" width="1" style="219" customWidth="1"/>
    <col min="10" max="10" width="16.88671875" style="218" customWidth="1"/>
    <col min="11" max="11" width="18.5546875" style="219" bestFit="1" customWidth="1"/>
    <col min="12" max="12" width="2.44140625" style="8" customWidth="1"/>
    <col min="13" max="13" width="32" style="8" customWidth="1"/>
    <col min="14" max="14" width="16.5546875" style="8" customWidth="1"/>
    <col min="15" max="15" width="10.6640625" style="8" customWidth="1"/>
    <col min="16" max="16" width="12.6640625" style="8" customWidth="1"/>
    <col min="17" max="17" width="11.44140625" style="8" customWidth="1"/>
    <col min="18" max="18" width="13.44140625" style="8" customWidth="1"/>
    <col min="19" max="20" width="9.6640625" style="8" customWidth="1"/>
    <col min="21" max="16384" width="9.109375" style="8"/>
  </cols>
  <sheetData>
    <row r="1" spans="1:13" ht="17.399999999999999" x14ac:dyDescent="0.25">
      <c r="A1" s="1"/>
      <c r="B1" s="1"/>
      <c r="C1" s="2"/>
      <c r="D1" s="2"/>
      <c r="E1" s="3"/>
      <c r="F1" s="4"/>
      <c r="G1" s="5"/>
      <c r="H1" s="2"/>
      <c r="I1" s="6"/>
      <c r="J1" s="7"/>
      <c r="K1" s="6"/>
      <c r="L1" s="1"/>
    </row>
    <row r="2" spans="1:13" ht="13.8" x14ac:dyDescent="0.25">
      <c r="A2" s="1"/>
      <c r="B2" s="1"/>
      <c r="C2" s="2"/>
      <c r="D2" s="2"/>
      <c r="E2" s="9"/>
      <c r="F2" s="10" t="s">
        <v>173</v>
      </c>
      <c r="G2" s="11"/>
      <c r="H2" s="12"/>
      <c r="I2" s="6"/>
      <c r="J2" s="7"/>
      <c r="K2" s="6"/>
      <c r="L2" s="1"/>
    </row>
    <row r="3" spans="1:13" ht="13.8" x14ac:dyDescent="0.25">
      <c r="A3" s="1"/>
      <c r="B3" s="1"/>
      <c r="C3" s="2"/>
      <c r="D3" s="13"/>
      <c r="E3" s="14"/>
      <c r="F3" s="11" t="s">
        <v>174</v>
      </c>
      <c r="G3" s="15"/>
      <c r="H3" s="16"/>
      <c r="I3" s="6"/>
      <c r="J3" s="7"/>
      <c r="K3" s="6"/>
      <c r="L3" s="1"/>
    </row>
    <row r="4" spans="1:13" ht="13.8" x14ac:dyDescent="0.25">
      <c r="A4" s="17"/>
      <c r="B4" s="1"/>
      <c r="C4" s="2"/>
      <c r="D4" s="13"/>
      <c r="E4" s="14"/>
      <c r="F4" s="18"/>
      <c r="G4" s="19">
        <v>36800</v>
      </c>
      <c r="H4" s="20"/>
      <c r="I4" s="21"/>
      <c r="J4" s="7"/>
      <c r="K4" s="21"/>
      <c r="L4" s="17"/>
    </row>
    <row r="5" spans="1:13" ht="15.6" x14ac:dyDescent="0.25">
      <c r="A5" s="17"/>
      <c r="B5" s="1"/>
      <c r="C5" s="2"/>
      <c r="D5" s="22"/>
      <c r="E5" s="23"/>
      <c r="F5" s="1"/>
      <c r="G5" s="24"/>
      <c r="H5" s="25"/>
      <c r="I5" s="25"/>
      <c r="J5" s="22"/>
      <c r="K5" s="26"/>
      <c r="L5" s="17"/>
    </row>
    <row r="6" spans="1:13" ht="13.2" x14ac:dyDescent="0.25">
      <c r="A6" s="27"/>
      <c r="B6" s="27"/>
      <c r="C6" s="28"/>
      <c r="D6" s="29" t="s">
        <v>175</v>
      </c>
      <c r="E6" s="30"/>
      <c r="F6" s="31"/>
      <c r="G6" s="32" t="s">
        <v>176</v>
      </c>
      <c r="H6" s="33"/>
      <c r="I6" s="34"/>
      <c r="J6" s="29" t="s">
        <v>177</v>
      </c>
      <c r="K6" s="35"/>
      <c r="L6" s="27"/>
    </row>
    <row r="7" spans="1:13" s="42" customFormat="1" ht="13.2" x14ac:dyDescent="0.25">
      <c r="A7" s="27"/>
      <c r="B7" s="36"/>
      <c r="C7" s="37"/>
      <c r="D7" s="38" t="s">
        <v>178</v>
      </c>
      <c r="E7" s="39" t="s">
        <v>179</v>
      </c>
      <c r="F7" s="40"/>
      <c r="G7" s="38" t="s">
        <v>178</v>
      </c>
      <c r="H7" s="41" t="s">
        <v>179</v>
      </c>
      <c r="I7" s="41"/>
      <c r="J7" s="38" t="s">
        <v>178</v>
      </c>
      <c r="K7" s="41" t="s">
        <v>179</v>
      </c>
      <c r="L7" s="27"/>
    </row>
    <row r="8" spans="1:13" s="53" customFormat="1" ht="13.2" x14ac:dyDescent="0.25">
      <c r="A8" s="43" t="s">
        <v>180</v>
      </c>
      <c r="B8" s="44"/>
      <c r="C8" s="45"/>
      <c r="D8" s="46"/>
      <c r="E8" s="47"/>
      <c r="F8" s="44"/>
      <c r="G8" s="48"/>
      <c r="H8" s="49"/>
      <c r="I8" s="50"/>
      <c r="J8" s="51"/>
      <c r="K8" s="50"/>
      <c r="L8" s="52"/>
    </row>
    <row r="9" spans="1:13" s="60" customFormat="1" ht="13.2" x14ac:dyDescent="0.25">
      <c r="A9" s="52"/>
      <c r="B9" s="54" t="s">
        <v>181</v>
      </c>
      <c r="C9" s="45" t="s">
        <v>182</v>
      </c>
      <c r="D9" s="55">
        <v>-57975567</v>
      </c>
      <c r="E9" s="56">
        <v>2965175012.1700001</v>
      </c>
      <c r="F9" s="54"/>
      <c r="G9" s="56"/>
      <c r="H9" s="56">
        <f>-112200+3547504109+249183570.97+42461416.25+14323.42</f>
        <v>3839051219.6399999</v>
      </c>
      <c r="I9" s="57"/>
      <c r="J9" s="58"/>
      <c r="K9" s="57">
        <f>H9-E9</f>
        <v>873876207.46999979</v>
      </c>
      <c r="L9" s="52"/>
      <c r="M9" s="59"/>
    </row>
    <row r="10" spans="1:13" s="60" customFormat="1" ht="13.2" x14ac:dyDescent="0.25">
      <c r="A10" s="61"/>
      <c r="B10" s="62" t="s">
        <v>183</v>
      </c>
      <c r="C10" s="37" t="s">
        <v>184</v>
      </c>
      <c r="D10" s="55">
        <v>-2980</v>
      </c>
      <c r="E10" s="56">
        <v>3278</v>
      </c>
      <c r="F10" s="63"/>
      <c r="G10" s="64" t="s">
        <v>185</v>
      </c>
      <c r="H10" s="65">
        <v>0</v>
      </c>
      <c r="I10" s="65"/>
      <c r="J10" s="66"/>
      <c r="K10" s="65">
        <f>H10-E10</f>
        <v>-3278</v>
      </c>
      <c r="L10" s="61"/>
    </row>
    <row r="11" spans="1:13" s="53" customFormat="1" ht="13.2" x14ac:dyDescent="0.25">
      <c r="A11" s="27"/>
      <c r="B11" s="36"/>
      <c r="C11" s="37"/>
      <c r="D11" s="67"/>
      <c r="E11" s="65"/>
      <c r="F11" s="63"/>
      <c r="G11" s="64"/>
      <c r="H11" s="57"/>
      <c r="I11" s="65"/>
      <c r="J11" s="66"/>
      <c r="K11" s="65"/>
      <c r="L11" s="27"/>
    </row>
    <row r="12" spans="1:13" s="53" customFormat="1" ht="13.2" x14ac:dyDescent="0.25">
      <c r="A12" s="68" t="s">
        <v>186</v>
      </c>
      <c r="B12" s="44"/>
      <c r="C12" s="69"/>
      <c r="D12" s="70"/>
      <c r="E12" s="71"/>
      <c r="F12" s="72"/>
      <c r="G12" s="73"/>
      <c r="H12" s="74"/>
      <c r="I12" s="57"/>
      <c r="J12" s="58"/>
      <c r="K12" s="57"/>
      <c r="L12" s="44"/>
    </row>
    <row r="13" spans="1:13" s="60" customFormat="1" ht="13.2" x14ac:dyDescent="0.25">
      <c r="A13" s="44"/>
      <c r="B13" s="54" t="s">
        <v>187</v>
      </c>
      <c r="C13" s="75" t="s">
        <v>188</v>
      </c>
      <c r="D13" s="55">
        <v>57503343</v>
      </c>
      <c r="E13" s="56">
        <v>-2932210756.0999999</v>
      </c>
      <c r="F13" s="54"/>
      <c r="G13" s="56"/>
      <c r="H13" s="56">
        <f>-729373.87-3474522173.26-198848866.2-4972710.56+2961001.26-69</f>
        <v>-3676112191.6299996</v>
      </c>
      <c r="I13" s="57"/>
      <c r="J13" s="58"/>
      <c r="K13" s="57">
        <f>H13-E13</f>
        <v>-743901435.52999973</v>
      </c>
      <c r="L13" s="44"/>
      <c r="M13" s="59"/>
    </row>
    <row r="14" spans="1:13" s="60" customFormat="1" ht="13.2" x14ac:dyDescent="0.25">
      <c r="A14" s="61"/>
      <c r="B14" s="63" t="s">
        <v>189</v>
      </c>
      <c r="C14" s="76" t="s">
        <v>190</v>
      </c>
      <c r="D14" s="77">
        <v>2980</v>
      </c>
      <c r="E14" s="56">
        <v>0</v>
      </c>
      <c r="F14" s="78"/>
      <c r="G14" s="79" t="s">
        <v>185</v>
      </c>
      <c r="H14" s="65">
        <v>0</v>
      </c>
      <c r="I14" s="80"/>
      <c r="J14" s="66"/>
      <c r="K14" s="65">
        <f>H14-E14</f>
        <v>0</v>
      </c>
      <c r="L14" s="61"/>
    </row>
    <row r="15" spans="1:13" s="53" customFormat="1" ht="13.2" x14ac:dyDescent="0.25">
      <c r="A15" s="61"/>
      <c r="B15" s="36"/>
      <c r="C15" s="37"/>
      <c r="D15" s="81"/>
      <c r="E15" s="82"/>
      <c r="F15" s="61"/>
      <c r="G15" s="83"/>
      <c r="H15" s="84"/>
      <c r="I15" s="84"/>
      <c r="J15" s="83"/>
      <c r="K15" s="84"/>
      <c r="L15" s="61"/>
    </row>
    <row r="16" spans="1:13" s="53" customFormat="1" ht="13.2" x14ac:dyDescent="0.25">
      <c r="A16" s="61"/>
      <c r="B16" s="36" t="s">
        <v>191</v>
      </c>
      <c r="C16" s="37"/>
      <c r="D16" s="569">
        <f>(SUBTOTAL(9,D9:D15))</f>
        <v>-472224</v>
      </c>
      <c r="E16" s="85">
        <f>(SUBTOTAL(9,E9:E15))</f>
        <v>32967534.070000172</v>
      </c>
      <c r="F16" s="86"/>
      <c r="G16" s="87" t="s">
        <v>185</v>
      </c>
      <c r="H16" s="85">
        <f>(SUBTOTAL(9,H9:H15))</f>
        <v>162939028.01000023</v>
      </c>
      <c r="I16" s="88">
        <f>(SUBTOTAL(9,I9:I15))</f>
        <v>0</v>
      </c>
      <c r="J16" s="87">
        <f>(SUBTOTAL(9,J9:J15))</f>
        <v>0</v>
      </c>
      <c r="K16" s="85">
        <f>(SUBTOTAL(9,K9:K15))</f>
        <v>129971493.94000006</v>
      </c>
      <c r="L16" s="61"/>
    </row>
    <row r="17" spans="1:14" s="53" customFormat="1" ht="13.2" x14ac:dyDescent="0.25">
      <c r="A17" s="27"/>
      <c r="B17" s="36"/>
      <c r="C17" s="37"/>
      <c r="D17" s="89"/>
      <c r="E17" s="90"/>
      <c r="F17" s="61"/>
      <c r="G17" s="91"/>
      <c r="H17" s="92"/>
      <c r="I17" s="92"/>
      <c r="J17" s="93"/>
      <c r="K17" s="94"/>
      <c r="L17" s="27"/>
    </row>
    <row r="18" spans="1:14" s="53" customFormat="1" ht="13.2" x14ac:dyDescent="0.25">
      <c r="A18" s="68" t="s">
        <v>192</v>
      </c>
      <c r="B18" s="44"/>
      <c r="C18" s="75"/>
      <c r="D18" s="95"/>
      <c r="E18" s="96"/>
      <c r="F18" s="97"/>
      <c r="G18" s="98"/>
      <c r="H18" s="50"/>
      <c r="I18" s="50"/>
      <c r="J18" s="51"/>
      <c r="K18" s="50"/>
      <c r="L18" s="44"/>
    </row>
    <row r="19" spans="1:14" s="60" customFormat="1" ht="13.2" x14ac:dyDescent="0.25">
      <c r="A19" s="44"/>
      <c r="B19" s="54" t="s">
        <v>193</v>
      </c>
      <c r="C19" s="75" t="s">
        <v>194</v>
      </c>
      <c r="D19" s="55">
        <v>-1450106</v>
      </c>
      <c r="E19" s="56">
        <v>3771632.6</v>
      </c>
      <c r="F19" s="99"/>
      <c r="G19" s="100" t="s">
        <v>185</v>
      </c>
      <c r="H19" s="56"/>
      <c r="I19" s="57"/>
      <c r="J19" s="58"/>
      <c r="K19" s="57">
        <f t="shared" ref="K19:K25" si="0">H19-E19</f>
        <v>-3771632.6</v>
      </c>
      <c r="L19" s="44"/>
      <c r="M19" s="59"/>
    </row>
    <row r="20" spans="1:14" s="60" customFormat="1" ht="13.2" x14ac:dyDescent="0.25">
      <c r="A20" s="101"/>
      <c r="B20" s="102" t="s">
        <v>195</v>
      </c>
      <c r="C20" s="103" t="s">
        <v>196</v>
      </c>
      <c r="D20" s="104">
        <v>0</v>
      </c>
      <c r="E20" s="56">
        <v>11184678.390000001</v>
      </c>
      <c r="F20" s="105"/>
      <c r="G20" s="106" t="s">
        <v>185</v>
      </c>
      <c r="H20" s="56"/>
      <c r="I20" s="107"/>
      <c r="J20" s="106" t="s">
        <v>185</v>
      </c>
      <c r="K20" s="108">
        <f t="shared" si="0"/>
        <v>-11184678.390000001</v>
      </c>
      <c r="L20" s="101"/>
    </row>
    <row r="21" spans="1:14" s="118" customFormat="1" ht="20.399999999999999" x14ac:dyDescent="0.25">
      <c r="A21" s="101"/>
      <c r="B21" s="109" t="s">
        <v>197</v>
      </c>
      <c r="C21" s="110" t="s">
        <v>198</v>
      </c>
      <c r="D21" s="111"/>
      <c r="E21" s="112">
        <v>39999150</v>
      </c>
      <c r="F21" s="113"/>
      <c r="G21" s="114" t="s">
        <v>185</v>
      </c>
      <c r="H21" s="115"/>
      <c r="I21" s="116"/>
      <c r="J21" s="114" t="s">
        <v>185</v>
      </c>
      <c r="K21" s="117">
        <f t="shared" si="0"/>
        <v>-39999150</v>
      </c>
      <c r="L21" s="101"/>
    </row>
    <row r="22" spans="1:14" s="118" customFormat="1" ht="13.2" x14ac:dyDescent="0.25">
      <c r="A22" s="101"/>
      <c r="B22" s="102" t="s">
        <v>197</v>
      </c>
      <c r="C22" s="119"/>
      <c r="D22" s="120"/>
      <c r="E22" s="112">
        <v>1333095</v>
      </c>
      <c r="F22" s="105"/>
      <c r="G22" s="106" t="s">
        <v>185</v>
      </c>
      <c r="H22" s="121"/>
      <c r="I22" s="107"/>
      <c r="J22" s="106" t="s">
        <v>185</v>
      </c>
      <c r="K22" s="108">
        <f t="shared" si="0"/>
        <v>-1333095</v>
      </c>
      <c r="L22" s="101"/>
    </row>
    <row r="23" spans="1:14" s="118" customFormat="1" ht="13.2" x14ac:dyDescent="0.25">
      <c r="A23" s="101"/>
      <c r="B23" s="102" t="s">
        <v>199</v>
      </c>
      <c r="C23" s="119"/>
      <c r="D23" s="120"/>
      <c r="E23" s="122"/>
      <c r="F23" s="105"/>
      <c r="G23" s="106" t="s">
        <v>185</v>
      </c>
      <c r="H23" s="121"/>
      <c r="I23" s="107"/>
      <c r="J23" s="106" t="s">
        <v>185</v>
      </c>
      <c r="K23" s="108">
        <f t="shared" si="0"/>
        <v>0</v>
      </c>
      <c r="L23" s="101"/>
    </row>
    <row r="24" spans="1:14" s="118" customFormat="1" ht="13.2" x14ac:dyDescent="0.25">
      <c r="A24" s="101"/>
      <c r="B24" s="102" t="s">
        <v>200</v>
      </c>
      <c r="C24" s="119" t="s">
        <v>201</v>
      </c>
      <c r="D24" s="120"/>
      <c r="E24" s="122"/>
      <c r="F24" s="105"/>
      <c r="G24" s="106" t="s">
        <v>185</v>
      </c>
      <c r="H24" s="121"/>
      <c r="I24" s="107"/>
      <c r="J24" s="106" t="s">
        <v>185</v>
      </c>
      <c r="K24" s="108">
        <f t="shared" si="0"/>
        <v>0</v>
      </c>
      <c r="L24" s="101"/>
      <c r="N24" s="123"/>
    </row>
    <row r="25" spans="1:14" s="118" customFormat="1" ht="13.2" x14ac:dyDescent="0.25">
      <c r="A25" s="124"/>
      <c r="B25" s="102" t="s">
        <v>202</v>
      </c>
      <c r="C25" s="119"/>
      <c r="D25" s="120"/>
      <c r="E25" s="122"/>
      <c r="F25" s="105"/>
      <c r="G25" s="106" t="s">
        <v>185</v>
      </c>
      <c r="H25" s="121"/>
      <c r="I25" s="107"/>
      <c r="J25" s="106" t="s">
        <v>185</v>
      </c>
      <c r="K25" s="108">
        <f t="shared" si="0"/>
        <v>0</v>
      </c>
      <c r="L25" s="124"/>
      <c r="M25" s="125"/>
    </row>
    <row r="26" spans="1:14" s="134" customFormat="1" ht="13.2" x14ac:dyDescent="0.25">
      <c r="A26" s="27"/>
      <c r="B26" s="36"/>
      <c r="C26" s="126"/>
      <c r="D26" s="127"/>
      <c r="E26" s="128"/>
      <c r="F26" s="129"/>
      <c r="G26" s="130"/>
      <c r="H26" s="131"/>
      <c r="I26" s="131"/>
      <c r="J26" s="132"/>
      <c r="K26" s="133"/>
      <c r="L26" s="27"/>
    </row>
    <row r="27" spans="1:14" s="140" customFormat="1" ht="13.2" x14ac:dyDescent="0.25">
      <c r="A27" s="135" t="s">
        <v>203</v>
      </c>
      <c r="B27" s="136"/>
      <c r="C27" s="137"/>
      <c r="D27" s="138"/>
      <c r="E27" s="71"/>
      <c r="F27" s="139"/>
      <c r="G27" s="73"/>
      <c r="H27" s="74"/>
      <c r="I27" s="57"/>
      <c r="J27" s="58"/>
      <c r="K27" s="57"/>
      <c r="L27" s="52"/>
    </row>
    <row r="28" spans="1:14" s="143" customFormat="1" ht="13.2" x14ac:dyDescent="0.25">
      <c r="A28" s="52"/>
      <c r="B28" s="139" t="s">
        <v>204</v>
      </c>
      <c r="C28" s="137" t="s">
        <v>205</v>
      </c>
      <c r="D28" s="55">
        <v>1216906</v>
      </c>
      <c r="E28" s="56">
        <v>-2141820.04</v>
      </c>
      <c r="F28" s="139"/>
      <c r="G28" s="141"/>
      <c r="H28" s="57"/>
      <c r="I28" s="57"/>
      <c r="J28" s="58"/>
      <c r="K28" s="57">
        <f t="shared" ref="K28:K35" si="1">H28-E28</f>
        <v>2141820.04</v>
      </c>
      <c r="L28" s="52"/>
      <c r="M28" s="142"/>
    </row>
    <row r="29" spans="1:14" s="143" customFormat="1" ht="13.2" x14ac:dyDescent="0.25">
      <c r="A29" s="136"/>
      <c r="B29" s="139" t="s">
        <v>206</v>
      </c>
      <c r="C29" s="75"/>
      <c r="D29" s="144"/>
      <c r="E29" s="71"/>
      <c r="F29" s="139"/>
      <c r="G29" s="141"/>
      <c r="H29" s="57"/>
      <c r="I29" s="57"/>
      <c r="J29" s="58" t="s">
        <v>185</v>
      </c>
      <c r="K29" s="57">
        <f t="shared" si="1"/>
        <v>0</v>
      </c>
      <c r="L29" s="136"/>
    </row>
    <row r="30" spans="1:14" s="143" customFormat="1" ht="13.2" x14ac:dyDescent="0.25">
      <c r="A30" s="136"/>
      <c r="B30" s="139" t="s">
        <v>207</v>
      </c>
      <c r="C30" s="75" t="s">
        <v>208</v>
      </c>
      <c r="D30" s="55">
        <v>1422206</v>
      </c>
      <c r="E30" s="56">
        <v>-4687466.28</v>
      </c>
      <c r="F30" s="139"/>
      <c r="G30" s="141" t="s">
        <v>185</v>
      </c>
      <c r="H30" s="56"/>
      <c r="I30" s="57"/>
      <c r="J30" s="58"/>
      <c r="K30" s="57">
        <f t="shared" si="1"/>
        <v>4687466.28</v>
      </c>
      <c r="L30" s="136"/>
      <c r="M30" s="142"/>
    </row>
    <row r="31" spans="1:14" s="143" customFormat="1" ht="13.2" x14ac:dyDescent="0.25">
      <c r="A31" s="145"/>
      <c r="B31" s="146" t="s">
        <v>209</v>
      </c>
      <c r="C31" s="147" t="s">
        <v>210</v>
      </c>
      <c r="D31" s="77">
        <v>0</v>
      </c>
      <c r="E31" s="56">
        <v>-4484146.03</v>
      </c>
      <c r="F31" s="139"/>
      <c r="G31" s="58" t="s">
        <v>185</v>
      </c>
      <c r="H31" s="56"/>
      <c r="I31" s="57"/>
      <c r="J31" s="58" t="s">
        <v>185</v>
      </c>
      <c r="K31" s="148">
        <f t="shared" si="1"/>
        <v>4484146.03</v>
      </c>
      <c r="L31" s="145"/>
    </row>
    <row r="32" spans="1:14" s="153" customFormat="1" ht="13.2" x14ac:dyDescent="0.25">
      <c r="A32" s="145"/>
      <c r="B32" s="149" t="s">
        <v>211</v>
      </c>
      <c r="C32" s="119" t="s">
        <v>212</v>
      </c>
      <c r="D32" s="150"/>
      <c r="E32" s="112">
        <v>-320058</v>
      </c>
      <c r="F32" s="151"/>
      <c r="G32" s="106" t="s">
        <v>185</v>
      </c>
      <c r="H32" s="152"/>
      <c r="I32" s="122"/>
      <c r="J32" s="106" t="s">
        <v>185</v>
      </c>
      <c r="K32" s="108">
        <f t="shared" si="1"/>
        <v>320058</v>
      </c>
      <c r="L32" s="145"/>
    </row>
    <row r="33" spans="1:14" s="153" customFormat="1" ht="13.2" x14ac:dyDescent="0.25">
      <c r="A33" s="145"/>
      <c r="B33" s="149" t="s">
        <v>213</v>
      </c>
      <c r="C33" s="119" t="s">
        <v>214</v>
      </c>
      <c r="D33" s="150"/>
      <c r="E33" s="122"/>
      <c r="F33" s="151"/>
      <c r="G33" s="106" t="s">
        <v>185</v>
      </c>
      <c r="H33" s="152"/>
      <c r="I33" s="122"/>
      <c r="J33" s="106" t="s">
        <v>185</v>
      </c>
      <c r="K33" s="108">
        <f t="shared" si="1"/>
        <v>0</v>
      </c>
      <c r="L33" s="145"/>
      <c r="N33" s="123"/>
    </row>
    <row r="34" spans="1:14" s="153" customFormat="1" ht="13.2" x14ac:dyDescent="0.25">
      <c r="A34" s="145"/>
      <c r="B34" s="149" t="s">
        <v>215</v>
      </c>
      <c r="C34" s="119" t="s">
        <v>214</v>
      </c>
      <c r="D34" s="150"/>
      <c r="E34" s="122"/>
      <c r="F34" s="151"/>
      <c r="G34" s="106" t="s">
        <v>185</v>
      </c>
      <c r="H34" s="152"/>
      <c r="I34" s="122"/>
      <c r="J34" s="106" t="s">
        <v>185</v>
      </c>
      <c r="K34" s="108">
        <f t="shared" si="1"/>
        <v>0</v>
      </c>
      <c r="L34" s="145"/>
    </row>
    <row r="35" spans="1:14" s="153" customFormat="1" ht="13.2" x14ac:dyDescent="0.25">
      <c r="A35" s="61"/>
      <c r="B35" s="154" t="s">
        <v>216</v>
      </c>
      <c r="C35" s="155" t="s">
        <v>214</v>
      </c>
      <c r="D35" s="156"/>
      <c r="E35" s="157"/>
      <c r="F35" s="158"/>
      <c r="G35" s="159" t="s">
        <v>185</v>
      </c>
      <c r="H35" s="157"/>
      <c r="I35" s="157"/>
      <c r="J35" s="159" t="s">
        <v>185</v>
      </c>
      <c r="K35" s="157">
        <f t="shared" si="1"/>
        <v>0</v>
      </c>
      <c r="L35" s="61"/>
      <c r="M35" s="160"/>
    </row>
    <row r="36" spans="1:14" ht="13.2" x14ac:dyDescent="0.25">
      <c r="A36" s="61"/>
      <c r="B36" s="36"/>
      <c r="C36" s="37"/>
      <c r="D36" s="161"/>
      <c r="E36" s="162"/>
      <c r="F36" s="63"/>
      <c r="G36" s="163"/>
      <c r="H36" s="162"/>
      <c r="I36" s="162"/>
      <c r="J36" s="163"/>
      <c r="K36" s="162"/>
      <c r="L36" s="61"/>
    </row>
    <row r="37" spans="1:14" ht="13.2" x14ac:dyDescent="0.25">
      <c r="A37" s="61"/>
      <c r="B37" s="36" t="s">
        <v>191</v>
      </c>
      <c r="C37" s="2"/>
      <c r="D37" s="208">
        <f>(SUBTOTAL(9,D19:D36))</f>
        <v>1189006</v>
      </c>
      <c r="E37" s="165">
        <f>(SUBTOTAL(9,E19:E36))</f>
        <v>44655065.640000001</v>
      </c>
      <c r="F37" s="166"/>
      <c r="G37" s="167">
        <f>(SUBTOTAL(9,G19:G36))</f>
        <v>0</v>
      </c>
      <c r="H37" s="165">
        <f>(SUBTOTAL(9,H19:H36))</f>
        <v>0</v>
      </c>
      <c r="I37" s="165"/>
      <c r="J37" s="167">
        <f>(SUBTOTAL(9,J19:J36))</f>
        <v>0</v>
      </c>
      <c r="K37" s="165">
        <f>(SUBTOTAL(9,K19:K36))</f>
        <v>-44655065.640000001</v>
      </c>
      <c r="L37" s="61"/>
    </row>
    <row r="38" spans="1:14" ht="13.2" x14ac:dyDescent="0.25">
      <c r="A38" s="168"/>
      <c r="B38" s="36"/>
      <c r="C38" s="2"/>
      <c r="D38" s="164"/>
      <c r="E38" s="165"/>
      <c r="F38" s="166"/>
      <c r="G38" s="167"/>
      <c r="H38" s="165"/>
      <c r="I38" s="165"/>
      <c r="J38" s="167"/>
      <c r="K38" s="165"/>
      <c r="L38" s="168"/>
    </row>
    <row r="39" spans="1:14" ht="13.2" x14ac:dyDescent="0.25">
      <c r="A39" s="92" t="s">
        <v>217</v>
      </c>
      <c r="B39" s="124"/>
      <c r="C39" s="169"/>
      <c r="D39" s="170"/>
      <c r="E39" s="80"/>
      <c r="F39" s="78"/>
      <c r="G39" s="171"/>
      <c r="H39" s="80"/>
      <c r="I39" s="80"/>
      <c r="J39" s="172"/>
      <c r="K39" s="80"/>
      <c r="L39" s="92"/>
    </row>
    <row r="40" spans="1:14" s="134" customFormat="1" ht="13.2" x14ac:dyDescent="0.25">
      <c r="A40" s="124"/>
      <c r="B40" s="78" t="s">
        <v>218</v>
      </c>
      <c r="C40" s="173"/>
      <c r="D40" s="174">
        <v>0</v>
      </c>
      <c r="E40" s="175">
        <f>-10088915+2393937</f>
        <v>-7694978</v>
      </c>
      <c r="F40" s="78"/>
      <c r="G40" s="176">
        <v>0</v>
      </c>
      <c r="H40" s="80">
        <v>0</v>
      </c>
      <c r="I40" s="80"/>
      <c r="J40" s="172">
        <v>0</v>
      </c>
      <c r="K40" s="80">
        <f t="shared" ref="K40:K55" si="2">H40-E40</f>
        <v>7694978</v>
      </c>
      <c r="L40" s="124"/>
    </row>
    <row r="41" spans="1:14" s="134" customFormat="1" ht="13.2" x14ac:dyDescent="0.25">
      <c r="A41" s="124"/>
      <c r="B41" s="129" t="s">
        <v>219</v>
      </c>
      <c r="C41" s="173"/>
      <c r="D41" s="174">
        <v>0</v>
      </c>
      <c r="E41" s="80"/>
      <c r="F41" s="78"/>
      <c r="G41" s="176">
        <v>0</v>
      </c>
      <c r="H41" s="80">
        <v>0</v>
      </c>
      <c r="I41" s="80"/>
      <c r="J41" s="172">
        <v>0</v>
      </c>
      <c r="K41" s="80">
        <f t="shared" si="2"/>
        <v>0</v>
      </c>
      <c r="L41" s="124"/>
    </row>
    <row r="42" spans="1:14" s="134" customFormat="1" ht="13.2" x14ac:dyDescent="0.25">
      <c r="A42" s="124"/>
      <c r="B42" s="129" t="s">
        <v>220</v>
      </c>
      <c r="C42" s="173"/>
      <c r="D42" s="174">
        <v>0</v>
      </c>
      <c r="E42" s="80"/>
      <c r="F42" s="78"/>
      <c r="G42" s="176">
        <v>0</v>
      </c>
      <c r="H42" s="80">
        <v>0</v>
      </c>
      <c r="I42" s="80"/>
      <c r="J42" s="172">
        <v>0</v>
      </c>
      <c r="K42" s="80">
        <f t="shared" si="2"/>
        <v>0</v>
      </c>
      <c r="L42" s="124"/>
    </row>
    <row r="43" spans="1:14" s="134" customFormat="1" ht="13.2" x14ac:dyDescent="0.25">
      <c r="A43" s="124"/>
      <c r="B43" s="129" t="s">
        <v>221</v>
      </c>
      <c r="C43" s="173"/>
      <c r="D43" s="174">
        <v>0</v>
      </c>
      <c r="E43" s="175">
        <v>735536</v>
      </c>
      <c r="F43" s="78"/>
      <c r="G43" s="176">
        <v>0</v>
      </c>
      <c r="H43" s="80">
        <v>0</v>
      </c>
      <c r="I43" s="80"/>
      <c r="J43" s="172">
        <v>0</v>
      </c>
      <c r="K43" s="80">
        <f t="shared" si="2"/>
        <v>-735536</v>
      </c>
      <c r="L43" s="124"/>
    </row>
    <row r="44" spans="1:14" s="134" customFormat="1" ht="13.2" x14ac:dyDescent="0.25">
      <c r="A44" s="124"/>
      <c r="B44" s="78" t="s">
        <v>222</v>
      </c>
      <c r="C44" s="177"/>
      <c r="D44" s="174">
        <v>0</v>
      </c>
      <c r="E44" s="175">
        <v>5815390</v>
      </c>
      <c r="F44" s="78"/>
      <c r="G44" s="176">
        <v>0</v>
      </c>
      <c r="H44" s="80">
        <v>0</v>
      </c>
      <c r="I44" s="80"/>
      <c r="J44" s="172">
        <v>0</v>
      </c>
      <c r="K44" s="80">
        <f t="shared" si="2"/>
        <v>-5815390</v>
      </c>
      <c r="L44" s="124"/>
    </row>
    <row r="45" spans="1:14" s="134" customFormat="1" ht="13.2" x14ac:dyDescent="0.25">
      <c r="A45" s="61"/>
      <c r="B45" s="129" t="s">
        <v>223</v>
      </c>
      <c r="C45" s="178"/>
      <c r="D45" s="179">
        <v>0</v>
      </c>
      <c r="E45" s="175">
        <v>-2325</v>
      </c>
      <c r="F45" s="129"/>
      <c r="G45" s="180">
        <v>0</v>
      </c>
      <c r="H45" s="80">
        <v>0</v>
      </c>
      <c r="I45" s="80"/>
      <c r="J45" s="172">
        <v>0</v>
      </c>
      <c r="K45" s="80">
        <f t="shared" si="2"/>
        <v>2325</v>
      </c>
      <c r="L45" s="61"/>
    </row>
    <row r="46" spans="1:14" ht="13.2" x14ac:dyDescent="0.25">
      <c r="A46" s="61"/>
      <c r="B46" s="129" t="s">
        <v>224</v>
      </c>
      <c r="C46" s="178" t="s">
        <v>225</v>
      </c>
      <c r="D46" s="179">
        <v>0</v>
      </c>
      <c r="E46" s="175">
        <f>-230015-546539</f>
        <v>-776554</v>
      </c>
      <c r="F46" s="129"/>
      <c r="G46" s="180">
        <v>0</v>
      </c>
      <c r="H46" s="56">
        <v>-513424.54</v>
      </c>
      <c r="I46" s="80"/>
      <c r="J46" s="172">
        <v>0</v>
      </c>
      <c r="K46" s="80">
        <f t="shared" si="2"/>
        <v>263129.46000000002</v>
      </c>
      <c r="L46" s="61"/>
      <c r="M46" s="181"/>
    </row>
    <row r="47" spans="1:14" ht="13.2" x14ac:dyDescent="0.25">
      <c r="A47" s="61"/>
      <c r="B47" s="182" t="s">
        <v>226</v>
      </c>
      <c r="C47" s="178" t="s">
        <v>227</v>
      </c>
      <c r="D47" s="179">
        <v>0</v>
      </c>
      <c r="E47" s="80"/>
      <c r="F47" s="129"/>
      <c r="G47" s="180">
        <v>0</v>
      </c>
      <c r="H47" s="56">
        <v>4557250.1399999997</v>
      </c>
      <c r="I47" s="80"/>
      <c r="J47" s="172">
        <v>0</v>
      </c>
      <c r="K47" s="80">
        <f t="shared" si="2"/>
        <v>4557250.1399999997</v>
      </c>
      <c r="L47" s="61"/>
      <c r="M47" s="181"/>
    </row>
    <row r="48" spans="1:14" ht="13.2" x14ac:dyDescent="0.25">
      <c r="A48" s="183"/>
      <c r="B48" s="129" t="s">
        <v>228</v>
      </c>
      <c r="C48" s="173" t="s">
        <v>229</v>
      </c>
      <c r="D48" s="179">
        <v>0</v>
      </c>
      <c r="E48" s="80"/>
      <c r="F48" s="129"/>
      <c r="G48" s="180">
        <v>0</v>
      </c>
      <c r="H48" s="80">
        <v>0</v>
      </c>
      <c r="I48" s="80"/>
      <c r="J48" s="172">
        <v>0</v>
      </c>
      <c r="K48" s="80">
        <f t="shared" si="2"/>
        <v>0</v>
      </c>
      <c r="L48" s="183"/>
      <c r="M48" s="181"/>
    </row>
    <row r="49" spans="1:12" s="181" customFormat="1" ht="13.2" x14ac:dyDescent="0.25">
      <c r="A49" s="183"/>
      <c r="B49" s="129" t="s">
        <v>230</v>
      </c>
      <c r="C49" s="173"/>
      <c r="D49" s="179">
        <v>0</v>
      </c>
      <c r="E49" s="80"/>
      <c r="F49" s="129"/>
      <c r="G49" s="180">
        <v>0</v>
      </c>
      <c r="H49" s="80">
        <v>0</v>
      </c>
      <c r="I49" s="80"/>
      <c r="J49" s="172">
        <v>0</v>
      </c>
      <c r="K49" s="80">
        <f t="shared" si="2"/>
        <v>0</v>
      </c>
      <c r="L49" s="183"/>
    </row>
    <row r="50" spans="1:12" s="181" customFormat="1" ht="13.2" x14ac:dyDescent="0.25">
      <c r="A50" s="183"/>
      <c r="B50" s="129" t="s">
        <v>231</v>
      </c>
      <c r="C50" s="173"/>
      <c r="D50" s="179"/>
      <c r="E50" s="80"/>
      <c r="F50" s="129"/>
      <c r="G50" s="180">
        <v>0</v>
      </c>
      <c r="H50" s="80">
        <v>0</v>
      </c>
      <c r="I50" s="80"/>
      <c r="J50" s="172">
        <v>0</v>
      </c>
      <c r="K50" s="80">
        <f t="shared" si="2"/>
        <v>0</v>
      </c>
      <c r="L50" s="183"/>
    </row>
    <row r="51" spans="1:12" s="181" customFormat="1" ht="13.2" x14ac:dyDescent="0.25">
      <c r="A51" s="183"/>
      <c r="B51" s="129" t="s">
        <v>232</v>
      </c>
      <c r="C51" s="173"/>
      <c r="D51" s="179"/>
      <c r="E51" s="80"/>
      <c r="F51" s="129"/>
      <c r="G51" s="180">
        <v>0</v>
      </c>
      <c r="H51" s="80">
        <v>0</v>
      </c>
      <c r="I51" s="80"/>
      <c r="J51" s="172">
        <v>0</v>
      </c>
      <c r="K51" s="80">
        <f t="shared" si="2"/>
        <v>0</v>
      </c>
      <c r="L51" s="183"/>
    </row>
    <row r="52" spans="1:12" s="181" customFormat="1" ht="13.2" x14ac:dyDescent="0.25">
      <c r="A52" s="183"/>
      <c r="B52" s="129" t="s">
        <v>233</v>
      </c>
      <c r="C52" s="173"/>
      <c r="D52" s="179">
        <v>0</v>
      </c>
      <c r="E52" s="80"/>
      <c r="F52" s="129"/>
      <c r="G52" s="180">
        <v>0</v>
      </c>
      <c r="H52" s="80">
        <v>0</v>
      </c>
      <c r="I52" s="80"/>
      <c r="J52" s="172">
        <v>0</v>
      </c>
      <c r="K52" s="80">
        <f t="shared" si="2"/>
        <v>0</v>
      </c>
      <c r="L52" s="183"/>
    </row>
    <row r="53" spans="1:12" s="181" customFormat="1" ht="13.2" x14ac:dyDescent="0.25">
      <c r="A53" s="183"/>
      <c r="B53" s="129" t="s">
        <v>234</v>
      </c>
      <c r="C53" s="173"/>
      <c r="D53" s="179"/>
      <c r="E53" s="80"/>
      <c r="F53" s="129"/>
      <c r="G53" s="180">
        <v>0</v>
      </c>
      <c r="H53" s="80">
        <v>0</v>
      </c>
      <c r="I53" s="80"/>
      <c r="J53" s="172">
        <v>0</v>
      </c>
      <c r="K53" s="80">
        <f t="shared" si="2"/>
        <v>0</v>
      </c>
      <c r="L53" s="183"/>
    </row>
    <row r="54" spans="1:12" s="181" customFormat="1" ht="13.2" x14ac:dyDescent="0.25">
      <c r="A54" s="183"/>
      <c r="B54" s="129" t="s">
        <v>235</v>
      </c>
      <c r="C54" s="173"/>
      <c r="D54" s="179">
        <v>0</v>
      </c>
      <c r="E54" s="175">
        <f>-700321-3085032</f>
        <v>-3785353</v>
      </c>
      <c r="F54" s="129"/>
      <c r="G54" s="180">
        <v>0</v>
      </c>
      <c r="H54" s="80">
        <v>0</v>
      </c>
      <c r="I54" s="80"/>
      <c r="J54" s="172">
        <v>0</v>
      </c>
      <c r="K54" s="80">
        <f t="shared" si="2"/>
        <v>3785353</v>
      </c>
      <c r="L54" s="183"/>
    </row>
    <row r="55" spans="1:12" s="181" customFormat="1" ht="13.2" x14ac:dyDescent="0.25">
      <c r="A55" s="183"/>
      <c r="B55" s="129" t="s">
        <v>236</v>
      </c>
      <c r="C55" s="173"/>
      <c r="D55" s="179">
        <v>0</v>
      </c>
      <c r="E55" s="175">
        <f>-2316225-61666</f>
        <v>-2377891</v>
      </c>
      <c r="F55" s="129"/>
      <c r="G55" s="180">
        <v>0</v>
      </c>
      <c r="H55" s="80">
        <v>0</v>
      </c>
      <c r="I55" s="80"/>
      <c r="J55" s="172">
        <v>0</v>
      </c>
      <c r="K55" s="80">
        <f t="shared" si="2"/>
        <v>2377891</v>
      </c>
      <c r="L55" s="183"/>
    </row>
    <row r="56" spans="1:12" s="181" customFormat="1" ht="13.2" x14ac:dyDescent="0.25">
      <c r="A56" s="61"/>
      <c r="B56" s="36"/>
      <c r="C56" s="37"/>
      <c r="D56" s="161"/>
      <c r="E56" s="162"/>
      <c r="F56" s="63"/>
      <c r="G56" s="184"/>
      <c r="H56" s="162"/>
      <c r="I56" s="162"/>
      <c r="J56" s="184"/>
      <c r="K56" s="162"/>
      <c r="L56" s="61"/>
    </row>
    <row r="57" spans="1:12" ht="13.2" x14ac:dyDescent="0.25">
      <c r="A57" s="61"/>
      <c r="B57" s="36" t="s">
        <v>191</v>
      </c>
      <c r="C57" s="2"/>
      <c r="D57" s="164">
        <f>(SUBTOTAL(9,D40:D56))</f>
        <v>0</v>
      </c>
      <c r="E57" s="165">
        <f>(SUBTOTAL(9,E40:E56))</f>
        <v>-8086175</v>
      </c>
      <c r="F57" s="166"/>
      <c r="G57" s="167">
        <f>(SUBTOTAL(9,G40:G56))</f>
        <v>0</v>
      </c>
      <c r="H57" s="165">
        <f>(SUBTOTAL(9,H40:H56))</f>
        <v>4043825.5999999996</v>
      </c>
      <c r="I57" s="165"/>
      <c r="J57" s="167">
        <f>(SUBTOTAL(9,J40:J56))</f>
        <v>0</v>
      </c>
      <c r="K57" s="165">
        <f>(SUBTOTAL(9,K40:K56))</f>
        <v>12130000.6</v>
      </c>
      <c r="L57" s="61"/>
    </row>
    <row r="58" spans="1:12" ht="13.8" thickBot="1" x14ac:dyDescent="0.3">
      <c r="A58" s="168"/>
      <c r="B58" s="36"/>
      <c r="C58" s="126"/>
      <c r="D58" s="185"/>
      <c r="E58" s="186"/>
      <c r="F58" s="182"/>
      <c r="G58" s="187"/>
      <c r="H58" s="186"/>
      <c r="I58" s="186"/>
      <c r="J58" s="187"/>
      <c r="K58" s="188"/>
      <c r="L58" s="168"/>
    </row>
    <row r="59" spans="1:12" s="140" customFormat="1" ht="13.8" thickTop="1" x14ac:dyDescent="0.25">
      <c r="A59" s="61" t="s">
        <v>237</v>
      </c>
      <c r="B59" s="36"/>
      <c r="C59" s="2"/>
      <c r="D59" s="189">
        <f>SUBTOTAL(9,D9:D57)</f>
        <v>716782</v>
      </c>
      <c r="E59" s="165">
        <f>SUBTOTAL(9,E9:E57)</f>
        <v>69536424.710000172</v>
      </c>
      <c r="F59" s="166"/>
      <c r="G59" s="167">
        <f>SUBTOTAL(9,G9:G57)</f>
        <v>0</v>
      </c>
      <c r="H59" s="165">
        <f>SUBTOTAL(9,H9:H57)</f>
        <v>166982853.61000022</v>
      </c>
      <c r="I59" s="165"/>
      <c r="J59" s="167">
        <f>SUBTOTAL(9,J9:J57)</f>
        <v>0</v>
      </c>
      <c r="K59" s="165">
        <f>SUBTOTAL(9,K9:K57)</f>
        <v>97446428.900000066</v>
      </c>
      <c r="L59" s="61"/>
    </row>
    <row r="60" spans="1:12" ht="13.2" x14ac:dyDescent="0.25">
      <c r="A60" s="61"/>
      <c r="B60" s="36"/>
      <c r="C60" s="2"/>
      <c r="D60" s="189"/>
      <c r="E60" s="165"/>
      <c r="F60" s="166"/>
      <c r="G60" s="167"/>
      <c r="H60" s="165"/>
      <c r="I60" s="165"/>
      <c r="J60" s="167"/>
      <c r="K60" s="165">
        <f>H59-E59-K59</f>
        <v>0</v>
      </c>
      <c r="L60" s="61"/>
    </row>
    <row r="61" spans="1:12" ht="13.2" x14ac:dyDescent="0.25">
      <c r="A61" s="168"/>
      <c r="B61" s="36"/>
      <c r="C61" s="2"/>
      <c r="D61" s="189"/>
      <c r="E61" s="165"/>
      <c r="F61" s="166"/>
      <c r="G61" s="167"/>
      <c r="H61" s="165"/>
      <c r="I61" s="165"/>
      <c r="J61" s="167"/>
      <c r="K61" s="165"/>
      <c r="L61" s="168"/>
    </row>
    <row r="62" spans="1:12" s="192" customFormat="1" x14ac:dyDescent="0.25">
      <c r="A62" s="63" t="s">
        <v>238</v>
      </c>
      <c r="B62" s="62"/>
      <c r="C62" s="190"/>
      <c r="D62" s="189"/>
      <c r="E62" s="191"/>
      <c r="F62" s="166"/>
      <c r="G62" s="167"/>
      <c r="H62" s="57"/>
      <c r="I62" s="165"/>
      <c r="J62" s="167"/>
      <c r="K62" s="80"/>
      <c r="L62" s="63"/>
    </row>
    <row r="63" spans="1:12" s="192" customFormat="1" x14ac:dyDescent="0.25">
      <c r="A63" s="63"/>
      <c r="B63" s="62" t="s">
        <v>239</v>
      </c>
      <c r="C63" s="190" t="s">
        <v>240</v>
      </c>
      <c r="D63" s="189"/>
      <c r="E63" s="191"/>
      <c r="F63" s="166"/>
      <c r="G63" s="167"/>
      <c r="H63" s="57"/>
      <c r="I63" s="165"/>
      <c r="J63" s="167"/>
      <c r="K63" s="80">
        <f t="shared" ref="K63:K69" si="3">H63-E63</f>
        <v>0</v>
      </c>
      <c r="L63" s="63"/>
    </row>
    <row r="64" spans="1:12" s="192" customFormat="1" x14ac:dyDescent="0.25">
      <c r="A64" s="63"/>
      <c r="B64" s="62" t="s">
        <v>241</v>
      </c>
      <c r="C64" s="190" t="s">
        <v>242</v>
      </c>
      <c r="D64" s="189"/>
      <c r="E64" s="191"/>
      <c r="F64" s="166"/>
      <c r="G64" s="167"/>
      <c r="H64" s="57"/>
      <c r="I64" s="165"/>
      <c r="J64" s="167"/>
      <c r="K64" s="80">
        <f t="shared" si="3"/>
        <v>0</v>
      </c>
      <c r="L64" s="63"/>
    </row>
    <row r="65" spans="1:12" s="192" customFormat="1" x14ac:dyDescent="0.25">
      <c r="A65" s="63"/>
      <c r="B65" s="62" t="s">
        <v>224</v>
      </c>
      <c r="C65" s="190" t="s">
        <v>243</v>
      </c>
      <c r="D65" s="189"/>
      <c r="E65" s="191"/>
      <c r="F65" s="166"/>
      <c r="G65" s="167"/>
      <c r="H65" s="57"/>
      <c r="I65" s="165"/>
      <c r="J65" s="167"/>
      <c r="K65" s="80">
        <f t="shared" si="3"/>
        <v>0</v>
      </c>
      <c r="L65" s="63"/>
    </row>
    <row r="66" spans="1:12" s="192" customFormat="1" x14ac:dyDescent="0.25">
      <c r="A66" s="63"/>
      <c r="B66" s="62" t="s">
        <v>244</v>
      </c>
      <c r="C66" s="190" t="s">
        <v>245</v>
      </c>
      <c r="D66" s="189"/>
      <c r="E66" s="191"/>
      <c r="F66" s="166"/>
      <c r="G66" s="167"/>
      <c r="H66" s="57"/>
      <c r="I66" s="165"/>
      <c r="J66" s="167"/>
      <c r="K66" s="80">
        <f t="shared" si="3"/>
        <v>0</v>
      </c>
      <c r="L66" s="63"/>
    </row>
    <row r="67" spans="1:12" s="192" customFormat="1" x14ac:dyDescent="0.25">
      <c r="A67" s="63"/>
      <c r="B67" s="62" t="s">
        <v>246</v>
      </c>
      <c r="C67" s="190" t="s">
        <v>247</v>
      </c>
      <c r="D67" s="189"/>
      <c r="E67" s="191"/>
      <c r="F67" s="166"/>
      <c r="G67" s="167"/>
      <c r="H67" s="57"/>
      <c r="I67" s="165"/>
      <c r="J67" s="167"/>
      <c r="K67" s="80">
        <f t="shared" si="3"/>
        <v>0</v>
      </c>
      <c r="L67" s="63"/>
    </row>
    <row r="68" spans="1:12" s="192" customFormat="1" x14ac:dyDescent="0.25">
      <c r="A68" s="63"/>
      <c r="B68" s="62" t="s">
        <v>248</v>
      </c>
      <c r="C68" s="190" t="s">
        <v>248</v>
      </c>
      <c r="D68" s="193"/>
      <c r="E68" s="194"/>
      <c r="F68" s="195"/>
      <c r="G68" s="196"/>
      <c r="H68" s="57"/>
      <c r="I68" s="197"/>
      <c r="J68" s="196"/>
      <c r="K68" s="80">
        <f t="shared" si="3"/>
        <v>0</v>
      </c>
      <c r="L68" s="63"/>
    </row>
    <row r="69" spans="1:12" s="192" customFormat="1" x14ac:dyDescent="0.25">
      <c r="A69" s="63"/>
      <c r="B69" s="62" t="s">
        <v>249</v>
      </c>
      <c r="C69" s="2" t="s">
        <v>250</v>
      </c>
      <c r="D69" s="198"/>
      <c r="E69" s="199"/>
      <c r="F69" s="63"/>
      <c r="G69" s="200"/>
      <c r="H69" s="199"/>
      <c r="I69" s="199"/>
      <c r="J69" s="200"/>
      <c r="K69" s="80">
        <f t="shared" si="3"/>
        <v>0</v>
      </c>
      <c r="L69" s="63"/>
    </row>
    <row r="70" spans="1:12" ht="13.2" x14ac:dyDescent="0.25">
      <c r="A70" s="61"/>
      <c r="B70" s="36"/>
      <c r="C70" s="2"/>
      <c r="D70" s="201">
        <v>0</v>
      </c>
      <c r="E70" s="202">
        <v>0</v>
      </c>
      <c r="F70" s="203"/>
      <c r="G70" s="204">
        <v>0</v>
      </c>
      <c r="H70" s="202">
        <v>0</v>
      </c>
      <c r="I70" s="202"/>
      <c r="J70" s="204">
        <v>0</v>
      </c>
      <c r="K70" s="202">
        <f>(SUBTOTAL(9,K63:K69))</f>
        <v>0</v>
      </c>
      <c r="L70" s="61"/>
    </row>
    <row r="71" spans="1:12" ht="13.8" thickBot="1" x14ac:dyDescent="0.3">
      <c r="A71" s="61"/>
      <c r="B71" s="36"/>
      <c r="C71" s="2"/>
      <c r="D71" s="205"/>
      <c r="E71" s="206"/>
      <c r="F71" s="182"/>
      <c r="G71" s="207"/>
      <c r="H71" s="206"/>
      <c r="I71" s="206"/>
      <c r="J71" s="207"/>
      <c r="K71" s="206"/>
      <c r="L71" s="61"/>
    </row>
    <row r="72" spans="1:12" ht="13.8" thickTop="1" x14ac:dyDescent="0.25">
      <c r="A72" s="61"/>
      <c r="B72" s="36" t="s">
        <v>251</v>
      </c>
      <c r="C72" s="2"/>
      <c r="D72" s="189">
        <f>SUBTOTAL(9,D9:D71)</f>
        <v>716782</v>
      </c>
      <c r="E72" s="165">
        <f>SUBTOTAL(9,E9:E71)</f>
        <v>69536424.710000172</v>
      </c>
      <c r="F72" s="166"/>
      <c r="G72" s="167">
        <f>SUBTOTAL(9,G9:G71)</f>
        <v>0</v>
      </c>
      <c r="H72" s="165">
        <f>SUBTOTAL(9,H9:H71)</f>
        <v>166982853.61000022</v>
      </c>
      <c r="I72" s="165"/>
      <c r="J72" s="167">
        <f>SUBTOTAL(9,J9:J71)</f>
        <v>0</v>
      </c>
      <c r="K72" s="165">
        <f>SUBTOTAL(9,K9:K71)</f>
        <v>97446428.900000066</v>
      </c>
      <c r="L72" s="61"/>
    </row>
    <row r="73" spans="1:12" ht="13.2" x14ac:dyDescent="0.25">
      <c r="A73" s="61"/>
      <c r="B73" s="1"/>
      <c r="C73" s="2"/>
      <c r="D73" s="189"/>
      <c r="E73" s="165"/>
      <c r="F73" s="166"/>
      <c r="G73" s="167"/>
      <c r="H73" s="165"/>
      <c r="I73" s="165"/>
      <c r="J73" s="167"/>
      <c r="K73" s="165"/>
      <c r="L73" s="61"/>
    </row>
    <row r="74" spans="1:12" ht="13.8" thickBot="1" x14ac:dyDescent="0.3">
      <c r="A74" s="61"/>
      <c r="B74" s="36" t="s">
        <v>252</v>
      </c>
      <c r="C74" s="2"/>
      <c r="D74" s="208"/>
      <c r="E74" s="209">
        <f>65609001+3927423</f>
        <v>69536424</v>
      </c>
      <c r="F74" s="166">
        <v>660123</v>
      </c>
      <c r="G74" s="210"/>
      <c r="H74" s="209">
        <v>166982853.53</v>
      </c>
      <c r="I74" s="165"/>
      <c r="J74" s="167"/>
      <c r="K74" s="165">
        <f>H74-E74</f>
        <v>97446429.530000001</v>
      </c>
      <c r="L74" s="61"/>
    </row>
    <row r="75" spans="1:12" ht="13.8" thickTop="1" x14ac:dyDescent="0.25">
      <c r="A75" s="61"/>
      <c r="B75" s="36" t="s">
        <v>253</v>
      </c>
      <c r="C75" s="2"/>
      <c r="D75" s="189"/>
      <c r="E75" s="165">
        <f>ROUND(+E72-E74,2)</f>
        <v>0.71</v>
      </c>
      <c r="F75" s="166"/>
      <c r="G75" s="167" t="s">
        <v>254</v>
      </c>
      <c r="H75" s="165">
        <f>ROUND(+H72-H74,2)</f>
        <v>0.08</v>
      </c>
      <c r="I75" s="165"/>
      <c r="J75" s="167"/>
      <c r="K75" s="165">
        <f>H75-E75</f>
        <v>-0.63</v>
      </c>
      <c r="L75" s="61"/>
    </row>
    <row r="76" spans="1:12" ht="13.2" x14ac:dyDescent="0.25">
      <c r="A76" s="61"/>
      <c r="B76" s="36"/>
      <c r="C76" s="2"/>
      <c r="D76" s="13"/>
      <c r="E76" s="211"/>
      <c r="F76" s="212"/>
      <c r="G76" s="7"/>
      <c r="H76" s="21"/>
      <c r="I76" s="21"/>
      <c r="J76" s="7"/>
      <c r="K76" s="21"/>
      <c r="L76" s="61"/>
    </row>
    <row r="77" spans="1:12" ht="17.399999999999999" x14ac:dyDescent="0.25">
      <c r="A77" s="1"/>
      <c r="B77" s="1"/>
      <c r="C77" s="2"/>
      <c r="D77" s="2"/>
      <c r="E77" s="3"/>
      <c r="F77" s="4"/>
      <c r="G77" s="5"/>
      <c r="H77" s="2"/>
      <c r="I77" s="6"/>
      <c r="J77" s="7"/>
      <c r="K77" s="6"/>
      <c r="L77" s="1"/>
    </row>
    <row r="78" spans="1:12" ht="10.8" thickBot="1" x14ac:dyDescent="0.3">
      <c r="A78" s="53"/>
      <c r="B78" s="213"/>
      <c r="F78" s="217"/>
    </row>
    <row r="79" spans="1:12" x14ac:dyDescent="0.25">
      <c r="A79" s="220" t="s">
        <v>255</v>
      </c>
      <c r="B79" s="221"/>
      <c r="F79" s="217"/>
    </row>
    <row r="80" spans="1:12" ht="10.8" thickBot="1" x14ac:dyDescent="0.3">
      <c r="A80" s="222" t="s">
        <v>256</v>
      </c>
      <c r="B80" s="223"/>
      <c r="F80" s="217"/>
    </row>
    <row r="81" spans="1:14" x14ac:dyDescent="0.25">
      <c r="A81" s="53"/>
      <c r="B81" s="213"/>
      <c r="F81" s="217"/>
    </row>
    <row r="82" spans="1:14" x14ac:dyDescent="0.25">
      <c r="A82" s="224" t="s">
        <v>257</v>
      </c>
      <c r="F82" s="217"/>
      <c r="M82" s="140"/>
      <c r="N82" s="225"/>
    </row>
    <row r="83" spans="1:14" x14ac:dyDescent="0.25">
      <c r="A83" s="226" t="s">
        <v>258</v>
      </c>
      <c r="B83" s="227"/>
      <c r="D83" s="228"/>
      <c r="E83" s="229"/>
      <c r="F83" s="230"/>
      <c r="J83" s="231"/>
      <c r="K83" s="232"/>
      <c r="M83" s="140"/>
      <c r="N83" s="225"/>
    </row>
    <row r="84" spans="1:14" s="243" customFormat="1" ht="10.8" x14ac:dyDescent="0.25">
      <c r="A84" s="233"/>
      <c r="B84" s="234" t="s">
        <v>259</v>
      </c>
      <c r="C84" s="235"/>
      <c r="D84" s="236"/>
      <c r="E84" s="237"/>
      <c r="F84" s="238"/>
      <c r="G84" s="239"/>
      <c r="H84" s="240"/>
      <c r="I84" s="240"/>
      <c r="J84" s="241">
        <v>-9666.61</v>
      </c>
      <c r="K84" s="242"/>
    </row>
    <row r="85" spans="1:14" s="244" customFormat="1" x14ac:dyDescent="0.25">
      <c r="A85" s="552"/>
      <c r="B85" s="551" t="s">
        <v>260</v>
      </c>
      <c r="C85" s="552" t="s">
        <v>261</v>
      </c>
      <c r="D85" s="553">
        <v>36770</v>
      </c>
      <c r="E85" s="552" t="s">
        <v>262</v>
      </c>
      <c r="F85" s="552"/>
      <c r="G85" s="552"/>
      <c r="H85" s="552"/>
      <c r="I85" s="552"/>
      <c r="J85" s="554">
        <v>-377255.4</v>
      </c>
    </row>
    <row r="86" spans="1:14" s="244" customFormat="1" x14ac:dyDescent="0.25">
      <c r="A86" s="552"/>
      <c r="B86" s="551" t="s">
        <v>260</v>
      </c>
      <c r="C86" s="552" t="s">
        <v>261</v>
      </c>
      <c r="D86" s="553">
        <v>36739</v>
      </c>
      <c r="E86" s="552" t="s">
        <v>262</v>
      </c>
      <c r="F86" s="552"/>
      <c r="G86" s="552"/>
      <c r="H86" s="552"/>
      <c r="I86" s="552"/>
      <c r="J86" s="554">
        <v>213888.07</v>
      </c>
    </row>
    <row r="87" spans="1:14" s="244" customFormat="1" x14ac:dyDescent="0.25">
      <c r="A87" s="552"/>
      <c r="B87" s="551" t="s">
        <v>260</v>
      </c>
      <c r="C87" s="552" t="s">
        <v>261</v>
      </c>
      <c r="D87" s="553">
        <v>36708</v>
      </c>
      <c r="E87" s="552" t="s">
        <v>262</v>
      </c>
      <c r="F87" s="552"/>
      <c r="G87" s="552"/>
      <c r="H87" s="552"/>
      <c r="I87" s="552"/>
      <c r="J87" s="554">
        <v>162615.96</v>
      </c>
    </row>
    <row r="88" spans="1:14" s="244" customFormat="1" x14ac:dyDescent="0.25">
      <c r="A88" s="552"/>
      <c r="B88" s="551" t="s">
        <v>260</v>
      </c>
      <c r="C88" s="552" t="s">
        <v>261</v>
      </c>
      <c r="D88" s="553">
        <v>36678</v>
      </c>
      <c r="E88" s="552" t="s">
        <v>262</v>
      </c>
      <c r="F88" s="552"/>
      <c r="G88" s="552"/>
      <c r="H88" s="552"/>
      <c r="I88" s="552"/>
      <c r="J88" s="554">
        <v>-245701.04</v>
      </c>
    </row>
    <row r="89" spans="1:14" s="244" customFormat="1" x14ac:dyDescent="0.25">
      <c r="A89" s="552"/>
      <c r="B89" s="551" t="s">
        <v>260</v>
      </c>
      <c r="C89" s="552" t="s">
        <v>261</v>
      </c>
      <c r="D89" s="553">
        <v>36647</v>
      </c>
      <c r="E89" s="552" t="s">
        <v>262</v>
      </c>
      <c r="F89" s="552"/>
      <c r="G89" s="552"/>
      <c r="H89" s="552"/>
      <c r="I89" s="552"/>
      <c r="J89" s="554">
        <v>-10849.26</v>
      </c>
    </row>
    <row r="90" spans="1:14" s="245" customFormat="1" x14ac:dyDescent="0.25">
      <c r="A90" s="245" t="s">
        <v>263</v>
      </c>
      <c r="B90" s="245" t="s">
        <v>260</v>
      </c>
      <c r="C90" s="246" t="s">
        <v>261</v>
      </c>
      <c r="D90" s="247">
        <v>36770</v>
      </c>
      <c r="E90" s="245" t="s">
        <v>264</v>
      </c>
      <c r="J90" s="248">
        <v>-191033.96</v>
      </c>
    </row>
    <row r="91" spans="1:14" s="245" customFormat="1" ht="21" customHeight="1" x14ac:dyDescent="0.25">
      <c r="A91" s="245" t="s">
        <v>265</v>
      </c>
      <c r="B91" s="245" t="s">
        <v>266</v>
      </c>
      <c r="C91" s="246" t="s">
        <v>267</v>
      </c>
      <c r="D91" s="247">
        <v>36739</v>
      </c>
      <c r="E91" s="571" t="s">
        <v>268</v>
      </c>
      <c r="F91" s="571"/>
      <c r="G91" s="571"/>
      <c r="H91" s="571"/>
      <c r="I91" s="571"/>
      <c r="J91" s="248">
        <v>-155693.51999999999</v>
      </c>
    </row>
    <row r="92" spans="1:14" s="245" customFormat="1" ht="22.5" customHeight="1" x14ac:dyDescent="0.25">
      <c r="A92" s="245" t="s">
        <v>265</v>
      </c>
      <c r="B92" s="245" t="s">
        <v>266</v>
      </c>
      <c r="C92" s="246" t="s">
        <v>267</v>
      </c>
      <c r="D92" s="247">
        <v>36708</v>
      </c>
      <c r="E92" s="571" t="s">
        <v>269</v>
      </c>
      <c r="F92" s="571"/>
      <c r="G92" s="571"/>
      <c r="H92" s="571"/>
      <c r="I92" s="571"/>
      <c r="J92" s="248">
        <v>-146980.03</v>
      </c>
    </row>
    <row r="93" spans="1:14" s="245" customFormat="1" x14ac:dyDescent="0.25">
      <c r="A93" s="245" t="s">
        <v>265</v>
      </c>
      <c r="B93" s="245" t="s">
        <v>266</v>
      </c>
      <c r="C93" s="246" t="s">
        <v>267</v>
      </c>
      <c r="D93" s="247">
        <v>36770</v>
      </c>
      <c r="E93" s="245" t="s">
        <v>270</v>
      </c>
      <c r="J93" s="248">
        <v>-27984.53</v>
      </c>
    </row>
    <row r="94" spans="1:14" s="245" customFormat="1" ht="21.75" customHeight="1" x14ac:dyDescent="0.25">
      <c r="A94" s="245" t="s">
        <v>263</v>
      </c>
      <c r="B94" s="245" t="s">
        <v>271</v>
      </c>
      <c r="C94" s="246" t="s">
        <v>272</v>
      </c>
      <c r="D94" s="247">
        <v>36800</v>
      </c>
      <c r="E94" s="571" t="s">
        <v>273</v>
      </c>
      <c r="F94" s="571"/>
      <c r="G94" s="571"/>
      <c r="H94" s="571"/>
      <c r="I94" s="571"/>
      <c r="J94" s="248">
        <v>-27620.74</v>
      </c>
    </row>
    <row r="95" spans="1:14" s="245" customFormat="1" ht="20.25" customHeight="1" x14ac:dyDescent="0.25">
      <c r="A95" s="245" t="s">
        <v>274</v>
      </c>
      <c r="B95" s="245" t="s">
        <v>275</v>
      </c>
      <c r="C95" s="246" t="s">
        <v>276</v>
      </c>
      <c r="D95" s="247">
        <v>36800</v>
      </c>
      <c r="E95" s="571" t="s">
        <v>277</v>
      </c>
      <c r="F95" s="571"/>
      <c r="G95" s="571"/>
      <c r="H95" s="571"/>
      <c r="I95" s="571"/>
      <c r="J95" s="248">
        <v>-20400.150000000001</v>
      </c>
    </row>
    <row r="96" spans="1:14" s="245" customFormat="1" ht="20.25" customHeight="1" x14ac:dyDescent="0.25">
      <c r="A96" s="245" t="s">
        <v>274</v>
      </c>
      <c r="B96" s="245" t="s">
        <v>278</v>
      </c>
      <c r="C96" s="246" t="s">
        <v>279</v>
      </c>
      <c r="D96" s="247">
        <v>36770</v>
      </c>
      <c r="E96" s="571" t="s">
        <v>280</v>
      </c>
      <c r="F96" s="571"/>
      <c r="G96" s="571"/>
      <c r="H96" s="571"/>
      <c r="I96" s="571"/>
      <c r="J96" s="248">
        <v>-14545</v>
      </c>
    </row>
    <row r="97" spans="1:10" s="245" customFormat="1" x14ac:dyDescent="0.25">
      <c r="A97" s="245" t="s">
        <v>274</v>
      </c>
      <c r="B97" s="245" t="s">
        <v>281</v>
      </c>
      <c r="C97" s="246" t="s">
        <v>276</v>
      </c>
      <c r="D97" s="247">
        <v>36770</v>
      </c>
      <c r="E97" s="571" t="s">
        <v>282</v>
      </c>
      <c r="F97" s="571"/>
      <c r="G97" s="571"/>
      <c r="H97" s="571"/>
      <c r="I97" s="571"/>
      <c r="J97" s="248">
        <v>-11938.85</v>
      </c>
    </row>
    <row r="98" spans="1:10" s="245" customFormat="1" ht="42.75" customHeight="1" x14ac:dyDescent="0.25">
      <c r="A98" s="245" t="s">
        <v>263</v>
      </c>
      <c r="B98" s="245" t="s">
        <v>283</v>
      </c>
      <c r="C98" s="246" t="s">
        <v>276</v>
      </c>
      <c r="D98" s="247">
        <v>36739</v>
      </c>
      <c r="E98" s="571" t="s">
        <v>284</v>
      </c>
      <c r="F98" s="571"/>
      <c r="G98" s="571"/>
      <c r="H98" s="571"/>
      <c r="I98" s="571"/>
      <c r="J98" s="248">
        <v>-11367.43</v>
      </c>
    </row>
    <row r="99" spans="1:10" s="245" customFormat="1" ht="11.25" customHeight="1" x14ac:dyDescent="0.25">
      <c r="A99" s="245" t="s">
        <v>274</v>
      </c>
      <c r="B99" s="245" t="s">
        <v>285</v>
      </c>
      <c r="C99" s="246" t="s">
        <v>286</v>
      </c>
      <c r="D99" s="247">
        <v>36739</v>
      </c>
      <c r="E99" s="245" t="s">
        <v>287</v>
      </c>
      <c r="J99" s="248">
        <v>-10548.58</v>
      </c>
    </row>
    <row r="100" spans="1:10" s="245" customFormat="1" ht="22.5" customHeight="1" x14ac:dyDescent="0.25">
      <c r="A100" s="245" t="s">
        <v>288</v>
      </c>
      <c r="B100" s="245" t="s">
        <v>289</v>
      </c>
      <c r="C100" s="246" t="s">
        <v>276</v>
      </c>
      <c r="D100" s="247">
        <v>36770</v>
      </c>
      <c r="E100" s="571" t="s">
        <v>290</v>
      </c>
      <c r="F100" s="571"/>
      <c r="G100" s="571"/>
      <c r="H100" s="571"/>
      <c r="I100" s="571"/>
      <c r="J100" s="248">
        <v>-10307.219999999999</v>
      </c>
    </row>
    <row r="101" spans="1:10" s="245" customFormat="1" ht="21" customHeight="1" x14ac:dyDescent="0.25">
      <c r="A101" s="245" t="s">
        <v>263</v>
      </c>
      <c r="B101" s="245" t="s">
        <v>291</v>
      </c>
      <c r="C101" s="246" t="s">
        <v>276</v>
      </c>
      <c r="D101" s="247">
        <v>36770</v>
      </c>
      <c r="E101" s="571" t="s">
        <v>292</v>
      </c>
      <c r="F101" s="571"/>
      <c r="G101" s="571"/>
      <c r="H101" s="571"/>
      <c r="I101" s="571"/>
      <c r="J101" s="248">
        <v>-10052.33</v>
      </c>
    </row>
    <row r="102" spans="1:10" s="245" customFormat="1" ht="13.5" customHeight="1" x14ac:dyDescent="0.25">
      <c r="A102" s="245" t="s">
        <v>288</v>
      </c>
      <c r="B102" s="245" t="s">
        <v>293</v>
      </c>
      <c r="C102" s="246" t="s">
        <v>276</v>
      </c>
      <c r="D102" s="247">
        <v>36770</v>
      </c>
      <c r="E102" s="571" t="s">
        <v>294</v>
      </c>
      <c r="F102" s="571"/>
      <c r="G102" s="571"/>
      <c r="H102" s="571"/>
      <c r="I102" s="571"/>
      <c r="J102" s="248">
        <v>-9440.3799999999992</v>
      </c>
    </row>
    <row r="103" spans="1:10" s="245" customFormat="1" x14ac:dyDescent="0.25">
      <c r="A103" s="245" t="s">
        <v>274</v>
      </c>
      <c r="B103" s="245" t="s">
        <v>275</v>
      </c>
      <c r="C103" s="246" t="s">
        <v>276</v>
      </c>
      <c r="D103" s="247">
        <v>36739</v>
      </c>
      <c r="E103" s="245" t="s">
        <v>295</v>
      </c>
      <c r="J103" s="248">
        <v>-6800</v>
      </c>
    </row>
    <row r="104" spans="1:10" s="245" customFormat="1" x14ac:dyDescent="0.25">
      <c r="A104" s="245" t="s">
        <v>274</v>
      </c>
      <c r="B104" s="245" t="s">
        <v>275</v>
      </c>
      <c r="C104" s="246" t="s">
        <v>276</v>
      </c>
      <c r="D104" s="247">
        <v>36678</v>
      </c>
      <c r="E104" s="245" t="s">
        <v>296</v>
      </c>
      <c r="J104" s="248">
        <v>-6800</v>
      </c>
    </row>
    <row r="105" spans="1:10" s="245" customFormat="1" ht="11.25" customHeight="1" x14ac:dyDescent="0.25">
      <c r="A105" s="245" t="s">
        <v>274</v>
      </c>
      <c r="B105" s="245" t="s">
        <v>275</v>
      </c>
      <c r="C105" s="246" t="s">
        <v>276</v>
      </c>
      <c r="D105" s="247">
        <v>36647</v>
      </c>
      <c r="E105" s="245" t="s">
        <v>297</v>
      </c>
      <c r="J105" s="248">
        <v>-6800</v>
      </c>
    </row>
    <row r="106" spans="1:10" s="245" customFormat="1" x14ac:dyDescent="0.25">
      <c r="A106" s="245" t="s">
        <v>274</v>
      </c>
      <c r="B106" s="245" t="s">
        <v>275</v>
      </c>
      <c r="C106" s="246" t="s">
        <v>276</v>
      </c>
      <c r="D106" s="247">
        <v>36708</v>
      </c>
      <c r="E106" s="245" t="s">
        <v>298</v>
      </c>
      <c r="J106" s="248">
        <v>-6800</v>
      </c>
    </row>
    <row r="107" spans="1:10" s="245" customFormat="1" ht="22.5" customHeight="1" x14ac:dyDescent="0.25">
      <c r="A107" s="245" t="s">
        <v>274</v>
      </c>
      <c r="B107" s="245" t="s">
        <v>299</v>
      </c>
      <c r="C107" s="246" t="s">
        <v>276</v>
      </c>
      <c r="D107" s="247">
        <v>36800</v>
      </c>
      <c r="E107" s="571" t="s">
        <v>300</v>
      </c>
      <c r="F107" s="571"/>
      <c r="G107" s="571"/>
      <c r="H107" s="571"/>
      <c r="I107" s="571"/>
      <c r="J107" s="248">
        <v>-5843.04</v>
      </c>
    </row>
    <row r="108" spans="1:10" s="245" customFormat="1" ht="21" customHeight="1" x14ac:dyDescent="0.25">
      <c r="A108" s="245" t="s">
        <v>274</v>
      </c>
      <c r="B108" s="245" t="s">
        <v>281</v>
      </c>
      <c r="C108" s="246" t="s">
        <v>276</v>
      </c>
      <c r="D108" s="247">
        <v>36770</v>
      </c>
      <c r="E108" s="571" t="s">
        <v>301</v>
      </c>
      <c r="F108" s="571"/>
      <c r="G108" s="571"/>
      <c r="H108" s="571"/>
      <c r="I108" s="571"/>
      <c r="J108" s="248">
        <v>-5800.87</v>
      </c>
    </row>
    <row r="109" spans="1:10" s="245" customFormat="1" x14ac:dyDescent="0.25">
      <c r="A109" s="245" t="s">
        <v>274</v>
      </c>
      <c r="B109" s="245" t="s">
        <v>302</v>
      </c>
      <c r="C109" s="246" t="s">
        <v>303</v>
      </c>
      <c r="D109" s="247">
        <v>36770</v>
      </c>
      <c r="E109" s="245" t="s">
        <v>304</v>
      </c>
      <c r="J109" s="248">
        <v>-5075</v>
      </c>
    </row>
    <row r="110" spans="1:10" s="245" customFormat="1" ht="22.5" customHeight="1" x14ac:dyDescent="0.25">
      <c r="A110" s="245" t="s">
        <v>274</v>
      </c>
      <c r="B110" s="245" t="s">
        <v>305</v>
      </c>
      <c r="C110" s="246" t="s">
        <v>276</v>
      </c>
      <c r="D110" s="247">
        <v>36770</v>
      </c>
      <c r="E110" s="571" t="s">
        <v>306</v>
      </c>
      <c r="F110" s="571"/>
      <c r="G110" s="571"/>
      <c r="H110" s="571"/>
      <c r="I110" s="571"/>
      <c r="J110" s="248">
        <v>-5041.8</v>
      </c>
    </row>
    <row r="111" spans="1:10" s="245" customFormat="1" ht="31.5" customHeight="1" x14ac:dyDescent="0.25">
      <c r="A111" s="245" t="s">
        <v>265</v>
      </c>
      <c r="B111" s="245" t="s">
        <v>307</v>
      </c>
      <c r="C111" s="246" t="s">
        <v>276</v>
      </c>
      <c r="D111" s="247">
        <v>36770</v>
      </c>
      <c r="E111" s="571" t="s">
        <v>308</v>
      </c>
      <c r="F111" s="571"/>
      <c r="G111" s="571"/>
      <c r="H111" s="571"/>
      <c r="I111" s="571"/>
      <c r="J111" s="248">
        <v>5438</v>
      </c>
    </row>
    <row r="112" spans="1:10" s="245" customFormat="1" ht="42" customHeight="1" x14ac:dyDescent="0.25">
      <c r="A112" s="245" t="s">
        <v>274</v>
      </c>
      <c r="B112" s="245" t="s">
        <v>293</v>
      </c>
      <c r="C112" s="246" t="s">
        <v>276</v>
      </c>
      <c r="D112" s="247">
        <v>36770</v>
      </c>
      <c r="E112" s="571" t="s">
        <v>309</v>
      </c>
      <c r="F112" s="571"/>
      <c r="G112" s="571"/>
      <c r="H112" s="571"/>
      <c r="I112" s="571"/>
      <c r="J112" s="248">
        <v>5820.89</v>
      </c>
    </row>
    <row r="113" spans="1:11" s="245" customFormat="1" ht="22.5" customHeight="1" x14ac:dyDescent="0.25">
      <c r="A113" s="245" t="s">
        <v>310</v>
      </c>
      <c r="B113" s="245" t="s">
        <v>311</v>
      </c>
      <c r="C113" s="246" t="s">
        <v>303</v>
      </c>
      <c r="D113" s="247">
        <v>36708</v>
      </c>
      <c r="E113" s="571" t="s">
        <v>312</v>
      </c>
      <c r="F113" s="571"/>
      <c r="G113" s="571"/>
      <c r="H113" s="571"/>
      <c r="I113" s="571"/>
      <c r="J113" s="248">
        <v>6747.41</v>
      </c>
    </row>
    <row r="114" spans="1:11" s="245" customFormat="1" x14ac:dyDescent="0.25">
      <c r="A114" s="245" t="s">
        <v>274</v>
      </c>
      <c r="B114" s="245" t="s">
        <v>302</v>
      </c>
      <c r="C114" s="246" t="s">
        <v>303</v>
      </c>
      <c r="D114" s="247">
        <v>36770</v>
      </c>
      <c r="E114" s="245" t="s">
        <v>313</v>
      </c>
      <c r="J114" s="248">
        <v>8552.2000000000007</v>
      </c>
    </row>
    <row r="115" spans="1:11" s="245" customFormat="1" ht="23.25" customHeight="1" x14ac:dyDescent="0.25">
      <c r="A115" s="245" t="s">
        <v>263</v>
      </c>
      <c r="B115" s="245" t="s">
        <v>266</v>
      </c>
      <c r="C115" s="246" t="s">
        <v>267</v>
      </c>
      <c r="D115" s="247">
        <v>36770</v>
      </c>
      <c r="E115" s="571" t="s">
        <v>314</v>
      </c>
      <c r="F115" s="571"/>
      <c r="G115" s="571"/>
      <c r="H115" s="571"/>
      <c r="I115" s="571"/>
      <c r="J115" s="248">
        <v>8828.43</v>
      </c>
    </row>
    <row r="116" spans="1:11" s="245" customFormat="1" ht="13.5" customHeight="1" x14ac:dyDescent="0.25">
      <c r="A116" s="245" t="s">
        <v>274</v>
      </c>
      <c r="B116" s="245" t="s">
        <v>275</v>
      </c>
      <c r="C116" s="246" t="s">
        <v>276</v>
      </c>
      <c r="D116" s="247">
        <v>36770</v>
      </c>
      <c r="E116" s="571" t="s">
        <v>315</v>
      </c>
      <c r="F116" s="571"/>
      <c r="G116" s="571"/>
      <c r="H116" s="571"/>
      <c r="I116" s="571"/>
      <c r="J116" s="248">
        <v>10508.61</v>
      </c>
    </row>
    <row r="117" spans="1:11" s="245" customFormat="1" ht="21.75" customHeight="1" x14ac:dyDescent="0.25">
      <c r="A117" s="245" t="s">
        <v>265</v>
      </c>
      <c r="B117" s="245" t="s">
        <v>316</v>
      </c>
      <c r="C117" s="246" t="s">
        <v>276</v>
      </c>
      <c r="D117" s="247">
        <v>36739</v>
      </c>
      <c r="E117" s="571" t="s">
        <v>317</v>
      </c>
      <c r="F117" s="571"/>
      <c r="G117" s="571"/>
      <c r="H117" s="571"/>
      <c r="I117" s="571"/>
      <c r="J117" s="248">
        <v>10625</v>
      </c>
    </row>
    <row r="118" spans="1:11" s="245" customFormat="1" ht="15" customHeight="1" x14ac:dyDescent="0.25">
      <c r="A118" s="245" t="s">
        <v>263</v>
      </c>
      <c r="B118" s="245" t="s">
        <v>318</v>
      </c>
      <c r="C118" s="246" t="s">
        <v>261</v>
      </c>
      <c r="D118" s="247">
        <v>36800</v>
      </c>
      <c r="E118" s="245" t="s">
        <v>319</v>
      </c>
      <c r="J118" s="248">
        <v>22600</v>
      </c>
    </row>
    <row r="119" spans="1:11" s="245" customFormat="1" ht="21.75" customHeight="1" x14ac:dyDescent="0.25">
      <c r="A119" s="245" t="s">
        <v>265</v>
      </c>
      <c r="B119" s="245" t="s">
        <v>320</v>
      </c>
      <c r="C119" s="246" t="s">
        <v>303</v>
      </c>
      <c r="D119" s="247">
        <v>36800</v>
      </c>
      <c r="E119" s="571" t="s">
        <v>321</v>
      </c>
      <c r="F119" s="571"/>
      <c r="G119" s="571"/>
      <c r="H119" s="571"/>
      <c r="I119" s="571"/>
      <c r="J119" s="248">
        <v>310002.48</v>
      </c>
    </row>
    <row r="120" spans="1:11" s="244" customFormat="1" x14ac:dyDescent="0.25">
      <c r="B120" s="244" t="s">
        <v>322</v>
      </c>
      <c r="C120" s="249"/>
      <c r="D120" s="250"/>
      <c r="E120" s="251"/>
      <c r="F120" s="252"/>
      <c r="G120" s="252"/>
      <c r="H120" s="252"/>
      <c r="I120" s="252"/>
      <c r="J120" s="253"/>
      <c r="K120" s="254">
        <f>SUM(J84:J119)</f>
        <v>-574718.69000000006</v>
      </c>
    </row>
    <row r="121" spans="1:11" s="244" customFormat="1" x14ac:dyDescent="0.25">
      <c r="C121" s="249"/>
      <c r="D121" s="250"/>
      <c r="E121" s="251"/>
      <c r="F121" s="252"/>
      <c r="G121" s="252"/>
      <c r="H121" s="252"/>
      <c r="I121" s="252"/>
      <c r="J121" s="253"/>
    </row>
    <row r="122" spans="1:11" s="244" customFormat="1" ht="12.6" x14ac:dyDescent="0.25">
      <c r="A122" s="255" t="s">
        <v>323</v>
      </c>
      <c r="C122" s="249"/>
      <c r="D122" s="250"/>
      <c r="E122" s="251"/>
      <c r="F122" s="252"/>
      <c r="G122" s="252"/>
      <c r="H122" s="252"/>
      <c r="I122" s="252"/>
      <c r="J122" s="253"/>
    </row>
    <row r="123" spans="1:11" s="256" customFormat="1" x14ac:dyDescent="0.25">
      <c r="B123" s="257" t="s">
        <v>259</v>
      </c>
      <c r="C123" s="258"/>
      <c r="D123" s="259"/>
      <c r="E123" s="260"/>
      <c r="F123" s="261"/>
      <c r="G123" s="261"/>
      <c r="H123" s="261"/>
      <c r="I123" s="261"/>
      <c r="J123" s="262">
        <v>13849.9</v>
      </c>
    </row>
    <row r="124" spans="1:11" s="245" customFormat="1" x14ac:dyDescent="0.25">
      <c r="A124" s="245" t="s">
        <v>263</v>
      </c>
      <c r="B124" s="245" t="s">
        <v>327</v>
      </c>
      <c r="C124" s="246" t="s">
        <v>286</v>
      </c>
      <c r="D124" s="247">
        <v>36770</v>
      </c>
      <c r="E124" s="245" t="s">
        <v>328</v>
      </c>
      <c r="J124" s="248">
        <v>-212195.86</v>
      </c>
    </row>
    <row r="125" spans="1:11" s="245" customFormat="1" ht="23.25" customHeight="1" x14ac:dyDescent="0.25">
      <c r="A125" s="245" t="s">
        <v>263</v>
      </c>
      <c r="B125" s="245" t="s">
        <v>329</v>
      </c>
      <c r="C125" s="246" t="s">
        <v>286</v>
      </c>
      <c r="D125" s="247">
        <v>36770</v>
      </c>
      <c r="E125" s="571" t="s">
        <v>330</v>
      </c>
      <c r="F125" s="571"/>
      <c r="G125" s="571"/>
      <c r="H125" s="571"/>
      <c r="I125" s="571"/>
      <c r="J125" s="248">
        <v>-81415</v>
      </c>
    </row>
    <row r="126" spans="1:11" s="245" customFormat="1" ht="33" customHeight="1" x14ac:dyDescent="0.25">
      <c r="A126" s="245" t="s">
        <v>263</v>
      </c>
      <c r="B126" s="245" t="s">
        <v>305</v>
      </c>
      <c r="C126" s="246" t="s">
        <v>276</v>
      </c>
      <c r="D126" s="247">
        <v>36770</v>
      </c>
      <c r="E126" s="571" t="s">
        <v>331</v>
      </c>
      <c r="F126" s="571"/>
      <c r="G126" s="571"/>
      <c r="H126" s="571"/>
      <c r="I126" s="571"/>
      <c r="J126" s="248">
        <v>-52488</v>
      </c>
    </row>
    <row r="127" spans="1:11" s="245" customFormat="1" ht="23.25" customHeight="1" x14ac:dyDescent="0.25">
      <c r="A127" s="245" t="s">
        <v>263</v>
      </c>
      <c r="B127" s="245" t="s">
        <v>332</v>
      </c>
      <c r="C127" s="246" t="s">
        <v>286</v>
      </c>
      <c r="D127" s="247">
        <v>36770</v>
      </c>
      <c r="E127" s="571" t="s">
        <v>333</v>
      </c>
      <c r="F127" s="571"/>
      <c r="G127" s="571"/>
      <c r="H127" s="571"/>
      <c r="I127" s="571"/>
      <c r="J127" s="248">
        <v>-33594.85</v>
      </c>
    </row>
    <row r="128" spans="1:11" s="245" customFormat="1" ht="12" customHeight="1" x14ac:dyDescent="0.25">
      <c r="A128" s="245" t="s">
        <v>288</v>
      </c>
      <c r="B128" s="245" t="s">
        <v>334</v>
      </c>
      <c r="C128" s="246" t="s">
        <v>325</v>
      </c>
      <c r="D128" s="247">
        <v>36770</v>
      </c>
      <c r="E128" s="245" t="s">
        <v>335</v>
      </c>
      <c r="J128" s="248">
        <v>-24805.29</v>
      </c>
    </row>
    <row r="129" spans="1:10" s="245" customFormat="1" ht="14.25" customHeight="1" x14ac:dyDescent="0.25">
      <c r="A129" s="245" t="s">
        <v>263</v>
      </c>
      <c r="B129" s="245" t="s">
        <v>336</v>
      </c>
      <c r="C129" s="246" t="s">
        <v>286</v>
      </c>
      <c r="D129" s="247">
        <v>36739</v>
      </c>
      <c r="E129" s="245" t="s">
        <v>337</v>
      </c>
      <c r="J129" s="248">
        <v>-19477.87</v>
      </c>
    </row>
    <row r="130" spans="1:10" s="245" customFormat="1" ht="20.25" customHeight="1" x14ac:dyDescent="0.25">
      <c r="A130" s="245" t="s">
        <v>263</v>
      </c>
      <c r="B130" s="245" t="s">
        <v>338</v>
      </c>
      <c r="C130" s="246" t="s">
        <v>303</v>
      </c>
      <c r="D130" s="247">
        <v>36770</v>
      </c>
      <c r="E130" s="571" t="s">
        <v>339</v>
      </c>
      <c r="F130" s="571"/>
      <c r="G130" s="571"/>
      <c r="H130" s="571"/>
      <c r="I130" s="571"/>
      <c r="J130" s="248">
        <v>-10235.549999999999</v>
      </c>
    </row>
    <row r="131" spans="1:10" s="245" customFormat="1" ht="21" customHeight="1" x14ac:dyDescent="0.25">
      <c r="A131" s="245" t="s">
        <v>263</v>
      </c>
      <c r="B131" s="245" t="s">
        <v>340</v>
      </c>
      <c r="C131" s="246" t="s">
        <v>272</v>
      </c>
      <c r="D131" s="247">
        <v>36770</v>
      </c>
      <c r="E131" s="571" t="s">
        <v>341</v>
      </c>
      <c r="F131" s="571"/>
      <c r="G131" s="571"/>
      <c r="H131" s="571"/>
      <c r="I131" s="571"/>
      <c r="J131" s="248">
        <v>-9600</v>
      </c>
    </row>
    <row r="132" spans="1:10" s="245" customFormat="1" x14ac:dyDescent="0.25">
      <c r="A132" s="245" t="s">
        <v>288</v>
      </c>
      <c r="B132" s="245" t="s">
        <v>342</v>
      </c>
      <c r="C132" s="246" t="s">
        <v>286</v>
      </c>
      <c r="D132" s="247">
        <v>36770</v>
      </c>
      <c r="E132" s="245" t="s">
        <v>343</v>
      </c>
      <c r="J132" s="248">
        <v>-7200</v>
      </c>
    </row>
    <row r="133" spans="1:10" s="245" customFormat="1" ht="12.75" customHeight="1" x14ac:dyDescent="0.25">
      <c r="A133" s="245" t="s">
        <v>288</v>
      </c>
      <c r="B133" s="245" t="s">
        <v>342</v>
      </c>
      <c r="C133" s="246" t="s">
        <v>286</v>
      </c>
      <c r="D133" s="247">
        <v>36708</v>
      </c>
      <c r="E133" s="245" t="s">
        <v>344</v>
      </c>
      <c r="J133" s="248">
        <v>-6884</v>
      </c>
    </row>
    <row r="134" spans="1:10" s="245" customFormat="1" ht="34.5" customHeight="1" x14ac:dyDescent="0.25">
      <c r="A134" s="245" t="s">
        <v>310</v>
      </c>
      <c r="B134" s="245" t="s">
        <v>345</v>
      </c>
      <c r="C134" s="246" t="s">
        <v>325</v>
      </c>
      <c r="D134" s="247">
        <v>36770</v>
      </c>
      <c r="E134" s="571" t="s">
        <v>346</v>
      </c>
      <c r="F134" s="571"/>
      <c r="G134" s="571"/>
      <c r="H134" s="571"/>
      <c r="I134" s="571"/>
      <c r="J134" s="248">
        <v>7350</v>
      </c>
    </row>
    <row r="135" spans="1:10" s="245" customFormat="1" x14ac:dyDescent="0.25">
      <c r="A135" s="245" t="s">
        <v>310</v>
      </c>
      <c r="B135" s="245" t="s">
        <v>338</v>
      </c>
      <c r="C135" s="246" t="s">
        <v>303</v>
      </c>
      <c r="D135" s="247">
        <v>36647</v>
      </c>
      <c r="E135" s="245" t="s">
        <v>347</v>
      </c>
      <c r="J135" s="248">
        <v>9114</v>
      </c>
    </row>
    <row r="136" spans="1:10" s="245" customFormat="1" ht="24.75" customHeight="1" x14ac:dyDescent="0.25">
      <c r="A136" s="245" t="s">
        <v>265</v>
      </c>
      <c r="B136" s="245" t="s">
        <v>348</v>
      </c>
      <c r="C136" s="246" t="s">
        <v>267</v>
      </c>
      <c r="D136" s="247">
        <v>36800</v>
      </c>
      <c r="E136" s="571" t="s">
        <v>349</v>
      </c>
      <c r="F136" s="571"/>
      <c r="G136" s="571"/>
      <c r="H136" s="571"/>
      <c r="I136" s="571"/>
      <c r="J136" s="248">
        <v>9232.93</v>
      </c>
    </row>
    <row r="137" spans="1:10" s="245" customFormat="1" ht="10.5" customHeight="1" x14ac:dyDescent="0.25">
      <c r="A137" s="245" t="s">
        <v>265</v>
      </c>
      <c r="B137" s="245" t="s">
        <v>350</v>
      </c>
      <c r="C137" s="246" t="s">
        <v>279</v>
      </c>
      <c r="D137" s="247">
        <v>36770</v>
      </c>
      <c r="E137" s="571" t="s">
        <v>351</v>
      </c>
      <c r="F137" s="571"/>
      <c r="G137" s="571"/>
      <c r="H137" s="571"/>
      <c r="I137" s="571"/>
      <c r="J137" s="248">
        <v>11732.48</v>
      </c>
    </row>
    <row r="138" spans="1:10" s="245" customFormat="1" x14ac:dyDescent="0.25">
      <c r="A138" s="245" t="s">
        <v>265</v>
      </c>
      <c r="B138" s="245" t="s">
        <v>352</v>
      </c>
      <c r="C138" s="246" t="s">
        <v>353</v>
      </c>
      <c r="D138" s="247">
        <v>36800</v>
      </c>
      <c r="E138" s="245" t="s">
        <v>354</v>
      </c>
      <c r="J138" s="248">
        <v>45760</v>
      </c>
    </row>
    <row r="139" spans="1:10" s="245" customFormat="1" x14ac:dyDescent="0.25">
      <c r="A139" s="245" t="s">
        <v>310</v>
      </c>
      <c r="B139" s="245" t="s">
        <v>336</v>
      </c>
      <c r="C139" s="246" t="s">
        <v>286</v>
      </c>
      <c r="D139" s="247">
        <v>36770</v>
      </c>
      <c r="E139" s="245" t="s">
        <v>355</v>
      </c>
      <c r="J139" s="248">
        <v>53518.94</v>
      </c>
    </row>
    <row r="140" spans="1:10" s="245" customFormat="1" ht="24.75" customHeight="1" x14ac:dyDescent="0.25">
      <c r="A140" s="245" t="s">
        <v>265</v>
      </c>
      <c r="B140" s="245" t="s">
        <v>329</v>
      </c>
      <c r="C140" s="246" t="s">
        <v>286</v>
      </c>
      <c r="D140" s="247">
        <v>36770</v>
      </c>
      <c r="E140" s="571" t="s">
        <v>356</v>
      </c>
      <c r="F140" s="571"/>
      <c r="G140" s="571"/>
      <c r="H140" s="571"/>
      <c r="I140" s="571"/>
      <c r="J140" s="248">
        <v>73400</v>
      </c>
    </row>
    <row r="141" spans="1:10" s="245" customFormat="1" ht="33.75" customHeight="1" x14ac:dyDescent="0.25">
      <c r="A141" s="245" t="s">
        <v>310</v>
      </c>
      <c r="B141" s="245" t="s">
        <v>336</v>
      </c>
      <c r="C141" s="246" t="s">
        <v>286</v>
      </c>
      <c r="D141" s="247">
        <v>36739</v>
      </c>
      <c r="E141" s="571" t="s">
        <v>357</v>
      </c>
      <c r="F141" s="571"/>
      <c r="G141" s="571"/>
      <c r="H141" s="571"/>
      <c r="I141" s="571"/>
      <c r="J141" s="248">
        <v>81400</v>
      </c>
    </row>
    <row r="142" spans="1:10" s="245" customFormat="1" x14ac:dyDescent="0.25">
      <c r="A142" s="245" t="s">
        <v>310</v>
      </c>
      <c r="B142" s="245" t="s">
        <v>350</v>
      </c>
      <c r="C142" s="246" t="s">
        <v>279</v>
      </c>
      <c r="D142" s="247">
        <v>36770</v>
      </c>
      <c r="E142" s="245" t="s">
        <v>358</v>
      </c>
      <c r="J142" s="248">
        <v>94869.17</v>
      </c>
    </row>
    <row r="143" spans="1:10" s="245" customFormat="1" x14ac:dyDescent="0.25">
      <c r="A143" s="245" t="s">
        <v>310</v>
      </c>
      <c r="B143" s="245" t="s">
        <v>350</v>
      </c>
      <c r="C143" s="246" t="s">
        <v>279</v>
      </c>
      <c r="D143" s="247">
        <v>36770</v>
      </c>
      <c r="E143" s="245" t="s">
        <v>359</v>
      </c>
      <c r="J143" s="248">
        <v>94869.17</v>
      </c>
    </row>
    <row r="144" spans="1:10" s="245" customFormat="1" x14ac:dyDescent="0.25">
      <c r="A144" s="245" t="s">
        <v>310</v>
      </c>
      <c r="B144" s="245" t="s">
        <v>350</v>
      </c>
      <c r="C144" s="246" t="s">
        <v>279</v>
      </c>
      <c r="D144" s="247">
        <v>36770</v>
      </c>
      <c r="E144" s="245" t="s">
        <v>360</v>
      </c>
      <c r="J144" s="248">
        <v>94869.17</v>
      </c>
    </row>
    <row r="145" spans="1:20" s="245" customFormat="1" ht="22.5" customHeight="1" x14ac:dyDescent="0.25">
      <c r="A145" s="245" t="s">
        <v>361</v>
      </c>
      <c r="B145" s="245" t="s">
        <v>362</v>
      </c>
      <c r="C145" s="246" t="s">
        <v>276</v>
      </c>
      <c r="D145" s="247">
        <v>36800</v>
      </c>
      <c r="E145" s="571" t="s">
        <v>371</v>
      </c>
      <c r="F145" s="571"/>
      <c r="G145" s="571"/>
      <c r="H145" s="571"/>
      <c r="I145" s="571"/>
      <c r="J145" s="248">
        <v>130000</v>
      </c>
    </row>
    <row r="146" spans="1:20" s="245" customFormat="1" ht="20.25" customHeight="1" x14ac:dyDescent="0.25">
      <c r="A146" s="245" t="s">
        <v>310</v>
      </c>
      <c r="B146" s="245" t="s">
        <v>332</v>
      </c>
      <c r="C146" s="246" t="s">
        <v>286</v>
      </c>
      <c r="D146" s="247">
        <v>36770</v>
      </c>
      <c r="E146" s="571" t="s">
        <v>363</v>
      </c>
      <c r="F146" s="571"/>
      <c r="G146" s="571"/>
      <c r="H146" s="571"/>
      <c r="I146" s="571"/>
      <c r="J146" s="248">
        <v>143087.18</v>
      </c>
    </row>
    <row r="147" spans="1:20" s="245" customFormat="1" ht="21.75" customHeight="1" x14ac:dyDescent="0.25">
      <c r="A147" s="245" t="s">
        <v>310</v>
      </c>
      <c r="B147" s="245" t="s">
        <v>338</v>
      </c>
      <c r="C147" s="246" t="s">
        <v>303</v>
      </c>
      <c r="D147" s="247">
        <v>36770</v>
      </c>
      <c r="E147" s="571" t="s">
        <v>364</v>
      </c>
      <c r="F147" s="571"/>
      <c r="G147" s="571"/>
      <c r="H147" s="571"/>
      <c r="I147" s="571"/>
      <c r="J147" s="248">
        <v>172518.16</v>
      </c>
    </row>
    <row r="148" spans="1:20" x14ac:dyDescent="0.25">
      <c r="B148" s="8" t="s">
        <v>365</v>
      </c>
      <c r="D148" s="228"/>
      <c r="E148" s="229"/>
      <c r="F148" s="230"/>
      <c r="K148" s="263">
        <f>SUM(J123:J147)</f>
        <v>577674.68000000005</v>
      </c>
    </row>
    <row r="149" spans="1:20" x14ac:dyDescent="0.25">
      <c r="D149" s="228"/>
      <c r="E149" s="229"/>
      <c r="F149" s="230"/>
      <c r="H149" s="8"/>
      <c r="J149" s="264"/>
    </row>
    <row r="150" spans="1:20" ht="10.8" thickBot="1" x14ac:dyDescent="0.3">
      <c r="D150" s="228"/>
      <c r="E150" s="229"/>
      <c r="F150" s="230"/>
    </row>
    <row r="151" spans="1:20" s="278" customFormat="1" ht="13.5" customHeight="1" x14ac:dyDescent="0.25">
      <c r="A151" s="265"/>
      <c r="B151" s="266" t="s">
        <v>366</v>
      </c>
      <c r="C151" s="267"/>
      <c r="D151" s="268"/>
      <c r="E151" s="269"/>
      <c r="F151" s="270"/>
      <c r="G151" s="271"/>
      <c r="H151" s="272"/>
      <c r="I151" s="272"/>
      <c r="J151" s="273"/>
      <c r="K151" s="274"/>
      <c r="L151" s="275"/>
      <c r="M151" s="275"/>
      <c r="N151" s="276"/>
      <c r="O151" s="275"/>
      <c r="P151" s="277"/>
      <c r="Q151" s="275"/>
      <c r="R151" s="277"/>
      <c r="S151" s="275"/>
      <c r="T151" s="275"/>
    </row>
    <row r="152" spans="1:20" s="278" customFormat="1" ht="13.5" customHeight="1" x14ac:dyDescent="0.25">
      <c r="A152" s="279"/>
      <c r="B152" s="280"/>
      <c r="C152" s="281"/>
      <c r="D152" s="282"/>
      <c r="E152" s="283"/>
      <c r="F152" s="284"/>
      <c r="G152" s="285"/>
      <c r="H152" s="286"/>
      <c r="I152" s="286"/>
      <c r="J152" s="287"/>
      <c r="K152" s="274"/>
      <c r="L152" s="275"/>
      <c r="M152" s="275"/>
      <c r="N152" s="276"/>
      <c r="O152" s="275"/>
      <c r="P152" s="277"/>
      <c r="Q152" s="275"/>
      <c r="R152" s="277"/>
      <c r="S152" s="275"/>
      <c r="T152" s="275"/>
    </row>
    <row r="153" spans="1:20" s="278" customFormat="1" ht="22.5" customHeight="1" thickBot="1" x14ac:dyDescent="0.3">
      <c r="A153" s="288" t="s">
        <v>265</v>
      </c>
      <c r="B153" s="289"/>
      <c r="C153" s="290" t="s">
        <v>325</v>
      </c>
      <c r="D153" s="291">
        <v>36800</v>
      </c>
      <c r="E153" s="580" t="s">
        <v>647</v>
      </c>
      <c r="F153" s="581"/>
      <c r="G153" s="581"/>
      <c r="H153" s="581"/>
      <c r="I153" s="292"/>
      <c r="J153" s="568">
        <v>-356033</v>
      </c>
      <c r="K153" s="274"/>
      <c r="L153" s="275"/>
      <c r="M153" s="275"/>
      <c r="N153" s="276"/>
      <c r="O153" s="275"/>
      <c r="P153" s="277"/>
      <c r="Q153" s="275"/>
      <c r="R153" s="277"/>
      <c r="S153" s="275"/>
      <c r="T153" s="275"/>
    </row>
    <row r="154" spans="1:20" s="278" customFormat="1" ht="16.2" thickBot="1" x14ac:dyDescent="0.3">
      <c r="A154" s="293"/>
      <c r="B154" s="293"/>
      <c r="C154" s="294"/>
      <c r="D154" s="295"/>
      <c r="E154" s="296"/>
      <c r="F154" s="297"/>
      <c r="G154" s="297"/>
      <c r="H154" s="297"/>
      <c r="I154" s="297"/>
      <c r="J154" s="298"/>
      <c r="K154" s="274"/>
      <c r="L154" s="275"/>
      <c r="M154" s="275"/>
      <c r="N154" s="276"/>
      <c r="O154" s="275"/>
      <c r="P154" s="277"/>
      <c r="Q154" s="275"/>
      <c r="R154" s="277"/>
      <c r="S154" s="275"/>
      <c r="T154" s="275"/>
    </row>
    <row r="155" spans="1:20" s="278" customFormat="1" ht="12" customHeight="1" x14ac:dyDescent="0.25">
      <c r="A155" s="299"/>
      <c r="B155" s="300" t="s">
        <v>367</v>
      </c>
      <c r="C155" s="301"/>
      <c r="D155" s="302"/>
      <c r="E155" s="303"/>
      <c r="F155" s="304"/>
      <c r="G155" s="304"/>
      <c r="H155" s="304"/>
      <c r="I155" s="304"/>
      <c r="J155" s="305"/>
      <c r="K155" s="274"/>
      <c r="L155" s="275"/>
      <c r="M155" s="275"/>
      <c r="N155" s="276"/>
      <c r="O155" s="275"/>
      <c r="P155" s="277"/>
      <c r="Q155" s="275"/>
      <c r="R155" s="277"/>
      <c r="S155" s="275"/>
      <c r="T155" s="275"/>
    </row>
    <row r="156" spans="1:20" s="245" customFormat="1" x14ac:dyDescent="0.25">
      <c r="A156" s="306" t="s">
        <v>263</v>
      </c>
      <c r="B156" s="307"/>
      <c r="C156" s="308" t="s">
        <v>325</v>
      </c>
      <c r="D156" s="309">
        <v>36708</v>
      </c>
      <c r="E156" s="307" t="s">
        <v>368</v>
      </c>
      <c r="F156" s="307"/>
      <c r="G156" s="307"/>
      <c r="H156" s="307"/>
      <c r="I156" s="307"/>
      <c r="J156" s="310">
        <v>-823043</v>
      </c>
    </row>
    <row r="157" spans="1:20" s="245" customFormat="1" x14ac:dyDescent="0.25">
      <c r="A157" s="306" t="s">
        <v>263</v>
      </c>
      <c r="B157" s="307"/>
      <c r="C157" s="308" t="s">
        <v>325</v>
      </c>
      <c r="D157" s="309">
        <v>36708</v>
      </c>
      <c r="E157" s="307" t="s">
        <v>369</v>
      </c>
      <c r="F157" s="307"/>
      <c r="G157" s="307"/>
      <c r="H157" s="307"/>
      <c r="I157" s="307"/>
      <c r="J157" s="310">
        <v>879707</v>
      </c>
    </row>
    <row r="158" spans="1:20" s="245" customFormat="1" x14ac:dyDescent="0.25">
      <c r="A158" s="306" t="s">
        <v>263</v>
      </c>
      <c r="B158" s="307"/>
      <c r="C158" s="308" t="s">
        <v>325</v>
      </c>
      <c r="D158" s="309">
        <v>36708</v>
      </c>
      <c r="E158" s="307" t="s">
        <v>370</v>
      </c>
      <c r="F158" s="307"/>
      <c r="G158" s="307"/>
      <c r="H158" s="307"/>
      <c r="I158" s="307"/>
      <c r="J158" s="310">
        <v>192057</v>
      </c>
    </row>
    <row r="159" spans="1:20" s="245" customFormat="1" x14ac:dyDescent="0.25">
      <c r="A159" s="306" t="s">
        <v>263</v>
      </c>
      <c r="B159" s="307"/>
      <c r="C159" s="308" t="s">
        <v>325</v>
      </c>
      <c r="D159" s="309">
        <v>36708</v>
      </c>
      <c r="E159" s="307" t="s">
        <v>372</v>
      </c>
      <c r="F159" s="307"/>
      <c r="G159" s="307"/>
      <c r="H159" s="307"/>
      <c r="I159" s="307"/>
      <c r="J159" s="310">
        <v>-187589</v>
      </c>
    </row>
    <row r="160" spans="1:20" s="245" customFormat="1" x14ac:dyDescent="0.25">
      <c r="A160" s="306" t="s">
        <v>265</v>
      </c>
      <c r="B160" s="307"/>
      <c r="C160" s="308" t="s">
        <v>325</v>
      </c>
      <c r="D160" s="309">
        <v>36708</v>
      </c>
      <c r="E160" s="307" t="s">
        <v>373</v>
      </c>
      <c r="F160" s="307"/>
      <c r="G160" s="307"/>
      <c r="H160" s="307"/>
      <c r="I160" s="307"/>
      <c r="J160" s="310">
        <v>1873849.53</v>
      </c>
    </row>
    <row r="161" spans="1:10" s="245" customFormat="1" x14ac:dyDescent="0.25">
      <c r="A161" s="306" t="s">
        <v>263</v>
      </c>
      <c r="B161" s="307"/>
      <c r="C161" s="308" t="s">
        <v>325</v>
      </c>
      <c r="D161" s="309">
        <v>36708</v>
      </c>
      <c r="E161" s="307" t="s">
        <v>374</v>
      </c>
      <c r="F161" s="307"/>
      <c r="G161" s="307"/>
      <c r="H161" s="307"/>
      <c r="I161" s="307"/>
      <c r="J161" s="310">
        <v>-8</v>
      </c>
    </row>
    <row r="162" spans="1:10" s="245" customFormat="1" x14ac:dyDescent="0.25">
      <c r="A162" s="306" t="s">
        <v>263</v>
      </c>
      <c r="B162" s="307"/>
      <c r="C162" s="308" t="s">
        <v>325</v>
      </c>
      <c r="D162" s="309">
        <v>36708</v>
      </c>
      <c r="E162" s="307" t="s">
        <v>375</v>
      </c>
      <c r="F162" s="307"/>
      <c r="G162" s="307"/>
      <c r="H162" s="307"/>
      <c r="I162" s="307"/>
      <c r="J162" s="310">
        <v>-22910</v>
      </c>
    </row>
    <row r="163" spans="1:10" s="245" customFormat="1" x14ac:dyDescent="0.25">
      <c r="A163" s="306" t="s">
        <v>263</v>
      </c>
      <c r="B163" s="307"/>
      <c r="C163" s="308" t="s">
        <v>325</v>
      </c>
      <c r="D163" s="309">
        <v>36708</v>
      </c>
      <c r="E163" s="307" t="s">
        <v>376</v>
      </c>
      <c r="F163" s="307"/>
      <c r="G163" s="307"/>
      <c r="H163" s="307"/>
      <c r="I163" s="307"/>
      <c r="J163" s="310">
        <v>-238902</v>
      </c>
    </row>
    <row r="164" spans="1:10" s="245" customFormat="1" x14ac:dyDescent="0.25">
      <c r="A164" s="306" t="s">
        <v>263</v>
      </c>
      <c r="B164" s="307"/>
      <c r="C164" s="308" t="s">
        <v>325</v>
      </c>
      <c r="D164" s="309">
        <v>36708</v>
      </c>
      <c r="E164" s="307" t="s">
        <v>377</v>
      </c>
      <c r="F164" s="307"/>
      <c r="G164" s="307"/>
      <c r="H164" s="307"/>
      <c r="I164" s="307"/>
      <c r="J164" s="310">
        <v>243001</v>
      </c>
    </row>
    <row r="165" spans="1:10" s="245" customFormat="1" x14ac:dyDescent="0.25">
      <c r="A165" s="306" t="s">
        <v>265</v>
      </c>
      <c r="B165" s="307"/>
      <c r="C165" s="308" t="s">
        <v>325</v>
      </c>
      <c r="D165" s="309">
        <v>36708</v>
      </c>
      <c r="E165" s="307" t="s">
        <v>378</v>
      </c>
      <c r="F165" s="307"/>
      <c r="G165" s="307"/>
      <c r="H165" s="307"/>
      <c r="I165" s="307"/>
      <c r="J165" s="310">
        <v>52956</v>
      </c>
    </row>
    <row r="166" spans="1:10" s="245" customFormat="1" x14ac:dyDescent="0.25">
      <c r="A166" s="306" t="s">
        <v>265</v>
      </c>
      <c r="B166" s="307"/>
      <c r="C166" s="308" t="s">
        <v>325</v>
      </c>
      <c r="D166" s="309">
        <v>36708</v>
      </c>
      <c r="E166" s="307" t="s">
        <v>379</v>
      </c>
      <c r="F166" s="307"/>
      <c r="G166" s="307"/>
      <c r="H166" s="307"/>
      <c r="I166" s="307"/>
      <c r="J166" s="310">
        <v>-38075</v>
      </c>
    </row>
    <row r="167" spans="1:10" s="245" customFormat="1" x14ac:dyDescent="0.25">
      <c r="A167" s="306" t="s">
        <v>263</v>
      </c>
      <c r="B167" s="307"/>
      <c r="C167" s="308" t="s">
        <v>325</v>
      </c>
      <c r="D167" s="309">
        <v>36708</v>
      </c>
      <c r="E167" s="307" t="s">
        <v>380</v>
      </c>
      <c r="F167" s="307"/>
      <c r="G167" s="307"/>
      <c r="H167" s="307"/>
      <c r="I167" s="307"/>
      <c r="J167" s="310">
        <v>-7730633</v>
      </c>
    </row>
    <row r="168" spans="1:10" s="245" customFormat="1" x14ac:dyDescent="0.25">
      <c r="A168" s="306" t="s">
        <v>265</v>
      </c>
      <c r="B168" s="307"/>
      <c r="C168" s="308" t="s">
        <v>325</v>
      </c>
      <c r="D168" s="309">
        <v>36708</v>
      </c>
      <c r="E168" s="307" t="s">
        <v>381</v>
      </c>
      <c r="F168" s="307"/>
      <c r="G168" s="307"/>
      <c r="H168" s="307"/>
      <c r="I168" s="307"/>
      <c r="J168" s="310">
        <v>5954580</v>
      </c>
    </row>
    <row r="169" spans="1:10" s="245" customFormat="1" x14ac:dyDescent="0.25">
      <c r="A169" s="306" t="s">
        <v>263</v>
      </c>
      <c r="B169" s="307"/>
      <c r="C169" s="308" t="s">
        <v>325</v>
      </c>
      <c r="D169" s="309">
        <v>36708</v>
      </c>
      <c r="E169" s="307" t="s">
        <v>382</v>
      </c>
      <c r="F169" s="307"/>
      <c r="G169" s="307"/>
      <c r="H169" s="307"/>
      <c r="I169" s="307"/>
      <c r="J169" s="310">
        <v>-15858</v>
      </c>
    </row>
    <row r="170" spans="1:10" s="245" customFormat="1" x14ac:dyDescent="0.25">
      <c r="A170" s="306" t="s">
        <v>263</v>
      </c>
      <c r="B170" s="307"/>
      <c r="C170" s="308" t="s">
        <v>325</v>
      </c>
      <c r="D170" s="309">
        <v>36708</v>
      </c>
      <c r="E170" s="307" t="s">
        <v>383</v>
      </c>
      <c r="F170" s="307"/>
      <c r="G170" s="307"/>
      <c r="H170" s="307"/>
      <c r="I170" s="307"/>
      <c r="J170" s="310">
        <v>172780</v>
      </c>
    </row>
    <row r="171" spans="1:10" s="245" customFormat="1" x14ac:dyDescent="0.25">
      <c r="A171" s="306" t="s">
        <v>263</v>
      </c>
      <c r="B171" s="307"/>
      <c r="C171" s="308" t="s">
        <v>325</v>
      </c>
      <c r="D171" s="309">
        <v>36708</v>
      </c>
      <c r="E171" s="307" t="s">
        <v>384</v>
      </c>
      <c r="F171" s="307"/>
      <c r="G171" s="307"/>
      <c r="H171" s="307"/>
      <c r="I171" s="307"/>
      <c r="J171" s="310">
        <v>-60877</v>
      </c>
    </row>
    <row r="172" spans="1:10" s="245" customFormat="1" x14ac:dyDescent="0.25">
      <c r="A172" s="306" t="s">
        <v>263</v>
      </c>
      <c r="B172" s="307"/>
      <c r="C172" s="308" t="s">
        <v>325</v>
      </c>
      <c r="D172" s="309">
        <v>36708</v>
      </c>
      <c r="E172" s="307" t="s">
        <v>385</v>
      </c>
      <c r="F172" s="307"/>
      <c r="G172" s="307"/>
      <c r="H172" s="307"/>
      <c r="I172" s="307"/>
      <c r="J172" s="310">
        <v>76540</v>
      </c>
    </row>
    <row r="173" spans="1:10" s="245" customFormat="1" x14ac:dyDescent="0.25">
      <c r="A173" s="306" t="s">
        <v>263</v>
      </c>
      <c r="B173" s="307"/>
      <c r="C173" s="308" t="s">
        <v>325</v>
      </c>
      <c r="D173" s="309">
        <v>36708</v>
      </c>
      <c r="E173" s="307" t="s">
        <v>386</v>
      </c>
      <c r="F173" s="307"/>
      <c r="G173" s="307"/>
      <c r="H173" s="307"/>
      <c r="I173" s="307"/>
      <c r="J173" s="310">
        <v>-7926</v>
      </c>
    </row>
    <row r="174" spans="1:10" s="245" customFormat="1" x14ac:dyDescent="0.25">
      <c r="A174" s="306" t="s">
        <v>263</v>
      </c>
      <c r="B174" s="307"/>
      <c r="C174" s="308" t="s">
        <v>325</v>
      </c>
      <c r="D174" s="309">
        <v>36708</v>
      </c>
      <c r="E174" s="307" t="s">
        <v>387</v>
      </c>
      <c r="F174" s="307"/>
      <c r="G174" s="307"/>
      <c r="H174" s="307"/>
      <c r="I174" s="307"/>
      <c r="J174" s="310">
        <v>6151</v>
      </c>
    </row>
    <row r="175" spans="1:10" s="245" customFormat="1" x14ac:dyDescent="0.25">
      <c r="A175" s="306" t="s">
        <v>263</v>
      </c>
      <c r="B175" s="307"/>
      <c r="C175" s="308" t="s">
        <v>325</v>
      </c>
      <c r="D175" s="309">
        <v>36708</v>
      </c>
      <c r="E175" s="307" t="s">
        <v>388</v>
      </c>
      <c r="F175" s="307"/>
      <c r="G175" s="307"/>
      <c r="H175" s="307"/>
      <c r="I175" s="307"/>
      <c r="J175" s="310">
        <v>-1675763</v>
      </c>
    </row>
    <row r="176" spans="1:10" s="245" customFormat="1" x14ac:dyDescent="0.25">
      <c r="A176" s="306" t="s">
        <v>263</v>
      </c>
      <c r="B176" s="307"/>
      <c r="C176" s="308" t="s">
        <v>325</v>
      </c>
      <c r="D176" s="309">
        <v>36708</v>
      </c>
      <c r="E176" s="307" t="s">
        <v>389</v>
      </c>
      <c r="F176" s="307"/>
      <c r="G176" s="307"/>
      <c r="H176" s="307"/>
      <c r="I176" s="307"/>
      <c r="J176" s="310">
        <v>1859984</v>
      </c>
    </row>
    <row r="177" spans="1:10" s="245" customFormat="1" x14ac:dyDescent="0.25">
      <c r="A177" s="306" t="s">
        <v>263</v>
      </c>
      <c r="B177" s="307"/>
      <c r="C177" s="308" t="s">
        <v>325</v>
      </c>
      <c r="D177" s="309">
        <v>36708</v>
      </c>
      <c r="E177" s="307" t="s">
        <v>390</v>
      </c>
      <c r="F177" s="307"/>
      <c r="G177" s="307"/>
      <c r="H177" s="307"/>
      <c r="I177" s="307"/>
      <c r="J177" s="310">
        <v>-32438</v>
      </c>
    </row>
    <row r="178" spans="1:10" s="245" customFormat="1" x14ac:dyDescent="0.25">
      <c r="A178" s="306" t="s">
        <v>263</v>
      </c>
      <c r="B178" s="307"/>
      <c r="C178" s="308" t="s">
        <v>325</v>
      </c>
      <c r="D178" s="309">
        <v>36708</v>
      </c>
      <c r="E178" s="307" t="s">
        <v>391</v>
      </c>
      <c r="F178" s="307"/>
      <c r="G178" s="307"/>
      <c r="H178" s="307"/>
      <c r="I178" s="307"/>
      <c r="J178" s="310">
        <v>9054</v>
      </c>
    </row>
    <row r="179" spans="1:10" s="245" customFormat="1" x14ac:dyDescent="0.25">
      <c r="A179" s="306" t="s">
        <v>265</v>
      </c>
      <c r="B179" s="307"/>
      <c r="C179" s="308" t="s">
        <v>325</v>
      </c>
      <c r="D179" s="309">
        <v>36708</v>
      </c>
      <c r="E179" s="307" t="s">
        <v>392</v>
      </c>
      <c r="F179" s="307"/>
      <c r="G179" s="307"/>
      <c r="H179" s="307"/>
      <c r="I179" s="307"/>
      <c r="J179" s="310">
        <v>684</v>
      </c>
    </row>
    <row r="180" spans="1:10" s="245" customFormat="1" x14ac:dyDescent="0.25">
      <c r="A180" s="306" t="s">
        <v>265</v>
      </c>
      <c r="B180" s="307"/>
      <c r="C180" s="308" t="s">
        <v>325</v>
      </c>
      <c r="D180" s="309">
        <v>36708</v>
      </c>
      <c r="E180" s="307" t="s">
        <v>393</v>
      </c>
      <c r="F180" s="307"/>
      <c r="G180" s="307"/>
      <c r="H180" s="307"/>
      <c r="I180" s="307"/>
      <c r="J180" s="310">
        <v>-1894</v>
      </c>
    </row>
    <row r="181" spans="1:10" s="245" customFormat="1" x14ac:dyDescent="0.25">
      <c r="A181" s="306" t="s">
        <v>263</v>
      </c>
      <c r="B181" s="307"/>
      <c r="C181" s="308" t="s">
        <v>325</v>
      </c>
      <c r="D181" s="309">
        <v>36708</v>
      </c>
      <c r="E181" s="307" t="s">
        <v>394</v>
      </c>
      <c r="F181" s="307"/>
      <c r="G181" s="307"/>
      <c r="H181" s="307"/>
      <c r="I181" s="307"/>
      <c r="J181" s="310">
        <v>-1244432</v>
      </c>
    </row>
    <row r="182" spans="1:10" s="245" customFormat="1" x14ac:dyDescent="0.25">
      <c r="A182" s="306" t="s">
        <v>263</v>
      </c>
      <c r="B182" s="307"/>
      <c r="C182" s="308" t="s">
        <v>325</v>
      </c>
      <c r="D182" s="309">
        <v>36708</v>
      </c>
      <c r="E182" s="307" t="s">
        <v>395</v>
      </c>
      <c r="F182" s="307"/>
      <c r="G182" s="307"/>
      <c r="H182" s="307"/>
      <c r="I182" s="307"/>
      <c r="J182" s="310">
        <v>1184505</v>
      </c>
    </row>
    <row r="183" spans="1:10" s="245" customFormat="1" x14ac:dyDescent="0.25">
      <c r="A183" s="306" t="s">
        <v>263</v>
      </c>
      <c r="B183" s="307"/>
      <c r="C183" s="308" t="s">
        <v>325</v>
      </c>
      <c r="D183" s="309">
        <v>36708</v>
      </c>
      <c r="E183" s="307" t="s">
        <v>396</v>
      </c>
      <c r="F183" s="307"/>
      <c r="G183" s="307"/>
      <c r="H183" s="307"/>
      <c r="I183" s="307"/>
      <c r="J183" s="310">
        <v>-32668</v>
      </c>
    </row>
    <row r="184" spans="1:10" s="245" customFormat="1" x14ac:dyDescent="0.25">
      <c r="A184" s="306" t="s">
        <v>263</v>
      </c>
      <c r="B184" s="307"/>
      <c r="C184" s="308" t="s">
        <v>325</v>
      </c>
      <c r="D184" s="309">
        <v>36708</v>
      </c>
      <c r="E184" s="307" t="s">
        <v>397</v>
      </c>
      <c r="F184" s="307"/>
      <c r="G184" s="307"/>
      <c r="H184" s="307"/>
      <c r="I184" s="307"/>
      <c r="J184" s="310">
        <v>23679</v>
      </c>
    </row>
    <row r="185" spans="1:10" s="245" customFormat="1" x14ac:dyDescent="0.25">
      <c r="A185" s="306" t="s">
        <v>263</v>
      </c>
      <c r="B185" s="307"/>
      <c r="C185" s="308" t="s">
        <v>325</v>
      </c>
      <c r="D185" s="309">
        <v>36708</v>
      </c>
      <c r="E185" s="307" t="s">
        <v>398</v>
      </c>
      <c r="F185" s="307"/>
      <c r="G185" s="307"/>
      <c r="H185" s="307"/>
      <c r="I185" s="307"/>
      <c r="J185" s="310">
        <v>-16875</v>
      </c>
    </row>
    <row r="186" spans="1:10" s="245" customFormat="1" x14ac:dyDescent="0.25">
      <c r="A186" s="306" t="s">
        <v>263</v>
      </c>
      <c r="B186" s="307"/>
      <c r="C186" s="308" t="s">
        <v>325</v>
      </c>
      <c r="D186" s="309">
        <v>36708</v>
      </c>
      <c r="E186" s="307" t="s">
        <v>399</v>
      </c>
      <c r="F186" s="307"/>
      <c r="G186" s="307"/>
      <c r="H186" s="307"/>
      <c r="I186" s="307"/>
      <c r="J186" s="310">
        <v>17500</v>
      </c>
    </row>
    <row r="187" spans="1:10" s="245" customFormat="1" x14ac:dyDescent="0.25">
      <c r="A187" s="306" t="s">
        <v>263</v>
      </c>
      <c r="B187" s="307"/>
      <c r="C187" s="308" t="s">
        <v>325</v>
      </c>
      <c r="D187" s="309">
        <v>36708</v>
      </c>
      <c r="E187" s="307" t="s">
        <v>400</v>
      </c>
      <c r="F187" s="307"/>
      <c r="G187" s="307"/>
      <c r="H187" s="307"/>
      <c r="I187" s="307"/>
      <c r="J187" s="310">
        <v>-108899</v>
      </c>
    </row>
    <row r="188" spans="1:10" s="245" customFormat="1" x14ac:dyDescent="0.25">
      <c r="A188" s="306" t="s">
        <v>263</v>
      </c>
      <c r="B188" s="307"/>
      <c r="C188" s="308" t="s">
        <v>325</v>
      </c>
      <c r="D188" s="309">
        <v>36708</v>
      </c>
      <c r="E188" s="307" t="s">
        <v>401</v>
      </c>
      <c r="F188" s="307"/>
      <c r="G188" s="307"/>
      <c r="H188" s="307"/>
      <c r="I188" s="307"/>
      <c r="J188" s="310">
        <v>232942</v>
      </c>
    </row>
    <row r="189" spans="1:10" s="245" customFormat="1" x14ac:dyDescent="0.25">
      <c r="A189" s="306" t="s">
        <v>263</v>
      </c>
      <c r="B189" s="307"/>
      <c r="C189" s="308" t="s">
        <v>325</v>
      </c>
      <c r="D189" s="309">
        <v>36708</v>
      </c>
      <c r="E189" s="307" t="s">
        <v>402</v>
      </c>
      <c r="F189" s="307"/>
      <c r="G189" s="307"/>
      <c r="H189" s="307"/>
      <c r="I189" s="307"/>
      <c r="J189" s="310">
        <v>-8920</v>
      </c>
    </row>
    <row r="190" spans="1:10" s="245" customFormat="1" x14ac:dyDescent="0.25">
      <c r="A190" s="306" t="s">
        <v>263</v>
      </c>
      <c r="B190" s="307"/>
      <c r="C190" s="308" t="s">
        <v>325</v>
      </c>
      <c r="D190" s="309">
        <v>36708</v>
      </c>
      <c r="E190" s="307" t="s">
        <v>403</v>
      </c>
      <c r="F190" s="307"/>
      <c r="G190" s="307"/>
      <c r="H190" s="307"/>
      <c r="I190" s="307"/>
      <c r="J190" s="310">
        <v>9396</v>
      </c>
    </row>
    <row r="191" spans="1:10" s="245" customFormat="1" x14ac:dyDescent="0.25">
      <c r="A191" s="306" t="s">
        <v>263</v>
      </c>
      <c r="B191" s="307"/>
      <c r="C191" s="308" t="s">
        <v>325</v>
      </c>
      <c r="D191" s="309">
        <v>36708</v>
      </c>
      <c r="E191" s="307" t="s">
        <v>404</v>
      </c>
      <c r="F191" s="307"/>
      <c r="G191" s="307"/>
      <c r="H191" s="307"/>
      <c r="I191" s="307"/>
      <c r="J191" s="310">
        <v>-12660</v>
      </c>
    </row>
    <row r="192" spans="1:10" s="245" customFormat="1" x14ac:dyDescent="0.25">
      <c r="A192" s="306" t="s">
        <v>263</v>
      </c>
      <c r="B192" s="307"/>
      <c r="C192" s="308" t="s">
        <v>325</v>
      </c>
      <c r="D192" s="309">
        <v>36708</v>
      </c>
      <c r="E192" s="307" t="s">
        <v>405</v>
      </c>
      <c r="F192" s="307"/>
      <c r="G192" s="307"/>
      <c r="H192" s="307"/>
      <c r="I192" s="307"/>
      <c r="J192" s="310">
        <v>6484</v>
      </c>
    </row>
    <row r="193" spans="1:10" s="245" customFormat="1" x14ac:dyDescent="0.25">
      <c r="A193" s="306" t="s">
        <v>263</v>
      </c>
      <c r="B193" s="307"/>
      <c r="C193" s="308" t="s">
        <v>325</v>
      </c>
      <c r="D193" s="309">
        <v>36708</v>
      </c>
      <c r="E193" s="307" t="s">
        <v>406</v>
      </c>
      <c r="F193" s="307"/>
      <c r="G193" s="307"/>
      <c r="H193" s="307"/>
      <c r="I193" s="307"/>
      <c r="J193" s="310">
        <v>-761196</v>
      </c>
    </row>
    <row r="194" spans="1:10" s="245" customFormat="1" x14ac:dyDescent="0.25">
      <c r="A194" s="306" t="s">
        <v>263</v>
      </c>
      <c r="B194" s="307"/>
      <c r="C194" s="308" t="s">
        <v>325</v>
      </c>
      <c r="D194" s="309">
        <v>36708</v>
      </c>
      <c r="E194" s="307" t="s">
        <v>407</v>
      </c>
      <c r="F194" s="307"/>
      <c r="G194" s="307"/>
      <c r="H194" s="307"/>
      <c r="I194" s="307"/>
      <c r="J194" s="310">
        <v>764665</v>
      </c>
    </row>
    <row r="195" spans="1:10" s="245" customFormat="1" x14ac:dyDescent="0.25">
      <c r="A195" s="306" t="s">
        <v>263</v>
      </c>
      <c r="B195" s="307"/>
      <c r="C195" s="308" t="s">
        <v>325</v>
      </c>
      <c r="D195" s="309">
        <v>36708</v>
      </c>
      <c r="E195" s="307" t="s">
        <v>408</v>
      </c>
      <c r="F195" s="307"/>
      <c r="G195" s="307"/>
      <c r="H195" s="307"/>
      <c r="I195" s="307"/>
      <c r="J195" s="310">
        <v>4094</v>
      </c>
    </row>
    <row r="196" spans="1:10" s="245" customFormat="1" x14ac:dyDescent="0.25">
      <c r="A196" s="306" t="s">
        <v>263</v>
      </c>
      <c r="B196" s="307"/>
      <c r="C196" s="308" t="s">
        <v>325</v>
      </c>
      <c r="D196" s="309">
        <v>36708</v>
      </c>
      <c r="E196" s="307" t="s">
        <v>409</v>
      </c>
      <c r="F196" s="307"/>
      <c r="G196" s="307"/>
      <c r="H196" s="307"/>
      <c r="I196" s="307"/>
      <c r="J196" s="310">
        <v>-2753</v>
      </c>
    </row>
    <row r="197" spans="1:10" s="245" customFormat="1" x14ac:dyDescent="0.25">
      <c r="A197" s="306" t="s">
        <v>263</v>
      </c>
      <c r="B197" s="307"/>
      <c r="C197" s="308" t="s">
        <v>325</v>
      </c>
      <c r="D197" s="309">
        <v>36678</v>
      </c>
      <c r="E197" s="307" t="s">
        <v>410</v>
      </c>
      <c r="F197" s="307"/>
      <c r="G197" s="307"/>
      <c r="H197" s="307"/>
      <c r="I197" s="307"/>
      <c r="J197" s="310">
        <v>-812092.16</v>
      </c>
    </row>
    <row r="198" spans="1:10" s="245" customFormat="1" x14ac:dyDescent="0.25">
      <c r="A198" s="306" t="s">
        <v>263</v>
      </c>
      <c r="B198" s="307"/>
      <c r="C198" s="308" t="s">
        <v>325</v>
      </c>
      <c r="D198" s="309">
        <v>36678</v>
      </c>
      <c r="E198" s="307" t="s">
        <v>411</v>
      </c>
      <c r="F198" s="307"/>
      <c r="G198" s="307"/>
      <c r="H198" s="307"/>
      <c r="I198" s="307"/>
      <c r="J198" s="310">
        <v>2421095</v>
      </c>
    </row>
    <row r="199" spans="1:10" s="245" customFormat="1" x14ac:dyDescent="0.25">
      <c r="A199" s="306" t="s">
        <v>263</v>
      </c>
      <c r="B199" s="307"/>
      <c r="C199" s="308" t="s">
        <v>325</v>
      </c>
      <c r="D199" s="309">
        <v>36678</v>
      </c>
      <c r="E199" s="307" t="s">
        <v>412</v>
      </c>
      <c r="F199" s="307"/>
      <c r="G199" s="307"/>
      <c r="H199" s="307"/>
      <c r="I199" s="307"/>
      <c r="J199" s="310">
        <v>228798</v>
      </c>
    </row>
    <row r="200" spans="1:10" s="245" customFormat="1" x14ac:dyDescent="0.25">
      <c r="A200" s="306" t="s">
        <v>263</v>
      </c>
      <c r="B200" s="307"/>
      <c r="C200" s="308" t="s">
        <v>325</v>
      </c>
      <c r="D200" s="309">
        <v>36678</v>
      </c>
      <c r="E200" s="307" t="s">
        <v>413</v>
      </c>
      <c r="F200" s="307"/>
      <c r="G200" s="307"/>
      <c r="H200" s="307"/>
      <c r="I200" s="307"/>
      <c r="J200" s="310">
        <v>-743593.11</v>
      </c>
    </row>
    <row r="201" spans="1:10" s="245" customFormat="1" x14ac:dyDescent="0.25">
      <c r="A201" s="306" t="s">
        <v>263</v>
      </c>
      <c r="B201" s="307"/>
      <c r="C201" s="308" t="s">
        <v>325</v>
      </c>
      <c r="D201" s="309">
        <v>36678</v>
      </c>
      <c r="E201" s="307" t="s">
        <v>414</v>
      </c>
      <c r="F201" s="307"/>
      <c r="G201" s="307"/>
      <c r="H201" s="307"/>
      <c r="I201" s="307"/>
      <c r="J201" s="310">
        <v>535649.1</v>
      </c>
    </row>
    <row r="202" spans="1:10" s="245" customFormat="1" x14ac:dyDescent="0.25">
      <c r="A202" s="306" t="s">
        <v>265</v>
      </c>
      <c r="B202" s="307"/>
      <c r="C202" s="308" t="s">
        <v>325</v>
      </c>
      <c r="D202" s="309">
        <v>36678</v>
      </c>
      <c r="E202" s="307" t="s">
        <v>415</v>
      </c>
      <c r="F202" s="307"/>
      <c r="G202" s="307"/>
      <c r="H202" s="307"/>
      <c r="I202" s="307"/>
      <c r="J202" s="310">
        <v>23530154.43</v>
      </c>
    </row>
    <row r="203" spans="1:10" s="245" customFormat="1" x14ac:dyDescent="0.25">
      <c r="A203" s="306" t="s">
        <v>265</v>
      </c>
      <c r="B203" s="307"/>
      <c r="C203" s="308" t="s">
        <v>325</v>
      </c>
      <c r="D203" s="309">
        <v>36678</v>
      </c>
      <c r="E203" s="311" t="s">
        <v>416</v>
      </c>
      <c r="F203" s="307"/>
      <c r="G203" s="307"/>
      <c r="H203" s="307"/>
      <c r="I203" s="307"/>
      <c r="J203" s="310">
        <v>-22980605</v>
      </c>
    </row>
    <row r="204" spans="1:10" s="245" customFormat="1" x14ac:dyDescent="0.25">
      <c r="A204" s="306" t="s">
        <v>263</v>
      </c>
      <c r="B204" s="307"/>
      <c r="C204" s="308" t="s">
        <v>325</v>
      </c>
      <c r="D204" s="309">
        <v>36678</v>
      </c>
      <c r="E204" s="307" t="s">
        <v>417</v>
      </c>
      <c r="F204" s="307"/>
      <c r="G204" s="307"/>
      <c r="H204" s="307"/>
      <c r="I204" s="307"/>
      <c r="J204" s="310">
        <v>-1145231.06</v>
      </c>
    </row>
    <row r="205" spans="1:10" s="245" customFormat="1" x14ac:dyDescent="0.25">
      <c r="A205" s="306" t="s">
        <v>263</v>
      </c>
      <c r="B205" s="307"/>
      <c r="C205" s="308" t="s">
        <v>325</v>
      </c>
      <c r="D205" s="309">
        <v>36678</v>
      </c>
      <c r="E205" s="307" t="s">
        <v>418</v>
      </c>
      <c r="F205" s="307"/>
      <c r="G205" s="307"/>
      <c r="H205" s="307"/>
      <c r="I205" s="307"/>
      <c r="J205" s="310">
        <v>-202.12</v>
      </c>
    </row>
    <row r="206" spans="1:10" s="245" customFormat="1" x14ac:dyDescent="0.25">
      <c r="A206" s="306" t="s">
        <v>263</v>
      </c>
      <c r="B206" s="307"/>
      <c r="C206" s="308" t="s">
        <v>325</v>
      </c>
      <c r="D206" s="309">
        <v>36678</v>
      </c>
      <c r="E206" s="307" t="s">
        <v>419</v>
      </c>
      <c r="F206" s="307"/>
      <c r="G206" s="307"/>
      <c r="H206" s="307"/>
      <c r="I206" s="307"/>
      <c r="J206" s="310">
        <v>-3102.5</v>
      </c>
    </row>
    <row r="207" spans="1:10" s="245" customFormat="1" x14ac:dyDescent="0.25">
      <c r="A207" s="306" t="s">
        <v>263</v>
      </c>
      <c r="B207" s="307"/>
      <c r="C207" s="308" t="s">
        <v>325</v>
      </c>
      <c r="D207" s="309">
        <v>36678</v>
      </c>
      <c r="E207" s="307" t="s">
        <v>420</v>
      </c>
      <c r="F207" s="307"/>
      <c r="G207" s="307"/>
      <c r="H207" s="307"/>
      <c r="I207" s="307"/>
      <c r="J207" s="310">
        <v>140250</v>
      </c>
    </row>
    <row r="208" spans="1:10" s="245" customFormat="1" x14ac:dyDescent="0.25">
      <c r="A208" s="306" t="s">
        <v>265</v>
      </c>
      <c r="B208" s="307"/>
      <c r="C208" s="308" t="s">
        <v>325</v>
      </c>
      <c r="D208" s="309">
        <v>36678</v>
      </c>
      <c r="E208" s="307" t="s">
        <v>421</v>
      </c>
      <c r="F208" s="307"/>
      <c r="G208" s="307"/>
      <c r="H208" s="307"/>
      <c r="I208" s="307"/>
      <c r="J208" s="310">
        <v>-5938</v>
      </c>
    </row>
    <row r="209" spans="1:10" s="245" customFormat="1" x14ac:dyDescent="0.25">
      <c r="A209" s="306" t="s">
        <v>263</v>
      </c>
      <c r="B209" s="307"/>
      <c r="C209" s="308" t="s">
        <v>325</v>
      </c>
      <c r="D209" s="309">
        <v>36678</v>
      </c>
      <c r="E209" s="307" t="s">
        <v>422</v>
      </c>
      <c r="F209" s="307"/>
      <c r="G209" s="307"/>
      <c r="H209" s="307"/>
      <c r="I209" s="307"/>
      <c r="J209" s="310">
        <v>-819516.67</v>
      </c>
    </row>
    <row r="210" spans="1:10" s="245" customFormat="1" x14ac:dyDescent="0.25">
      <c r="A210" s="306" t="s">
        <v>263</v>
      </c>
      <c r="B210" s="307"/>
      <c r="C210" s="308" t="s">
        <v>325</v>
      </c>
      <c r="D210" s="309">
        <v>36678</v>
      </c>
      <c r="E210" s="307" t="s">
        <v>423</v>
      </c>
      <c r="F210" s="307"/>
      <c r="G210" s="307"/>
      <c r="H210" s="307"/>
      <c r="I210" s="307"/>
      <c r="J210" s="310">
        <v>548126</v>
      </c>
    </row>
    <row r="211" spans="1:10" s="245" customFormat="1" x14ac:dyDescent="0.25">
      <c r="A211" s="306" t="s">
        <v>265</v>
      </c>
      <c r="B211" s="307"/>
      <c r="C211" s="308" t="s">
        <v>325</v>
      </c>
      <c r="D211" s="309">
        <v>36678</v>
      </c>
      <c r="E211" s="307" t="s">
        <v>424</v>
      </c>
      <c r="F211" s="307"/>
      <c r="G211" s="307"/>
      <c r="H211" s="307"/>
      <c r="I211" s="307"/>
      <c r="J211" s="310">
        <v>5346</v>
      </c>
    </row>
    <row r="212" spans="1:10" s="245" customFormat="1" x14ac:dyDescent="0.25">
      <c r="A212" s="306" t="s">
        <v>263</v>
      </c>
      <c r="B212" s="307"/>
      <c r="C212" s="308" t="s">
        <v>325</v>
      </c>
      <c r="D212" s="309">
        <v>36678</v>
      </c>
      <c r="E212" s="307" t="s">
        <v>425</v>
      </c>
      <c r="F212" s="307"/>
      <c r="G212" s="307"/>
      <c r="H212" s="307"/>
      <c r="I212" s="307"/>
      <c r="J212" s="310">
        <v>-4626.08</v>
      </c>
    </row>
    <row r="213" spans="1:10" s="245" customFormat="1" x14ac:dyDescent="0.25">
      <c r="A213" s="306" t="s">
        <v>263</v>
      </c>
      <c r="B213" s="307"/>
      <c r="C213" s="308" t="s">
        <v>325</v>
      </c>
      <c r="D213" s="309">
        <v>36678</v>
      </c>
      <c r="E213" s="307" t="s">
        <v>426</v>
      </c>
      <c r="F213" s="307"/>
      <c r="G213" s="307"/>
      <c r="H213" s="307"/>
      <c r="I213" s="307"/>
      <c r="J213" s="310">
        <v>4855</v>
      </c>
    </row>
    <row r="214" spans="1:10" s="245" customFormat="1" x14ac:dyDescent="0.25">
      <c r="A214" s="306" t="s">
        <v>263</v>
      </c>
      <c r="B214" s="307"/>
      <c r="C214" s="308" t="s">
        <v>325</v>
      </c>
      <c r="D214" s="309">
        <v>36678</v>
      </c>
      <c r="E214" s="307" t="s">
        <v>427</v>
      </c>
      <c r="F214" s="307"/>
      <c r="G214" s="307"/>
      <c r="H214" s="307"/>
      <c r="I214" s="307"/>
      <c r="J214" s="310">
        <v>-889103.6</v>
      </c>
    </row>
    <row r="215" spans="1:10" s="245" customFormat="1" x14ac:dyDescent="0.25">
      <c r="A215" s="306" t="s">
        <v>263</v>
      </c>
      <c r="B215" s="307"/>
      <c r="C215" s="308" t="s">
        <v>325</v>
      </c>
      <c r="D215" s="309">
        <v>36678</v>
      </c>
      <c r="E215" s="307" t="s">
        <v>428</v>
      </c>
      <c r="F215" s="307"/>
      <c r="G215" s="307"/>
      <c r="H215" s="307"/>
      <c r="I215" s="307"/>
      <c r="J215" s="310">
        <v>2526858</v>
      </c>
    </row>
    <row r="216" spans="1:10" s="245" customFormat="1" x14ac:dyDescent="0.25">
      <c r="A216" s="306" t="s">
        <v>263</v>
      </c>
      <c r="B216" s="307"/>
      <c r="C216" s="308" t="s">
        <v>325</v>
      </c>
      <c r="D216" s="309">
        <v>36678</v>
      </c>
      <c r="E216" s="307" t="s">
        <v>429</v>
      </c>
      <c r="F216" s="307"/>
      <c r="G216" s="307"/>
      <c r="H216" s="307"/>
      <c r="I216" s="307"/>
      <c r="J216" s="310">
        <v>-5142624.37</v>
      </c>
    </row>
    <row r="217" spans="1:10" s="245" customFormat="1" x14ac:dyDescent="0.25">
      <c r="A217" s="306" t="s">
        <v>263</v>
      </c>
      <c r="B217" s="307"/>
      <c r="C217" s="308" t="s">
        <v>325</v>
      </c>
      <c r="D217" s="309">
        <v>36678</v>
      </c>
      <c r="E217" s="307" t="s">
        <v>429</v>
      </c>
      <c r="F217" s="307"/>
      <c r="G217" s="307"/>
      <c r="H217" s="307"/>
      <c r="I217" s="307"/>
      <c r="J217" s="310">
        <v>-193013.61</v>
      </c>
    </row>
    <row r="218" spans="1:10" s="245" customFormat="1" x14ac:dyDescent="0.25">
      <c r="A218" s="306" t="s">
        <v>265</v>
      </c>
      <c r="B218" s="307"/>
      <c r="C218" s="308" t="s">
        <v>325</v>
      </c>
      <c r="D218" s="309">
        <v>36678</v>
      </c>
      <c r="E218" s="307" t="s">
        <v>430</v>
      </c>
      <c r="F218" s="307"/>
      <c r="G218" s="307"/>
      <c r="H218" s="307"/>
      <c r="I218" s="307"/>
      <c r="J218" s="310">
        <v>2555796.37</v>
      </c>
    </row>
    <row r="219" spans="1:10" s="245" customFormat="1" x14ac:dyDescent="0.25">
      <c r="A219" s="306" t="s">
        <v>265</v>
      </c>
      <c r="B219" s="307"/>
      <c r="C219" s="308" t="s">
        <v>325</v>
      </c>
      <c r="D219" s="309">
        <v>36678</v>
      </c>
      <c r="E219" s="307" t="s">
        <v>431</v>
      </c>
      <c r="F219" s="307"/>
      <c r="G219" s="307"/>
      <c r="H219" s="307"/>
      <c r="I219" s="307"/>
      <c r="J219" s="310">
        <v>-51312</v>
      </c>
    </row>
    <row r="220" spans="1:10" s="245" customFormat="1" x14ac:dyDescent="0.25">
      <c r="A220" s="306" t="s">
        <v>263</v>
      </c>
      <c r="B220" s="307"/>
      <c r="C220" s="308" t="s">
        <v>325</v>
      </c>
      <c r="D220" s="309">
        <v>36678</v>
      </c>
      <c r="E220" s="307" t="s">
        <v>432</v>
      </c>
      <c r="F220" s="307"/>
      <c r="G220" s="307"/>
      <c r="H220" s="307"/>
      <c r="I220" s="307"/>
      <c r="J220" s="310">
        <v>-943144.56</v>
      </c>
    </row>
    <row r="221" spans="1:10" s="245" customFormat="1" x14ac:dyDescent="0.25">
      <c r="A221" s="306" t="s">
        <v>263</v>
      </c>
      <c r="B221" s="307"/>
      <c r="C221" s="308" t="s">
        <v>325</v>
      </c>
      <c r="D221" s="309">
        <v>36678</v>
      </c>
      <c r="E221" s="307" t="s">
        <v>433</v>
      </c>
      <c r="F221" s="307"/>
      <c r="G221" s="307"/>
      <c r="H221" s="307"/>
      <c r="I221" s="307"/>
      <c r="J221" s="310">
        <v>1212788</v>
      </c>
    </row>
    <row r="222" spans="1:10" s="245" customFormat="1" x14ac:dyDescent="0.25">
      <c r="A222" s="306" t="s">
        <v>265</v>
      </c>
      <c r="B222" s="307"/>
      <c r="C222" s="308" t="s">
        <v>325</v>
      </c>
      <c r="D222" s="309">
        <v>36678</v>
      </c>
      <c r="E222" s="307" t="s">
        <v>434</v>
      </c>
      <c r="F222" s="307"/>
      <c r="G222" s="307"/>
      <c r="H222" s="307"/>
      <c r="I222" s="307"/>
      <c r="J222" s="310">
        <v>60997</v>
      </c>
    </row>
    <row r="223" spans="1:10" s="245" customFormat="1" x14ac:dyDescent="0.25">
      <c r="A223" s="306" t="s">
        <v>263</v>
      </c>
      <c r="B223" s="307"/>
      <c r="C223" s="308" t="s">
        <v>325</v>
      </c>
      <c r="D223" s="309">
        <v>36678</v>
      </c>
      <c r="E223" s="307" t="s">
        <v>435</v>
      </c>
      <c r="F223" s="307"/>
      <c r="G223" s="307"/>
      <c r="H223" s="307"/>
      <c r="I223" s="307"/>
      <c r="J223" s="310">
        <v>-153582.32</v>
      </c>
    </row>
    <row r="224" spans="1:10" s="245" customFormat="1" x14ac:dyDescent="0.25">
      <c r="A224" s="306" t="s">
        <v>263</v>
      </c>
      <c r="B224" s="307"/>
      <c r="C224" s="308" t="s">
        <v>325</v>
      </c>
      <c r="D224" s="309">
        <v>36678</v>
      </c>
      <c r="E224" s="307" t="s">
        <v>436</v>
      </c>
      <c r="F224" s="307"/>
      <c r="G224" s="307"/>
      <c r="H224" s="307"/>
      <c r="I224" s="307"/>
      <c r="J224" s="310">
        <v>-150801.47</v>
      </c>
    </row>
    <row r="225" spans="1:10" s="245" customFormat="1" x14ac:dyDescent="0.25">
      <c r="A225" s="306" t="s">
        <v>263</v>
      </c>
      <c r="B225" s="307"/>
      <c r="C225" s="308" t="s">
        <v>325</v>
      </c>
      <c r="D225" s="309">
        <v>36678</v>
      </c>
      <c r="E225" s="307" t="s">
        <v>437</v>
      </c>
      <c r="F225" s="307"/>
      <c r="G225" s="307"/>
      <c r="H225" s="307"/>
      <c r="I225" s="307"/>
      <c r="J225" s="310">
        <v>113659</v>
      </c>
    </row>
    <row r="226" spans="1:10" s="245" customFormat="1" x14ac:dyDescent="0.25">
      <c r="A226" s="306" t="s">
        <v>263</v>
      </c>
      <c r="B226" s="307"/>
      <c r="C226" s="308" t="s">
        <v>325</v>
      </c>
      <c r="D226" s="309">
        <v>36678</v>
      </c>
      <c r="E226" s="307" t="s">
        <v>438</v>
      </c>
      <c r="F226" s="307"/>
      <c r="G226" s="307"/>
      <c r="H226" s="307"/>
      <c r="I226" s="307"/>
      <c r="J226" s="310">
        <v>-325927.21999999997</v>
      </c>
    </row>
    <row r="227" spans="1:10" s="245" customFormat="1" x14ac:dyDescent="0.25">
      <c r="A227" s="306" t="s">
        <v>263</v>
      </c>
      <c r="B227" s="307"/>
      <c r="C227" s="308" t="s">
        <v>325</v>
      </c>
      <c r="D227" s="309">
        <v>36678</v>
      </c>
      <c r="E227" s="307" t="s">
        <v>439</v>
      </c>
      <c r="F227" s="307"/>
      <c r="G227" s="307"/>
      <c r="H227" s="307"/>
      <c r="I227" s="307"/>
      <c r="J227" s="310">
        <v>308462</v>
      </c>
    </row>
    <row r="228" spans="1:10" s="245" customFormat="1" x14ac:dyDescent="0.25">
      <c r="A228" s="306" t="s">
        <v>263</v>
      </c>
      <c r="B228" s="307"/>
      <c r="C228" s="308" t="s">
        <v>325</v>
      </c>
      <c r="D228" s="309">
        <v>36678</v>
      </c>
      <c r="E228" s="307" t="s">
        <v>440</v>
      </c>
      <c r="F228" s="307"/>
      <c r="G228" s="307"/>
      <c r="H228" s="307"/>
      <c r="I228" s="307"/>
      <c r="J228" s="310">
        <v>-25987.29</v>
      </c>
    </row>
    <row r="229" spans="1:10" s="245" customFormat="1" x14ac:dyDescent="0.25">
      <c r="A229" s="306" t="s">
        <v>263</v>
      </c>
      <c r="B229" s="307"/>
      <c r="C229" s="308" t="s">
        <v>325</v>
      </c>
      <c r="D229" s="309">
        <v>36678</v>
      </c>
      <c r="E229" s="307" t="s">
        <v>441</v>
      </c>
      <c r="F229" s="307"/>
      <c r="G229" s="307"/>
      <c r="H229" s="307"/>
      <c r="I229" s="307"/>
      <c r="J229" s="310">
        <v>26419</v>
      </c>
    </row>
    <row r="230" spans="1:10" s="245" customFormat="1" x14ac:dyDescent="0.25">
      <c r="A230" s="306" t="s">
        <v>265</v>
      </c>
      <c r="B230" s="307"/>
      <c r="C230" s="308" t="s">
        <v>325</v>
      </c>
      <c r="D230" s="309">
        <v>36678</v>
      </c>
      <c r="E230" s="307" t="s">
        <v>442</v>
      </c>
      <c r="F230" s="307"/>
      <c r="G230" s="307"/>
      <c r="H230" s="307"/>
      <c r="I230" s="307"/>
      <c r="J230" s="310">
        <v>4251.8100000000004</v>
      </c>
    </row>
    <row r="231" spans="1:10" s="245" customFormat="1" x14ac:dyDescent="0.25">
      <c r="A231" s="306" t="s">
        <v>265</v>
      </c>
      <c r="B231" s="307"/>
      <c r="C231" s="308" t="s">
        <v>325</v>
      </c>
      <c r="D231" s="309">
        <v>36678</v>
      </c>
      <c r="E231" s="307" t="s">
        <v>443</v>
      </c>
      <c r="F231" s="307"/>
      <c r="G231" s="307"/>
      <c r="H231" s="307"/>
      <c r="I231" s="307"/>
      <c r="J231" s="310">
        <v>-4287</v>
      </c>
    </row>
    <row r="232" spans="1:10" s="245" customFormat="1" x14ac:dyDescent="0.25">
      <c r="A232" s="306" t="s">
        <v>265</v>
      </c>
      <c r="B232" s="307"/>
      <c r="C232" s="308" t="s">
        <v>325</v>
      </c>
      <c r="D232" s="309">
        <v>36678</v>
      </c>
      <c r="E232" s="307" t="s">
        <v>444</v>
      </c>
      <c r="F232" s="307"/>
      <c r="G232" s="307"/>
      <c r="H232" s="307"/>
      <c r="I232" s="307"/>
      <c r="J232" s="310">
        <v>12514</v>
      </c>
    </row>
    <row r="233" spans="1:10" s="245" customFormat="1" x14ac:dyDescent="0.25">
      <c r="A233" s="306" t="s">
        <v>265</v>
      </c>
      <c r="B233" s="307"/>
      <c r="C233" s="308" t="s">
        <v>325</v>
      </c>
      <c r="D233" s="309">
        <v>36678</v>
      </c>
      <c r="E233" s="307" t="s">
        <v>445</v>
      </c>
      <c r="F233" s="307"/>
      <c r="G233" s="307"/>
      <c r="H233" s="307"/>
      <c r="I233" s="307"/>
      <c r="J233" s="310">
        <v>-13975</v>
      </c>
    </row>
    <row r="234" spans="1:10" s="245" customFormat="1" x14ac:dyDescent="0.25">
      <c r="A234" s="306" t="s">
        <v>263</v>
      </c>
      <c r="B234" s="307"/>
      <c r="C234" s="308" t="s">
        <v>325</v>
      </c>
      <c r="D234" s="309">
        <v>36678</v>
      </c>
      <c r="E234" s="307" t="s">
        <v>446</v>
      </c>
      <c r="F234" s="307"/>
      <c r="G234" s="307"/>
      <c r="H234" s="307"/>
      <c r="I234" s="307"/>
      <c r="J234" s="310">
        <v>-12025.77</v>
      </c>
    </row>
    <row r="235" spans="1:10" s="245" customFormat="1" x14ac:dyDescent="0.25">
      <c r="A235" s="306" t="s">
        <v>263</v>
      </c>
      <c r="B235" s="307"/>
      <c r="C235" s="308" t="s">
        <v>325</v>
      </c>
      <c r="D235" s="309">
        <v>36678</v>
      </c>
      <c r="E235" s="307" t="s">
        <v>447</v>
      </c>
      <c r="F235" s="307"/>
      <c r="G235" s="307"/>
      <c r="H235" s="307"/>
      <c r="I235" s="307"/>
      <c r="J235" s="310">
        <v>5972</v>
      </c>
    </row>
    <row r="236" spans="1:10" s="245" customFormat="1" x14ac:dyDescent="0.25">
      <c r="A236" s="306" t="s">
        <v>265</v>
      </c>
      <c r="B236" s="307"/>
      <c r="C236" s="308" t="s">
        <v>325</v>
      </c>
      <c r="D236" s="309">
        <v>36678</v>
      </c>
      <c r="E236" s="307" t="s">
        <v>448</v>
      </c>
      <c r="F236" s="307"/>
      <c r="G236" s="307"/>
      <c r="H236" s="307"/>
      <c r="I236" s="307"/>
      <c r="J236" s="310">
        <v>388725</v>
      </c>
    </row>
    <row r="237" spans="1:10" s="245" customFormat="1" x14ac:dyDescent="0.25">
      <c r="A237" s="306" t="s">
        <v>265</v>
      </c>
      <c r="B237" s="307"/>
      <c r="C237" s="308" t="s">
        <v>325</v>
      </c>
      <c r="D237" s="309">
        <v>36678</v>
      </c>
      <c r="E237" s="307" t="s">
        <v>449</v>
      </c>
      <c r="F237" s="307"/>
      <c r="G237" s="307"/>
      <c r="H237" s="307"/>
      <c r="I237" s="307"/>
      <c r="J237" s="310">
        <v>-199186</v>
      </c>
    </row>
    <row r="238" spans="1:10" s="245" customFormat="1" x14ac:dyDescent="0.25">
      <c r="A238" s="306" t="s">
        <v>263</v>
      </c>
      <c r="B238" s="307"/>
      <c r="C238" s="308" t="s">
        <v>325</v>
      </c>
      <c r="D238" s="309">
        <v>36678</v>
      </c>
      <c r="E238" s="307" t="s">
        <v>450</v>
      </c>
      <c r="F238" s="307"/>
      <c r="G238" s="307"/>
      <c r="H238" s="307"/>
      <c r="I238" s="307"/>
      <c r="J238" s="310">
        <v>-197907.97</v>
      </c>
    </row>
    <row r="239" spans="1:10" s="245" customFormat="1" x14ac:dyDescent="0.25">
      <c r="A239" s="306" t="s">
        <v>263</v>
      </c>
      <c r="B239" s="307"/>
      <c r="C239" s="308" t="s">
        <v>325</v>
      </c>
      <c r="D239" s="309">
        <v>36678</v>
      </c>
      <c r="E239" s="307" t="s">
        <v>451</v>
      </c>
      <c r="F239" s="307"/>
      <c r="G239" s="307"/>
      <c r="H239" s="307"/>
      <c r="I239" s="307"/>
      <c r="J239" s="310">
        <v>1990716</v>
      </c>
    </row>
    <row r="240" spans="1:10" s="245" customFormat="1" x14ac:dyDescent="0.25">
      <c r="A240" s="565" t="s">
        <v>263</v>
      </c>
      <c r="B240" s="565" t="s">
        <v>324</v>
      </c>
      <c r="C240" s="566" t="s">
        <v>325</v>
      </c>
      <c r="D240" s="567">
        <v>36678</v>
      </c>
      <c r="E240" s="565" t="s">
        <v>326</v>
      </c>
      <c r="F240" s="565"/>
      <c r="G240" s="565"/>
      <c r="H240" s="565"/>
      <c r="I240" s="565"/>
      <c r="J240" s="310">
        <v>-2000000</v>
      </c>
    </row>
    <row r="241" spans="1:20" s="245" customFormat="1" x14ac:dyDescent="0.25">
      <c r="A241" s="306" t="s">
        <v>263</v>
      </c>
      <c r="B241" s="307"/>
      <c r="C241" s="308" t="s">
        <v>325</v>
      </c>
      <c r="D241" s="309">
        <v>36678</v>
      </c>
      <c r="E241" s="307" t="s">
        <v>452</v>
      </c>
      <c r="F241" s="307"/>
      <c r="G241" s="307"/>
      <c r="H241" s="307"/>
      <c r="I241" s="307"/>
      <c r="J241" s="310">
        <v>-1238.04</v>
      </c>
    </row>
    <row r="242" spans="1:20" s="245" customFormat="1" x14ac:dyDescent="0.25">
      <c r="A242" s="306" t="s">
        <v>263</v>
      </c>
      <c r="B242" s="307"/>
      <c r="C242" s="308" t="s">
        <v>325</v>
      </c>
      <c r="D242" s="309">
        <v>36678</v>
      </c>
      <c r="E242" s="307" t="s">
        <v>453</v>
      </c>
      <c r="F242" s="307"/>
      <c r="G242" s="307"/>
      <c r="H242" s="307"/>
      <c r="I242" s="307"/>
      <c r="J242" s="310">
        <v>619</v>
      </c>
    </row>
    <row r="243" spans="1:20" s="245" customFormat="1" x14ac:dyDescent="0.25">
      <c r="A243" s="306" t="s">
        <v>263</v>
      </c>
      <c r="B243" s="307"/>
      <c r="C243" s="308" t="s">
        <v>325</v>
      </c>
      <c r="D243" s="309">
        <v>36678</v>
      </c>
      <c r="E243" s="307" t="s">
        <v>454</v>
      </c>
      <c r="F243" s="307"/>
      <c r="G243" s="307"/>
      <c r="H243" s="307"/>
      <c r="I243" s="307"/>
      <c r="J243" s="310">
        <v>-157249.74</v>
      </c>
    </row>
    <row r="244" spans="1:20" s="245" customFormat="1" x14ac:dyDescent="0.25">
      <c r="A244" s="306" t="s">
        <v>263</v>
      </c>
      <c r="B244" s="307"/>
      <c r="C244" s="308" t="s">
        <v>325</v>
      </c>
      <c r="D244" s="309">
        <v>36678</v>
      </c>
      <c r="E244" s="307" t="s">
        <v>455</v>
      </c>
      <c r="F244" s="307"/>
      <c r="G244" s="307"/>
      <c r="H244" s="307"/>
      <c r="I244" s="307"/>
      <c r="J244" s="310">
        <v>6472</v>
      </c>
    </row>
    <row r="245" spans="1:20" s="245" customFormat="1" x14ac:dyDescent="0.25">
      <c r="A245" s="306" t="s">
        <v>263</v>
      </c>
      <c r="B245" s="307"/>
      <c r="C245" s="308" t="s">
        <v>325</v>
      </c>
      <c r="D245" s="309">
        <v>36678</v>
      </c>
      <c r="E245" s="307" t="s">
        <v>456</v>
      </c>
      <c r="F245" s="307"/>
      <c r="G245" s="307"/>
      <c r="H245" s="307"/>
      <c r="I245" s="307"/>
      <c r="J245" s="310">
        <v>-416227.22</v>
      </c>
    </row>
    <row r="246" spans="1:20" s="245" customFormat="1" x14ac:dyDescent="0.25">
      <c r="A246" s="306" t="s">
        <v>263</v>
      </c>
      <c r="B246" s="307"/>
      <c r="C246" s="308" t="s">
        <v>325</v>
      </c>
      <c r="D246" s="309">
        <v>36678</v>
      </c>
      <c r="E246" s="307" t="s">
        <v>457</v>
      </c>
      <c r="F246" s="307"/>
      <c r="G246" s="307"/>
      <c r="H246" s="307"/>
      <c r="I246" s="307"/>
      <c r="J246" s="310">
        <v>1078195</v>
      </c>
    </row>
    <row r="247" spans="1:20" s="245" customFormat="1" x14ac:dyDescent="0.25">
      <c r="A247" s="306" t="s">
        <v>263</v>
      </c>
      <c r="B247" s="307"/>
      <c r="C247" s="308" t="s">
        <v>325</v>
      </c>
      <c r="D247" s="309">
        <v>36678</v>
      </c>
      <c r="E247" s="307" t="s">
        <v>458</v>
      </c>
      <c r="F247" s="307"/>
      <c r="G247" s="307"/>
      <c r="H247" s="307"/>
      <c r="I247" s="307"/>
      <c r="J247" s="310">
        <v>-72717.759999999995</v>
      </c>
    </row>
    <row r="248" spans="1:20" s="245" customFormat="1" x14ac:dyDescent="0.25">
      <c r="A248" s="306" t="s">
        <v>263</v>
      </c>
      <c r="B248" s="307"/>
      <c r="C248" s="308" t="s">
        <v>325</v>
      </c>
      <c r="D248" s="309">
        <v>36678</v>
      </c>
      <c r="E248" s="307" t="s">
        <v>459</v>
      </c>
      <c r="F248" s="307"/>
      <c r="G248" s="307"/>
      <c r="H248" s="307"/>
      <c r="I248" s="307"/>
      <c r="J248" s="310">
        <v>36360</v>
      </c>
    </row>
    <row r="249" spans="1:20" s="245" customFormat="1" x14ac:dyDescent="0.25">
      <c r="A249" s="306" t="s">
        <v>263</v>
      </c>
      <c r="B249" s="307"/>
      <c r="C249" s="308" t="s">
        <v>325</v>
      </c>
      <c r="D249" s="309">
        <v>36678</v>
      </c>
      <c r="E249" s="307" t="s">
        <v>460</v>
      </c>
      <c r="F249" s="307"/>
      <c r="G249" s="307"/>
      <c r="H249" s="307"/>
      <c r="I249" s="307"/>
      <c r="J249" s="310">
        <v>-458781.83</v>
      </c>
    </row>
    <row r="250" spans="1:20" s="245" customFormat="1" x14ac:dyDescent="0.25">
      <c r="A250" s="306" t="s">
        <v>263</v>
      </c>
      <c r="B250" s="307"/>
      <c r="C250" s="308" t="s">
        <v>325</v>
      </c>
      <c r="D250" s="309">
        <v>36678</v>
      </c>
      <c r="E250" s="307" t="s">
        <v>461</v>
      </c>
      <c r="F250" s="307"/>
      <c r="G250" s="307"/>
      <c r="H250" s="307"/>
      <c r="I250" s="307"/>
      <c r="J250" s="310">
        <v>426725</v>
      </c>
    </row>
    <row r="251" spans="1:20" s="245" customFormat="1" x14ac:dyDescent="0.25">
      <c r="A251" s="306" t="s">
        <v>265</v>
      </c>
      <c r="B251" s="307"/>
      <c r="C251" s="308" t="s">
        <v>325</v>
      </c>
      <c r="D251" s="309">
        <v>36678</v>
      </c>
      <c r="E251" s="307" t="s">
        <v>462</v>
      </c>
      <c r="F251" s="307"/>
      <c r="G251" s="307"/>
      <c r="H251" s="307"/>
      <c r="I251" s="307"/>
      <c r="J251" s="310">
        <v>10345</v>
      </c>
    </row>
    <row r="252" spans="1:20" s="245" customFormat="1" x14ac:dyDescent="0.25">
      <c r="A252" s="306" t="s">
        <v>265</v>
      </c>
      <c r="B252" s="307"/>
      <c r="C252" s="308" t="s">
        <v>325</v>
      </c>
      <c r="D252" s="309">
        <v>36678</v>
      </c>
      <c r="E252" s="307" t="s">
        <v>463</v>
      </c>
      <c r="F252" s="307"/>
      <c r="G252" s="307"/>
      <c r="H252" s="307"/>
      <c r="I252" s="307"/>
      <c r="J252" s="310">
        <v>-12617</v>
      </c>
    </row>
    <row r="253" spans="1:20" s="316" customFormat="1" x14ac:dyDescent="0.25">
      <c r="A253" s="312"/>
      <c r="B253" s="313"/>
      <c r="C253" s="314"/>
      <c r="D253" s="314"/>
      <c r="E253" s="313"/>
      <c r="F253" s="313"/>
      <c r="G253" s="313"/>
      <c r="H253" s="313"/>
      <c r="I253" s="313"/>
      <c r="J253" s="315"/>
      <c r="O253" s="317"/>
      <c r="Q253" s="317"/>
      <c r="T253" s="318"/>
    </row>
    <row r="254" spans="1:20" s="327" customFormat="1" ht="14.25" customHeight="1" thickBot="1" x14ac:dyDescent="0.3">
      <c r="A254" s="319"/>
      <c r="B254" s="320"/>
      <c r="C254" s="321"/>
      <c r="D254" s="322"/>
      <c r="E254" s="323"/>
      <c r="F254" s="324"/>
      <c r="G254" s="324"/>
      <c r="H254" s="324"/>
      <c r="I254" s="324"/>
      <c r="J254" s="325"/>
      <c r="K254" s="326"/>
    </row>
    <row r="255" spans="1:20" x14ac:dyDescent="0.25">
      <c r="A255" s="328"/>
      <c r="B255" s="328"/>
      <c r="C255" s="329"/>
      <c r="D255" s="330"/>
      <c r="E255" s="331"/>
      <c r="F255" s="332"/>
      <c r="G255" s="328"/>
      <c r="H255" s="328"/>
      <c r="I255" s="328"/>
      <c r="J255" s="333"/>
    </row>
    <row r="256" spans="1:20" x14ac:dyDescent="0.25">
      <c r="A256" s="328"/>
      <c r="B256" s="328" t="s">
        <v>464</v>
      </c>
      <c r="C256" s="329"/>
      <c r="D256" s="330"/>
      <c r="E256" s="331"/>
      <c r="F256" s="332"/>
      <c r="G256" s="328"/>
      <c r="H256" s="328"/>
      <c r="I256" s="328"/>
      <c r="J256" s="333"/>
      <c r="K256" s="219">
        <f>SUM(J151:J254)</f>
        <v>427787.76999999891</v>
      </c>
    </row>
    <row r="257" spans="1:11" x14ac:dyDescent="0.25">
      <c r="A257" s="328"/>
      <c r="B257" s="328"/>
      <c r="C257" s="329"/>
      <c r="D257" s="330"/>
      <c r="E257" s="331"/>
      <c r="F257" s="332"/>
      <c r="G257" s="328"/>
      <c r="H257" s="328"/>
      <c r="I257" s="328"/>
      <c r="J257" s="333"/>
    </row>
    <row r="258" spans="1:11" s="342" customFormat="1" ht="15.6" x14ac:dyDescent="0.25">
      <c r="A258" s="334" t="s">
        <v>465</v>
      </c>
      <c r="B258" s="335"/>
      <c r="C258" s="336"/>
      <c r="D258" s="337"/>
      <c r="E258" s="338"/>
      <c r="F258" s="339"/>
      <c r="G258" s="335"/>
      <c r="H258" s="335"/>
      <c r="I258" s="335"/>
      <c r="J258" s="340"/>
      <c r="K258" s="341"/>
    </row>
    <row r="259" spans="1:11" x14ac:dyDescent="0.25">
      <c r="D259" s="228"/>
      <c r="E259" s="229"/>
      <c r="F259" s="230"/>
      <c r="J259" s="231"/>
    </row>
    <row r="260" spans="1:11" x14ac:dyDescent="0.25">
      <c r="A260" s="343" t="s">
        <v>466</v>
      </c>
      <c r="D260" s="228"/>
      <c r="E260" s="229"/>
      <c r="F260" s="230"/>
      <c r="J260" s="344"/>
    </row>
    <row r="261" spans="1:11" s="350" customFormat="1" ht="21.75" customHeight="1" x14ac:dyDescent="0.25">
      <c r="A261" s="345"/>
      <c r="B261" s="346" t="s">
        <v>467</v>
      </c>
      <c r="C261" s="347" t="s">
        <v>272</v>
      </c>
      <c r="D261" s="348">
        <v>36800</v>
      </c>
      <c r="E261" s="578" t="s">
        <v>468</v>
      </c>
      <c r="F261" s="579"/>
      <c r="G261" s="579"/>
      <c r="H261" s="579"/>
      <c r="I261" s="579"/>
      <c r="J261" s="349">
        <v>62864098.759999998</v>
      </c>
      <c r="K261" s="165"/>
    </row>
    <row r="262" spans="1:11" s="244" customFormat="1" x14ac:dyDescent="0.25">
      <c r="A262" s="552"/>
      <c r="B262" s="551" t="s">
        <v>260</v>
      </c>
      <c r="C262" s="552" t="s">
        <v>261</v>
      </c>
      <c r="D262" s="553">
        <v>36770</v>
      </c>
      <c r="E262" s="552" t="s">
        <v>262</v>
      </c>
      <c r="F262" s="552"/>
      <c r="G262" s="552"/>
      <c r="H262" s="552"/>
      <c r="I262" s="552"/>
      <c r="J262" s="554">
        <v>377255.4</v>
      </c>
    </row>
    <row r="263" spans="1:11" s="244" customFormat="1" x14ac:dyDescent="0.25">
      <c r="A263" s="552"/>
      <c r="B263" s="551" t="s">
        <v>260</v>
      </c>
      <c r="C263" s="552" t="s">
        <v>261</v>
      </c>
      <c r="D263" s="553">
        <v>36739</v>
      </c>
      <c r="E263" s="552" t="s">
        <v>262</v>
      </c>
      <c r="F263" s="552"/>
      <c r="G263" s="552"/>
      <c r="H263" s="552"/>
      <c r="I263" s="552"/>
      <c r="J263" s="554">
        <v>-213888.07</v>
      </c>
    </row>
    <row r="264" spans="1:11" s="244" customFormat="1" x14ac:dyDescent="0.25">
      <c r="A264" s="552"/>
      <c r="B264" s="551" t="s">
        <v>260</v>
      </c>
      <c r="C264" s="552" t="s">
        <v>261</v>
      </c>
      <c r="D264" s="553">
        <v>36708</v>
      </c>
      <c r="E264" s="552" t="s">
        <v>262</v>
      </c>
      <c r="F264" s="552"/>
      <c r="G264" s="552"/>
      <c r="H264" s="552"/>
      <c r="I264" s="552"/>
      <c r="J264" s="554">
        <v>-162615.96</v>
      </c>
    </row>
    <row r="265" spans="1:11" s="244" customFormat="1" x14ac:dyDescent="0.25">
      <c r="A265" s="552"/>
      <c r="B265" s="551" t="s">
        <v>260</v>
      </c>
      <c r="C265" s="552" t="s">
        <v>261</v>
      </c>
      <c r="D265" s="553">
        <v>36678</v>
      </c>
      <c r="E265" s="552" t="s">
        <v>262</v>
      </c>
      <c r="F265" s="552"/>
      <c r="G265" s="552"/>
      <c r="H265" s="552"/>
      <c r="I265" s="552"/>
      <c r="J265" s="554">
        <v>245701.04</v>
      </c>
    </row>
    <row r="266" spans="1:11" s="244" customFormat="1" x14ac:dyDescent="0.25">
      <c r="A266" s="552"/>
      <c r="B266" s="551" t="s">
        <v>260</v>
      </c>
      <c r="C266" s="552" t="s">
        <v>261</v>
      </c>
      <c r="D266" s="553">
        <v>36647</v>
      </c>
      <c r="E266" s="552" t="s">
        <v>262</v>
      </c>
      <c r="F266" s="552"/>
      <c r="G266" s="552"/>
      <c r="H266" s="552"/>
      <c r="I266" s="552"/>
      <c r="J266" s="554">
        <v>10849.26</v>
      </c>
    </row>
    <row r="267" spans="1:11" s="351" customFormat="1" x14ac:dyDescent="0.25">
      <c r="A267" s="351" t="s">
        <v>274</v>
      </c>
      <c r="B267" s="351" t="s">
        <v>469</v>
      </c>
      <c r="C267" s="352" t="s">
        <v>303</v>
      </c>
      <c r="D267" s="353">
        <v>36770</v>
      </c>
      <c r="E267" s="351" t="s">
        <v>470</v>
      </c>
      <c r="J267" s="354">
        <v>-8.4</v>
      </c>
    </row>
    <row r="268" spans="1:11" s="351" customFormat="1" x14ac:dyDescent="0.25">
      <c r="A268" s="351" t="s">
        <v>274</v>
      </c>
      <c r="B268" s="351" t="s">
        <v>469</v>
      </c>
      <c r="C268" s="352" t="s">
        <v>303</v>
      </c>
      <c r="D268" s="353">
        <v>36770</v>
      </c>
      <c r="E268" s="351" t="s">
        <v>471</v>
      </c>
      <c r="J268" s="354">
        <v>-2143</v>
      </c>
    </row>
    <row r="269" spans="1:11" s="351" customFormat="1" x14ac:dyDescent="0.25">
      <c r="A269" s="351" t="s">
        <v>265</v>
      </c>
      <c r="B269" s="351" t="s">
        <v>472</v>
      </c>
      <c r="C269" s="352" t="s">
        <v>303</v>
      </c>
      <c r="D269" s="353">
        <v>36770</v>
      </c>
      <c r="E269" s="351" t="s">
        <v>471</v>
      </c>
      <c r="J269" s="354">
        <v>9842</v>
      </c>
    </row>
    <row r="270" spans="1:11" s="351" customFormat="1" x14ac:dyDescent="0.25">
      <c r="A270" s="351" t="s">
        <v>263</v>
      </c>
      <c r="B270" s="351" t="s">
        <v>278</v>
      </c>
      <c r="C270" s="352" t="s">
        <v>279</v>
      </c>
      <c r="D270" s="353">
        <v>36770</v>
      </c>
      <c r="E270" s="351" t="s">
        <v>473</v>
      </c>
      <c r="J270" s="354">
        <v>-184</v>
      </c>
    </row>
    <row r="271" spans="1:11" s="351" customFormat="1" ht="21.75" customHeight="1" x14ac:dyDescent="0.25">
      <c r="A271" s="351" t="s">
        <v>265</v>
      </c>
      <c r="B271" s="351" t="s">
        <v>278</v>
      </c>
      <c r="C271" s="352" t="s">
        <v>279</v>
      </c>
      <c r="D271" s="353">
        <v>36770</v>
      </c>
      <c r="E271" s="570" t="s">
        <v>474</v>
      </c>
      <c r="F271" s="572"/>
      <c r="G271" s="572"/>
      <c r="H271" s="572"/>
      <c r="I271" s="572"/>
      <c r="J271" s="354">
        <v>11236.28</v>
      </c>
    </row>
    <row r="272" spans="1:11" s="351" customFormat="1" x14ac:dyDescent="0.25">
      <c r="A272" s="351" t="s">
        <v>265</v>
      </c>
      <c r="B272" s="351" t="s">
        <v>278</v>
      </c>
      <c r="C272" s="352" t="s">
        <v>279</v>
      </c>
      <c r="D272" s="353">
        <v>36770</v>
      </c>
      <c r="E272" s="351" t="s">
        <v>471</v>
      </c>
      <c r="J272" s="354">
        <v>2836</v>
      </c>
    </row>
    <row r="273" spans="1:10" s="351" customFormat="1" x14ac:dyDescent="0.25">
      <c r="A273" s="351" t="s">
        <v>263</v>
      </c>
      <c r="B273" s="351" t="s">
        <v>475</v>
      </c>
      <c r="C273" s="352" t="s">
        <v>261</v>
      </c>
      <c r="D273" s="353">
        <v>36770</v>
      </c>
      <c r="E273" s="351" t="s">
        <v>471</v>
      </c>
      <c r="J273" s="354">
        <v>-1064</v>
      </c>
    </row>
    <row r="274" spans="1:10" s="351" customFormat="1" x14ac:dyDescent="0.25">
      <c r="A274" s="351" t="s">
        <v>263</v>
      </c>
      <c r="B274" s="351" t="s">
        <v>476</v>
      </c>
      <c r="C274" s="352" t="s">
        <v>261</v>
      </c>
      <c r="D274" s="353">
        <v>36770</v>
      </c>
      <c r="E274" s="351" t="s">
        <v>471</v>
      </c>
      <c r="J274" s="354">
        <v>-11640.44</v>
      </c>
    </row>
    <row r="275" spans="1:10" s="351" customFormat="1" x14ac:dyDescent="0.25">
      <c r="A275" s="351" t="s">
        <v>263</v>
      </c>
      <c r="B275" s="351" t="s">
        <v>476</v>
      </c>
      <c r="C275" s="352" t="s">
        <v>261</v>
      </c>
      <c r="D275" s="353">
        <v>36770</v>
      </c>
      <c r="E275" s="351" t="s">
        <v>471</v>
      </c>
      <c r="J275" s="354">
        <v>-5820.23</v>
      </c>
    </row>
    <row r="276" spans="1:10" s="351" customFormat="1" x14ac:dyDescent="0.25">
      <c r="A276" s="351" t="s">
        <v>265</v>
      </c>
      <c r="B276" s="351" t="s">
        <v>476</v>
      </c>
      <c r="C276" s="352" t="s">
        <v>261</v>
      </c>
      <c r="D276" s="353">
        <v>36770</v>
      </c>
      <c r="E276" s="351" t="s">
        <v>477</v>
      </c>
      <c r="J276" s="354">
        <v>5656.92</v>
      </c>
    </row>
    <row r="277" spans="1:10" s="351" customFormat="1" x14ac:dyDescent="0.25">
      <c r="A277" s="351" t="s">
        <v>265</v>
      </c>
      <c r="B277" s="351" t="s">
        <v>476</v>
      </c>
      <c r="C277" s="352" t="s">
        <v>261</v>
      </c>
      <c r="D277" s="353">
        <v>36770</v>
      </c>
      <c r="E277" s="351" t="s">
        <v>477</v>
      </c>
      <c r="J277" s="354">
        <v>14550.59</v>
      </c>
    </row>
    <row r="278" spans="1:10" s="351" customFormat="1" x14ac:dyDescent="0.25">
      <c r="A278" s="351" t="s">
        <v>265</v>
      </c>
      <c r="B278" s="351" t="s">
        <v>476</v>
      </c>
      <c r="C278" s="352" t="s">
        <v>261</v>
      </c>
      <c r="D278" s="353">
        <v>36770</v>
      </c>
      <c r="E278" s="351" t="s">
        <v>477</v>
      </c>
      <c r="J278" s="354">
        <v>707.12</v>
      </c>
    </row>
    <row r="279" spans="1:10" s="351" customFormat="1" x14ac:dyDescent="0.25">
      <c r="A279" s="351" t="s">
        <v>265</v>
      </c>
      <c r="B279" s="351" t="s">
        <v>476</v>
      </c>
      <c r="C279" s="352" t="s">
        <v>261</v>
      </c>
      <c r="D279" s="353">
        <v>36770</v>
      </c>
      <c r="E279" s="351" t="s">
        <v>477</v>
      </c>
      <c r="J279" s="354">
        <v>5820.24</v>
      </c>
    </row>
    <row r="280" spans="1:10" s="351" customFormat="1" x14ac:dyDescent="0.25">
      <c r="A280" s="351" t="s">
        <v>265</v>
      </c>
      <c r="B280" s="351" t="s">
        <v>476</v>
      </c>
      <c r="C280" s="352" t="s">
        <v>261</v>
      </c>
      <c r="D280" s="353">
        <v>36770</v>
      </c>
      <c r="E280" s="351" t="s">
        <v>477</v>
      </c>
      <c r="J280" s="354">
        <v>5820.22</v>
      </c>
    </row>
    <row r="281" spans="1:10" s="351" customFormat="1" x14ac:dyDescent="0.25">
      <c r="A281" s="351" t="s">
        <v>263</v>
      </c>
      <c r="B281" s="351" t="s">
        <v>478</v>
      </c>
      <c r="C281" s="352" t="s">
        <v>286</v>
      </c>
      <c r="D281" s="353">
        <v>36770</v>
      </c>
      <c r="E281" s="351" t="s">
        <v>477</v>
      </c>
      <c r="J281" s="354">
        <v>-59036.88</v>
      </c>
    </row>
    <row r="282" spans="1:10" s="351" customFormat="1" x14ac:dyDescent="0.25">
      <c r="A282" s="351" t="s">
        <v>263</v>
      </c>
      <c r="B282" s="351" t="s">
        <v>479</v>
      </c>
      <c r="C282" s="352" t="s">
        <v>353</v>
      </c>
      <c r="D282" s="353">
        <v>36770</v>
      </c>
      <c r="E282" s="351" t="s">
        <v>480</v>
      </c>
      <c r="J282" s="354">
        <v>-2836</v>
      </c>
    </row>
    <row r="283" spans="1:10" s="351" customFormat="1" x14ac:dyDescent="0.25">
      <c r="A283" s="351" t="s">
        <v>265</v>
      </c>
      <c r="B283" s="351" t="s">
        <v>479</v>
      </c>
      <c r="C283" s="352" t="s">
        <v>353</v>
      </c>
      <c r="D283" s="353">
        <v>36770</v>
      </c>
      <c r="E283" s="351" t="s">
        <v>480</v>
      </c>
      <c r="J283" s="354">
        <v>12780</v>
      </c>
    </row>
    <row r="284" spans="1:10" s="351" customFormat="1" x14ac:dyDescent="0.25">
      <c r="A284" s="351" t="s">
        <v>263</v>
      </c>
      <c r="B284" s="351" t="s">
        <v>481</v>
      </c>
      <c r="C284" s="352" t="s">
        <v>279</v>
      </c>
      <c r="D284" s="353">
        <v>36647</v>
      </c>
      <c r="E284" s="351" t="s">
        <v>482</v>
      </c>
      <c r="J284" s="354">
        <v>-7865</v>
      </c>
    </row>
    <row r="285" spans="1:10" s="351" customFormat="1" x14ac:dyDescent="0.25">
      <c r="A285" s="351" t="s">
        <v>263</v>
      </c>
      <c r="B285" s="351" t="s">
        <v>481</v>
      </c>
      <c r="C285" s="352" t="s">
        <v>279</v>
      </c>
      <c r="D285" s="353">
        <v>36770</v>
      </c>
      <c r="E285" s="351" t="s">
        <v>483</v>
      </c>
      <c r="J285" s="354">
        <v>-13125</v>
      </c>
    </row>
    <row r="286" spans="1:10" s="351" customFormat="1" x14ac:dyDescent="0.25">
      <c r="A286" s="351" t="s">
        <v>265</v>
      </c>
      <c r="B286" s="351" t="s">
        <v>481</v>
      </c>
      <c r="C286" s="352" t="s">
        <v>279</v>
      </c>
      <c r="D286" s="353">
        <v>36770</v>
      </c>
      <c r="E286" s="351" t="s">
        <v>484</v>
      </c>
      <c r="J286" s="354">
        <v>19425</v>
      </c>
    </row>
    <row r="287" spans="1:10" s="351" customFormat="1" x14ac:dyDescent="0.25">
      <c r="A287" s="351" t="s">
        <v>265</v>
      </c>
      <c r="B287" s="351" t="s">
        <v>481</v>
      </c>
      <c r="C287" s="352" t="s">
        <v>279</v>
      </c>
      <c r="D287" s="353">
        <v>36770</v>
      </c>
      <c r="E287" s="351" t="s">
        <v>485</v>
      </c>
      <c r="J287" s="354">
        <v>11344</v>
      </c>
    </row>
    <row r="288" spans="1:10" s="351" customFormat="1" x14ac:dyDescent="0.25">
      <c r="A288" s="351" t="s">
        <v>263</v>
      </c>
      <c r="B288" s="351" t="s">
        <v>486</v>
      </c>
      <c r="C288" s="352" t="s">
        <v>286</v>
      </c>
      <c r="D288" s="353">
        <v>36770</v>
      </c>
      <c r="E288" s="351" t="s">
        <v>487</v>
      </c>
      <c r="J288" s="354">
        <v>-11253.7</v>
      </c>
    </row>
    <row r="289" spans="1:10" s="351" customFormat="1" x14ac:dyDescent="0.25">
      <c r="A289" s="351" t="s">
        <v>263</v>
      </c>
      <c r="B289" s="351" t="s">
        <v>486</v>
      </c>
      <c r="C289" s="352" t="s">
        <v>286</v>
      </c>
      <c r="D289" s="353">
        <v>36770</v>
      </c>
      <c r="E289" s="351" t="s">
        <v>487</v>
      </c>
      <c r="J289" s="354">
        <v>-269432.40000000002</v>
      </c>
    </row>
    <row r="290" spans="1:10" s="351" customFormat="1" x14ac:dyDescent="0.25">
      <c r="A290" s="351" t="s">
        <v>265</v>
      </c>
      <c r="B290" s="351" t="s">
        <v>486</v>
      </c>
      <c r="C290" s="352" t="s">
        <v>286</v>
      </c>
      <c r="D290" s="353">
        <v>36770</v>
      </c>
      <c r="E290" s="351" t="s">
        <v>488</v>
      </c>
      <c r="J290" s="354">
        <v>195103.07</v>
      </c>
    </row>
    <row r="291" spans="1:10" s="351" customFormat="1" ht="24" customHeight="1" x14ac:dyDescent="0.25">
      <c r="A291" s="351" t="s">
        <v>265</v>
      </c>
      <c r="B291" s="351" t="s">
        <v>486</v>
      </c>
      <c r="C291" s="352" t="s">
        <v>286</v>
      </c>
      <c r="D291" s="353">
        <v>36770</v>
      </c>
      <c r="E291" s="570" t="s">
        <v>489</v>
      </c>
      <c r="F291" s="572"/>
      <c r="G291" s="572"/>
      <c r="H291" s="572"/>
      <c r="I291" s="572"/>
      <c r="J291" s="354">
        <v>119325.73</v>
      </c>
    </row>
    <row r="292" spans="1:10" s="351" customFormat="1" x14ac:dyDescent="0.25">
      <c r="A292" s="351" t="s">
        <v>265</v>
      </c>
      <c r="B292" s="351" t="s">
        <v>486</v>
      </c>
      <c r="C292" s="352" t="s">
        <v>286</v>
      </c>
      <c r="D292" s="353">
        <v>36770</v>
      </c>
      <c r="E292" s="351" t="s">
        <v>487</v>
      </c>
      <c r="J292" s="354">
        <v>48478</v>
      </c>
    </row>
    <row r="293" spans="1:10" s="351" customFormat="1" x14ac:dyDescent="0.25">
      <c r="A293" s="351" t="s">
        <v>263</v>
      </c>
      <c r="B293" s="351" t="s">
        <v>490</v>
      </c>
      <c r="C293" s="352" t="s">
        <v>286</v>
      </c>
      <c r="D293" s="353">
        <v>36770</v>
      </c>
      <c r="E293" s="351" t="s">
        <v>477</v>
      </c>
      <c r="J293" s="354">
        <v>-99074.89</v>
      </c>
    </row>
    <row r="294" spans="1:10" s="351" customFormat="1" x14ac:dyDescent="0.25">
      <c r="A294" s="351" t="s">
        <v>265</v>
      </c>
      <c r="B294" s="351" t="s">
        <v>490</v>
      </c>
      <c r="C294" s="352" t="s">
        <v>286</v>
      </c>
      <c r="D294" s="353">
        <v>36770</v>
      </c>
      <c r="E294" s="351" t="s">
        <v>491</v>
      </c>
      <c r="J294" s="354">
        <v>167306.29</v>
      </c>
    </row>
    <row r="295" spans="1:10" s="351" customFormat="1" x14ac:dyDescent="0.25">
      <c r="A295" s="351" t="s">
        <v>265</v>
      </c>
      <c r="B295" s="351" t="s">
        <v>490</v>
      </c>
      <c r="C295" s="352" t="s">
        <v>286</v>
      </c>
      <c r="D295" s="353">
        <v>36770</v>
      </c>
      <c r="E295" s="351" t="s">
        <v>477</v>
      </c>
      <c r="J295" s="354">
        <v>16534.54</v>
      </c>
    </row>
    <row r="296" spans="1:10" s="351" customFormat="1" x14ac:dyDescent="0.25">
      <c r="A296" s="351" t="s">
        <v>265</v>
      </c>
      <c r="B296" s="351" t="s">
        <v>492</v>
      </c>
      <c r="C296" s="352" t="s">
        <v>272</v>
      </c>
      <c r="D296" s="353">
        <v>36770</v>
      </c>
      <c r="E296" s="351" t="s">
        <v>477</v>
      </c>
      <c r="J296" s="354">
        <v>2828.44</v>
      </c>
    </row>
    <row r="297" spans="1:10" s="351" customFormat="1" x14ac:dyDescent="0.25">
      <c r="A297" s="351" t="s">
        <v>265</v>
      </c>
      <c r="B297" s="351" t="s">
        <v>493</v>
      </c>
      <c r="C297" s="352" t="s">
        <v>279</v>
      </c>
      <c r="D297" s="353">
        <v>36770</v>
      </c>
      <c r="E297" s="351" t="s">
        <v>494</v>
      </c>
      <c r="J297" s="354">
        <v>832</v>
      </c>
    </row>
    <row r="298" spans="1:10" s="351" customFormat="1" x14ac:dyDescent="0.25">
      <c r="A298" s="351" t="s">
        <v>263</v>
      </c>
      <c r="B298" s="351" t="s">
        <v>305</v>
      </c>
      <c r="C298" s="352" t="s">
        <v>276</v>
      </c>
      <c r="D298" s="353">
        <v>36770</v>
      </c>
      <c r="E298" s="351" t="s">
        <v>477</v>
      </c>
      <c r="J298" s="354">
        <v>-8520</v>
      </c>
    </row>
    <row r="299" spans="1:10" s="351" customFormat="1" x14ac:dyDescent="0.25">
      <c r="A299" s="351" t="s">
        <v>263</v>
      </c>
      <c r="B299" s="351" t="s">
        <v>305</v>
      </c>
      <c r="C299" s="352" t="s">
        <v>276</v>
      </c>
      <c r="D299" s="353">
        <v>36770</v>
      </c>
      <c r="E299" s="351" t="s">
        <v>477</v>
      </c>
      <c r="J299" s="354">
        <v>-4624</v>
      </c>
    </row>
    <row r="300" spans="1:10" s="351" customFormat="1" x14ac:dyDescent="0.25">
      <c r="A300" s="351" t="s">
        <v>263</v>
      </c>
      <c r="B300" s="351" t="s">
        <v>305</v>
      </c>
      <c r="C300" s="352" t="s">
        <v>276</v>
      </c>
      <c r="D300" s="353">
        <v>36770</v>
      </c>
      <c r="E300" s="351" t="s">
        <v>477</v>
      </c>
      <c r="J300" s="354">
        <v>-5052</v>
      </c>
    </row>
    <row r="301" spans="1:10" s="351" customFormat="1" x14ac:dyDescent="0.25">
      <c r="A301" s="351" t="s">
        <v>263</v>
      </c>
      <c r="B301" s="351" t="s">
        <v>305</v>
      </c>
      <c r="C301" s="352" t="s">
        <v>276</v>
      </c>
      <c r="D301" s="353">
        <v>36770</v>
      </c>
      <c r="E301" s="351" t="s">
        <v>494</v>
      </c>
      <c r="J301" s="354">
        <v>950</v>
      </c>
    </row>
    <row r="302" spans="1:10" s="351" customFormat="1" x14ac:dyDescent="0.25">
      <c r="A302" s="351" t="s">
        <v>263</v>
      </c>
      <c r="B302" s="351" t="s">
        <v>495</v>
      </c>
      <c r="C302" s="352" t="s">
        <v>286</v>
      </c>
      <c r="D302" s="353">
        <v>36770</v>
      </c>
      <c r="E302" s="351" t="s">
        <v>487</v>
      </c>
      <c r="J302" s="354">
        <v>-4840</v>
      </c>
    </row>
    <row r="303" spans="1:10" s="351" customFormat="1" x14ac:dyDescent="0.25">
      <c r="A303" s="351" t="s">
        <v>265</v>
      </c>
      <c r="B303" s="351" t="s">
        <v>496</v>
      </c>
      <c r="C303" s="352" t="s">
        <v>286</v>
      </c>
      <c r="D303" s="353">
        <v>36770</v>
      </c>
      <c r="E303" s="351" t="s">
        <v>487</v>
      </c>
      <c r="J303" s="354">
        <v>14475.84</v>
      </c>
    </row>
    <row r="304" spans="1:10" s="351" customFormat="1" x14ac:dyDescent="0.25">
      <c r="A304" s="351" t="s">
        <v>265</v>
      </c>
      <c r="B304" s="351" t="s">
        <v>497</v>
      </c>
      <c r="C304" s="352" t="s">
        <v>279</v>
      </c>
      <c r="D304" s="353">
        <v>36770</v>
      </c>
      <c r="E304" s="351" t="s">
        <v>498</v>
      </c>
      <c r="J304" s="354">
        <v>15416</v>
      </c>
    </row>
    <row r="305" spans="1:10" s="351" customFormat="1" ht="26.25" customHeight="1" x14ac:dyDescent="0.25">
      <c r="A305" s="351" t="s">
        <v>265</v>
      </c>
      <c r="B305" s="351" t="s">
        <v>497</v>
      </c>
      <c r="C305" s="352" t="s">
        <v>279</v>
      </c>
      <c r="D305" s="353">
        <v>36770</v>
      </c>
      <c r="E305" s="570" t="s">
        <v>499</v>
      </c>
      <c r="F305" s="572"/>
      <c r="G305" s="572"/>
      <c r="H305" s="572"/>
      <c r="I305" s="572"/>
      <c r="J305" s="354">
        <v>11640.67</v>
      </c>
    </row>
    <row r="306" spans="1:10" s="351" customFormat="1" x14ac:dyDescent="0.25">
      <c r="A306" s="351" t="s">
        <v>361</v>
      </c>
      <c r="B306" s="351" t="s">
        <v>497</v>
      </c>
      <c r="C306" s="352" t="s">
        <v>276</v>
      </c>
      <c r="D306" s="353">
        <v>36800</v>
      </c>
      <c r="E306" s="351" t="s">
        <v>500</v>
      </c>
      <c r="J306" s="354">
        <v>110000</v>
      </c>
    </row>
    <row r="307" spans="1:10" s="351" customFormat="1" x14ac:dyDescent="0.25">
      <c r="A307" s="351" t="s">
        <v>263</v>
      </c>
      <c r="B307" s="351" t="s">
        <v>501</v>
      </c>
      <c r="C307" s="352" t="s">
        <v>261</v>
      </c>
      <c r="D307" s="353">
        <v>36770</v>
      </c>
      <c r="E307" s="351" t="s">
        <v>471</v>
      </c>
      <c r="J307" s="354">
        <v>-39200</v>
      </c>
    </row>
    <row r="308" spans="1:10" s="351" customFormat="1" x14ac:dyDescent="0.25">
      <c r="A308" s="351" t="s">
        <v>263</v>
      </c>
      <c r="B308" s="351" t="s">
        <v>501</v>
      </c>
      <c r="C308" s="352" t="s">
        <v>261</v>
      </c>
      <c r="D308" s="353">
        <v>36770</v>
      </c>
      <c r="E308" s="351" t="s">
        <v>471</v>
      </c>
      <c r="J308" s="354">
        <v>-37200</v>
      </c>
    </row>
    <row r="309" spans="1:10" s="351" customFormat="1" x14ac:dyDescent="0.25">
      <c r="A309" s="351" t="s">
        <v>263</v>
      </c>
      <c r="B309" s="351" t="s">
        <v>501</v>
      </c>
      <c r="C309" s="352" t="s">
        <v>261</v>
      </c>
      <c r="D309" s="353">
        <v>36770</v>
      </c>
      <c r="E309" s="351" t="s">
        <v>471</v>
      </c>
      <c r="J309" s="354">
        <v>-105000</v>
      </c>
    </row>
    <row r="310" spans="1:10" s="351" customFormat="1" x14ac:dyDescent="0.25">
      <c r="A310" s="351" t="s">
        <v>263</v>
      </c>
      <c r="B310" s="351" t="s">
        <v>502</v>
      </c>
      <c r="C310" s="352" t="s">
        <v>279</v>
      </c>
      <c r="D310" s="353">
        <v>36770</v>
      </c>
      <c r="E310" s="351" t="s">
        <v>503</v>
      </c>
      <c r="J310" s="354">
        <v>-8318</v>
      </c>
    </row>
    <row r="311" spans="1:10" s="351" customFormat="1" x14ac:dyDescent="0.25">
      <c r="A311" s="351" t="s">
        <v>263</v>
      </c>
      <c r="B311" s="351" t="s">
        <v>342</v>
      </c>
      <c r="C311" s="352" t="s">
        <v>325</v>
      </c>
      <c r="D311" s="353">
        <v>36770</v>
      </c>
      <c r="E311" s="351" t="s">
        <v>504</v>
      </c>
      <c r="J311" s="354">
        <v>-49635</v>
      </c>
    </row>
    <row r="312" spans="1:10" s="351" customFormat="1" x14ac:dyDescent="0.25">
      <c r="A312" s="351" t="s">
        <v>265</v>
      </c>
      <c r="B312" s="351" t="s">
        <v>505</v>
      </c>
      <c r="C312" s="352" t="s">
        <v>279</v>
      </c>
      <c r="D312" s="353">
        <v>36617</v>
      </c>
      <c r="E312" s="351" t="s">
        <v>506</v>
      </c>
      <c r="J312" s="354">
        <v>-12188</v>
      </c>
    </row>
    <row r="313" spans="1:10" s="351" customFormat="1" x14ac:dyDescent="0.25">
      <c r="A313" s="351" t="s">
        <v>263</v>
      </c>
      <c r="B313" s="351" t="s">
        <v>505</v>
      </c>
      <c r="C313" s="352" t="s">
        <v>279</v>
      </c>
      <c r="D313" s="353">
        <v>36770</v>
      </c>
      <c r="E313" s="351" t="s">
        <v>507</v>
      </c>
      <c r="J313" s="354">
        <v>-11640.44</v>
      </c>
    </row>
    <row r="314" spans="1:10" s="351" customFormat="1" x14ac:dyDescent="0.25">
      <c r="A314" s="351" t="s">
        <v>263</v>
      </c>
      <c r="B314" s="351" t="s">
        <v>505</v>
      </c>
      <c r="C314" s="352" t="s">
        <v>279</v>
      </c>
      <c r="D314" s="353">
        <v>36770</v>
      </c>
      <c r="E314" s="351" t="s">
        <v>508</v>
      </c>
      <c r="J314" s="354">
        <v>-15156</v>
      </c>
    </row>
    <row r="315" spans="1:10" s="351" customFormat="1" x14ac:dyDescent="0.25">
      <c r="A315" s="351" t="s">
        <v>263</v>
      </c>
      <c r="B315" s="351" t="s">
        <v>505</v>
      </c>
      <c r="C315" s="352" t="s">
        <v>279</v>
      </c>
      <c r="D315" s="353">
        <v>36770</v>
      </c>
      <c r="E315" s="351" t="s">
        <v>509</v>
      </c>
      <c r="J315" s="354">
        <v>-5820.37</v>
      </c>
    </row>
    <row r="316" spans="1:10" s="351" customFormat="1" x14ac:dyDescent="0.25">
      <c r="A316" s="351" t="s">
        <v>265</v>
      </c>
      <c r="B316" s="351" t="s">
        <v>505</v>
      </c>
      <c r="C316" s="352" t="s">
        <v>279</v>
      </c>
      <c r="D316" s="353">
        <v>36770</v>
      </c>
      <c r="E316" s="351" t="s">
        <v>510</v>
      </c>
      <c r="J316" s="354">
        <v>5820.31</v>
      </c>
    </row>
    <row r="317" spans="1:10" s="351" customFormat="1" x14ac:dyDescent="0.25">
      <c r="A317" s="351" t="s">
        <v>274</v>
      </c>
      <c r="B317" s="351" t="s">
        <v>511</v>
      </c>
      <c r="C317" s="352" t="s">
        <v>303</v>
      </c>
      <c r="D317" s="353">
        <v>36770</v>
      </c>
      <c r="E317" s="351" t="s">
        <v>512</v>
      </c>
      <c r="J317" s="354">
        <v>-25</v>
      </c>
    </row>
    <row r="318" spans="1:10" s="351" customFormat="1" x14ac:dyDescent="0.25">
      <c r="A318" s="351" t="s">
        <v>263</v>
      </c>
      <c r="B318" s="351" t="s">
        <v>345</v>
      </c>
      <c r="C318" s="352" t="s">
        <v>513</v>
      </c>
      <c r="D318" s="353">
        <v>36770</v>
      </c>
      <c r="E318" s="351" t="s">
        <v>477</v>
      </c>
      <c r="J318" s="354">
        <v>25000</v>
      </c>
    </row>
    <row r="319" spans="1:10" s="351" customFormat="1" x14ac:dyDescent="0.25">
      <c r="A319" s="351" t="s">
        <v>263</v>
      </c>
      <c r="B319" s="351" t="s">
        <v>345</v>
      </c>
      <c r="C319" s="352" t="s">
        <v>513</v>
      </c>
      <c r="D319" s="353">
        <v>36770</v>
      </c>
      <c r="E319" s="351" t="s">
        <v>477</v>
      </c>
      <c r="J319" s="354">
        <v>-143961.67000000001</v>
      </c>
    </row>
    <row r="320" spans="1:10" s="351" customFormat="1" x14ac:dyDescent="0.25">
      <c r="A320" s="351" t="s">
        <v>265</v>
      </c>
      <c r="B320" s="351" t="s">
        <v>345</v>
      </c>
      <c r="C320" s="352" t="s">
        <v>513</v>
      </c>
      <c r="D320" s="353">
        <v>36770</v>
      </c>
      <c r="E320" s="351" t="s">
        <v>477</v>
      </c>
      <c r="J320" s="354">
        <v>35600</v>
      </c>
    </row>
    <row r="321" spans="1:10" s="351" customFormat="1" x14ac:dyDescent="0.25">
      <c r="A321" s="351" t="s">
        <v>265</v>
      </c>
      <c r="B321" s="351" t="s">
        <v>362</v>
      </c>
      <c r="C321" s="352" t="s">
        <v>279</v>
      </c>
      <c r="D321" s="353">
        <v>36770</v>
      </c>
      <c r="E321" s="351" t="s">
        <v>477</v>
      </c>
      <c r="J321" s="354">
        <v>4500</v>
      </c>
    </row>
    <row r="322" spans="1:10" s="351" customFormat="1" x14ac:dyDescent="0.25">
      <c r="A322" s="351" t="s">
        <v>263</v>
      </c>
      <c r="B322" s="351" t="s">
        <v>514</v>
      </c>
      <c r="C322" s="352" t="s">
        <v>267</v>
      </c>
      <c r="D322" s="353">
        <v>36708</v>
      </c>
      <c r="E322" s="351" t="s">
        <v>515</v>
      </c>
      <c r="J322" s="354">
        <v>657000</v>
      </c>
    </row>
    <row r="323" spans="1:10" s="351" customFormat="1" x14ac:dyDescent="0.25">
      <c r="A323" s="351" t="s">
        <v>263</v>
      </c>
      <c r="B323" s="351" t="s">
        <v>514</v>
      </c>
      <c r="C323" s="352" t="s">
        <v>267</v>
      </c>
      <c r="D323" s="353">
        <v>36708</v>
      </c>
      <c r="E323" s="351" t="s">
        <v>515</v>
      </c>
      <c r="J323" s="354">
        <v>1063000</v>
      </c>
    </row>
    <row r="324" spans="1:10" s="351" customFormat="1" x14ac:dyDescent="0.25">
      <c r="A324" s="351" t="s">
        <v>265</v>
      </c>
      <c r="B324" s="351" t="s">
        <v>514</v>
      </c>
      <c r="C324" s="352" t="s">
        <v>267</v>
      </c>
      <c r="D324" s="353">
        <v>36708</v>
      </c>
      <c r="E324" s="351" t="s">
        <v>515</v>
      </c>
      <c r="J324" s="354">
        <v>-1872008</v>
      </c>
    </row>
    <row r="325" spans="1:10" s="351" customFormat="1" x14ac:dyDescent="0.25">
      <c r="A325" s="351" t="s">
        <v>265</v>
      </c>
      <c r="B325" s="351" t="s">
        <v>514</v>
      </c>
      <c r="C325" s="352" t="s">
        <v>267</v>
      </c>
      <c r="D325" s="353">
        <v>36708</v>
      </c>
      <c r="E325" s="351" t="s">
        <v>516</v>
      </c>
      <c r="J325" s="354">
        <v>-603240</v>
      </c>
    </row>
    <row r="326" spans="1:10" s="351" customFormat="1" x14ac:dyDescent="0.25">
      <c r="A326" s="351" t="s">
        <v>263</v>
      </c>
      <c r="B326" s="351" t="s">
        <v>514</v>
      </c>
      <c r="C326" s="352" t="s">
        <v>267</v>
      </c>
      <c r="D326" s="353">
        <v>36770</v>
      </c>
      <c r="E326" s="351" t="s">
        <v>477</v>
      </c>
      <c r="J326" s="354">
        <v>360</v>
      </c>
    </row>
    <row r="327" spans="1:10" s="351" customFormat="1" x14ac:dyDescent="0.25">
      <c r="A327" s="351" t="s">
        <v>263</v>
      </c>
      <c r="B327" s="351" t="s">
        <v>514</v>
      </c>
      <c r="C327" s="352" t="s">
        <v>267</v>
      </c>
      <c r="D327" s="353">
        <v>36770</v>
      </c>
      <c r="E327" s="351" t="s">
        <v>477</v>
      </c>
      <c r="J327" s="354">
        <v>216</v>
      </c>
    </row>
    <row r="328" spans="1:10" s="351" customFormat="1" x14ac:dyDescent="0.25">
      <c r="A328" s="351" t="s">
        <v>265</v>
      </c>
      <c r="B328" s="351" t="s">
        <v>514</v>
      </c>
      <c r="C328" s="352" t="s">
        <v>267</v>
      </c>
      <c r="D328" s="353">
        <v>36770</v>
      </c>
      <c r="E328" s="351" t="s">
        <v>477</v>
      </c>
      <c r="J328" s="354">
        <v>2828.46</v>
      </c>
    </row>
    <row r="329" spans="1:10" s="351" customFormat="1" x14ac:dyDescent="0.25">
      <c r="A329" s="351" t="s">
        <v>265</v>
      </c>
      <c r="B329" s="351" t="s">
        <v>514</v>
      </c>
      <c r="C329" s="352" t="s">
        <v>267</v>
      </c>
      <c r="D329" s="353">
        <v>36770</v>
      </c>
      <c r="E329" s="351" t="s">
        <v>477</v>
      </c>
      <c r="J329" s="354">
        <v>1803.82</v>
      </c>
    </row>
    <row r="330" spans="1:10" s="351" customFormat="1" x14ac:dyDescent="0.25">
      <c r="A330" s="351" t="s">
        <v>265</v>
      </c>
      <c r="B330" s="351" t="s">
        <v>514</v>
      </c>
      <c r="C330" s="352" t="s">
        <v>267</v>
      </c>
      <c r="D330" s="353">
        <v>36770</v>
      </c>
      <c r="E330" s="351" t="s">
        <v>477</v>
      </c>
      <c r="J330" s="354">
        <v>24399.78</v>
      </c>
    </row>
    <row r="331" spans="1:10" s="351" customFormat="1" x14ac:dyDescent="0.25">
      <c r="A331" s="351" t="s">
        <v>265</v>
      </c>
      <c r="B331" s="351" t="s">
        <v>514</v>
      </c>
      <c r="C331" s="352" t="s">
        <v>267</v>
      </c>
      <c r="D331" s="353">
        <v>36770</v>
      </c>
      <c r="E331" s="351" t="s">
        <v>477</v>
      </c>
      <c r="J331" s="354">
        <v>11253.7</v>
      </c>
    </row>
    <row r="332" spans="1:10" s="351" customFormat="1" x14ac:dyDescent="0.25">
      <c r="A332" s="351" t="s">
        <v>265</v>
      </c>
      <c r="B332" s="351" t="s">
        <v>514</v>
      </c>
      <c r="C332" s="352" t="s">
        <v>267</v>
      </c>
      <c r="D332" s="353">
        <v>36770</v>
      </c>
      <c r="E332" s="351" t="s">
        <v>477</v>
      </c>
      <c r="J332" s="354">
        <v>17460.689999999999</v>
      </c>
    </row>
    <row r="333" spans="1:10" s="351" customFormat="1" x14ac:dyDescent="0.25">
      <c r="A333" s="351" t="s">
        <v>265</v>
      </c>
      <c r="B333" s="351" t="s">
        <v>514</v>
      </c>
      <c r="C333" s="352" t="s">
        <v>267</v>
      </c>
      <c r="D333" s="353">
        <v>36770</v>
      </c>
      <c r="E333" s="351" t="s">
        <v>477</v>
      </c>
      <c r="J333" s="354">
        <v>63352</v>
      </c>
    </row>
    <row r="334" spans="1:10" s="351" customFormat="1" x14ac:dyDescent="0.25">
      <c r="A334" s="351" t="s">
        <v>265</v>
      </c>
      <c r="B334" s="351" t="s">
        <v>517</v>
      </c>
      <c r="C334" s="352" t="s">
        <v>276</v>
      </c>
      <c r="D334" s="353">
        <v>36770</v>
      </c>
      <c r="E334" s="351" t="s">
        <v>477</v>
      </c>
      <c r="J334" s="354">
        <v>3000</v>
      </c>
    </row>
    <row r="335" spans="1:10" s="351" customFormat="1" x14ac:dyDescent="0.25">
      <c r="A335" s="351" t="s">
        <v>265</v>
      </c>
      <c r="B335" s="351" t="s">
        <v>517</v>
      </c>
      <c r="C335" s="352" t="s">
        <v>276</v>
      </c>
      <c r="D335" s="353">
        <v>36770</v>
      </c>
      <c r="E335" s="351" t="s">
        <v>477</v>
      </c>
      <c r="J335" s="354">
        <v>12050</v>
      </c>
    </row>
    <row r="336" spans="1:10" s="351" customFormat="1" x14ac:dyDescent="0.25">
      <c r="A336" s="351" t="s">
        <v>263</v>
      </c>
      <c r="B336" s="351" t="s">
        <v>293</v>
      </c>
      <c r="C336" s="352" t="s">
        <v>276</v>
      </c>
      <c r="D336" s="353">
        <v>36770</v>
      </c>
      <c r="E336" s="351" t="s">
        <v>477</v>
      </c>
      <c r="J336" s="354">
        <v>-6500</v>
      </c>
    </row>
    <row r="337" spans="1:10" s="351" customFormat="1" x14ac:dyDescent="0.25">
      <c r="A337" s="351" t="s">
        <v>263</v>
      </c>
      <c r="B337" s="351" t="s">
        <v>518</v>
      </c>
      <c r="C337" s="352" t="s">
        <v>325</v>
      </c>
      <c r="D337" s="353">
        <v>36770</v>
      </c>
      <c r="E337" s="351" t="s">
        <v>477</v>
      </c>
      <c r="J337" s="354">
        <v>-48478</v>
      </c>
    </row>
    <row r="338" spans="1:10" s="351" customFormat="1" x14ac:dyDescent="0.25">
      <c r="A338" s="351" t="s">
        <v>263</v>
      </c>
      <c r="B338" s="351" t="s">
        <v>519</v>
      </c>
      <c r="C338" s="352" t="s">
        <v>267</v>
      </c>
      <c r="D338" s="353">
        <v>36770</v>
      </c>
      <c r="E338" s="351" t="s">
        <v>477</v>
      </c>
      <c r="J338" s="354">
        <v>-86400</v>
      </c>
    </row>
    <row r="339" spans="1:10" s="351" customFormat="1" x14ac:dyDescent="0.25">
      <c r="A339" s="351" t="s">
        <v>263</v>
      </c>
      <c r="B339" s="351" t="s">
        <v>519</v>
      </c>
      <c r="C339" s="352" t="s">
        <v>267</v>
      </c>
      <c r="D339" s="353">
        <v>36770</v>
      </c>
      <c r="E339" s="351" t="s">
        <v>477</v>
      </c>
      <c r="J339" s="354">
        <v>-38400</v>
      </c>
    </row>
    <row r="340" spans="1:10" s="351" customFormat="1" x14ac:dyDescent="0.25">
      <c r="A340" s="351" t="s">
        <v>265</v>
      </c>
      <c r="B340" s="351" t="s">
        <v>519</v>
      </c>
      <c r="C340" s="352" t="s">
        <v>267</v>
      </c>
      <c r="D340" s="353">
        <v>36770</v>
      </c>
      <c r="E340" s="351" t="s">
        <v>477</v>
      </c>
      <c r="J340" s="354">
        <v>36825</v>
      </c>
    </row>
    <row r="341" spans="1:10" s="351" customFormat="1" x14ac:dyDescent="0.25">
      <c r="A341" s="351" t="s">
        <v>288</v>
      </c>
      <c r="B341" s="351" t="s">
        <v>520</v>
      </c>
      <c r="C341" s="352" t="s">
        <v>267</v>
      </c>
      <c r="D341" s="353">
        <v>36526</v>
      </c>
      <c r="E341" s="351" t="s">
        <v>521</v>
      </c>
      <c r="J341" s="354">
        <v>-335570.48</v>
      </c>
    </row>
    <row r="342" spans="1:10" s="351" customFormat="1" x14ac:dyDescent="0.25">
      <c r="A342" s="351" t="s">
        <v>288</v>
      </c>
      <c r="B342" s="351" t="s">
        <v>520</v>
      </c>
      <c r="C342" s="352" t="s">
        <v>267</v>
      </c>
      <c r="D342" s="353">
        <v>36557</v>
      </c>
      <c r="E342" s="351" t="s">
        <v>521</v>
      </c>
      <c r="J342" s="354">
        <v>-289577.96000000002</v>
      </c>
    </row>
    <row r="343" spans="1:10" s="351" customFormat="1" x14ac:dyDescent="0.25">
      <c r="A343" s="351" t="s">
        <v>288</v>
      </c>
      <c r="B343" s="351" t="s">
        <v>520</v>
      </c>
      <c r="C343" s="352" t="s">
        <v>267</v>
      </c>
      <c r="D343" s="353">
        <v>36586</v>
      </c>
      <c r="E343" s="351" t="s">
        <v>521</v>
      </c>
      <c r="J343" s="354">
        <v>-83790.100000000006</v>
      </c>
    </row>
    <row r="344" spans="1:10" s="351" customFormat="1" x14ac:dyDescent="0.25">
      <c r="A344" s="351" t="s">
        <v>288</v>
      </c>
      <c r="B344" s="351" t="s">
        <v>291</v>
      </c>
      <c r="C344" s="352" t="s">
        <v>276</v>
      </c>
      <c r="D344" s="353">
        <v>36770</v>
      </c>
      <c r="E344" s="351" t="s">
        <v>477</v>
      </c>
      <c r="J344" s="354">
        <v>712500</v>
      </c>
    </row>
    <row r="345" spans="1:10" s="351" customFormat="1" x14ac:dyDescent="0.25">
      <c r="A345" s="351" t="s">
        <v>263</v>
      </c>
      <c r="B345" s="351" t="s">
        <v>522</v>
      </c>
      <c r="C345" s="352" t="s">
        <v>303</v>
      </c>
      <c r="D345" s="353">
        <v>36739</v>
      </c>
      <c r="E345" s="351" t="s">
        <v>477</v>
      </c>
      <c r="J345" s="354">
        <v>799046.7</v>
      </c>
    </row>
    <row r="346" spans="1:10" s="351" customFormat="1" x14ac:dyDescent="0.25">
      <c r="A346" s="351" t="s">
        <v>310</v>
      </c>
      <c r="B346" s="351" t="s">
        <v>338</v>
      </c>
      <c r="C346" s="352" t="s">
        <v>303</v>
      </c>
      <c r="D346" s="353">
        <v>36647</v>
      </c>
      <c r="E346" s="351" t="s">
        <v>523</v>
      </c>
      <c r="J346" s="354">
        <v>7681.07</v>
      </c>
    </row>
    <row r="347" spans="1:10" s="351" customFormat="1" x14ac:dyDescent="0.25">
      <c r="A347" s="351" t="s">
        <v>265</v>
      </c>
      <c r="B347" s="351" t="s">
        <v>338</v>
      </c>
      <c r="C347" s="352" t="s">
        <v>303</v>
      </c>
      <c r="D347" s="353">
        <v>36647</v>
      </c>
      <c r="E347" s="351" t="s">
        <v>524</v>
      </c>
      <c r="J347" s="354">
        <v>381.8</v>
      </c>
    </row>
    <row r="348" spans="1:10" s="351" customFormat="1" x14ac:dyDescent="0.25">
      <c r="A348" s="351" t="s">
        <v>263</v>
      </c>
      <c r="B348" s="351" t="s">
        <v>338</v>
      </c>
      <c r="C348" s="352" t="s">
        <v>303</v>
      </c>
      <c r="D348" s="353">
        <v>36770</v>
      </c>
      <c r="E348" s="351" t="s">
        <v>525</v>
      </c>
      <c r="J348" s="354">
        <v>13199.98</v>
      </c>
    </row>
    <row r="349" spans="1:10" s="351" customFormat="1" x14ac:dyDescent="0.25">
      <c r="A349" s="351" t="s">
        <v>263</v>
      </c>
      <c r="B349" s="351" t="s">
        <v>338</v>
      </c>
      <c r="C349" s="352" t="s">
        <v>303</v>
      </c>
      <c r="D349" s="353">
        <v>36770</v>
      </c>
      <c r="E349" s="351" t="s">
        <v>526</v>
      </c>
      <c r="J349" s="354">
        <v>-61415</v>
      </c>
    </row>
    <row r="350" spans="1:10" s="351" customFormat="1" x14ac:dyDescent="0.25">
      <c r="A350" s="351" t="s">
        <v>265</v>
      </c>
      <c r="B350" s="351" t="s">
        <v>527</v>
      </c>
      <c r="C350" s="352" t="s">
        <v>276</v>
      </c>
      <c r="D350" s="353">
        <v>36770</v>
      </c>
      <c r="E350" s="351" t="s">
        <v>500</v>
      </c>
      <c r="J350" s="354">
        <v>8750</v>
      </c>
    </row>
    <row r="351" spans="1:10" s="351" customFormat="1" x14ac:dyDescent="0.25">
      <c r="A351" s="351" t="s">
        <v>265</v>
      </c>
      <c r="B351" s="351" t="s">
        <v>528</v>
      </c>
      <c r="C351" s="352" t="s">
        <v>325</v>
      </c>
      <c r="D351" s="353">
        <v>36770</v>
      </c>
      <c r="E351" s="351" t="s">
        <v>500</v>
      </c>
      <c r="J351" s="354">
        <v>1986.88</v>
      </c>
    </row>
    <row r="352" spans="1:10" s="351" customFormat="1" x14ac:dyDescent="0.25">
      <c r="A352" s="351" t="s">
        <v>263</v>
      </c>
      <c r="B352" s="351" t="s">
        <v>289</v>
      </c>
      <c r="C352" s="352" t="s">
        <v>276</v>
      </c>
      <c r="D352" s="353">
        <v>36770</v>
      </c>
      <c r="E352" s="351" t="s">
        <v>500</v>
      </c>
      <c r="J352" s="354">
        <v>-1350</v>
      </c>
    </row>
    <row r="353" spans="1:10" s="351" customFormat="1" x14ac:dyDescent="0.25">
      <c r="A353" s="351" t="s">
        <v>263</v>
      </c>
      <c r="B353" s="351" t="s">
        <v>289</v>
      </c>
      <c r="C353" s="352" t="s">
        <v>276</v>
      </c>
      <c r="D353" s="353">
        <v>36770</v>
      </c>
      <c r="E353" s="351" t="s">
        <v>500</v>
      </c>
      <c r="J353" s="354">
        <v>3600</v>
      </c>
    </row>
    <row r="354" spans="1:10" s="351" customFormat="1" x14ac:dyDescent="0.25">
      <c r="A354" s="351" t="s">
        <v>274</v>
      </c>
      <c r="B354" s="351" t="s">
        <v>281</v>
      </c>
      <c r="C354" s="352" t="s">
        <v>276</v>
      </c>
      <c r="D354" s="353">
        <v>36770</v>
      </c>
      <c r="E354" s="351" t="s">
        <v>529</v>
      </c>
      <c r="J354" s="354">
        <v>-405.92</v>
      </c>
    </row>
    <row r="355" spans="1:10" s="351" customFormat="1" x14ac:dyDescent="0.25">
      <c r="A355" s="351" t="s">
        <v>274</v>
      </c>
      <c r="B355" s="351" t="s">
        <v>281</v>
      </c>
      <c r="C355" s="352" t="s">
        <v>276</v>
      </c>
      <c r="D355" s="353">
        <v>36770</v>
      </c>
      <c r="E355" s="351" t="s">
        <v>530</v>
      </c>
      <c r="J355" s="354">
        <v>-803.44</v>
      </c>
    </row>
    <row r="356" spans="1:10" s="351" customFormat="1" x14ac:dyDescent="0.25">
      <c r="A356" s="351" t="s">
        <v>274</v>
      </c>
      <c r="B356" s="351" t="s">
        <v>281</v>
      </c>
      <c r="C356" s="352" t="s">
        <v>276</v>
      </c>
      <c r="D356" s="353">
        <v>36770</v>
      </c>
      <c r="E356" s="351" t="s">
        <v>531</v>
      </c>
      <c r="J356" s="354">
        <v>2934.99</v>
      </c>
    </row>
    <row r="357" spans="1:10" s="351" customFormat="1" x14ac:dyDescent="0.25">
      <c r="A357" s="351" t="s">
        <v>274</v>
      </c>
      <c r="B357" s="351" t="s">
        <v>532</v>
      </c>
      <c r="C357" s="352" t="s">
        <v>303</v>
      </c>
      <c r="D357" s="353">
        <v>36770</v>
      </c>
      <c r="E357" s="351" t="s">
        <v>500</v>
      </c>
      <c r="J357" s="354">
        <v>2289</v>
      </c>
    </row>
    <row r="358" spans="1:10" s="351" customFormat="1" x14ac:dyDescent="0.25">
      <c r="A358" s="351" t="s">
        <v>263</v>
      </c>
      <c r="B358" s="351" t="s">
        <v>533</v>
      </c>
      <c r="C358" s="352" t="s">
        <v>303</v>
      </c>
      <c r="D358" s="353">
        <v>36770</v>
      </c>
      <c r="E358" s="351" t="s">
        <v>512</v>
      </c>
      <c r="J358" s="354">
        <v>252.5</v>
      </c>
    </row>
    <row r="359" spans="1:10" s="351" customFormat="1" x14ac:dyDescent="0.25">
      <c r="A359" s="351" t="s">
        <v>263</v>
      </c>
      <c r="B359" s="351" t="s">
        <v>534</v>
      </c>
      <c r="C359" s="352" t="s">
        <v>276</v>
      </c>
      <c r="D359" s="353">
        <v>36770</v>
      </c>
      <c r="E359" s="351" t="s">
        <v>500</v>
      </c>
      <c r="J359" s="354">
        <v>-5656.88</v>
      </c>
    </row>
    <row r="360" spans="1:10" s="351" customFormat="1" x14ac:dyDescent="0.25">
      <c r="A360" s="351" t="s">
        <v>263</v>
      </c>
      <c r="B360" s="351" t="s">
        <v>535</v>
      </c>
      <c r="C360" s="352" t="s">
        <v>276</v>
      </c>
      <c r="D360" s="353">
        <v>36770</v>
      </c>
      <c r="E360" s="351" t="s">
        <v>512</v>
      </c>
      <c r="J360" s="354">
        <v>372</v>
      </c>
    </row>
    <row r="361" spans="1:10" s="351" customFormat="1" x14ac:dyDescent="0.25">
      <c r="A361" s="351" t="s">
        <v>263</v>
      </c>
      <c r="B361" s="351" t="s">
        <v>536</v>
      </c>
      <c r="C361" s="352" t="s">
        <v>286</v>
      </c>
      <c r="D361" s="353">
        <v>36770</v>
      </c>
      <c r="E361" s="351" t="s">
        <v>500</v>
      </c>
      <c r="J361" s="354">
        <v>-1443.2</v>
      </c>
    </row>
    <row r="362" spans="1:10" s="351" customFormat="1" x14ac:dyDescent="0.25">
      <c r="A362" s="351" t="s">
        <v>274</v>
      </c>
      <c r="B362" s="351" t="s">
        <v>537</v>
      </c>
      <c r="C362" s="352" t="s">
        <v>303</v>
      </c>
      <c r="D362" s="353">
        <v>36739</v>
      </c>
      <c r="E362" s="351" t="s">
        <v>538</v>
      </c>
      <c r="J362" s="354">
        <v>86.1</v>
      </c>
    </row>
    <row r="363" spans="1:10" s="351" customFormat="1" x14ac:dyDescent="0.25">
      <c r="A363" s="351" t="s">
        <v>274</v>
      </c>
      <c r="B363" s="351" t="s">
        <v>537</v>
      </c>
      <c r="C363" s="352" t="s">
        <v>303</v>
      </c>
      <c r="D363" s="353">
        <v>36739</v>
      </c>
      <c r="E363" s="351" t="s">
        <v>539</v>
      </c>
      <c r="J363" s="354">
        <v>-164.92</v>
      </c>
    </row>
    <row r="364" spans="1:10" s="351" customFormat="1" x14ac:dyDescent="0.25">
      <c r="A364" s="351" t="s">
        <v>288</v>
      </c>
      <c r="B364" s="351" t="s">
        <v>537</v>
      </c>
      <c r="C364" s="352" t="s">
        <v>303</v>
      </c>
      <c r="D364" s="353">
        <v>36770</v>
      </c>
      <c r="E364" s="351" t="s">
        <v>540</v>
      </c>
      <c r="J364" s="354">
        <v>7</v>
      </c>
    </row>
    <row r="365" spans="1:10" s="351" customFormat="1" x14ac:dyDescent="0.25">
      <c r="A365" s="351" t="s">
        <v>263</v>
      </c>
      <c r="B365" s="351" t="s">
        <v>537</v>
      </c>
      <c r="C365" s="352" t="s">
        <v>303</v>
      </c>
      <c r="D365" s="353">
        <v>36770</v>
      </c>
      <c r="E365" s="351" t="s">
        <v>500</v>
      </c>
      <c r="J365" s="354">
        <v>63916</v>
      </c>
    </row>
    <row r="366" spans="1:10" s="351" customFormat="1" x14ac:dyDescent="0.25">
      <c r="A366" s="351" t="s">
        <v>263</v>
      </c>
      <c r="B366" s="351" t="s">
        <v>541</v>
      </c>
      <c r="C366" s="352" t="s">
        <v>279</v>
      </c>
      <c r="D366" s="353">
        <v>36770</v>
      </c>
      <c r="E366" s="351" t="s">
        <v>500</v>
      </c>
      <c r="J366" s="354">
        <v>-2226</v>
      </c>
    </row>
    <row r="367" spans="1:10" s="351" customFormat="1" x14ac:dyDescent="0.25">
      <c r="A367" s="351" t="s">
        <v>263</v>
      </c>
      <c r="B367" s="351" t="s">
        <v>266</v>
      </c>
      <c r="C367" s="352" t="s">
        <v>267</v>
      </c>
      <c r="D367" s="353">
        <v>36708</v>
      </c>
      <c r="E367" s="351" t="s">
        <v>542</v>
      </c>
      <c r="J367" s="354">
        <v>-3644.01</v>
      </c>
    </row>
    <row r="368" spans="1:10" s="351" customFormat="1" x14ac:dyDescent="0.25">
      <c r="A368" s="351" t="s">
        <v>263</v>
      </c>
      <c r="B368" s="351" t="s">
        <v>266</v>
      </c>
      <c r="C368" s="352" t="s">
        <v>267</v>
      </c>
      <c r="D368" s="353">
        <v>36770</v>
      </c>
      <c r="E368" s="351" t="s">
        <v>500</v>
      </c>
      <c r="J368" s="354">
        <v>-14942</v>
      </c>
    </row>
    <row r="369" spans="1:10" s="351" customFormat="1" x14ac:dyDescent="0.25">
      <c r="A369" s="351" t="s">
        <v>265</v>
      </c>
      <c r="B369" s="351" t="s">
        <v>266</v>
      </c>
      <c r="C369" s="352" t="s">
        <v>267</v>
      </c>
      <c r="D369" s="353">
        <v>36770</v>
      </c>
      <c r="E369" s="351" t="s">
        <v>500</v>
      </c>
      <c r="J369" s="354">
        <v>-21653.48</v>
      </c>
    </row>
    <row r="370" spans="1:10" s="351" customFormat="1" x14ac:dyDescent="0.25">
      <c r="A370" s="351" t="s">
        <v>274</v>
      </c>
      <c r="B370" s="351" t="s">
        <v>543</v>
      </c>
      <c r="C370" s="352" t="s">
        <v>303</v>
      </c>
      <c r="D370" s="353">
        <v>36770</v>
      </c>
      <c r="E370" s="351" t="s">
        <v>512</v>
      </c>
      <c r="J370" s="354">
        <v>-111.6</v>
      </c>
    </row>
    <row r="371" spans="1:10" s="351" customFormat="1" x14ac:dyDescent="0.25">
      <c r="A371" s="351" t="s">
        <v>265</v>
      </c>
      <c r="B371" s="351" t="s">
        <v>544</v>
      </c>
      <c r="C371" s="352" t="s">
        <v>276</v>
      </c>
      <c r="D371" s="353">
        <v>36770</v>
      </c>
      <c r="E371" s="351" t="s">
        <v>500</v>
      </c>
      <c r="J371" s="354">
        <v>-2925</v>
      </c>
    </row>
    <row r="372" spans="1:10" s="351" customFormat="1" x14ac:dyDescent="0.25">
      <c r="A372" s="351" t="s">
        <v>263</v>
      </c>
      <c r="B372" s="351" t="s">
        <v>329</v>
      </c>
      <c r="C372" s="352" t="s">
        <v>286</v>
      </c>
      <c r="D372" s="353">
        <v>36770</v>
      </c>
      <c r="E372" s="351" t="s">
        <v>500</v>
      </c>
      <c r="J372" s="354">
        <v>-25000</v>
      </c>
    </row>
    <row r="373" spans="1:10" s="351" customFormat="1" x14ac:dyDescent="0.25">
      <c r="A373" s="351" t="s">
        <v>265</v>
      </c>
      <c r="B373" s="351" t="s">
        <v>329</v>
      </c>
      <c r="C373" s="352" t="s">
        <v>286</v>
      </c>
      <c r="D373" s="353">
        <v>36770</v>
      </c>
      <c r="E373" s="351" t="s">
        <v>545</v>
      </c>
      <c r="J373" s="354">
        <v>-91500</v>
      </c>
    </row>
    <row r="374" spans="1:10" s="351" customFormat="1" x14ac:dyDescent="0.25">
      <c r="A374" s="351" t="s">
        <v>263</v>
      </c>
      <c r="B374" s="351" t="s">
        <v>546</v>
      </c>
      <c r="C374" s="352" t="s">
        <v>261</v>
      </c>
      <c r="D374" s="353">
        <v>36770</v>
      </c>
      <c r="E374" s="351" t="s">
        <v>471</v>
      </c>
      <c r="J374" s="354">
        <v>-71200</v>
      </c>
    </row>
    <row r="375" spans="1:10" s="351" customFormat="1" x14ac:dyDescent="0.25">
      <c r="A375" s="351" t="s">
        <v>263</v>
      </c>
      <c r="B375" s="351" t="s">
        <v>546</v>
      </c>
      <c r="C375" s="352" t="s">
        <v>261</v>
      </c>
      <c r="D375" s="353">
        <v>36770</v>
      </c>
      <c r="E375" s="351" t="s">
        <v>471</v>
      </c>
      <c r="J375" s="354">
        <v>-17600</v>
      </c>
    </row>
    <row r="376" spans="1:10" s="351" customFormat="1" x14ac:dyDescent="0.25">
      <c r="A376" s="351" t="s">
        <v>265</v>
      </c>
      <c r="B376" s="351" t="s">
        <v>547</v>
      </c>
      <c r="C376" s="352" t="s">
        <v>303</v>
      </c>
      <c r="D376" s="353">
        <v>36770</v>
      </c>
      <c r="E376" s="351" t="s">
        <v>500</v>
      </c>
      <c r="J376" s="354">
        <v>1414</v>
      </c>
    </row>
    <row r="377" spans="1:10" s="351" customFormat="1" x14ac:dyDescent="0.25">
      <c r="A377" s="351" t="s">
        <v>265</v>
      </c>
      <c r="B377" s="351" t="s">
        <v>547</v>
      </c>
      <c r="C377" s="352" t="s">
        <v>303</v>
      </c>
      <c r="D377" s="353">
        <v>36770</v>
      </c>
      <c r="E377" s="351" t="s">
        <v>512</v>
      </c>
      <c r="J377" s="354">
        <v>-308.72000000000003</v>
      </c>
    </row>
    <row r="378" spans="1:10" s="351" customFormat="1" x14ac:dyDescent="0.25">
      <c r="A378" s="351" t="s">
        <v>263</v>
      </c>
      <c r="B378" s="351" t="s">
        <v>548</v>
      </c>
      <c r="C378" s="352" t="s">
        <v>286</v>
      </c>
      <c r="D378" s="353">
        <v>36770</v>
      </c>
      <c r="E378" s="351" t="s">
        <v>500</v>
      </c>
      <c r="J378" s="354">
        <v>-5412</v>
      </c>
    </row>
    <row r="379" spans="1:10" s="351" customFormat="1" x14ac:dyDescent="0.25">
      <c r="A379" s="351" t="s">
        <v>263</v>
      </c>
      <c r="B379" s="351" t="s">
        <v>548</v>
      </c>
      <c r="C379" s="352" t="s">
        <v>286</v>
      </c>
      <c r="D379" s="353">
        <v>36770</v>
      </c>
      <c r="E379" s="351" t="s">
        <v>500</v>
      </c>
      <c r="J379" s="354">
        <v>-8020.66</v>
      </c>
    </row>
    <row r="380" spans="1:10" s="351" customFormat="1" x14ac:dyDescent="0.25">
      <c r="A380" s="351" t="s">
        <v>265</v>
      </c>
      <c r="B380" s="351" t="s">
        <v>548</v>
      </c>
      <c r="C380" s="352" t="s">
        <v>325</v>
      </c>
      <c r="D380" s="353">
        <v>36770</v>
      </c>
      <c r="E380" s="351" t="s">
        <v>500</v>
      </c>
      <c r="J380" s="354">
        <v>36593.050000000003</v>
      </c>
    </row>
    <row r="381" spans="1:10" s="351" customFormat="1" x14ac:dyDescent="0.25">
      <c r="A381" s="351" t="s">
        <v>265</v>
      </c>
      <c r="B381" s="351" t="s">
        <v>548</v>
      </c>
      <c r="C381" s="352" t="s">
        <v>325</v>
      </c>
      <c r="D381" s="353">
        <v>36770</v>
      </c>
      <c r="E381" s="351" t="s">
        <v>500</v>
      </c>
      <c r="J381" s="354">
        <v>21288</v>
      </c>
    </row>
    <row r="382" spans="1:10" s="351" customFormat="1" x14ac:dyDescent="0.25">
      <c r="A382" s="351" t="s">
        <v>263</v>
      </c>
      <c r="B382" s="351" t="s">
        <v>549</v>
      </c>
      <c r="C382" s="352" t="s">
        <v>286</v>
      </c>
      <c r="D382" s="353">
        <v>36770</v>
      </c>
      <c r="E382" s="351" t="s">
        <v>500</v>
      </c>
      <c r="J382" s="354">
        <v>-42400</v>
      </c>
    </row>
    <row r="383" spans="1:10" s="351" customFormat="1" x14ac:dyDescent="0.25">
      <c r="A383" s="351" t="s">
        <v>265</v>
      </c>
      <c r="B383" s="351" t="s">
        <v>550</v>
      </c>
      <c r="C383" s="352" t="s">
        <v>325</v>
      </c>
      <c r="D383" s="353">
        <v>36770</v>
      </c>
      <c r="E383" s="351" t="s">
        <v>500</v>
      </c>
      <c r="J383" s="354">
        <v>1250</v>
      </c>
    </row>
    <row r="384" spans="1:10" s="351" customFormat="1" x14ac:dyDescent="0.25">
      <c r="A384" s="351" t="s">
        <v>263</v>
      </c>
      <c r="B384" s="351" t="s">
        <v>551</v>
      </c>
      <c r="C384" s="352" t="s">
        <v>325</v>
      </c>
      <c r="D384" s="353">
        <v>36708</v>
      </c>
      <c r="E384" s="351" t="s">
        <v>552</v>
      </c>
      <c r="J384" s="354">
        <v>26884</v>
      </c>
    </row>
    <row r="385" spans="1:10" s="351" customFormat="1" x14ac:dyDescent="0.25">
      <c r="A385" s="351" t="s">
        <v>553</v>
      </c>
      <c r="B385" s="351" t="s">
        <v>554</v>
      </c>
      <c r="C385" s="352" t="s">
        <v>276</v>
      </c>
      <c r="D385" s="353">
        <v>36800</v>
      </c>
      <c r="E385" s="351" t="s">
        <v>500</v>
      </c>
      <c r="J385" s="354">
        <v>-115000</v>
      </c>
    </row>
    <row r="386" spans="1:10" s="351" customFormat="1" x14ac:dyDescent="0.25">
      <c r="A386" s="351" t="s">
        <v>265</v>
      </c>
      <c r="B386" s="351" t="s">
        <v>555</v>
      </c>
      <c r="C386" s="352" t="s">
        <v>276</v>
      </c>
      <c r="D386" s="353">
        <v>36770</v>
      </c>
      <c r="E386" s="351" t="s">
        <v>556</v>
      </c>
      <c r="J386" s="354">
        <v>-1200</v>
      </c>
    </row>
    <row r="387" spans="1:10" s="351" customFormat="1" x14ac:dyDescent="0.25">
      <c r="A387" s="351" t="s">
        <v>263</v>
      </c>
      <c r="B387" s="351" t="s">
        <v>324</v>
      </c>
      <c r="C387" s="352" t="s">
        <v>325</v>
      </c>
      <c r="D387" s="353">
        <v>36678</v>
      </c>
      <c r="E387" s="351" t="s">
        <v>500</v>
      </c>
      <c r="J387" s="354">
        <v>2000000</v>
      </c>
    </row>
    <row r="388" spans="1:10" s="351" customFormat="1" x14ac:dyDescent="0.25">
      <c r="A388" s="351" t="s">
        <v>265</v>
      </c>
      <c r="B388" s="351" t="s">
        <v>557</v>
      </c>
      <c r="C388" s="352" t="s">
        <v>267</v>
      </c>
      <c r="D388" s="353">
        <v>36770</v>
      </c>
      <c r="E388" s="351" t="s">
        <v>500</v>
      </c>
      <c r="J388" s="354">
        <v>6400</v>
      </c>
    </row>
    <row r="389" spans="1:10" s="351" customFormat="1" x14ac:dyDescent="0.25">
      <c r="A389" s="351" t="s">
        <v>263</v>
      </c>
      <c r="B389" s="351" t="s">
        <v>558</v>
      </c>
      <c r="C389" s="352" t="s">
        <v>286</v>
      </c>
      <c r="D389" s="353">
        <v>36770</v>
      </c>
      <c r="E389" s="351" t="s">
        <v>500</v>
      </c>
      <c r="J389" s="354">
        <v>-253600</v>
      </c>
    </row>
    <row r="390" spans="1:10" s="351" customFormat="1" x14ac:dyDescent="0.25">
      <c r="A390" s="351" t="s">
        <v>263</v>
      </c>
      <c r="B390" s="351" t="s">
        <v>558</v>
      </c>
      <c r="C390" s="352" t="s">
        <v>286</v>
      </c>
      <c r="D390" s="353">
        <v>36770</v>
      </c>
      <c r="E390" s="351" t="s">
        <v>500</v>
      </c>
      <c r="J390" s="354">
        <v>-32000</v>
      </c>
    </row>
    <row r="391" spans="1:10" s="351" customFormat="1" x14ac:dyDescent="0.25">
      <c r="A391" s="351" t="s">
        <v>263</v>
      </c>
      <c r="B391" s="351" t="s">
        <v>558</v>
      </c>
      <c r="C391" s="352" t="s">
        <v>286</v>
      </c>
      <c r="D391" s="353">
        <v>36770</v>
      </c>
      <c r="E391" s="351" t="s">
        <v>500</v>
      </c>
      <c r="J391" s="354">
        <v>-177600</v>
      </c>
    </row>
    <row r="392" spans="1:10" s="351" customFormat="1" x14ac:dyDescent="0.25">
      <c r="A392" s="351" t="s">
        <v>263</v>
      </c>
      <c r="B392" s="351" t="s">
        <v>558</v>
      </c>
      <c r="C392" s="352" t="s">
        <v>286</v>
      </c>
      <c r="D392" s="353">
        <v>36770</v>
      </c>
      <c r="E392" s="351" t="s">
        <v>500</v>
      </c>
      <c r="J392" s="354">
        <v>-179200</v>
      </c>
    </row>
    <row r="393" spans="1:10" s="351" customFormat="1" x14ac:dyDescent="0.25">
      <c r="A393" s="351" t="s">
        <v>265</v>
      </c>
      <c r="B393" s="351" t="s">
        <v>558</v>
      </c>
      <c r="C393" s="352" t="s">
        <v>286</v>
      </c>
      <c r="D393" s="353">
        <v>36770</v>
      </c>
      <c r="E393" s="351" t="s">
        <v>500</v>
      </c>
      <c r="J393" s="354">
        <v>72000</v>
      </c>
    </row>
    <row r="394" spans="1:10" s="351" customFormat="1" x14ac:dyDescent="0.25">
      <c r="A394" s="351" t="s">
        <v>265</v>
      </c>
      <c r="B394" s="351" t="s">
        <v>558</v>
      </c>
      <c r="C394" s="352" t="s">
        <v>286</v>
      </c>
      <c r="D394" s="353">
        <v>36770</v>
      </c>
      <c r="E394" s="351" t="s">
        <v>500</v>
      </c>
      <c r="J394" s="354">
        <v>45600</v>
      </c>
    </row>
    <row r="395" spans="1:10" s="351" customFormat="1" x14ac:dyDescent="0.25">
      <c r="A395" s="351" t="s">
        <v>265</v>
      </c>
      <c r="B395" s="351" t="s">
        <v>558</v>
      </c>
      <c r="C395" s="352" t="s">
        <v>286</v>
      </c>
      <c r="D395" s="353">
        <v>36770</v>
      </c>
      <c r="E395" s="351" t="s">
        <v>500</v>
      </c>
      <c r="J395" s="354">
        <v>268000</v>
      </c>
    </row>
    <row r="396" spans="1:10" s="351" customFormat="1" x14ac:dyDescent="0.25">
      <c r="A396" s="351" t="s">
        <v>265</v>
      </c>
      <c r="B396" s="351" t="s">
        <v>558</v>
      </c>
      <c r="C396" s="352" t="s">
        <v>286</v>
      </c>
      <c r="D396" s="353">
        <v>36770</v>
      </c>
      <c r="E396" s="351" t="s">
        <v>500</v>
      </c>
      <c r="J396" s="354">
        <v>120800</v>
      </c>
    </row>
    <row r="397" spans="1:10" s="351" customFormat="1" x14ac:dyDescent="0.25">
      <c r="A397" s="351" t="s">
        <v>263</v>
      </c>
      <c r="B397" s="351" t="s">
        <v>559</v>
      </c>
      <c r="C397" s="352" t="s">
        <v>272</v>
      </c>
      <c r="D397" s="353">
        <v>36770</v>
      </c>
      <c r="E397" s="351" t="s">
        <v>500</v>
      </c>
      <c r="J397" s="354">
        <v>-15416</v>
      </c>
    </row>
    <row r="398" spans="1:10" s="351" customFormat="1" x14ac:dyDescent="0.25">
      <c r="A398" s="351" t="s">
        <v>265</v>
      </c>
      <c r="B398" s="351" t="s">
        <v>560</v>
      </c>
      <c r="C398" s="352" t="s">
        <v>286</v>
      </c>
      <c r="D398" s="353">
        <v>36770</v>
      </c>
      <c r="E398" s="351" t="s">
        <v>500</v>
      </c>
      <c r="J398" s="354">
        <v>4541.4399999999996</v>
      </c>
    </row>
    <row r="399" spans="1:10" s="351" customFormat="1" x14ac:dyDescent="0.25">
      <c r="A399" s="351" t="s">
        <v>274</v>
      </c>
      <c r="B399" s="351" t="s">
        <v>561</v>
      </c>
      <c r="C399" s="352" t="s">
        <v>276</v>
      </c>
      <c r="D399" s="353">
        <v>36770</v>
      </c>
      <c r="E399" s="351" t="s">
        <v>500</v>
      </c>
      <c r="J399" s="354">
        <v>-161</v>
      </c>
    </row>
    <row r="400" spans="1:10" s="351" customFormat="1" x14ac:dyDescent="0.25">
      <c r="A400" s="351" t="s">
        <v>274</v>
      </c>
      <c r="B400" s="351" t="s">
        <v>561</v>
      </c>
      <c r="C400" s="352" t="s">
        <v>276</v>
      </c>
      <c r="D400" s="353">
        <v>36770</v>
      </c>
      <c r="E400" s="351" t="s">
        <v>562</v>
      </c>
      <c r="J400" s="354">
        <v>-1638.98</v>
      </c>
    </row>
    <row r="401" spans="1:10" s="351" customFormat="1" x14ac:dyDescent="0.25">
      <c r="A401" s="351" t="s">
        <v>274</v>
      </c>
      <c r="B401" s="351" t="s">
        <v>299</v>
      </c>
      <c r="C401" s="352" t="s">
        <v>276</v>
      </c>
      <c r="D401" s="353">
        <v>36770</v>
      </c>
      <c r="E401" s="351" t="s">
        <v>563</v>
      </c>
      <c r="J401" s="354">
        <v>1884.43</v>
      </c>
    </row>
    <row r="402" spans="1:10" s="351" customFormat="1" x14ac:dyDescent="0.25">
      <c r="A402" s="351" t="s">
        <v>274</v>
      </c>
      <c r="B402" s="351" t="s">
        <v>299</v>
      </c>
      <c r="C402" s="352" t="s">
        <v>276</v>
      </c>
      <c r="D402" s="353">
        <v>36770</v>
      </c>
      <c r="E402" s="351" t="s">
        <v>564</v>
      </c>
      <c r="J402" s="354">
        <v>-334.16</v>
      </c>
    </row>
    <row r="403" spans="1:10" s="351" customFormat="1" x14ac:dyDescent="0.25">
      <c r="A403" s="351" t="s">
        <v>265</v>
      </c>
      <c r="B403" s="351" t="s">
        <v>565</v>
      </c>
      <c r="C403" s="352" t="s">
        <v>267</v>
      </c>
      <c r="D403" s="353">
        <v>36770</v>
      </c>
      <c r="E403" s="351" t="s">
        <v>566</v>
      </c>
      <c r="J403" s="354">
        <v>10424</v>
      </c>
    </row>
    <row r="404" spans="1:10" s="351" customFormat="1" x14ac:dyDescent="0.25">
      <c r="A404" s="351" t="s">
        <v>263</v>
      </c>
      <c r="B404" s="351" t="s">
        <v>567</v>
      </c>
      <c r="C404" s="352" t="s">
        <v>267</v>
      </c>
      <c r="D404" s="353">
        <v>36770</v>
      </c>
      <c r="E404" s="351" t="s">
        <v>500</v>
      </c>
      <c r="J404" s="354">
        <v>-63174.96</v>
      </c>
    </row>
    <row r="405" spans="1:10" s="351" customFormat="1" x14ac:dyDescent="0.25">
      <c r="A405" s="351" t="s">
        <v>265</v>
      </c>
      <c r="B405" s="351" t="s">
        <v>567</v>
      </c>
      <c r="C405" s="352" t="s">
        <v>267</v>
      </c>
      <c r="D405" s="353">
        <v>36770</v>
      </c>
      <c r="E405" s="351" t="s">
        <v>500</v>
      </c>
      <c r="J405" s="354">
        <v>5792.64</v>
      </c>
    </row>
    <row r="406" spans="1:10" s="351" customFormat="1" x14ac:dyDescent="0.25">
      <c r="A406" s="351" t="s">
        <v>265</v>
      </c>
      <c r="B406" s="351" t="s">
        <v>568</v>
      </c>
      <c r="C406" s="352" t="s">
        <v>276</v>
      </c>
      <c r="D406" s="353">
        <v>36770</v>
      </c>
      <c r="E406" s="351" t="s">
        <v>500</v>
      </c>
      <c r="J406" s="354">
        <v>7500</v>
      </c>
    </row>
    <row r="407" spans="1:10" s="351" customFormat="1" x14ac:dyDescent="0.25">
      <c r="A407" s="351" t="s">
        <v>265</v>
      </c>
      <c r="B407" s="351" t="s">
        <v>569</v>
      </c>
      <c r="C407" s="352" t="s">
        <v>286</v>
      </c>
      <c r="D407" s="353">
        <v>36770</v>
      </c>
      <c r="E407" s="351" t="s">
        <v>500</v>
      </c>
      <c r="J407" s="354">
        <v>-356033</v>
      </c>
    </row>
    <row r="408" spans="1:10" s="351" customFormat="1" x14ac:dyDescent="0.25">
      <c r="A408" s="351" t="s">
        <v>263</v>
      </c>
      <c r="B408" s="351" t="s">
        <v>570</v>
      </c>
      <c r="C408" s="352" t="s">
        <v>261</v>
      </c>
      <c r="D408" s="353">
        <v>36770</v>
      </c>
      <c r="E408" s="351" t="s">
        <v>500</v>
      </c>
      <c r="J408" s="354">
        <v>-121200</v>
      </c>
    </row>
    <row r="409" spans="1:10" s="351" customFormat="1" x14ac:dyDescent="0.25">
      <c r="A409" s="351" t="s">
        <v>263</v>
      </c>
      <c r="B409" s="351" t="s">
        <v>570</v>
      </c>
      <c r="C409" s="352" t="s">
        <v>261</v>
      </c>
      <c r="D409" s="353">
        <v>36770</v>
      </c>
      <c r="E409" s="351" t="s">
        <v>500</v>
      </c>
      <c r="J409" s="354">
        <v>-32800</v>
      </c>
    </row>
    <row r="410" spans="1:10" s="351" customFormat="1" x14ac:dyDescent="0.25">
      <c r="A410" s="351" t="s">
        <v>263</v>
      </c>
      <c r="B410" s="351" t="s">
        <v>570</v>
      </c>
      <c r="C410" s="352" t="s">
        <v>261</v>
      </c>
      <c r="D410" s="353">
        <v>36770</v>
      </c>
      <c r="E410" s="351" t="s">
        <v>500</v>
      </c>
      <c r="J410" s="354">
        <v>-89894</v>
      </c>
    </row>
    <row r="411" spans="1:10" s="351" customFormat="1" x14ac:dyDescent="0.25">
      <c r="A411" s="351" t="s">
        <v>265</v>
      </c>
      <c r="B411" s="351" t="s">
        <v>570</v>
      </c>
      <c r="C411" s="352" t="s">
        <v>261</v>
      </c>
      <c r="D411" s="353">
        <v>36770</v>
      </c>
      <c r="E411" s="351" t="s">
        <v>500</v>
      </c>
      <c r="J411" s="354">
        <v>211600</v>
      </c>
    </row>
    <row r="412" spans="1:10" s="351" customFormat="1" x14ac:dyDescent="0.25">
      <c r="A412" s="351" t="s">
        <v>265</v>
      </c>
      <c r="B412" s="351" t="s">
        <v>570</v>
      </c>
      <c r="C412" s="352" t="s">
        <v>261</v>
      </c>
      <c r="D412" s="353">
        <v>36770</v>
      </c>
      <c r="E412" s="351" t="s">
        <v>500</v>
      </c>
      <c r="J412" s="354">
        <v>168800</v>
      </c>
    </row>
    <row r="413" spans="1:10" s="351" customFormat="1" x14ac:dyDescent="0.25">
      <c r="A413" s="351" t="s">
        <v>265</v>
      </c>
      <c r="B413" s="351" t="s">
        <v>307</v>
      </c>
      <c r="C413" s="352" t="s">
        <v>276</v>
      </c>
      <c r="D413" s="353">
        <v>36770</v>
      </c>
      <c r="E413" s="351" t="s">
        <v>571</v>
      </c>
      <c r="J413" s="354">
        <v>70400</v>
      </c>
    </row>
    <row r="414" spans="1:10" s="351" customFormat="1" x14ac:dyDescent="0.25">
      <c r="A414" s="351" t="s">
        <v>263</v>
      </c>
      <c r="B414" s="351" t="s">
        <v>350</v>
      </c>
      <c r="C414" s="352" t="s">
        <v>279</v>
      </c>
      <c r="D414" s="353">
        <v>36770</v>
      </c>
      <c r="E414" s="351" t="s">
        <v>572</v>
      </c>
      <c r="J414" s="354">
        <v>-709.71</v>
      </c>
    </row>
    <row r="415" spans="1:10" s="351" customFormat="1" x14ac:dyDescent="0.25">
      <c r="A415" s="351" t="s">
        <v>263</v>
      </c>
      <c r="B415" s="351" t="s">
        <v>573</v>
      </c>
      <c r="C415" s="352" t="s">
        <v>276</v>
      </c>
      <c r="D415" s="353">
        <v>36770</v>
      </c>
      <c r="E415" s="351" t="s">
        <v>500</v>
      </c>
      <c r="J415" s="354">
        <v>-18600</v>
      </c>
    </row>
    <row r="416" spans="1:10" s="351" customFormat="1" x14ac:dyDescent="0.25">
      <c r="A416" s="351" t="s">
        <v>263</v>
      </c>
      <c r="B416" s="351" t="s">
        <v>573</v>
      </c>
      <c r="C416" s="352" t="s">
        <v>276</v>
      </c>
      <c r="D416" s="353">
        <v>36770</v>
      </c>
      <c r="E416" s="351" t="s">
        <v>500</v>
      </c>
      <c r="J416" s="354">
        <v>-146947.5</v>
      </c>
    </row>
    <row r="417" spans="1:11" s="351" customFormat="1" x14ac:dyDescent="0.25">
      <c r="A417" s="351" t="s">
        <v>265</v>
      </c>
      <c r="B417" s="351" t="s">
        <v>574</v>
      </c>
      <c r="C417" s="352" t="s">
        <v>279</v>
      </c>
      <c r="D417" s="353">
        <v>36770</v>
      </c>
      <c r="E417" s="351" t="s">
        <v>575</v>
      </c>
      <c r="J417" s="354">
        <v>1200</v>
      </c>
    </row>
    <row r="418" spans="1:11" s="351" customFormat="1" x14ac:dyDescent="0.25">
      <c r="A418" s="351" t="s">
        <v>263</v>
      </c>
      <c r="B418" s="351" t="s">
        <v>334</v>
      </c>
      <c r="C418" s="352" t="s">
        <v>286</v>
      </c>
      <c r="D418" s="353">
        <v>36770</v>
      </c>
      <c r="E418" s="351" t="s">
        <v>500</v>
      </c>
      <c r="J418" s="354">
        <v>-28293.4</v>
      </c>
    </row>
    <row r="419" spans="1:11" s="351" customFormat="1" ht="22.5" customHeight="1" x14ac:dyDescent="0.25">
      <c r="A419" s="351" t="s">
        <v>263</v>
      </c>
      <c r="B419" s="351" t="s">
        <v>576</v>
      </c>
      <c r="C419" s="352" t="s">
        <v>325</v>
      </c>
      <c r="D419" s="353">
        <v>36770</v>
      </c>
      <c r="E419" s="570" t="s">
        <v>577</v>
      </c>
      <c r="F419" s="572"/>
      <c r="G419" s="572"/>
      <c r="H419" s="572"/>
      <c r="I419" s="572"/>
      <c r="J419" s="354">
        <v>1558</v>
      </c>
    </row>
    <row r="420" spans="1:11" s="351" customFormat="1" x14ac:dyDescent="0.25">
      <c r="A420" s="351" t="s">
        <v>263</v>
      </c>
      <c r="B420" s="351" t="s">
        <v>332</v>
      </c>
      <c r="C420" s="352" t="s">
        <v>286</v>
      </c>
      <c r="D420" s="353">
        <v>36770</v>
      </c>
      <c r="E420" s="351" t="s">
        <v>500</v>
      </c>
      <c r="J420" s="354">
        <v>-8488.98</v>
      </c>
    </row>
    <row r="421" spans="1:11" s="351" customFormat="1" x14ac:dyDescent="0.25">
      <c r="A421" s="351" t="s">
        <v>263</v>
      </c>
      <c r="B421" s="351" t="s">
        <v>578</v>
      </c>
      <c r="C421" s="352" t="s">
        <v>261</v>
      </c>
      <c r="D421" s="353">
        <v>36770</v>
      </c>
      <c r="E421" s="351" t="s">
        <v>500</v>
      </c>
      <c r="J421" s="354">
        <v>-141450</v>
      </c>
    </row>
    <row r="422" spans="1:11" x14ac:dyDescent="0.25">
      <c r="D422" s="356"/>
      <c r="J422" s="231"/>
      <c r="K422" s="263">
        <f>SUM(J261:J421)</f>
        <v>64129159.240000017</v>
      </c>
    </row>
    <row r="423" spans="1:11" x14ac:dyDescent="0.25">
      <c r="D423" s="356"/>
      <c r="J423" s="231"/>
    </row>
    <row r="424" spans="1:11" x14ac:dyDescent="0.25">
      <c r="A424" s="343" t="s">
        <v>579</v>
      </c>
      <c r="D424" s="356"/>
      <c r="J424" s="231"/>
    </row>
    <row r="425" spans="1:11" s="350" customFormat="1" x14ac:dyDescent="0.25">
      <c r="B425" s="357" t="s">
        <v>580</v>
      </c>
      <c r="C425" s="2"/>
      <c r="D425" s="358"/>
      <c r="E425" s="359"/>
      <c r="G425" s="167"/>
      <c r="H425" s="165"/>
      <c r="I425" s="165"/>
      <c r="J425" s="360">
        <v>306.81999999999925</v>
      </c>
      <c r="K425" s="165"/>
    </row>
    <row r="426" spans="1:11" s="350" customFormat="1" ht="32.25" customHeight="1" x14ac:dyDescent="0.25">
      <c r="A426" s="428"/>
      <c r="B426" s="560" t="s">
        <v>581</v>
      </c>
      <c r="C426" s="561" t="s">
        <v>267</v>
      </c>
      <c r="D426" s="562">
        <v>36800</v>
      </c>
      <c r="E426" s="576" t="s">
        <v>582</v>
      </c>
      <c r="F426" s="577"/>
      <c r="G426" s="577"/>
      <c r="H426" s="577"/>
      <c r="I426" s="577"/>
      <c r="J426" s="563">
        <v>1869623.82</v>
      </c>
      <c r="K426" s="360"/>
    </row>
    <row r="427" spans="1:11" s="351" customFormat="1" x14ac:dyDescent="0.25">
      <c r="A427" s="351" t="s">
        <v>553</v>
      </c>
      <c r="B427" s="351" t="s">
        <v>278</v>
      </c>
      <c r="C427" s="352" t="s">
        <v>276</v>
      </c>
      <c r="D427" s="353">
        <v>36708</v>
      </c>
      <c r="E427" s="351" t="s">
        <v>583</v>
      </c>
      <c r="J427" s="354">
        <v>-116600</v>
      </c>
    </row>
    <row r="428" spans="1:11" s="351" customFormat="1" x14ac:dyDescent="0.25">
      <c r="A428" s="351" t="s">
        <v>553</v>
      </c>
      <c r="B428" s="351" t="s">
        <v>278</v>
      </c>
      <c r="C428" s="352" t="s">
        <v>276</v>
      </c>
      <c r="D428" s="353">
        <v>36800</v>
      </c>
      <c r="E428" s="351" t="s">
        <v>584</v>
      </c>
      <c r="J428" s="354">
        <v>36000</v>
      </c>
    </row>
    <row r="429" spans="1:11" s="351" customFormat="1" x14ac:dyDescent="0.25">
      <c r="A429" s="351" t="s">
        <v>263</v>
      </c>
      <c r="B429" s="351" t="s">
        <v>476</v>
      </c>
      <c r="C429" s="352" t="s">
        <v>261</v>
      </c>
      <c r="D429" s="353">
        <v>36800</v>
      </c>
      <c r="E429" s="351" t="s">
        <v>585</v>
      </c>
      <c r="J429" s="354">
        <v>5472</v>
      </c>
    </row>
    <row r="430" spans="1:11" s="351" customFormat="1" x14ac:dyDescent="0.25">
      <c r="A430" s="351" t="s">
        <v>263</v>
      </c>
      <c r="B430" s="351" t="s">
        <v>476</v>
      </c>
      <c r="C430" s="352" t="s">
        <v>261</v>
      </c>
      <c r="D430" s="353">
        <v>36800</v>
      </c>
      <c r="E430" s="351" t="s">
        <v>586</v>
      </c>
      <c r="J430" s="354">
        <v>16416</v>
      </c>
    </row>
    <row r="431" spans="1:11" s="351" customFormat="1" x14ac:dyDescent="0.25">
      <c r="A431" s="351" t="s">
        <v>361</v>
      </c>
      <c r="B431" s="351" t="s">
        <v>476</v>
      </c>
      <c r="C431" s="352" t="s">
        <v>276</v>
      </c>
      <c r="D431" s="353">
        <v>36800</v>
      </c>
      <c r="E431" s="351" t="s">
        <v>587</v>
      </c>
      <c r="J431" s="354">
        <v>-362880</v>
      </c>
    </row>
    <row r="432" spans="1:11" s="351" customFormat="1" x14ac:dyDescent="0.25">
      <c r="A432" s="351" t="s">
        <v>361</v>
      </c>
      <c r="B432" s="351" t="s">
        <v>541</v>
      </c>
      <c r="C432" s="352" t="s">
        <v>276</v>
      </c>
      <c r="D432" s="353">
        <v>36800</v>
      </c>
      <c r="E432" s="351" t="s">
        <v>588</v>
      </c>
      <c r="J432" s="354">
        <v>-219000</v>
      </c>
    </row>
    <row r="433" spans="1:10" s="351" customFormat="1" x14ac:dyDescent="0.25">
      <c r="A433" s="351" t="s">
        <v>263</v>
      </c>
      <c r="B433" s="351" t="s">
        <v>476</v>
      </c>
      <c r="C433" s="352" t="s">
        <v>261</v>
      </c>
      <c r="D433" s="353">
        <v>36800</v>
      </c>
      <c r="E433" s="351" t="s">
        <v>589</v>
      </c>
      <c r="J433" s="354">
        <v>21888</v>
      </c>
    </row>
    <row r="434" spans="1:10" s="351" customFormat="1" ht="23.25" customHeight="1" x14ac:dyDescent="0.25">
      <c r="A434" s="351" t="s">
        <v>263</v>
      </c>
      <c r="B434" s="351" t="s">
        <v>478</v>
      </c>
      <c r="C434" s="352" t="s">
        <v>286</v>
      </c>
      <c r="D434" s="353">
        <v>36800</v>
      </c>
      <c r="E434" s="570" t="s">
        <v>590</v>
      </c>
      <c r="F434" s="572"/>
      <c r="G434" s="572"/>
      <c r="H434" s="572"/>
      <c r="I434" s="572"/>
      <c r="J434" s="354">
        <v>-2066.33</v>
      </c>
    </row>
    <row r="435" spans="1:10" s="351" customFormat="1" ht="14.25" customHeight="1" x14ac:dyDescent="0.25">
      <c r="A435" s="351" t="s">
        <v>263</v>
      </c>
      <c r="B435" s="351" t="s">
        <v>591</v>
      </c>
      <c r="C435" s="352" t="s">
        <v>279</v>
      </c>
      <c r="D435" s="353">
        <v>36800</v>
      </c>
      <c r="E435" s="570" t="s">
        <v>592</v>
      </c>
      <c r="F435" s="572"/>
      <c r="G435" s="572"/>
      <c r="H435" s="572"/>
      <c r="J435" s="354">
        <v>-1443</v>
      </c>
    </row>
    <row r="436" spans="1:10" s="351" customFormat="1" ht="21.75" customHeight="1" x14ac:dyDescent="0.25">
      <c r="A436" s="351" t="s">
        <v>265</v>
      </c>
      <c r="B436" s="351" t="s">
        <v>591</v>
      </c>
      <c r="C436" s="352" t="s">
        <v>279</v>
      </c>
      <c r="D436" s="353">
        <v>36800</v>
      </c>
      <c r="E436" s="570" t="s">
        <v>593</v>
      </c>
      <c r="F436" s="572"/>
      <c r="G436" s="572"/>
      <c r="H436" s="572"/>
      <c r="I436" s="572"/>
      <c r="J436" s="354">
        <v>-10400</v>
      </c>
    </row>
    <row r="437" spans="1:10" s="351" customFormat="1" ht="14.25" customHeight="1" x14ac:dyDescent="0.25">
      <c r="A437" s="351" t="s">
        <v>274</v>
      </c>
      <c r="B437" s="351" t="s">
        <v>594</v>
      </c>
      <c r="C437" s="352" t="s">
        <v>276</v>
      </c>
      <c r="D437" s="353">
        <v>36800</v>
      </c>
      <c r="E437" s="570" t="s">
        <v>595</v>
      </c>
      <c r="F437" s="572"/>
      <c r="G437" s="572"/>
      <c r="H437" s="572"/>
      <c r="I437" s="572"/>
      <c r="J437" s="354">
        <v>2250</v>
      </c>
    </row>
    <row r="438" spans="1:10" s="351" customFormat="1" x14ac:dyDescent="0.25">
      <c r="A438" s="351" t="s">
        <v>274</v>
      </c>
      <c r="B438" s="351" t="s">
        <v>596</v>
      </c>
      <c r="C438" s="352" t="s">
        <v>261</v>
      </c>
      <c r="D438" s="353">
        <v>36770</v>
      </c>
      <c r="E438" s="351" t="s">
        <v>597</v>
      </c>
      <c r="J438" s="354">
        <v>-7521.5</v>
      </c>
    </row>
    <row r="439" spans="1:10" s="351" customFormat="1" x14ac:dyDescent="0.25">
      <c r="A439" s="351" t="s">
        <v>274</v>
      </c>
      <c r="B439" s="351" t="s">
        <v>596</v>
      </c>
      <c r="C439" s="352" t="s">
        <v>261</v>
      </c>
      <c r="D439" s="353">
        <v>36800</v>
      </c>
      <c r="E439" s="351" t="s">
        <v>598</v>
      </c>
      <c r="J439" s="354">
        <v>-3821.9</v>
      </c>
    </row>
    <row r="440" spans="1:10" s="351" customFormat="1" x14ac:dyDescent="0.25">
      <c r="A440" s="351" t="s">
        <v>553</v>
      </c>
      <c r="B440" s="351" t="s">
        <v>599</v>
      </c>
      <c r="C440" s="352" t="s">
        <v>276</v>
      </c>
      <c r="D440" s="353">
        <v>36800</v>
      </c>
      <c r="E440" s="351" t="s">
        <v>600</v>
      </c>
      <c r="J440" s="354">
        <v>20000</v>
      </c>
    </row>
    <row r="441" spans="1:10" s="351" customFormat="1" ht="22.5" customHeight="1" x14ac:dyDescent="0.25">
      <c r="A441" s="351" t="s">
        <v>263</v>
      </c>
      <c r="B441" s="351" t="s">
        <v>486</v>
      </c>
      <c r="C441" s="352" t="s">
        <v>286</v>
      </c>
      <c r="D441" s="353">
        <v>36800</v>
      </c>
      <c r="E441" s="570" t="s">
        <v>601</v>
      </c>
      <c r="F441" s="572"/>
      <c r="G441" s="572"/>
      <c r="H441" s="572"/>
      <c r="I441" s="572"/>
      <c r="J441" s="354">
        <v>-10201.030000000001</v>
      </c>
    </row>
    <row r="442" spans="1:10" s="351" customFormat="1" x14ac:dyDescent="0.25">
      <c r="A442" s="351" t="s">
        <v>263</v>
      </c>
      <c r="B442" s="351" t="s">
        <v>486</v>
      </c>
      <c r="C442" s="352" t="s">
        <v>286</v>
      </c>
      <c r="D442" s="353">
        <v>36800</v>
      </c>
      <c r="E442" s="351" t="s">
        <v>602</v>
      </c>
      <c r="J442" s="354">
        <v>12598.69</v>
      </c>
    </row>
    <row r="443" spans="1:10" s="351" customFormat="1" x14ac:dyDescent="0.25">
      <c r="A443" s="351" t="s">
        <v>265</v>
      </c>
      <c r="B443" s="351" t="s">
        <v>486</v>
      </c>
      <c r="C443" s="352" t="s">
        <v>286</v>
      </c>
      <c r="D443" s="353">
        <v>36800</v>
      </c>
      <c r="E443" s="351" t="s">
        <v>603</v>
      </c>
      <c r="J443" s="354">
        <v>-256306.09</v>
      </c>
    </row>
    <row r="444" spans="1:10" s="351" customFormat="1" x14ac:dyDescent="0.25">
      <c r="A444" s="351" t="s">
        <v>263</v>
      </c>
      <c r="B444" s="351" t="s">
        <v>490</v>
      </c>
      <c r="C444" s="352" t="s">
        <v>286</v>
      </c>
      <c r="D444" s="353">
        <v>36770</v>
      </c>
      <c r="E444" s="351" t="s">
        <v>604</v>
      </c>
      <c r="J444" s="354">
        <v>11228.47</v>
      </c>
    </row>
    <row r="445" spans="1:10" s="351" customFormat="1" ht="34.5" customHeight="1" x14ac:dyDescent="0.25">
      <c r="A445" s="351" t="s">
        <v>265</v>
      </c>
      <c r="B445" s="351" t="s">
        <v>490</v>
      </c>
      <c r="C445" s="352" t="s">
        <v>286</v>
      </c>
      <c r="D445" s="353">
        <v>36800</v>
      </c>
      <c r="E445" s="570" t="s">
        <v>605</v>
      </c>
      <c r="F445" s="572"/>
      <c r="G445" s="572"/>
      <c r="H445" s="572"/>
      <c r="I445" s="572"/>
      <c r="J445" s="354">
        <v>-67763.28</v>
      </c>
    </row>
    <row r="446" spans="1:10" s="351" customFormat="1" x14ac:dyDescent="0.25">
      <c r="A446" s="351" t="s">
        <v>265</v>
      </c>
      <c r="B446" s="351" t="s">
        <v>490</v>
      </c>
      <c r="C446" s="352" t="s">
        <v>286</v>
      </c>
      <c r="D446" s="353">
        <v>36800</v>
      </c>
      <c r="E446" s="351" t="s">
        <v>606</v>
      </c>
      <c r="J446" s="354">
        <v>-3520.47</v>
      </c>
    </row>
    <row r="447" spans="1:10" s="351" customFormat="1" ht="45.75" customHeight="1" x14ac:dyDescent="0.25">
      <c r="A447" s="351" t="s">
        <v>263</v>
      </c>
      <c r="B447" s="351" t="s">
        <v>607</v>
      </c>
      <c r="C447" s="352" t="s">
        <v>286</v>
      </c>
      <c r="D447" s="353">
        <v>36800</v>
      </c>
      <c r="E447" s="570" t="s">
        <v>608</v>
      </c>
      <c r="F447" s="572"/>
      <c r="G447" s="572"/>
      <c r="H447" s="572"/>
      <c r="I447" s="572"/>
      <c r="J447" s="354">
        <v>1140302.57</v>
      </c>
    </row>
    <row r="448" spans="1:10" s="351" customFormat="1" ht="13.2" x14ac:dyDescent="0.25">
      <c r="A448" s="351" t="s">
        <v>263</v>
      </c>
      <c r="B448" s="351" t="s">
        <v>607</v>
      </c>
      <c r="C448" s="352" t="s">
        <v>286</v>
      </c>
      <c r="D448" s="353">
        <v>36800</v>
      </c>
      <c r="E448" s="570" t="s">
        <v>608</v>
      </c>
      <c r="F448" s="572"/>
      <c r="G448" s="572"/>
      <c r="H448" s="572"/>
      <c r="I448" s="572"/>
      <c r="J448" s="354">
        <v>3082718.49</v>
      </c>
    </row>
    <row r="449" spans="1:10" s="351" customFormat="1" ht="13.2" x14ac:dyDescent="0.25">
      <c r="A449" s="351" t="s">
        <v>263</v>
      </c>
      <c r="B449" s="351" t="s">
        <v>607</v>
      </c>
      <c r="C449" s="352" t="s">
        <v>286</v>
      </c>
      <c r="D449" s="353">
        <v>36800</v>
      </c>
      <c r="E449" s="570" t="s">
        <v>608</v>
      </c>
      <c r="F449" s="572"/>
      <c r="G449" s="572"/>
      <c r="H449" s="572"/>
      <c r="I449" s="572"/>
      <c r="J449" s="354">
        <v>15942052.77</v>
      </c>
    </row>
    <row r="450" spans="1:10" s="351" customFormat="1" ht="13.2" x14ac:dyDescent="0.25">
      <c r="A450" s="351" t="s">
        <v>265</v>
      </c>
      <c r="B450" s="351" t="s">
        <v>607</v>
      </c>
      <c r="C450" s="352" t="s">
        <v>286</v>
      </c>
      <c r="D450" s="353">
        <v>36800</v>
      </c>
      <c r="E450" s="570" t="s">
        <v>608</v>
      </c>
      <c r="F450" s="572"/>
      <c r="G450" s="572"/>
      <c r="H450" s="572"/>
      <c r="J450" s="354">
        <v>-4548464.04</v>
      </c>
    </row>
    <row r="451" spans="1:10" s="351" customFormat="1" ht="13.2" x14ac:dyDescent="0.25">
      <c r="A451" s="351" t="s">
        <v>265</v>
      </c>
      <c r="B451" s="351" t="s">
        <v>607</v>
      </c>
      <c r="C451" s="352" t="s">
        <v>286</v>
      </c>
      <c r="D451" s="353">
        <v>36800</v>
      </c>
      <c r="E451" s="570" t="s">
        <v>608</v>
      </c>
      <c r="F451" s="572"/>
      <c r="G451" s="572"/>
      <c r="H451" s="572"/>
      <c r="J451" s="354">
        <v>-1137116.01</v>
      </c>
    </row>
    <row r="452" spans="1:10" s="351" customFormat="1" ht="13.2" x14ac:dyDescent="0.25">
      <c r="A452" s="351" t="s">
        <v>265</v>
      </c>
      <c r="B452" s="351" t="s">
        <v>607</v>
      </c>
      <c r="C452" s="352" t="s">
        <v>286</v>
      </c>
      <c r="D452" s="353">
        <v>36800</v>
      </c>
      <c r="E452" s="570" t="s">
        <v>608</v>
      </c>
      <c r="F452" s="572"/>
      <c r="G452" s="572"/>
      <c r="H452" s="572"/>
      <c r="I452" s="572"/>
      <c r="J452" s="354">
        <v>-60935.75</v>
      </c>
    </row>
    <row r="453" spans="1:10" s="351" customFormat="1" ht="13.2" x14ac:dyDescent="0.25">
      <c r="A453" s="351" t="s">
        <v>263</v>
      </c>
      <c r="B453" s="351" t="s">
        <v>609</v>
      </c>
      <c r="C453" s="352" t="s">
        <v>286</v>
      </c>
      <c r="D453" s="353">
        <v>36800</v>
      </c>
      <c r="E453" s="570" t="s">
        <v>610</v>
      </c>
      <c r="F453" s="572"/>
      <c r="G453" s="572"/>
      <c r="H453" s="572"/>
      <c r="I453" s="572"/>
      <c r="J453" s="354">
        <v>2900.52</v>
      </c>
    </row>
    <row r="454" spans="1:10" s="351" customFormat="1" ht="12.75" customHeight="1" x14ac:dyDescent="0.25">
      <c r="A454" s="351" t="s">
        <v>263</v>
      </c>
      <c r="B454" s="351" t="s">
        <v>609</v>
      </c>
      <c r="C454" s="352" t="s">
        <v>286</v>
      </c>
      <c r="D454" s="353">
        <v>36800</v>
      </c>
      <c r="E454" s="570" t="s">
        <v>610</v>
      </c>
      <c r="F454" s="570"/>
      <c r="G454" s="570"/>
      <c r="H454" s="570"/>
      <c r="I454" s="570"/>
      <c r="J454" s="354">
        <v>15065.01</v>
      </c>
    </row>
    <row r="455" spans="1:10" s="351" customFormat="1" ht="12.75" customHeight="1" x14ac:dyDescent="0.25">
      <c r="A455" s="351" t="s">
        <v>263</v>
      </c>
      <c r="B455" s="351" t="s">
        <v>609</v>
      </c>
      <c r="C455" s="352" t="s">
        <v>286</v>
      </c>
      <c r="D455" s="353">
        <v>36800</v>
      </c>
      <c r="E455" s="570" t="s">
        <v>610</v>
      </c>
      <c r="F455" s="570"/>
      <c r="G455" s="570"/>
      <c r="H455" s="570"/>
      <c r="I455" s="570"/>
      <c r="J455" s="354">
        <v>28451.200000000001</v>
      </c>
    </row>
    <row r="456" spans="1:10" s="351" customFormat="1" x14ac:dyDescent="0.25">
      <c r="A456" s="351" t="s">
        <v>265</v>
      </c>
      <c r="B456" s="351" t="s">
        <v>609</v>
      </c>
      <c r="C456" s="352" t="s">
        <v>286</v>
      </c>
      <c r="D456" s="353">
        <v>36800</v>
      </c>
      <c r="E456" s="570" t="s">
        <v>610</v>
      </c>
      <c r="F456" s="570"/>
      <c r="G456" s="570"/>
      <c r="H456" s="570"/>
      <c r="I456" s="570"/>
      <c r="J456" s="354">
        <v>-14308.88</v>
      </c>
    </row>
    <row r="457" spans="1:10" s="351" customFormat="1" x14ac:dyDescent="0.25">
      <c r="A457" s="351" t="s">
        <v>274</v>
      </c>
      <c r="B457" s="351" t="s">
        <v>611</v>
      </c>
      <c r="C457" s="352" t="s">
        <v>276</v>
      </c>
      <c r="D457" s="353">
        <v>36800</v>
      </c>
      <c r="E457" s="570" t="s">
        <v>612</v>
      </c>
      <c r="F457" s="570"/>
      <c r="G457" s="570"/>
      <c r="H457" s="570"/>
      <c r="I457" s="570"/>
      <c r="J457" s="354">
        <v>1081.5</v>
      </c>
    </row>
    <row r="458" spans="1:10" s="351" customFormat="1" x14ac:dyDescent="0.25">
      <c r="A458" s="351" t="s">
        <v>265</v>
      </c>
      <c r="B458" s="351" t="s">
        <v>493</v>
      </c>
      <c r="C458" s="352" t="s">
        <v>279</v>
      </c>
      <c r="D458" s="353">
        <v>36770</v>
      </c>
      <c r="E458" s="351" t="s">
        <v>613</v>
      </c>
      <c r="J458" s="354">
        <v>1800</v>
      </c>
    </row>
    <row r="459" spans="1:10" s="351" customFormat="1" x14ac:dyDescent="0.25">
      <c r="A459" s="351" t="s">
        <v>263</v>
      </c>
      <c r="B459" s="351" t="s">
        <v>305</v>
      </c>
      <c r="C459" s="352" t="s">
        <v>276</v>
      </c>
      <c r="D459" s="353">
        <v>36800</v>
      </c>
      <c r="E459" s="351" t="s">
        <v>614</v>
      </c>
      <c r="J459" s="354">
        <v>26920.98</v>
      </c>
    </row>
    <row r="460" spans="1:10" s="351" customFormat="1" x14ac:dyDescent="0.25">
      <c r="A460" s="351" t="s">
        <v>274</v>
      </c>
      <c r="B460" s="351" t="s">
        <v>305</v>
      </c>
      <c r="C460" s="352" t="s">
        <v>276</v>
      </c>
      <c r="D460" s="353">
        <v>36800</v>
      </c>
      <c r="E460" s="351" t="s">
        <v>615</v>
      </c>
      <c r="J460" s="354">
        <v>-96700</v>
      </c>
    </row>
    <row r="461" spans="1:10" s="351" customFormat="1" x14ac:dyDescent="0.25">
      <c r="A461" s="351" t="s">
        <v>274</v>
      </c>
      <c r="B461" s="351" t="s">
        <v>305</v>
      </c>
      <c r="C461" s="352" t="s">
        <v>276</v>
      </c>
      <c r="D461" s="353">
        <v>36800</v>
      </c>
      <c r="E461" s="351" t="s">
        <v>616</v>
      </c>
      <c r="J461" s="354">
        <v>-48350</v>
      </c>
    </row>
    <row r="462" spans="1:10" s="351" customFormat="1" x14ac:dyDescent="0.25">
      <c r="A462" s="351" t="s">
        <v>274</v>
      </c>
      <c r="B462" s="351" t="s">
        <v>305</v>
      </c>
      <c r="C462" s="352" t="s">
        <v>276</v>
      </c>
      <c r="D462" s="353">
        <v>36800</v>
      </c>
      <c r="E462" s="351" t="s">
        <v>617</v>
      </c>
      <c r="J462" s="354">
        <v>-48250</v>
      </c>
    </row>
    <row r="463" spans="1:10" s="351" customFormat="1" ht="22.5" customHeight="1" x14ac:dyDescent="0.25">
      <c r="A463" s="351" t="s">
        <v>265</v>
      </c>
      <c r="B463" s="351" t="s">
        <v>618</v>
      </c>
      <c r="C463" s="352" t="s">
        <v>272</v>
      </c>
      <c r="D463" s="353">
        <v>36800</v>
      </c>
      <c r="E463" s="570" t="s">
        <v>619</v>
      </c>
      <c r="F463" s="570"/>
      <c r="G463" s="570"/>
      <c r="H463" s="570"/>
      <c r="I463" s="570"/>
      <c r="J463" s="354">
        <v>-2640</v>
      </c>
    </row>
    <row r="464" spans="1:10" s="351" customFormat="1" x14ac:dyDescent="0.25">
      <c r="A464" s="351" t="s">
        <v>553</v>
      </c>
      <c r="B464" s="351" t="s">
        <v>620</v>
      </c>
      <c r="C464" s="352" t="s">
        <v>276</v>
      </c>
      <c r="D464" s="353">
        <v>36800</v>
      </c>
      <c r="E464" s="351" t="s">
        <v>621</v>
      </c>
      <c r="J464" s="354">
        <v>-64797.05</v>
      </c>
    </row>
    <row r="465" spans="1:10" s="351" customFormat="1" ht="10.5" customHeight="1" x14ac:dyDescent="0.25">
      <c r="A465" s="351" t="s">
        <v>265</v>
      </c>
      <c r="B465" s="351" t="s">
        <v>496</v>
      </c>
      <c r="C465" s="352" t="s">
        <v>286</v>
      </c>
      <c r="D465" s="353">
        <v>36800</v>
      </c>
      <c r="E465" s="351" t="s">
        <v>622</v>
      </c>
      <c r="J465" s="354">
        <v>2357.8000000000002</v>
      </c>
    </row>
    <row r="466" spans="1:10" s="351" customFormat="1" ht="12" customHeight="1" x14ac:dyDescent="0.25">
      <c r="A466" s="351" t="s">
        <v>553</v>
      </c>
      <c r="B466" s="351" t="s">
        <v>497</v>
      </c>
      <c r="C466" s="352" t="s">
        <v>276</v>
      </c>
      <c r="D466" s="353">
        <v>36800</v>
      </c>
      <c r="E466" s="351" t="s">
        <v>623</v>
      </c>
      <c r="J466" s="354">
        <v>262080</v>
      </c>
    </row>
    <row r="467" spans="1:10" s="351" customFormat="1" ht="24" customHeight="1" x14ac:dyDescent="0.25">
      <c r="A467" s="351" t="s">
        <v>265</v>
      </c>
      <c r="B467" s="351" t="s">
        <v>497</v>
      </c>
      <c r="C467" s="352" t="s">
        <v>279</v>
      </c>
      <c r="D467" s="353">
        <v>36800</v>
      </c>
      <c r="E467" s="570" t="s">
        <v>624</v>
      </c>
      <c r="F467" s="570"/>
      <c r="G467" s="570"/>
      <c r="H467" s="570"/>
      <c r="I467" s="570"/>
      <c r="J467" s="354">
        <v>2380.75</v>
      </c>
    </row>
    <row r="468" spans="1:10" s="351" customFormat="1" ht="12.75" customHeight="1" x14ac:dyDescent="0.25">
      <c r="A468" s="351" t="s">
        <v>263</v>
      </c>
      <c r="B468" s="351" t="s">
        <v>342</v>
      </c>
      <c r="C468" s="352" t="s">
        <v>325</v>
      </c>
      <c r="D468" s="353">
        <v>36800</v>
      </c>
      <c r="E468" s="351" t="s">
        <v>625</v>
      </c>
      <c r="J468" s="354">
        <v>-1781.39</v>
      </c>
    </row>
    <row r="469" spans="1:10" s="351" customFormat="1" ht="12" customHeight="1" x14ac:dyDescent="0.25">
      <c r="A469" s="351" t="s">
        <v>263</v>
      </c>
      <c r="B469" s="351" t="s">
        <v>626</v>
      </c>
      <c r="C469" s="352" t="s">
        <v>276</v>
      </c>
      <c r="D469" s="353">
        <v>36800</v>
      </c>
      <c r="E469" s="351" t="s">
        <v>627</v>
      </c>
      <c r="J469" s="354">
        <v>13813</v>
      </c>
    </row>
    <row r="470" spans="1:10" s="351" customFormat="1" ht="12" customHeight="1" x14ac:dyDescent="0.25">
      <c r="A470" s="351" t="s">
        <v>553</v>
      </c>
      <c r="B470" s="351" t="s">
        <v>505</v>
      </c>
      <c r="C470" s="352" t="s">
        <v>276</v>
      </c>
      <c r="D470" s="353">
        <v>36708</v>
      </c>
      <c r="E470" s="351" t="s">
        <v>628</v>
      </c>
      <c r="J470" s="354">
        <v>-42400</v>
      </c>
    </row>
    <row r="471" spans="1:10" s="351" customFormat="1" ht="24" customHeight="1" x14ac:dyDescent="0.25">
      <c r="A471" s="351" t="s">
        <v>263</v>
      </c>
      <c r="B471" s="351" t="s">
        <v>505</v>
      </c>
      <c r="C471" s="352" t="s">
        <v>279</v>
      </c>
      <c r="D471" s="353">
        <v>36739</v>
      </c>
      <c r="E471" s="570" t="s">
        <v>629</v>
      </c>
      <c r="F471" s="570"/>
      <c r="G471" s="570"/>
      <c r="H471" s="570"/>
      <c r="I471" s="570"/>
      <c r="J471" s="354">
        <v>-532972.03</v>
      </c>
    </row>
    <row r="472" spans="1:10" s="351" customFormat="1" x14ac:dyDescent="0.25">
      <c r="A472" s="351" t="s">
        <v>263</v>
      </c>
      <c r="B472" s="351" t="s">
        <v>505</v>
      </c>
      <c r="C472" s="352" t="s">
        <v>279</v>
      </c>
      <c r="D472" s="353">
        <v>36800</v>
      </c>
      <c r="E472" s="351" t="s">
        <v>630</v>
      </c>
      <c r="J472" s="354">
        <v>80763</v>
      </c>
    </row>
    <row r="473" spans="1:10" s="351" customFormat="1" ht="21.75" customHeight="1" x14ac:dyDescent="0.25">
      <c r="A473" s="351" t="s">
        <v>265</v>
      </c>
      <c r="B473" s="351" t="s">
        <v>505</v>
      </c>
      <c r="C473" s="352" t="s">
        <v>279</v>
      </c>
      <c r="D473" s="353">
        <v>36800</v>
      </c>
      <c r="E473" s="570" t="s">
        <v>631</v>
      </c>
      <c r="F473" s="570"/>
      <c r="G473" s="570"/>
      <c r="H473" s="570"/>
      <c r="I473" s="570"/>
      <c r="J473" s="354">
        <v>-27383.62</v>
      </c>
    </row>
    <row r="474" spans="1:10" s="351" customFormat="1" x14ac:dyDescent="0.25">
      <c r="A474" s="351" t="s">
        <v>265</v>
      </c>
      <c r="B474" s="351" t="s">
        <v>632</v>
      </c>
      <c r="C474" s="352" t="s">
        <v>303</v>
      </c>
      <c r="D474" s="353">
        <v>36800</v>
      </c>
      <c r="E474" s="351" t="s">
        <v>633</v>
      </c>
      <c r="J474" s="354">
        <v>-27383.56</v>
      </c>
    </row>
    <row r="475" spans="1:10" s="351" customFormat="1" x14ac:dyDescent="0.25">
      <c r="A475" s="351" t="s">
        <v>265</v>
      </c>
      <c r="B475" s="351" t="s">
        <v>634</v>
      </c>
      <c r="C475" s="352" t="s">
        <v>267</v>
      </c>
      <c r="D475" s="353">
        <v>36800</v>
      </c>
      <c r="E475" s="351" t="s">
        <v>635</v>
      </c>
      <c r="J475" s="354">
        <v>-2983.23</v>
      </c>
    </row>
    <row r="476" spans="1:10" s="351" customFormat="1" ht="33.75" customHeight="1" x14ac:dyDescent="0.25">
      <c r="A476" s="351" t="s">
        <v>263</v>
      </c>
      <c r="B476" s="351" t="s">
        <v>345</v>
      </c>
      <c r="C476" s="352" t="s">
        <v>513</v>
      </c>
      <c r="D476" s="353">
        <v>36800</v>
      </c>
      <c r="E476" s="570" t="s">
        <v>636</v>
      </c>
      <c r="F476" s="570"/>
      <c r="G476" s="570"/>
      <c r="H476" s="570"/>
      <c r="I476" s="570"/>
      <c r="J476" s="354">
        <v>4507.71</v>
      </c>
    </row>
    <row r="477" spans="1:10" s="351" customFormat="1" ht="24" customHeight="1" x14ac:dyDescent="0.25">
      <c r="A477" s="351" t="s">
        <v>265</v>
      </c>
      <c r="B477" s="351" t="s">
        <v>345</v>
      </c>
      <c r="C477" s="352" t="s">
        <v>513</v>
      </c>
      <c r="D477" s="353">
        <v>36800</v>
      </c>
      <c r="E477" s="570" t="s">
        <v>637</v>
      </c>
      <c r="F477" s="570"/>
      <c r="G477" s="570"/>
      <c r="H477" s="570"/>
      <c r="I477" s="570"/>
      <c r="J477" s="354">
        <v>2790.09</v>
      </c>
    </row>
    <row r="478" spans="1:10" s="351" customFormat="1" ht="21" customHeight="1" x14ac:dyDescent="0.25">
      <c r="A478" s="351" t="s">
        <v>265</v>
      </c>
      <c r="B478" s="351" t="s">
        <v>348</v>
      </c>
      <c r="C478" s="352" t="s">
        <v>267</v>
      </c>
      <c r="D478" s="353">
        <v>36770</v>
      </c>
      <c r="E478" s="570" t="s">
        <v>638</v>
      </c>
      <c r="F478" s="570"/>
      <c r="G478" s="570"/>
      <c r="H478" s="570"/>
      <c r="I478" s="570"/>
      <c r="J478" s="354">
        <v>-92278.32</v>
      </c>
    </row>
    <row r="479" spans="1:10" s="351" customFormat="1" ht="12" customHeight="1" x14ac:dyDescent="0.25">
      <c r="A479" s="351" t="s">
        <v>310</v>
      </c>
      <c r="B479" s="351" t="s">
        <v>514</v>
      </c>
      <c r="C479" s="352" t="s">
        <v>267</v>
      </c>
      <c r="D479" s="353">
        <v>36708</v>
      </c>
      <c r="E479" s="351" t="s">
        <v>639</v>
      </c>
      <c r="J479" s="354">
        <v>29817.9</v>
      </c>
    </row>
    <row r="480" spans="1:10" s="351" customFormat="1" x14ac:dyDescent="0.25">
      <c r="A480" s="351" t="s">
        <v>310</v>
      </c>
      <c r="B480" s="351" t="s">
        <v>514</v>
      </c>
      <c r="C480" s="352" t="s">
        <v>267</v>
      </c>
      <c r="D480" s="353">
        <v>36739</v>
      </c>
      <c r="E480" s="351" t="s">
        <v>635</v>
      </c>
      <c r="J480" s="354">
        <v>1080</v>
      </c>
    </row>
    <row r="481" spans="1:10" s="351" customFormat="1" x14ac:dyDescent="0.25">
      <c r="A481" s="351" t="s">
        <v>310</v>
      </c>
      <c r="B481" s="351" t="s">
        <v>514</v>
      </c>
      <c r="C481" s="352" t="s">
        <v>267</v>
      </c>
      <c r="D481" s="353">
        <v>36739</v>
      </c>
      <c r="E481" s="351" t="s">
        <v>635</v>
      </c>
      <c r="J481" s="354">
        <v>31304.7</v>
      </c>
    </row>
    <row r="482" spans="1:10" s="351" customFormat="1" x14ac:dyDescent="0.25">
      <c r="A482" s="351" t="s">
        <v>265</v>
      </c>
      <c r="B482" s="351" t="s">
        <v>514</v>
      </c>
      <c r="C482" s="352" t="s">
        <v>267</v>
      </c>
      <c r="D482" s="353">
        <v>36739</v>
      </c>
      <c r="E482" s="351" t="s">
        <v>635</v>
      </c>
      <c r="J482" s="354">
        <v>-1006.12</v>
      </c>
    </row>
    <row r="483" spans="1:10" s="351" customFormat="1" x14ac:dyDescent="0.25">
      <c r="A483" s="351" t="s">
        <v>310</v>
      </c>
      <c r="B483" s="351" t="s">
        <v>514</v>
      </c>
      <c r="C483" s="352" t="s">
        <v>267</v>
      </c>
      <c r="D483" s="353">
        <v>36770</v>
      </c>
      <c r="E483" s="351" t="s">
        <v>635</v>
      </c>
      <c r="J483" s="354">
        <v>-2080</v>
      </c>
    </row>
    <row r="484" spans="1:10" s="351" customFormat="1" x14ac:dyDescent="0.25">
      <c r="A484" s="351" t="s">
        <v>310</v>
      </c>
      <c r="B484" s="351" t="s">
        <v>514</v>
      </c>
      <c r="C484" s="352" t="s">
        <v>267</v>
      </c>
      <c r="D484" s="353">
        <v>36770</v>
      </c>
      <c r="E484" s="351" t="s">
        <v>635</v>
      </c>
      <c r="J484" s="354">
        <v>-1248</v>
      </c>
    </row>
    <row r="485" spans="1:10" s="351" customFormat="1" x14ac:dyDescent="0.25">
      <c r="A485" s="351" t="s">
        <v>265</v>
      </c>
      <c r="B485" s="351" t="s">
        <v>514</v>
      </c>
      <c r="C485" s="352" t="s">
        <v>267</v>
      </c>
      <c r="D485" s="353">
        <v>36770</v>
      </c>
      <c r="E485" s="351" t="s">
        <v>635</v>
      </c>
      <c r="J485" s="354">
        <v>45045.68</v>
      </c>
    </row>
    <row r="486" spans="1:10" s="351" customFormat="1" x14ac:dyDescent="0.25">
      <c r="A486" s="351" t="s">
        <v>310</v>
      </c>
      <c r="B486" s="351" t="s">
        <v>514</v>
      </c>
      <c r="C486" s="352" t="s">
        <v>267</v>
      </c>
      <c r="D486" s="353">
        <v>36800</v>
      </c>
      <c r="E486" s="351" t="s">
        <v>635</v>
      </c>
      <c r="J486" s="354">
        <v>135570.5</v>
      </c>
    </row>
    <row r="487" spans="1:10" s="351" customFormat="1" x14ac:dyDescent="0.25">
      <c r="A487" s="351" t="s">
        <v>263</v>
      </c>
      <c r="B487" s="351" t="s">
        <v>514</v>
      </c>
      <c r="C487" s="352" t="s">
        <v>267</v>
      </c>
      <c r="D487" s="353">
        <v>36800</v>
      </c>
      <c r="E487" s="351" t="s">
        <v>635</v>
      </c>
      <c r="J487" s="354">
        <v>-1979.25</v>
      </c>
    </row>
    <row r="488" spans="1:10" s="351" customFormat="1" x14ac:dyDescent="0.25">
      <c r="A488" s="351" t="s">
        <v>265</v>
      </c>
      <c r="B488" s="351" t="s">
        <v>514</v>
      </c>
      <c r="C488" s="352" t="s">
        <v>267</v>
      </c>
      <c r="D488" s="353">
        <v>36800</v>
      </c>
      <c r="E488" s="351" t="s">
        <v>635</v>
      </c>
      <c r="J488" s="354">
        <v>1558.53</v>
      </c>
    </row>
    <row r="489" spans="1:10" s="351" customFormat="1" x14ac:dyDescent="0.25">
      <c r="A489" s="351" t="s">
        <v>265</v>
      </c>
      <c r="B489" s="351" t="s">
        <v>514</v>
      </c>
      <c r="C489" s="352" t="s">
        <v>267</v>
      </c>
      <c r="D489" s="353">
        <v>36800</v>
      </c>
      <c r="E489" s="351" t="s">
        <v>635</v>
      </c>
      <c r="J489" s="354">
        <v>1568.97</v>
      </c>
    </row>
    <row r="490" spans="1:10" s="351" customFormat="1" x14ac:dyDescent="0.25">
      <c r="A490" s="351" t="s">
        <v>265</v>
      </c>
      <c r="B490" s="351" t="s">
        <v>514</v>
      </c>
      <c r="C490" s="352" t="s">
        <v>267</v>
      </c>
      <c r="D490" s="353">
        <v>36800</v>
      </c>
      <c r="E490" s="351" t="s">
        <v>635</v>
      </c>
      <c r="J490" s="354">
        <v>3896.5</v>
      </c>
    </row>
    <row r="491" spans="1:10" s="351" customFormat="1" x14ac:dyDescent="0.25">
      <c r="A491" s="351" t="s">
        <v>265</v>
      </c>
      <c r="B491" s="351" t="s">
        <v>514</v>
      </c>
      <c r="C491" s="352" t="s">
        <v>267</v>
      </c>
      <c r="D491" s="353">
        <v>36800</v>
      </c>
      <c r="E491" s="351" t="s">
        <v>635</v>
      </c>
      <c r="J491" s="354">
        <v>7178.56</v>
      </c>
    </row>
    <row r="492" spans="1:10" s="351" customFormat="1" x14ac:dyDescent="0.25">
      <c r="A492" s="351" t="s">
        <v>265</v>
      </c>
      <c r="B492" s="351" t="s">
        <v>640</v>
      </c>
      <c r="C492" s="352" t="s">
        <v>276</v>
      </c>
      <c r="D492" s="353">
        <v>36800</v>
      </c>
      <c r="E492" s="351" t="s">
        <v>641</v>
      </c>
      <c r="J492" s="354">
        <v>3000</v>
      </c>
    </row>
    <row r="493" spans="1:10" s="351" customFormat="1" x14ac:dyDescent="0.25">
      <c r="A493" s="351" t="s">
        <v>263</v>
      </c>
      <c r="B493" s="351" t="s">
        <v>642</v>
      </c>
      <c r="C493" s="352" t="s">
        <v>261</v>
      </c>
      <c r="D493" s="353">
        <v>36800</v>
      </c>
      <c r="E493" s="351" t="s">
        <v>643</v>
      </c>
      <c r="J493" s="354">
        <v>5150.05</v>
      </c>
    </row>
    <row r="494" spans="1:10" s="351" customFormat="1" x14ac:dyDescent="0.25">
      <c r="A494" s="351" t="s">
        <v>265</v>
      </c>
      <c r="B494" s="351" t="s">
        <v>644</v>
      </c>
      <c r="C494" s="352" t="s">
        <v>303</v>
      </c>
      <c r="D494" s="353">
        <v>36800</v>
      </c>
      <c r="E494" s="351" t="s">
        <v>645</v>
      </c>
      <c r="J494" s="354">
        <v>-306126</v>
      </c>
    </row>
    <row r="495" spans="1:10" s="351" customFormat="1" x14ac:dyDescent="0.25">
      <c r="A495" s="351" t="s">
        <v>263</v>
      </c>
      <c r="B495" s="351" t="s">
        <v>646</v>
      </c>
      <c r="C495" s="352" t="s">
        <v>286</v>
      </c>
      <c r="D495" s="353">
        <v>36770</v>
      </c>
      <c r="E495" s="351" t="s">
        <v>648</v>
      </c>
      <c r="J495" s="354">
        <v>-1681221.18</v>
      </c>
    </row>
    <row r="496" spans="1:10" s="351" customFormat="1" x14ac:dyDescent="0.25">
      <c r="A496" s="351" t="s">
        <v>263</v>
      </c>
      <c r="B496" s="351" t="s">
        <v>646</v>
      </c>
      <c r="C496" s="352" t="s">
        <v>286</v>
      </c>
      <c r="D496" s="353">
        <v>36770</v>
      </c>
      <c r="E496" s="351" t="s">
        <v>648</v>
      </c>
      <c r="J496" s="354">
        <v>1630701.46</v>
      </c>
    </row>
    <row r="497" spans="1:10" s="351" customFormat="1" x14ac:dyDescent="0.25">
      <c r="A497" s="351" t="s">
        <v>263</v>
      </c>
      <c r="B497" s="351" t="s">
        <v>646</v>
      </c>
      <c r="C497" s="352" t="s">
        <v>286</v>
      </c>
      <c r="D497" s="353">
        <v>36800</v>
      </c>
      <c r="E497" s="351" t="s">
        <v>649</v>
      </c>
      <c r="J497" s="354">
        <v>-548580.53</v>
      </c>
    </row>
    <row r="498" spans="1:10" s="351" customFormat="1" x14ac:dyDescent="0.25">
      <c r="A498" s="351" t="s">
        <v>263</v>
      </c>
      <c r="B498" s="351" t="s">
        <v>646</v>
      </c>
      <c r="C498" s="352" t="s">
        <v>286</v>
      </c>
      <c r="D498" s="353">
        <v>36800</v>
      </c>
      <c r="E498" s="351" t="s">
        <v>649</v>
      </c>
      <c r="J498" s="354">
        <v>-130273.62</v>
      </c>
    </row>
    <row r="499" spans="1:10" s="351" customFormat="1" ht="25.5" customHeight="1" x14ac:dyDescent="0.25">
      <c r="A499" s="351" t="s">
        <v>310</v>
      </c>
      <c r="B499" s="351" t="s">
        <v>518</v>
      </c>
      <c r="C499" s="352" t="s">
        <v>325</v>
      </c>
      <c r="D499" s="353">
        <v>36770</v>
      </c>
      <c r="E499" s="570" t="s">
        <v>650</v>
      </c>
      <c r="F499" s="570"/>
      <c r="G499" s="570"/>
      <c r="H499" s="570"/>
      <c r="I499" s="570"/>
      <c r="J499" s="354">
        <v>1859931.5</v>
      </c>
    </row>
    <row r="500" spans="1:10" s="351" customFormat="1" ht="21.75" customHeight="1" x14ac:dyDescent="0.25">
      <c r="A500" s="351" t="s">
        <v>263</v>
      </c>
      <c r="B500" s="351" t="s">
        <v>651</v>
      </c>
      <c r="C500" s="352" t="s">
        <v>286</v>
      </c>
      <c r="D500" s="353">
        <v>36800</v>
      </c>
      <c r="E500" s="570" t="s">
        <v>652</v>
      </c>
      <c r="F500" s="570"/>
      <c r="G500" s="570"/>
      <c r="H500" s="570"/>
      <c r="I500" s="570"/>
      <c r="J500" s="354">
        <v>-51600</v>
      </c>
    </row>
    <row r="501" spans="1:10" s="351" customFormat="1" ht="12" customHeight="1" x14ac:dyDescent="0.25">
      <c r="A501" s="351" t="s">
        <v>310</v>
      </c>
      <c r="B501" s="351" t="s">
        <v>291</v>
      </c>
      <c r="C501" s="352" t="s">
        <v>276</v>
      </c>
      <c r="D501" s="353">
        <v>36678</v>
      </c>
      <c r="E501" s="351" t="s">
        <v>653</v>
      </c>
      <c r="J501" s="354">
        <v>512500</v>
      </c>
    </row>
    <row r="502" spans="1:10" s="351" customFormat="1" x14ac:dyDescent="0.25">
      <c r="A502" s="351" t="s">
        <v>310</v>
      </c>
      <c r="B502" s="351" t="s">
        <v>291</v>
      </c>
      <c r="C502" s="352" t="s">
        <v>276</v>
      </c>
      <c r="D502" s="353">
        <v>36800</v>
      </c>
      <c r="E502" s="351" t="s">
        <v>654</v>
      </c>
      <c r="J502" s="354">
        <v>1256250</v>
      </c>
    </row>
    <row r="503" spans="1:10" s="351" customFormat="1" x14ac:dyDescent="0.25">
      <c r="A503" s="351" t="s">
        <v>263</v>
      </c>
      <c r="B503" s="351" t="s">
        <v>338</v>
      </c>
      <c r="C503" s="352" t="s">
        <v>303</v>
      </c>
      <c r="D503" s="353">
        <v>36800</v>
      </c>
      <c r="E503" s="351" t="s">
        <v>655</v>
      </c>
      <c r="J503" s="354">
        <v>32526.799999999999</v>
      </c>
    </row>
    <row r="504" spans="1:10" s="351" customFormat="1" x14ac:dyDescent="0.25">
      <c r="A504" s="351" t="s">
        <v>265</v>
      </c>
      <c r="B504" s="351" t="s">
        <v>527</v>
      </c>
      <c r="C504" s="352" t="s">
        <v>276</v>
      </c>
      <c r="D504" s="353">
        <v>36800</v>
      </c>
      <c r="E504" s="351" t="s">
        <v>656</v>
      </c>
      <c r="J504" s="354">
        <v>2042.25</v>
      </c>
    </row>
    <row r="505" spans="1:10" s="351" customFormat="1" x14ac:dyDescent="0.25">
      <c r="A505" s="351" t="s">
        <v>288</v>
      </c>
      <c r="B505" s="351" t="s">
        <v>289</v>
      </c>
      <c r="C505" s="352" t="s">
        <v>276</v>
      </c>
      <c r="D505" s="353">
        <v>36800</v>
      </c>
      <c r="E505" s="351" t="s">
        <v>657</v>
      </c>
      <c r="J505" s="354">
        <v>-2500</v>
      </c>
    </row>
    <row r="506" spans="1:10" s="351" customFormat="1" x14ac:dyDescent="0.25">
      <c r="A506" s="351" t="s">
        <v>361</v>
      </c>
      <c r="B506" s="351" t="s">
        <v>289</v>
      </c>
      <c r="C506" s="352" t="s">
        <v>276</v>
      </c>
      <c r="D506" s="353">
        <v>36800</v>
      </c>
      <c r="E506" s="351" t="s">
        <v>658</v>
      </c>
      <c r="J506" s="354">
        <v>83333</v>
      </c>
    </row>
    <row r="507" spans="1:10" s="351" customFormat="1" x14ac:dyDescent="0.25">
      <c r="A507" s="351" t="s">
        <v>553</v>
      </c>
      <c r="B507" s="351" t="s">
        <v>659</v>
      </c>
      <c r="C507" s="352" t="s">
        <v>276</v>
      </c>
      <c r="D507" s="353">
        <v>36800</v>
      </c>
      <c r="E507" s="351" t="s">
        <v>660</v>
      </c>
      <c r="J507" s="354">
        <v>137760</v>
      </c>
    </row>
    <row r="508" spans="1:10" s="351" customFormat="1" ht="24.75" customHeight="1" x14ac:dyDescent="0.25">
      <c r="A508" s="351" t="s">
        <v>263</v>
      </c>
      <c r="B508" s="351" t="s">
        <v>661</v>
      </c>
      <c r="C508" s="352" t="s">
        <v>279</v>
      </c>
      <c r="D508" s="353">
        <v>36800</v>
      </c>
      <c r="E508" s="570" t="s">
        <v>662</v>
      </c>
      <c r="F508" s="570"/>
      <c r="G508" s="570"/>
      <c r="H508" s="570"/>
      <c r="I508" s="570"/>
      <c r="J508" s="354">
        <v>-2756</v>
      </c>
    </row>
    <row r="509" spans="1:10" s="351" customFormat="1" ht="24.75" customHeight="1" x14ac:dyDescent="0.25">
      <c r="A509" s="351" t="s">
        <v>265</v>
      </c>
      <c r="B509" s="351" t="s">
        <v>661</v>
      </c>
      <c r="C509" s="352" t="s">
        <v>279</v>
      </c>
      <c r="D509" s="353">
        <v>36800</v>
      </c>
      <c r="E509" s="570" t="s">
        <v>663</v>
      </c>
      <c r="F509" s="570"/>
      <c r="G509" s="570"/>
      <c r="H509" s="570"/>
      <c r="I509" s="570"/>
      <c r="J509" s="354">
        <v>-8400</v>
      </c>
    </row>
    <row r="510" spans="1:10" s="351" customFormat="1" ht="24" customHeight="1" x14ac:dyDescent="0.25">
      <c r="A510" s="351" t="s">
        <v>263</v>
      </c>
      <c r="B510" s="351" t="s">
        <v>536</v>
      </c>
      <c r="C510" s="352" t="s">
        <v>286</v>
      </c>
      <c r="D510" s="353">
        <v>36800</v>
      </c>
      <c r="E510" s="570" t="s">
        <v>664</v>
      </c>
      <c r="F510" s="570"/>
      <c r="G510" s="570"/>
      <c r="H510" s="570"/>
      <c r="I510" s="570"/>
      <c r="J510" s="354">
        <v>-3279.16</v>
      </c>
    </row>
    <row r="511" spans="1:10" s="351" customFormat="1" x14ac:dyDescent="0.25">
      <c r="A511" s="351" t="s">
        <v>553</v>
      </c>
      <c r="B511" s="351" t="s">
        <v>665</v>
      </c>
      <c r="C511" s="352" t="s">
        <v>276</v>
      </c>
      <c r="D511" s="353">
        <v>36495</v>
      </c>
      <c r="E511" s="351" t="s">
        <v>666</v>
      </c>
      <c r="J511" s="354">
        <v>-36960</v>
      </c>
    </row>
    <row r="512" spans="1:10" s="351" customFormat="1" x14ac:dyDescent="0.25">
      <c r="A512" s="351" t="s">
        <v>265</v>
      </c>
      <c r="B512" s="351" t="s">
        <v>665</v>
      </c>
      <c r="C512" s="352" t="s">
        <v>267</v>
      </c>
      <c r="D512" s="353">
        <v>36739</v>
      </c>
      <c r="E512" s="351" t="s">
        <v>667</v>
      </c>
      <c r="J512" s="354">
        <v>532972.05000000005</v>
      </c>
    </row>
    <row r="513" spans="1:10" s="351" customFormat="1" ht="24" customHeight="1" x14ac:dyDescent="0.25">
      <c r="B513" s="351" t="s">
        <v>668</v>
      </c>
      <c r="C513" s="352" t="s">
        <v>267</v>
      </c>
      <c r="D513" s="353">
        <v>36434</v>
      </c>
      <c r="E513" s="570" t="s">
        <v>669</v>
      </c>
      <c r="F513" s="570"/>
      <c r="G513" s="570"/>
      <c r="H513" s="570"/>
      <c r="I513" s="570"/>
      <c r="J513" s="354">
        <v>2327.5</v>
      </c>
    </row>
    <row r="514" spans="1:10" s="351" customFormat="1" x14ac:dyDescent="0.25">
      <c r="B514" s="351" t="s">
        <v>668</v>
      </c>
      <c r="C514" s="352" t="s">
        <v>267</v>
      </c>
      <c r="D514" s="353">
        <v>36495</v>
      </c>
      <c r="E514" s="351" t="s">
        <v>669</v>
      </c>
      <c r="J514" s="354">
        <v>-2668.2</v>
      </c>
    </row>
    <row r="515" spans="1:10" s="351" customFormat="1" x14ac:dyDescent="0.25">
      <c r="B515" s="351" t="s">
        <v>668</v>
      </c>
      <c r="C515" s="352" t="s">
        <v>267</v>
      </c>
      <c r="D515" s="353">
        <v>36557</v>
      </c>
      <c r="E515" s="351" t="s">
        <v>669</v>
      </c>
      <c r="J515" s="354">
        <v>-1034.3699999999999</v>
      </c>
    </row>
    <row r="516" spans="1:10" s="351" customFormat="1" x14ac:dyDescent="0.25">
      <c r="B516" s="351" t="s">
        <v>668</v>
      </c>
      <c r="C516" s="352" t="s">
        <v>267</v>
      </c>
      <c r="D516" s="353">
        <v>36617</v>
      </c>
      <c r="E516" s="351" t="s">
        <v>669</v>
      </c>
      <c r="J516" s="354">
        <v>-168152.63</v>
      </c>
    </row>
    <row r="517" spans="1:10" s="351" customFormat="1" x14ac:dyDescent="0.25">
      <c r="B517" s="351" t="s">
        <v>668</v>
      </c>
      <c r="C517" s="352" t="s">
        <v>267</v>
      </c>
      <c r="D517" s="353">
        <v>36708</v>
      </c>
      <c r="E517" s="351" t="s">
        <v>669</v>
      </c>
      <c r="J517" s="354">
        <v>-78541.55</v>
      </c>
    </row>
    <row r="518" spans="1:10" s="351" customFormat="1" x14ac:dyDescent="0.25">
      <c r="B518" s="351" t="s">
        <v>668</v>
      </c>
      <c r="C518" s="352" t="s">
        <v>267</v>
      </c>
      <c r="D518" s="353">
        <v>36739</v>
      </c>
      <c r="E518" s="351" t="s">
        <v>669</v>
      </c>
      <c r="J518" s="354">
        <v>-195176.51</v>
      </c>
    </row>
    <row r="519" spans="1:10" s="351" customFormat="1" x14ac:dyDescent="0.25">
      <c r="B519" s="351" t="s">
        <v>668</v>
      </c>
      <c r="C519" s="352" t="s">
        <v>267</v>
      </c>
      <c r="D519" s="353">
        <v>36770</v>
      </c>
      <c r="E519" s="351" t="s">
        <v>669</v>
      </c>
      <c r="J519" s="354">
        <v>661339.5400000005</v>
      </c>
    </row>
    <row r="520" spans="1:10" s="351" customFormat="1" x14ac:dyDescent="0.25">
      <c r="B520" s="351" t="s">
        <v>668</v>
      </c>
      <c r="C520" s="352" t="s">
        <v>267</v>
      </c>
      <c r="D520" s="353">
        <v>36800</v>
      </c>
      <c r="E520" s="351" t="s">
        <v>669</v>
      </c>
      <c r="J520" s="354">
        <v>1251431.55</v>
      </c>
    </row>
    <row r="521" spans="1:10" s="351" customFormat="1" x14ac:dyDescent="0.25">
      <c r="B521" s="351" t="s">
        <v>670</v>
      </c>
      <c r="C521" s="352" t="s">
        <v>267</v>
      </c>
      <c r="D521" s="353">
        <v>36647</v>
      </c>
      <c r="E521" s="351" t="s">
        <v>669</v>
      </c>
      <c r="J521" s="354">
        <v>-9019.4699999999993</v>
      </c>
    </row>
    <row r="522" spans="1:10" s="351" customFormat="1" x14ac:dyDescent="0.25">
      <c r="B522" s="351" t="s">
        <v>670</v>
      </c>
      <c r="C522" s="352" t="s">
        <v>267</v>
      </c>
      <c r="D522" s="353">
        <v>36708</v>
      </c>
      <c r="E522" s="351" t="s">
        <v>669</v>
      </c>
      <c r="J522" s="354">
        <v>795006</v>
      </c>
    </row>
    <row r="523" spans="1:10" s="351" customFormat="1" x14ac:dyDescent="0.25">
      <c r="B523" s="351" t="s">
        <v>670</v>
      </c>
      <c r="C523" s="352" t="s">
        <v>267</v>
      </c>
      <c r="D523" s="353">
        <v>36770</v>
      </c>
      <c r="E523" s="351" t="s">
        <v>669</v>
      </c>
      <c r="J523" s="354">
        <v>7951543.3099999996</v>
      </c>
    </row>
    <row r="524" spans="1:10" s="351" customFormat="1" x14ac:dyDescent="0.25">
      <c r="B524" s="351" t="s">
        <v>670</v>
      </c>
      <c r="C524" s="352" t="s">
        <v>267</v>
      </c>
      <c r="D524" s="353">
        <v>36800</v>
      </c>
      <c r="E524" s="351" t="s">
        <v>669</v>
      </c>
      <c r="J524" s="354">
        <v>32654.63</v>
      </c>
    </row>
    <row r="525" spans="1:10" s="351" customFormat="1" x14ac:dyDescent="0.25">
      <c r="A525" s="351" t="s">
        <v>265</v>
      </c>
      <c r="B525" s="351" t="s">
        <v>671</v>
      </c>
      <c r="C525" s="352" t="s">
        <v>286</v>
      </c>
      <c r="D525" s="353">
        <v>36800</v>
      </c>
      <c r="E525" s="351" t="s">
        <v>672</v>
      </c>
      <c r="J525" s="354">
        <v>-6878.27</v>
      </c>
    </row>
    <row r="526" spans="1:10" s="351" customFormat="1" x14ac:dyDescent="0.25">
      <c r="A526" s="351" t="s">
        <v>265</v>
      </c>
      <c r="B526" s="351" t="s">
        <v>275</v>
      </c>
      <c r="C526" s="352" t="s">
        <v>276</v>
      </c>
      <c r="D526" s="353">
        <v>36800</v>
      </c>
      <c r="E526" s="570" t="s">
        <v>673</v>
      </c>
      <c r="F526" s="570"/>
      <c r="G526" s="570"/>
      <c r="H526" s="570"/>
      <c r="I526" s="570"/>
      <c r="J526" s="354">
        <v>1600</v>
      </c>
    </row>
    <row r="527" spans="1:10" s="351" customFormat="1" ht="24.75" customHeight="1" x14ac:dyDescent="0.25">
      <c r="A527" s="351" t="s">
        <v>265</v>
      </c>
      <c r="B527" s="351" t="s">
        <v>266</v>
      </c>
      <c r="C527" s="352" t="s">
        <v>267</v>
      </c>
      <c r="D527" s="353">
        <v>36800</v>
      </c>
      <c r="E527" s="570" t="s">
        <v>674</v>
      </c>
      <c r="F527" s="570"/>
      <c r="G527" s="570"/>
      <c r="H527" s="570"/>
      <c r="I527" s="570"/>
      <c r="J527" s="354">
        <v>14162.06</v>
      </c>
    </row>
    <row r="528" spans="1:10" s="351" customFormat="1" x14ac:dyDescent="0.25">
      <c r="A528" s="351" t="s">
        <v>265</v>
      </c>
      <c r="B528" s="351" t="s">
        <v>329</v>
      </c>
      <c r="C528" s="352" t="s">
        <v>286</v>
      </c>
      <c r="D528" s="353">
        <v>36708</v>
      </c>
      <c r="E528" s="351" t="s">
        <v>675</v>
      </c>
      <c r="J528" s="354">
        <v>4400</v>
      </c>
    </row>
    <row r="529" spans="1:10" s="351" customFormat="1" ht="32.25" customHeight="1" x14ac:dyDescent="0.25">
      <c r="A529" s="351" t="s">
        <v>265</v>
      </c>
      <c r="B529" s="351" t="s">
        <v>547</v>
      </c>
      <c r="C529" s="352" t="s">
        <v>303</v>
      </c>
      <c r="D529" s="353">
        <v>35977</v>
      </c>
      <c r="E529" s="570" t="s">
        <v>676</v>
      </c>
      <c r="F529" s="570"/>
      <c r="G529" s="570"/>
      <c r="H529" s="570"/>
      <c r="I529" s="570"/>
      <c r="J529" s="354">
        <v>-246125.5</v>
      </c>
    </row>
    <row r="530" spans="1:10" s="351" customFormat="1" ht="22.5" customHeight="1" x14ac:dyDescent="0.25">
      <c r="A530" s="351" t="s">
        <v>265</v>
      </c>
      <c r="B530" s="351" t="s">
        <v>547</v>
      </c>
      <c r="C530" s="352" t="s">
        <v>303</v>
      </c>
      <c r="D530" s="353">
        <v>35977</v>
      </c>
      <c r="E530" s="570" t="s">
        <v>677</v>
      </c>
      <c r="F530" s="570"/>
      <c r="G530" s="570"/>
      <c r="H530" s="570"/>
      <c r="I530" s="570"/>
      <c r="J530" s="354">
        <v>-79260.84</v>
      </c>
    </row>
    <row r="531" spans="1:10" x14ac:dyDescent="0.25">
      <c r="A531" s="551"/>
      <c r="B531" s="551" t="s">
        <v>260</v>
      </c>
      <c r="C531" s="555" t="s">
        <v>261</v>
      </c>
      <c r="D531" s="556">
        <v>36678</v>
      </c>
      <c r="E531" s="557" t="s">
        <v>172</v>
      </c>
      <c r="F531" s="551"/>
      <c r="G531" s="558"/>
      <c r="H531" s="559"/>
      <c r="I531" s="559"/>
      <c r="J531" s="558">
        <v>-137512.43</v>
      </c>
    </row>
    <row r="532" spans="1:10" x14ac:dyDescent="0.25">
      <c r="A532" s="551"/>
      <c r="B532" s="551" t="s">
        <v>260</v>
      </c>
      <c r="C532" s="555" t="s">
        <v>261</v>
      </c>
      <c r="D532" s="556">
        <v>36708</v>
      </c>
      <c r="E532" s="557" t="s">
        <v>172</v>
      </c>
      <c r="F532" s="551"/>
      <c r="G532" s="558"/>
      <c r="H532" s="559"/>
      <c r="I532" s="559"/>
      <c r="J532" s="558">
        <v>303196.76</v>
      </c>
    </row>
    <row r="533" spans="1:10" x14ac:dyDescent="0.25">
      <c r="A533" s="551"/>
      <c r="B533" s="551" t="s">
        <v>260</v>
      </c>
      <c r="C533" s="555" t="s">
        <v>261</v>
      </c>
      <c r="D533" s="556">
        <v>36739</v>
      </c>
      <c r="E533" s="557" t="s">
        <v>172</v>
      </c>
      <c r="F533" s="551"/>
      <c r="G533" s="558"/>
      <c r="H533" s="559"/>
      <c r="I533" s="559"/>
      <c r="J533" s="558">
        <v>-133403.64000000001</v>
      </c>
    </row>
    <row r="534" spans="1:10" x14ac:dyDescent="0.25">
      <c r="A534" s="551"/>
      <c r="B534" s="551" t="s">
        <v>260</v>
      </c>
      <c r="C534" s="555" t="s">
        <v>261</v>
      </c>
      <c r="D534" s="556">
        <v>36770</v>
      </c>
      <c r="E534" s="557" t="s">
        <v>172</v>
      </c>
      <c r="F534" s="551"/>
      <c r="G534" s="558"/>
      <c r="H534" s="559"/>
      <c r="I534" s="559"/>
      <c r="J534" s="558">
        <v>262206.49</v>
      </c>
    </row>
    <row r="535" spans="1:10" x14ac:dyDescent="0.25">
      <c r="A535" s="551"/>
      <c r="B535" s="551" t="s">
        <v>260</v>
      </c>
      <c r="C535" s="555" t="s">
        <v>261</v>
      </c>
      <c r="D535" s="556">
        <v>36800</v>
      </c>
      <c r="E535" s="557" t="s">
        <v>172</v>
      </c>
      <c r="F535" s="551"/>
      <c r="G535" s="558"/>
      <c r="H535" s="559"/>
      <c r="I535" s="559"/>
      <c r="J535" s="558">
        <v>-74104.490000000005</v>
      </c>
    </row>
    <row r="536" spans="1:10" s="351" customFormat="1" x14ac:dyDescent="0.25">
      <c r="A536" s="351" t="s">
        <v>265</v>
      </c>
      <c r="B536" s="351" t="s">
        <v>548</v>
      </c>
      <c r="C536" s="352" t="s">
        <v>286</v>
      </c>
      <c r="D536" s="353">
        <v>36678</v>
      </c>
      <c r="E536" s="351" t="s">
        <v>678</v>
      </c>
      <c r="J536" s="354">
        <v>-27679.87</v>
      </c>
    </row>
    <row r="537" spans="1:10" s="351" customFormat="1" x14ac:dyDescent="0.25">
      <c r="A537" s="351" t="s">
        <v>263</v>
      </c>
      <c r="B537" s="351" t="s">
        <v>548</v>
      </c>
      <c r="C537" s="352" t="s">
        <v>286</v>
      </c>
      <c r="D537" s="353">
        <v>36800</v>
      </c>
      <c r="E537" s="351" t="s">
        <v>679</v>
      </c>
      <c r="J537" s="354">
        <v>8688</v>
      </c>
    </row>
    <row r="538" spans="1:10" s="351" customFormat="1" x14ac:dyDescent="0.25">
      <c r="A538" s="351" t="s">
        <v>263</v>
      </c>
      <c r="B538" s="351" t="s">
        <v>548</v>
      </c>
      <c r="C538" s="352" t="s">
        <v>286</v>
      </c>
      <c r="D538" s="353">
        <v>36800</v>
      </c>
      <c r="E538" s="351" t="s">
        <v>680</v>
      </c>
      <c r="J538" s="354">
        <v>47700.26</v>
      </c>
    </row>
    <row r="539" spans="1:10" s="351" customFormat="1" ht="22.5" customHeight="1" x14ac:dyDescent="0.25">
      <c r="A539" s="351" t="s">
        <v>265</v>
      </c>
      <c r="B539" s="351" t="s">
        <v>548</v>
      </c>
      <c r="C539" s="352" t="s">
        <v>286</v>
      </c>
      <c r="D539" s="353">
        <v>36800</v>
      </c>
      <c r="E539" s="570" t="s">
        <v>681</v>
      </c>
      <c r="F539" s="570"/>
      <c r="G539" s="570"/>
      <c r="H539" s="570"/>
      <c r="I539" s="570"/>
      <c r="J539" s="354">
        <v>10737.34</v>
      </c>
    </row>
    <row r="540" spans="1:10" s="351" customFormat="1" x14ac:dyDescent="0.25">
      <c r="A540" s="351" t="s">
        <v>263</v>
      </c>
      <c r="B540" s="351" t="s">
        <v>682</v>
      </c>
      <c r="C540" s="352" t="s">
        <v>267</v>
      </c>
      <c r="D540" s="353">
        <v>36770</v>
      </c>
      <c r="E540" s="351" t="s">
        <v>683</v>
      </c>
      <c r="J540" s="354">
        <v>46080</v>
      </c>
    </row>
    <row r="541" spans="1:10" s="351" customFormat="1" x14ac:dyDescent="0.25">
      <c r="A541" s="351" t="s">
        <v>265</v>
      </c>
      <c r="B541" s="351" t="s">
        <v>684</v>
      </c>
      <c r="C541" s="352" t="s">
        <v>286</v>
      </c>
      <c r="D541" s="353">
        <v>36800</v>
      </c>
      <c r="E541" s="351" t="s">
        <v>685</v>
      </c>
      <c r="J541" s="354">
        <v>-5200</v>
      </c>
    </row>
    <row r="542" spans="1:10" s="351" customFormat="1" x14ac:dyDescent="0.25">
      <c r="A542" s="351" t="s">
        <v>361</v>
      </c>
      <c r="B542" s="351" t="s">
        <v>686</v>
      </c>
      <c r="C542" s="352" t="s">
        <v>276</v>
      </c>
      <c r="D542" s="353">
        <v>36770</v>
      </c>
      <c r="E542" s="351" t="s">
        <v>687</v>
      </c>
      <c r="J542" s="354">
        <v>428400</v>
      </c>
    </row>
    <row r="543" spans="1:10" s="351" customFormat="1" x14ac:dyDescent="0.25">
      <c r="A543" s="351" t="s">
        <v>553</v>
      </c>
      <c r="B543" s="351" t="s">
        <v>686</v>
      </c>
      <c r="C543" s="352" t="s">
        <v>276</v>
      </c>
      <c r="D543" s="353">
        <v>36800</v>
      </c>
      <c r="E543" s="351" t="s">
        <v>688</v>
      </c>
      <c r="J543" s="354">
        <v>47040</v>
      </c>
    </row>
    <row r="544" spans="1:10" s="351" customFormat="1" ht="23.25" customHeight="1" x14ac:dyDescent="0.25">
      <c r="A544" s="351" t="s">
        <v>265</v>
      </c>
      <c r="B544" s="351" t="s">
        <v>689</v>
      </c>
      <c r="C544" s="352" t="s">
        <v>279</v>
      </c>
      <c r="D544" s="353">
        <v>36739</v>
      </c>
      <c r="E544" s="570" t="s">
        <v>690</v>
      </c>
      <c r="F544" s="570"/>
      <c r="G544" s="570"/>
      <c r="H544" s="570"/>
      <c r="I544" s="570"/>
      <c r="J544" s="354">
        <v>-222300</v>
      </c>
    </row>
    <row r="545" spans="1:10" s="351" customFormat="1" ht="23.25" customHeight="1" x14ac:dyDescent="0.25">
      <c r="A545" s="351" t="s">
        <v>265</v>
      </c>
      <c r="B545" s="351" t="s">
        <v>691</v>
      </c>
      <c r="C545" s="352" t="s">
        <v>303</v>
      </c>
      <c r="D545" s="353">
        <v>36800</v>
      </c>
      <c r="E545" s="570" t="s">
        <v>692</v>
      </c>
      <c r="F545" s="570"/>
      <c r="G545" s="570"/>
      <c r="H545" s="570"/>
      <c r="I545" s="570"/>
      <c r="J545" s="354">
        <v>-55420.89</v>
      </c>
    </row>
    <row r="546" spans="1:10" s="351" customFormat="1" ht="11.25" customHeight="1" x14ac:dyDescent="0.25">
      <c r="A546" s="351" t="s">
        <v>263</v>
      </c>
      <c r="B546" s="351" t="s">
        <v>336</v>
      </c>
      <c r="C546" s="352" t="s">
        <v>325</v>
      </c>
      <c r="D546" s="353">
        <v>36800</v>
      </c>
      <c r="E546" s="351" t="s">
        <v>693</v>
      </c>
      <c r="J546" s="354">
        <v>9400.26</v>
      </c>
    </row>
    <row r="547" spans="1:10" s="351" customFormat="1" ht="21.75" customHeight="1" x14ac:dyDescent="0.25">
      <c r="A547" s="351" t="s">
        <v>263</v>
      </c>
      <c r="B547" s="351" t="s">
        <v>271</v>
      </c>
      <c r="C547" s="352" t="s">
        <v>272</v>
      </c>
      <c r="D547" s="353">
        <v>36800</v>
      </c>
      <c r="E547" s="570" t="s">
        <v>694</v>
      </c>
      <c r="F547" s="570"/>
      <c r="G547" s="570"/>
      <c r="H547" s="570"/>
      <c r="I547" s="570"/>
      <c r="J547" s="354">
        <v>162912.4</v>
      </c>
    </row>
    <row r="548" spans="1:10" s="351" customFormat="1" ht="15" customHeight="1" x14ac:dyDescent="0.25">
      <c r="A548" s="351" t="s">
        <v>265</v>
      </c>
      <c r="B548" s="351" t="s">
        <v>560</v>
      </c>
      <c r="C548" s="352" t="s">
        <v>286</v>
      </c>
      <c r="D548" s="353">
        <v>36800</v>
      </c>
      <c r="E548" s="351" t="s">
        <v>695</v>
      </c>
      <c r="J548" s="354">
        <v>1202.95</v>
      </c>
    </row>
    <row r="549" spans="1:10" s="351" customFormat="1" x14ac:dyDescent="0.25">
      <c r="A549" s="351" t="s">
        <v>274</v>
      </c>
      <c r="B549" s="351" t="s">
        <v>299</v>
      </c>
      <c r="C549" s="352" t="s">
        <v>276</v>
      </c>
      <c r="D549" s="353">
        <v>36800</v>
      </c>
      <c r="E549" s="351" t="s">
        <v>696</v>
      </c>
      <c r="J549" s="354">
        <v>-1330.7</v>
      </c>
    </row>
    <row r="550" spans="1:10" s="351" customFormat="1" x14ac:dyDescent="0.25">
      <c r="A550" s="351" t="s">
        <v>274</v>
      </c>
      <c r="B550" s="351" t="s">
        <v>299</v>
      </c>
      <c r="C550" s="352" t="s">
        <v>276</v>
      </c>
      <c r="D550" s="353">
        <v>36800</v>
      </c>
      <c r="E550" s="351" t="s">
        <v>697</v>
      </c>
      <c r="J550" s="354">
        <v>10364.120000000001</v>
      </c>
    </row>
    <row r="551" spans="1:10" s="351" customFormat="1" x14ac:dyDescent="0.25">
      <c r="A551" s="351" t="s">
        <v>265</v>
      </c>
      <c r="B551" s="351" t="s">
        <v>565</v>
      </c>
      <c r="C551" s="352" t="s">
        <v>267</v>
      </c>
      <c r="D551" s="353">
        <v>36800</v>
      </c>
      <c r="E551" s="351" t="s">
        <v>698</v>
      </c>
      <c r="J551" s="354">
        <v>-2880</v>
      </c>
    </row>
    <row r="552" spans="1:10" s="351" customFormat="1" x14ac:dyDescent="0.25">
      <c r="A552" s="351" t="s">
        <v>265</v>
      </c>
      <c r="B552" s="351" t="s">
        <v>567</v>
      </c>
      <c r="C552" s="352" t="s">
        <v>267</v>
      </c>
      <c r="D552" s="353">
        <v>36708</v>
      </c>
      <c r="E552" s="351" t="s">
        <v>699</v>
      </c>
      <c r="J552" s="354">
        <v>-1269.5999999999999</v>
      </c>
    </row>
    <row r="553" spans="1:10" s="351" customFormat="1" x14ac:dyDescent="0.25">
      <c r="A553" s="351" t="s">
        <v>263</v>
      </c>
      <c r="B553" s="351" t="s">
        <v>567</v>
      </c>
      <c r="C553" s="352" t="s">
        <v>267</v>
      </c>
      <c r="D553" s="353">
        <v>36800</v>
      </c>
      <c r="E553" s="351" t="s">
        <v>700</v>
      </c>
      <c r="J553" s="354">
        <v>-1106.73</v>
      </c>
    </row>
    <row r="554" spans="1:10" s="351" customFormat="1" x14ac:dyDescent="0.25">
      <c r="A554" s="351" t="s">
        <v>265</v>
      </c>
      <c r="B554" s="351" t="s">
        <v>567</v>
      </c>
      <c r="C554" s="352" t="s">
        <v>267</v>
      </c>
      <c r="D554" s="353">
        <v>36800</v>
      </c>
      <c r="E554" s="570" t="s">
        <v>701</v>
      </c>
      <c r="F554" s="570"/>
      <c r="G554" s="570"/>
      <c r="H554" s="570"/>
      <c r="I554" s="570"/>
      <c r="J554" s="354">
        <v>1228.43</v>
      </c>
    </row>
    <row r="555" spans="1:10" s="351" customFormat="1" ht="38.25" customHeight="1" x14ac:dyDescent="0.25">
      <c r="A555" s="351" t="s">
        <v>274</v>
      </c>
      <c r="B555" s="351" t="s">
        <v>702</v>
      </c>
      <c r="C555" s="352" t="s">
        <v>286</v>
      </c>
      <c r="D555" s="353">
        <v>36800</v>
      </c>
      <c r="E555" s="570" t="s">
        <v>703</v>
      </c>
      <c r="F555" s="570"/>
      <c r="G555" s="570"/>
      <c r="H555" s="570"/>
      <c r="I555" s="570"/>
      <c r="J555" s="354">
        <v>-172577.59</v>
      </c>
    </row>
    <row r="556" spans="1:10" s="351" customFormat="1" x14ac:dyDescent="0.25">
      <c r="A556" s="351" t="s">
        <v>265</v>
      </c>
      <c r="B556" s="351" t="s">
        <v>704</v>
      </c>
      <c r="C556" s="352" t="s">
        <v>303</v>
      </c>
      <c r="D556" s="353">
        <v>36800</v>
      </c>
      <c r="E556" s="351" t="s">
        <v>705</v>
      </c>
      <c r="J556" s="354">
        <v>-1800</v>
      </c>
    </row>
    <row r="557" spans="1:10" s="351" customFormat="1" x14ac:dyDescent="0.25">
      <c r="A557" s="351" t="s">
        <v>263</v>
      </c>
      <c r="B557" s="351" t="s">
        <v>706</v>
      </c>
      <c r="C557" s="352" t="s">
        <v>261</v>
      </c>
      <c r="D557" s="353">
        <v>36800</v>
      </c>
      <c r="E557" s="351" t="s">
        <v>707</v>
      </c>
      <c r="J557" s="354">
        <v>-45200</v>
      </c>
    </row>
    <row r="558" spans="1:10" s="351" customFormat="1" x14ac:dyDescent="0.25">
      <c r="A558" s="351" t="s">
        <v>263</v>
      </c>
      <c r="B558" s="351" t="s">
        <v>708</v>
      </c>
      <c r="C558" s="352" t="s">
        <v>303</v>
      </c>
      <c r="D558" s="353">
        <v>36800</v>
      </c>
      <c r="E558" s="351" t="s">
        <v>709</v>
      </c>
      <c r="J558" s="354">
        <v>-1496.25</v>
      </c>
    </row>
    <row r="559" spans="1:10" s="351" customFormat="1" x14ac:dyDescent="0.25">
      <c r="A559" s="351" t="s">
        <v>265</v>
      </c>
      <c r="B559" s="351" t="s">
        <v>708</v>
      </c>
      <c r="C559" s="352" t="s">
        <v>303</v>
      </c>
      <c r="D559" s="353">
        <v>36800</v>
      </c>
      <c r="E559" s="351" t="s">
        <v>710</v>
      </c>
      <c r="J559" s="354">
        <v>12800</v>
      </c>
    </row>
    <row r="560" spans="1:10" s="351" customFormat="1" x14ac:dyDescent="0.25">
      <c r="A560" s="351" t="s">
        <v>553</v>
      </c>
      <c r="B560" s="351" t="s">
        <v>711</v>
      </c>
      <c r="C560" s="352" t="s">
        <v>276</v>
      </c>
      <c r="D560" s="353">
        <v>36800</v>
      </c>
      <c r="E560" s="351" t="s">
        <v>712</v>
      </c>
      <c r="J560" s="354">
        <v>117600</v>
      </c>
    </row>
    <row r="561" spans="1:10" s="351" customFormat="1" ht="24" customHeight="1" x14ac:dyDescent="0.25">
      <c r="B561" s="351" t="s">
        <v>713</v>
      </c>
      <c r="C561" s="352" t="s">
        <v>267</v>
      </c>
      <c r="D561" s="353">
        <v>36708</v>
      </c>
      <c r="E561" s="570" t="s">
        <v>669</v>
      </c>
      <c r="F561" s="570"/>
      <c r="G561" s="570"/>
      <c r="H561" s="570"/>
      <c r="I561" s="570"/>
      <c r="J561" s="354">
        <v>-3216854.8</v>
      </c>
    </row>
    <row r="562" spans="1:10" s="351" customFormat="1" x14ac:dyDescent="0.25">
      <c r="B562" s="351" t="s">
        <v>713</v>
      </c>
      <c r="C562" s="352" t="s">
        <v>267</v>
      </c>
      <c r="D562" s="353">
        <v>36770</v>
      </c>
      <c r="E562" s="570" t="s">
        <v>669</v>
      </c>
      <c r="F562" s="570"/>
      <c r="G562" s="570"/>
      <c r="H562" s="570"/>
      <c r="I562" s="570"/>
      <c r="J562" s="354">
        <v>-11510.4</v>
      </c>
    </row>
    <row r="563" spans="1:10" s="351" customFormat="1" x14ac:dyDescent="0.25">
      <c r="B563" s="351" t="s">
        <v>713</v>
      </c>
      <c r="C563" s="352" t="s">
        <v>267</v>
      </c>
      <c r="D563" s="353">
        <v>36800</v>
      </c>
      <c r="E563" s="570" t="s">
        <v>669</v>
      </c>
      <c r="F563" s="570"/>
      <c r="G563" s="570"/>
      <c r="H563" s="570"/>
      <c r="I563" s="570"/>
      <c r="J563" s="354">
        <v>-641202.35</v>
      </c>
    </row>
    <row r="564" spans="1:10" s="351" customFormat="1" ht="23.25" customHeight="1" x14ac:dyDescent="0.25">
      <c r="A564" s="351" t="s">
        <v>263</v>
      </c>
      <c r="B564" s="351" t="s">
        <v>350</v>
      </c>
      <c r="C564" s="352" t="s">
        <v>279</v>
      </c>
      <c r="D564" s="353">
        <v>36800</v>
      </c>
      <c r="E564" s="570" t="s">
        <v>714</v>
      </c>
      <c r="F564" s="570"/>
      <c r="G564" s="570"/>
      <c r="H564" s="570"/>
      <c r="I564" s="570"/>
      <c r="J564" s="354">
        <v>14714.83</v>
      </c>
    </row>
    <row r="565" spans="1:10" s="351" customFormat="1" x14ac:dyDescent="0.25">
      <c r="A565" s="351" t="s">
        <v>263</v>
      </c>
      <c r="B565" s="351" t="s">
        <v>573</v>
      </c>
      <c r="C565" s="352" t="s">
        <v>276</v>
      </c>
      <c r="D565" s="353">
        <v>35977</v>
      </c>
      <c r="E565" s="351" t="s">
        <v>715</v>
      </c>
      <c r="J565" s="354">
        <v>31757</v>
      </c>
    </row>
    <row r="566" spans="1:10" s="351" customFormat="1" ht="21.75" customHeight="1" x14ac:dyDescent="0.25">
      <c r="A566" s="351" t="s">
        <v>265</v>
      </c>
      <c r="B566" s="351" t="s">
        <v>573</v>
      </c>
      <c r="C566" s="352" t="s">
        <v>276</v>
      </c>
      <c r="D566" s="353">
        <v>35977</v>
      </c>
      <c r="E566" s="570" t="s">
        <v>716</v>
      </c>
      <c r="F566" s="570"/>
      <c r="G566" s="570"/>
      <c r="H566" s="570"/>
      <c r="I566" s="570"/>
      <c r="J566" s="354">
        <v>-266533</v>
      </c>
    </row>
    <row r="567" spans="1:10" s="351" customFormat="1" x14ac:dyDescent="0.25">
      <c r="A567" s="351" t="s">
        <v>361</v>
      </c>
      <c r="B567" s="351" t="s">
        <v>573</v>
      </c>
      <c r="C567" s="352" t="s">
        <v>276</v>
      </c>
      <c r="D567" s="353">
        <v>36708</v>
      </c>
      <c r="E567" s="351" t="s">
        <v>717</v>
      </c>
      <c r="J567" s="354">
        <v>184800</v>
      </c>
    </row>
    <row r="568" spans="1:10" s="351" customFormat="1" x14ac:dyDescent="0.25">
      <c r="A568" s="351" t="s">
        <v>310</v>
      </c>
      <c r="B568" s="351" t="s">
        <v>573</v>
      </c>
      <c r="C568" s="352" t="s">
        <v>718</v>
      </c>
      <c r="D568" s="353">
        <v>36800</v>
      </c>
      <c r="E568" s="351" t="s">
        <v>719</v>
      </c>
      <c r="J568" s="354">
        <v>-1937925</v>
      </c>
    </row>
    <row r="569" spans="1:10" s="351" customFormat="1" x14ac:dyDescent="0.25">
      <c r="A569" s="351" t="s">
        <v>263</v>
      </c>
      <c r="B569" s="351" t="s">
        <v>573</v>
      </c>
      <c r="C569" s="352" t="s">
        <v>276</v>
      </c>
      <c r="D569" s="353">
        <v>36800</v>
      </c>
      <c r="E569" s="351" t="s">
        <v>720</v>
      </c>
      <c r="J569" s="354">
        <v>134605</v>
      </c>
    </row>
    <row r="570" spans="1:10" s="351" customFormat="1" x14ac:dyDescent="0.25">
      <c r="A570" s="351" t="s">
        <v>265</v>
      </c>
      <c r="B570" s="351" t="s">
        <v>573</v>
      </c>
      <c r="C570" s="352" t="s">
        <v>276</v>
      </c>
      <c r="D570" s="353">
        <v>36800</v>
      </c>
      <c r="E570" s="351" t="s">
        <v>721</v>
      </c>
      <c r="J570" s="354">
        <v>-82150.77</v>
      </c>
    </row>
    <row r="571" spans="1:10" s="351" customFormat="1" x14ac:dyDescent="0.25">
      <c r="A571" s="351" t="s">
        <v>263</v>
      </c>
      <c r="B571" s="351" t="s">
        <v>722</v>
      </c>
      <c r="C571" s="352" t="s">
        <v>353</v>
      </c>
      <c r="D571" s="353">
        <v>36800</v>
      </c>
      <c r="E571" s="351" t="s">
        <v>723</v>
      </c>
      <c r="J571" s="354">
        <v>9245.5</v>
      </c>
    </row>
    <row r="572" spans="1:10" s="351" customFormat="1" x14ac:dyDescent="0.25">
      <c r="A572" s="351" t="s">
        <v>263</v>
      </c>
      <c r="B572" s="351" t="s">
        <v>722</v>
      </c>
      <c r="C572" s="352" t="s">
        <v>353</v>
      </c>
      <c r="D572" s="353">
        <v>36800</v>
      </c>
      <c r="E572" s="351" t="s">
        <v>724</v>
      </c>
      <c r="J572" s="354">
        <v>18480.36</v>
      </c>
    </row>
    <row r="573" spans="1:10" s="351" customFormat="1" x14ac:dyDescent="0.25">
      <c r="A573" s="351" t="s">
        <v>265</v>
      </c>
      <c r="B573" s="351" t="s">
        <v>722</v>
      </c>
      <c r="C573" s="352" t="s">
        <v>353</v>
      </c>
      <c r="D573" s="353">
        <v>36800</v>
      </c>
      <c r="E573" s="351" t="s">
        <v>725</v>
      </c>
      <c r="J573" s="354">
        <v>-8800</v>
      </c>
    </row>
    <row r="574" spans="1:10" s="351" customFormat="1" x14ac:dyDescent="0.25">
      <c r="A574" s="351" t="s">
        <v>265</v>
      </c>
      <c r="B574" s="351" t="s">
        <v>722</v>
      </c>
      <c r="C574" s="352" t="s">
        <v>353</v>
      </c>
      <c r="D574" s="353">
        <v>36800</v>
      </c>
      <c r="E574" s="351" t="s">
        <v>726</v>
      </c>
      <c r="J574" s="354">
        <v>-4400</v>
      </c>
    </row>
    <row r="575" spans="1:10" s="351" customFormat="1" ht="22.5" customHeight="1" x14ac:dyDescent="0.25">
      <c r="A575" s="351" t="s">
        <v>265</v>
      </c>
      <c r="B575" s="351" t="s">
        <v>352</v>
      </c>
      <c r="C575" s="352" t="s">
        <v>353</v>
      </c>
      <c r="D575" s="353">
        <v>36800</v>
      </c>
      <c r="E575" s="570" t="s">
        <v>727</v>
      </c>
      <c r="F575" s="570"/>
      <c r="G575" s="570"/>
      <c r="H575" s="570"/>
      <c r="I575" s="570"/>
      <c r="J575" s="354">
        <v>-14227.2</v>
      </c>
    </row>
    <row r="576" spans="1:10" s="351" customFormat="1" x14ac:dyDescent="0.25">
      <c r="A576" s="351" t="s">
        <v>263</v>
      </c>
      <c r="B576" s="351" t="s">
        <v>728</v>
      </c>
      <c r="C576" s="352" t="s">
        <v>286</v>
      </c>
      <c r="D576" s="353">
        <v>36800</v>
      </c>
      <c r="E576" s="351" t="s">
        <v>729</v>
      </c>
      <c r="J576" s="354">
        <v>23511</v>
      </c>
    </row>
    <row r="577" spans="1:11" s="351" customFormat="1" ht="25.5" customHeight="1" x14ac:dyDescent="0.25">
      <c r="A577" s="351" t="s">
        <v>263</v>
      </c>
      <c r="B577" s="351" t="s">
        <v>334</v>
      </c>
      <c r="C577" s="352" t="s">
        <v>286</v>
      </c>
      <c r="D577" s="353">
        <v>36800</v>
      </c>
      <c r="E577" s="570" t="s">
        <v>730</v>
      </c>
      <c r="F577" s="570"/>
      <c r="G577" s="570"/>
      <c r="H577" s="570"/>
      <c r="I577" s="570"/>
      <c r="J577" s="354">
        <v>-1045.3699999999999</v>
      </c>
    </row>
    <row r="578" spans="1:11" s="351" customFormat="1" ht="22.5" customHeight="1" x14ac:dyDescent="0.25">
      <c r="A578" s="351" t="s">
        <v>263</v>
      </c>
      <c r="B578" s="351" t="s">
        <v>332</v>
      </c>
      <c r="C578" s="352" t="s">
        <v>286</v>
      </c>
      <c r="D578" s="353">
        <v>36800</v>
      </c>
      <c r="E578" s="570" t="s">
        <v>731</v>
      </c>
      <c r="F578" s="570"/>
      <c r="G578" s="570"/>
      <c r="H578" s="570"/>
      <c r="I578" s="570"/>
      <c r="J578" s="354">
        <v>4520.21</v>
      </c>
    </row>
    <row r="579" spans="1:11" x14ac:dyDescent="0.25">
      <c r="D579" s="356"/>
      <c r="J579" s="231"/>
    </row>
    <row r="580" spans="1:11" x14ac:dyDescent="0.25">
      <c r="D580" s="356"/>
      <c r="J580" s="231"/>
      <c r="K580" s="263">
        <f>SUM(J425:J578)</f>
        <v>23081547.379999999</v>
      </c>
    </row>
    <row r="581" spans="1:11" x14ac:dyDescent="0.25">
      <c r="A581" s="343" t="s">
        <v>732</v>
      </c>
      <c r="D581" s="356"/>
      <c r="J581" s="231"/>
    </row>
    <row r="582" spans="1:11" x14ac:dyDescent="0.25">
      <c r="A582" s="343" t="s">
        <v>361</v>
      </c>
      <c r="B582" s="8" t="s">
        <v>763</v>
      </c>
      <c r="C582" s="214" t="s">
        <v>325</v>
      </c>
      <c r="D582" s="356">
        <v>36770</v>
      </c>
      <c r="E582" s="216" t="s">
        <v>1023</v>
      </c>
      <c r="J582" s="231">
        <v>512080</v>
      </c>
    </row>
    <row r="583" spans="1:11" s="245" customFormat="1" x14ac:dyDescent="0.25">
      <c r="A583" s="245" t="s">
        <v>265</v>
      </c>
      <c r="B583" s="245" t="s">
        <v>733</v>
      </c>
      <c r="C583" s="246" t="s">
        <v>272</v>
      </c>
      <c r="D583" s="247">
        <v>36800</v>
      </c>
      <c r="E583" s="245" t="s">
        <v>734</v>
      </c>
      <c r="J583" s="248">
        <v>536924.56000000006</v>
      </c>
    </row>
    <row r="584" spans="1:11" s="245" customFormat="1" x14ac:dyDescent="0.25">
      <c r="A584" s="245" t="s">
        <v>265</v>
      </c>
      <c r="B584" s="245" t="s">
        <v>735</v>
      </c>
      <c r="C584" s="246" t="s">
        <v>325</v>
      </c>
      <c r="D584" s="247">
        <v>36800</v>
      </c>
      <c r="E584" s="245" t="s">
        <v>736</v>
      </c>
      <c r="J584" s="248">
        <v>14323.42</v>
      </c>
    </row>
    <row r="585" spans="1:11" s="245" customFormat="1" x14ac:dyDescent="0.25">
      <c r="A585" s="245" t="s">
        <v>288</v>
      </c>
      <c r="B585" s="245" t="s">
        <v>737</v>
      </c>
      <c r="C585" s="246" t="s">
        <v>353</v>
      </c>
      <c r="D585" s="247">
        <v>36800</v>
      </c>
      <c r="E585" s="245" t="s">
        <v>738</v>
      </c>
      <c r="J585" s="248">
        <v>1937925</v>
      </c>
    </row>
    <row r="586" spans="1:11" s="245" customFormat="1" ht="24.75" customHeight="1" x14ac:dyDescent="0.25">
      <c r="A586" s="245" t="s">
        <v>310</v>
      </c>
      <c r="B586" s="245" t="s">
        <v>737</v>
      </c>
      <c r="C586" s="246" t="s">
        <v>353</v>
      </c>
      <c r="D586" s="247">
        <v>36800</v>
      </c>
      <c r="E586" s="570" t="s">
        <v>739</v>
      </c>
      <c r="F586" s="570"/>
      <c r="G586" s="570"/>
      <c r="H586" s="570"/>
      <c r="I586" s="570"/>
      <c r="J586" s="248">
        <v>-6782.74</v>
      </c>
    </row>
    <row r="587" spans="1:11" s="245" customFormat="1" x14ac:dyDescent="0.25">
      <c r="A587" s="245" t="s">
        <v>361</v>
      </c>
      <c r="B587" s="245" t="s">
        <v>514</v>
      </c>
      <c r="C587" s="246" t="s">
        <v>276</v>
      </c>
      <c r="D587" s="247">
        <v>36800</v>
      </c>
      <c r="E587" s="245" t="s">
        <v>740</v>
      </c>
      <c r="J587" s="248">
        <v>510000</v>
      </c>
    </row>
    <row r="588" spans="1:11" s="245" customFormat="1" x14ac:dyDescent="0.25">
      <c r="A588" s="245" t="s">
        <v>263</v>
      </c>
      <c r="B588" s="245" t="s">
        <v>741</v>
      </c>
      <c r="C588" s="246" t="s">
        <v>742</v>
      </c>
      <c r="D588" s="247">
        <v>36800</v>
      </c>
      <c r="E588" s="245" t="s">
        <v>743</v>
      </c>
      <c r="J588" s="248">
        <v>1249600</v>
      </c>
    </row>
    <row r="589" spans="1:11" s="245" customFormat="1" x14ac:dyDescent="0.25">
      <c r="A589" s="245" t="s">
        <v>263</v>
      </c>
      <c r="B589" s="245" t="s">
        <v>741</v>
      </c>
      <c r="C589" s="246" t="s">
        <v>272</v>
      </c>
      <c r="D589" s="247">
        <v>36800</v>
      </c>
      <c r="E589" s="245" t="s">
        <v>743</v>
      </c>
      <c r="J589" s="248">
        <v>1803120</v>
      </c>
    </row>
    <row r="590" spans="1:11" s="245" customFormat="1" x14ac:dyDescent="0.25">
      <c r="A590" s="245" t="s">
        <v>265</v>
      </c>
      <c r="B590" s="245" t="s">
        <v>741</v>
      </c>
      <c r="C590" s="246" t="s">
        <v>744</v>
      </c>
      <c r="D590" s="247">
        <v>36800</v>
      </c>
      <c r="E590" s="245" t="s">
        <v>743</v>
      </c>
      <c r="J590" s="248">
        <v>-3449600</v>
      </c>
    </row>
    <row r="591" spans="1:11" s="245" customFormat="1" x14ac:dyDescent="0.25">
      <c r="A591" s="245" t="s">
        <v>263</v>
      </c>
      <c r="B591" s="245" t="s">
        <v>745</v>
      </c>
      <c r="C591" s="246" t="s">
        <v>272</v>
      </c>
      <c r="D591" s="247">
        <v>36800</v>
      </c>
      <c r="E591" s="245" t="s">
        <v>746</v>
      </c>
      <c r="J591" s="248">
        <v>-60</v>
      </c>
    </row>
    <row r="592" spans="1:11" s="245" customFormat="1" x14ac:dyDescent="0.25">
      <c r="A592" s="245" t="s">
        <v>747</v>
      </c>
      <c r="B592" s="245" t="s">
        <v>745</v>
      </c>
      <c r="C592" s="246" t="s">
        <v>272</v>
      </c>
      <c r="D592" s="247">
        <v>36800</v>
      </c>
      <c r="E592" s="245" t="s">
        <v>748</v>
      </c>
      <c r="J592" s="248">
        <v>-9</v>
      </c>
    </row>
    <row r="593" spans="1:11" s="245" customFormat="1" x14ac:dyDescent="0.25">
      <c r="A593" s="245" t="s">
        <v>553</v>
      </c>
      <c r="B593" s="245" t="s">
        <v>665</v>
      </c>
      <c r="C593" s="246" t="s">
        <v>276</v>
      </c>
      <c r="D593" s="247">
        <v>36800</v>
      </c>
      <c r="E593" s="245" t="s">
        <v>740</v>
      </c>
      <c r="J593" s="248">
        <v>-255000</v>
      </c>
    </row>
    <row r="594" spans="1:11" s="245" customFormat="1" x14ac:dyDescent="0.25">
      <c r="A594" s="245" t="s">
        <v>265</v>
      </c>
      <c r="B594" s="245" t="s">
        <v>749</v>
      </c>
      <c r="C594" s="246" t="s">
        <v>325</v>
      </c>
      <c r="D594" s="247">
        <v>36770</v>
      </c>
      <c r="E594" s="245" t="s">
        <v>750</v>
      </c>
      <c r="J594" s="248">
        <v>-2901653.58</v>
      </c>
    </row>
    <row r="595" spans="1:11" s="245" customFormat="1" x14ac:dyDescent="0.25">
      <c r="A595" s="245" t="s">
        <v>553</v>
      </c>
      <c r="B595" s="245" t="s">
        <v>689</v>
      </c>
      <c r="C595" s="246" t="s">
        <v>276</v>
      </c>
      <c r="D595" s="247">
        <v>36800</v>
      </c>
      <c r="E595" s="245" t="s">
        <v>740</v>
      </c>
      <c r="J595" s="248">
        <v>-770000</v>
      </c>
    </row>
    <row r="596" spans="1:11" s="245" customFormat="1" x14ac:dyDescent="0.25">
      <c r="C596" s="246"/>
      <c r="D596" s="247"/>
      <c r="J596" s="248"/>
      <c r="K596" s="564">
        <f>SUM(J582:J595)</f>
        <v>-819132.33999999985</v>
      </c>
    </row>
    <row r="597" spans="1:11" s="245" customFormat="1" x14ac:dyDescent="0.25">
      <c r="C597" s="246"/>
      <c r="D597" s="247"/>
      <c r="J597" s="248"/>
    </row>
    <row r="598" spans="1:11" ht="12" x14ac:dyDescent="0.25">
      <c r="A598" s="361" t="s">
        <v>217</v>
      </c>
      <c r="B598" s="362"/>
      <c r="C598" s="363"/>
      <c r="D598" s="364"/>
      <c r="E598" s="365"/>
      <c r="J598" s="231"/>
    </row>
    <row r="599" spans="1:11" ht="11.4" x14ac:dyDescent="0.25">
      <c r="A599" s="86"/>
      <c r="B599" s="362" t="s">
        <v>191</v>
      </c>
      <c r="C599" s="366"/>
      <c r="D599" s="367"/>
      <c r="E599" s="368" t="s">
        <v>751</v>
      </c>
      <c r="J599" s="231"/>
      <c r="K599" s="369">
        <f>SUM(K57)</f>
        <v>12130000.6</v>
      </c>
    </row>
    <row r="600" spans="1:11" ht="13.8" x14ac:dyDescent="0.25">
      <c r="A600" s="370" t="s">
        <v>752</v>
      </c>
      <c r="B600" s="370"/>
      <c r="C600" s="371"/>
      <c r="D600" s="356"/>
      <c r="J600" s="231"/>
    </row>
    <row r="601" spans="1:11" x14ac:dyDescent="0.25">
      <c r="B601" s="343" t="s">
        <v>753</v>
      </c>
      <c r="D601" s="356"/>
      <c r="J601" s="231"/>
    </row>
    <row r="602" spans="1:11" x14ac:dyDescent="0.25">
      <c r="D602" s="356"/>
      <c r="J602" s="231"/>
      <c r="K602" s="372">
        <v>0</v>
      </c>
    </row>
    <row r="603" spans="1:11" x14ac:dyDescent="0.25">
      <c r="B603" s="343" t="s">
        <v>466</v>
      </c>
      <c r="D603" s="356"/>
      <c r="J603" s="231"/>
    </row>
    <row r="604" spans="1:11" x14ac:dyDescent="0.25">
      <c r="C604" s="214" t="s">
        <v>754</v>
      </c>
      <c r="D604" s="356">
        <v>36800</v>
      </c>
      <c r="E604" s="216" t="s">
        <v>755</v>
      </c>
      <c r="J604" s="231">
        <v>179488</v>
      </c>
    </row>
    <row r="605" spans="1:11" x14ac:dyDescent="0.25">
      <c r="B605" s="245" t="s">
        <v>756</v>
      </c>
      <c r="C605" s="214" t="s">
        <v>754</v>
      </c>
      <c r="D605" s="247">
        <v>36770</v>
      </c>
      <c r="E605" s="216" t="s">
        <v>757</v>
      </c>
      <c r="J605" s="231">
        <v>933961</v>
      </c>
      <c r="K605" s="373"/>
    </row>
    <row r="606" spans="1:11" x14ac:dyDescent="0.25">
      <c r="B606" s="245" t="s">
        <v>758</v>
      </c>
      <c r="C606" s="214" t="s">
        <v>754</v>
      </c>
      <c r="D606" s="247">
        <v>36770</v>
      </c>
      <c r="E606" s="216" t="s">
        <v>757</v>
      </c>
      <c r="J606" s="374">
        <v>1312924</v>
      </c>
      <c r="K606" s="373"/>
    </row>
    <row r="607" spans="1:11" ht="21.75" customHeight="1" x14ac:dyDescent="0.25">
      <c r="A607" s="245" t="s">
        <v>288</v>
      </c>
      <c r="B607" s="245" t="s">
        <v>759</v>
      </c>
      <c r="C607" s="246" t="s">
        <v>760</v>
      </c>
      <c r="D607" s="247">
        <v>36770</v>
      </c>
      <c r="E607" s="573" t="s">
        <v>761</v>
      </c>
      <c r="F607" s="575"/>
      <c r="G607" s="575"/>
      <c r="H607" s="575"/>
      <c r="I607" s="575"/>
      <c r="J607" s="375">
        <v>355586</v>
      </c>
      <c r="K607" s="373"/>
    </row>
    <row r="608" spans="1:11" ht="24" customHeight="1" x14ac:dyDescent="0.25">
      <c r="A608" s="245" t="s">
        <v>288</v>
      </c>
      <c r="B608" s="245" t="s">
        <v>759</v>
      </c>
      <c r="C608" s="246" t="s">
        <v>760</v>
      </c>
      <c r="D608" s="247">
        <v>36557</v>
      </c>
      <c r="E608" s="573" t="s">
        <v>761</v>
      </c>
      <c r="F608" s="574"/>
      <c r="G608" s="574"/>
      <c r="H608" s="574"/>
      <c r="I608" s="574"/>
      <c r="J608" s="376">
        <v>-1196747</v>
      </c>
      <c r="K608" s="373"/>
    </row>
    <row r="609" spans="1:13" ht="24" customHeight="1" x14ac:dyDescent="0.25">
      <c r="A609" s="245" t="s">
        <v>288</v>
      </c>
      <c r="B609" s="245" t="s">
        <v>759</v>
      </c>
      <c r="C609" s="246" t="s">
        <v>760</v>
      </c>
      <c r="D609" s="356">
        <v>36617</v>
      </c>
      <c r="E609" s="573" t="s">
        <v>761</v>
      </c>
      <c r="F609" s="574"/>
      <c r="G609" s="574"/>
      <c r="H609" s="574"/>
      <c r="I609" s="574"/>
      <c r="J609" s="376">
        <v>-1029000</v>
      </c>
      <c r="K609" s="373"/>
    </row>
    <row r="610" spans="1:13" ht="22.5" customHeight="1" x14ac:dyDescent="0.25">
      <c r="A610" s="245" t="s">
        <v>288</v>
      </c>
      <c r="B610" s="245" t="s">
        <v>759</v>
      </c>
      <c r="C610" s="246" t="s">
        <v>760</v>
      </c>
      <c r="D610" s="356">
        <v>36678</v>
      </c>
      <c r="E610" s="573" t="s">
        <v>761</v>
      </c>
      <c r="F610" s="574"/>
      <c r="G610" s="574"/>
      <c r="H610" s="574"/>
      <c r="I610" s="574"/>
      <c r="J610" s="376">
        <v>-1028245</v>
      </c>
      <c r="K610" s="373"/>
    </row>
    <row r="611" spans="1:13" ht="22.5" customHeight="1" x14ac:dyDescent="0.25">
      <c r="A611" s="245" t="s">
        <v>288</v>
      </c>
      <c r="B611" s="245" t="s">
        <v>759</v>
      </c>
      <c r="C611" s="246" t="s">
        <v>760</v>
      </c>
      <c r="D611" s="356">
        <v>36708</v>
      </c>
      <c r="E611" s="573" t="s">
        <v>761</v>
      </c>
      <c r="F611" s="574"/>
      <c r="G611" s="574"/>
      <c r="H611" s="574"/>
      <c r="I611" s="574"/>
      <c r="J611" s="376">
        <v>-1033840</v>
      </c>
      <c r="K611" s="373"/>
    </row>
    <row r="612" spans="1:13" x14ac:dyDescent="0.25">
      <c r="B612" s="343" t="s">
        <v>579</v>
      </c>
      <c r="D612" s="356"/>
      <c r="J612" s="231"/>
    </row>
    <row r="614" spans="1:13" x14ac:dyDescent="0.25">
      <c r="K614" s="373">
        <f>SUM(J604:J612)</f>
        <v>-1505873</v>
      </c>
    </row>
    <row r="615" spans="1:13" x14ac:dyDescent="0.25">
      <c r="M615" s="377"/>
    </row>
    <row r="616" spans="1:13" x14ac:dyDescent="0.25">
      <c r="H616" s="378"/>
      <c r="I616" s="378"/>
      <c r="J616" s="379"/>
    </row>
    <row r="617" spans="1:13" ht="13.8" thickBot="1" x14ac:dyDescent="0.3">
      <c r="K617" s="380">
        <f>SUM(K84:K616)-K59-16.74</f>
        <v>-6.4969061241981763E-8</v>
      </c>
    </row>
    <row r="618" spans="1:13" ht="10.8" thickTop="1" x14ac:dyDescent="0.25"/>
  </sheetData>
  <mergeCells count="94">
    <mergeCell ref="E91:I91"/>
    <mergeCell ref="E92:I92"/>
    <mergeCell ref="E94:I94"/>
    <mergeCell ref="E95:I95"/>
    <mergeCell ref="E101:I101"/>
    <mergeCell ref="E102:I102"/>
    <mergeCell ref="E107:I107"/>
    <mergeCell ref="E108:I108"/>
    <mergeCell ref="E96:I96"/>
    <mergeCell ref="E97:I97"/>
    <mergeCell ref="E98:I98"/>
    <mergeCell ref="E100:I100"/>
    <mergeCell ref="E115:I115"/>
    <mergeCell ref="E116:I116"/>
    <mergeCell ref="E117:I117"/>
    <mergeCell ref="E119:I119"/>
    <mergeCell ref="E110:I110"/>
    <mergeCell ref="E111:I111"/>
    <mergeCell ref="E112:I112"/>
    <mergeCell ref="E113:I113"/>
    <mergeCell ref="E131:I131"/>
    <mergeCell ref="E134:I134"/>
    <mergeCell ref="E136:I136"/>
    <mergeCell ref="E125:I125"/>
    <mergeCell ref="E126:I126"/>
    <mergeCell ref="E127:I127"/>
    <mergeCell ref="E130:I130"/>
    <mergeCell ref="E434:I434"/>
    <mergeCell ref="E435:H435"/>
    <mergeCell ref="E436:I436"/>
    <mergeCell ref="E437:I437"/>
    <mergeCell ref="E141:I141"/>
    <mergeCell ref="E146:I146"/>
    <mergeCell ref="E147:I147"/>
    <mergeCell ref="E261:I261"/>
    <mergeCell ref="E153:H153"/>
    <mergeCell ref="E145:I145"/>
    <mergeCell ref="E611:I611"/>
    <mergeCell ref="E609:I609"/>
    <mergeCell ref="E610:I610"/>
    <mergeCell ref="E607:I607"/>
    <mergeCell ref="E271:I271"/>
    <mergeCell ref="E608:I608"/>
    <mergeCell ref="E291:I291"/>
    <mergeCell ref="E305:I305"/>
    <mergeCell ref="E419:I419"/>
    <mergeCell ref="E426:I426"/>
    <mergeCell ref="E449:I449"/>
    <mergeCell ref="E450:H450"/>
    <mergeCell ref="E451:H451"/>
    <mergeCell ref="E452:I452"/>
    <mergeCell ref="E441:I441"/>
    <mergeCell ref="E445:I445"/>
    <mergeCell ref="E447:I447"/>
    <mergeCell ref="E448:I448"/>
    <mergeCell ref="E456:I456"/>
    <mergeCell ref="E457:I457"/>
    <mergeCell ref="E463:I463"/>
    <mergeCell ref="E467:I467"/>
    <mergeCell ref="E453:I453"/>
    <mergeCell ref="E454:I454"/>
    <mergeCell ref="E455:I455"/>
    <mergeCell ref="E478:I478"/>
    <mergeCell ref="E499:I499"/>
    <mergeCell ref="E500:I500"/>
    <mergeCell ref="E508:I508"/>
    <mergeCell ref="E471:I471"/>
    <mergeCell ref="E473:I473"/>
    <mergeCell ref="E476:I476"/>
    <mergeCell ref="E477:I477"/>
    <mergeCell ref="E527:I527"/>
    <mergeCell ref="E529:I529"/>
    <mergeCell ref="E530:I530"/>
    <mergeCell ref="E539:I539"/>
    <mergeCell ref="E509:I509"/>
    <mergeCell ref="E510:I510"/>
    <mergeCell ref="E513:I513"/>
    <mergeCell ref="E526:I526"/>
    <mergeCell ref="E562:I562"/>
    <mergeCell ref="E563:I563"/>
    <mergeCell ref="E544:I544"/>
    <mergeCell ref="E545:I545"/>
    <mergeCell ref="E547:I547"/>
    <mergeCell ref="E554:I554"/>
    <mergeCell ref="E578:I578"/>
    <mergeCell ref="E586:I586"/>
    <mergeCell ref="E137:I137"/>
    <mergeCell ref="E140:I140"/>
    <mergeCell ref="E564:I564"/>
    <mergeCell ref="E566:I566"/>
    <mergeCell ref="E575:I575"/>
    <mergeCell ref="E577:I577"/>
    <mergeCell ref="E555:I555"/>
    <mergeCell ref="E561:I561"/>
  </mergeCells>
  <pageMargins left="0.75" right="0.75" top="1" bottom="1" header="0.5" footer="0.5"/>
  <pageSetup paperSize="5" scale="63" fitToHeight="17" orientation="portrait"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K1441"/>
  <sheetViews>
    <sheetView workbookViewId="0">
      <pane ySplit="3" topLeftCell="A4" activePane="bottomLeft" state="frozen"/>
      <selection activeCell="E259" sqref="E259"/>
      <selection pane="bottomLeft" activeCell="E259" sqref="E259"/>
    </sheetView>
  </sheetViews>
  <sheetFormatPr defaultRowHeight="13.2" x14ac:dyDescent="0.25"/>
  <cols>
    <col min="2" max="2" width="4" customWidth="1"/>
    <col min="3" max="3" width="8.33203125" style="492" customWidth="1"/>
    <col min="4" max="4" width="21.109375" customWidth="1"/>
    <col min="5" max="5" width="4.88671875" customWidth="1"/>
    <col min="6" max="6" width="28.33203125" customWidth="1"/>
    <col min="7" max="7" width="16.6640625" customWidth="1"/>
    <col min="8" max="8" width="16.44140625" bestFit="1" customWidth="1"/>
    <col min="9" max="9" width="15.109375" customWidth="1"/>
  </cols>
  <sheetData>
    <row r="2" spans="1:10" x14ac:dyDescent="0.25">
      <c r="H2" s="493" t="e">
        <f>VLOOKUP(F2,[2]Pivot!$R$6:$S$1411,2,FALSE)</f>
        <v>#N/A</v>
      </c>
    </row>
    <row r="3" spans="1:10" ht="52.8" x14ac:dyDescent="0.25">
      <c r="A3" s="494"/>
      <c r="B3" s="494" t="s">
        <v>857</v>
      </c>
      <c r="C3" s="494" t="s">
        <v>858</v>
      </c>
      <c r="D3" s="494" t="s">
        <v>859</v>
      </c>
      <c r="E3" s="494" t="s">
        <v>860</v>
      </c>
      <c r="F3" s="494" t="s">
        <v>861</v>
      </c>
      <c r="G3" s="494" t="s">
        <v>862</v>
      </c>
      <c r="H3" s="494" t="s">
        <v>863</v>
      </c>
      <c r="I3" s="494" t="s">
        <v>864</v>
      </c>
      <c r="J3" s="494" t="s">
        <v>865</v>
      </c>
    </row>
    <row r="4" spans="1:10" hidden="1" x14ac:dyDescent="0.25">
      <c r="A4" s="383">
        <f t="shared" ref="A4:A67" si="0">LEN(D4)</f>
        <v>19</v>
      </c>
      <c r="B4" s="383" t="s">
        <v>263</v>
      </c>
      <c r="C4" s="495" t="s">
        <v>866</v>
      </c>
      <c r="D4" s="383" t="s">
        <v>867</v>
      </c>
      <c r="E4" s="383" t="s">
        <v>868</v>
      </c>
      <c r="F4" s="383" t="str">
        <f t="shared" ref="F4:F67" si="1">+B4&amp;C4&amp;E4&amp;LEFT(D4,17)</f>
        <v>P199806DIllinois Power Co</v>
      </c>
      <c r="G4" s="496">
        <v>0</v>
      </c>
      <c r="H4" s="496">
        <v>0</v>
      </c>
      <c r="I4" s="496">
        <f t="shared" ref="I4:I67" si="2">ROUND(+G4+H4,2)</f>
        <v>0</v>
      </c>
      <c r="J4" s="496" t="s">
        <v>869</v>
      </c>
    </row>
    <row r="5" spans="1:10" hidden="1" x14ac:dyDescent="0.25">
      <c r="A5" s="383">
        <f t="shared" si="0"/>
        <v>19</v>
      </c>
      <c r="B5" s="383" t="s">
        <v>263</v>
      </c>
      <c r="C5" s="497" t="s">
        <v>866</v>
      </c>
      <c r="D5" s="383" t="s">
        <v>870</v>
      </c>
      <c r="E5" s="383" t="s">
        <v>868</v>
      </c>
      <c r="F5" s="383" t="str">
        <f t="shared" si="1"/>
        <v>P199806DThe Manitoba Hydr</v>
      </c>
      <c r="G5" s="496">
        <v>0</v>
      </c>
      <c r="H5" s="496">
        <v>0</v>
      </c>
      <c r="I5" s="496">
        <f t="shared" si="2"/>
        <v>0</v>
      </c>
      <c r="J5" s="496" t="s">
        <v>869</v>
      </c>
    </row>
    <row r="6" spans="1:10" hidden="1" x14ac:dyDescent="0.25">
      <c r="A6" s="383">
        <f t="shared" si="0"/>
        <v>19</v>
      </c>
      <c r="B6" s="383" t="s">
        <v>263</v>
      </c>
      <c r="C6" s="497" t="s">
        <v>871</v>
      </c>
      <c r="D6" s="383" t="s">
        <v>870</v>
      </c>
      <c r="E6" s="383" t="s">
        <v>868</v>
      </c>
      <c r="F6" s="383" t="str">
        <f t="shared" si="1"/>
        <v>P199807DThe Manitoba Hydr</v>
      </c>
      <c r="G6" s="496">
        <v>0</v>
      </c>
      <c r="H6" s="496">
        <v>0</v>
      </c>
      <c r="I6" s="496">
        <f t="shared" si="2"/>
        <v>0</v>
      </c>
      <c r="J6" s="496" t="s">
        <v>869</v>
      </c>
    </row>
    <row r="7" spans="1:10" hidden="1" x14ac:dyDescent="0.25">
      <c r="A7" s="383">
        <f t="shared" si="0"/>
        <v>19</v>
      </c>
      <c r="B7" s="383" t="s">
        <v>263</v>
      </c>
      <c r="C7" s="497" t="s">
        <v>871</v>
      </c>
      <c r="D7" s="383" t="s">
        <v>872</v>
      </c>
      <c r="E7" s="383" t="s">
        <v>868</v>
      </c>
      <c r="F7" s="383" t="str">
        <f t="shared" si="1"/>
        <v>P199807DVirginia Electric</v>
      </c>
      <c r="G7" s="496">
        <v>-31757</v>
      </c>
      <c r="H7" s="496">
        <v>31757</v>
      </c>
      <c r="I7" s="496">
        <f t="shared" si="2"/>
        <v>0</v>
      </c>
      <c r="J7" s="496" t="s">
        <v>869</v>
      </c>
    </row>
    <row r="8" spans="1:10" hidden="1" x14ac:dyDescent="0.25">
      <c r="A8" s="383">
        <f t="shared" si="0"/>
        <v>19</v>
      </c>
      <c r="B8" s="383" t="s">
        <v>263</v>
      </c>
      <c r="C8" s="497" t="s">
        <v>873</v>
      </c>
      <c r="D8" s="383" t="s">
        <v>870</v>
      </c>
      <c r="E8" s="383" t="s">
        <v>868</v>
      </c>
      <c r="F8" s="383" t="str">
        <f t="shared" si="1"/>
        <v>P199808DThe Manitoba Hydr</v>
      </c>
      <c r="G8" s="496">
        <v>0</v>
      </c>
      <c r="H8" s="496">
        <v>0</v>
      </c>
      <c r="I8" s="496">
        <f t="shared" si="2"/>
        <v>0</v>
      </c>
      <c r="J8" s="496" t="s">
        <v>869</v>
      </c>
    </row>
    <row r="9" spans="1:10" hidden="1" x14ac:dyDescent="0.25">
      <c r="A9" s="383">
        <f t="shared" si="0"/>
        <v>19</v>
      </c>
      <c r="B9" s="383" t="s">
        <v>263</v>
      </c>
      <c r="C9" s="497" t="s">
        <v>874</v>
      </c>
      <c r="D9" s="383" t="s">
        <v>870</v>
      </c>
      <c r="E9" s="383" t="s">
        <v>868</v>
      </c>
      <c r="F9" s="383" t="str">
        <f t="shared" si="1"/>
        <v>P199809DThe Manitoba Hydr</v>
      </c>
      <c r="G9" s="496">
        <v>0</v>
      </c>
      <c r="H9" s="496">
        <v>0</v>
      </c>
      <c r="I9" s="496">
        <f t="shared" si="2"/>
        <v>0</v>
      </c>
      <c r="J9" s="496" t="s">
        <v>869</v>
      </c>
    </row>
    <row r="10" spans="1:10" hidden="1" x14ac:dyDescent="0.25">
      <c r="A10" s="383">
        <f t="shared" si="0"/>
        <v>18</v>
      </c>
      <c r="B10" s="383" t="s">
        <v>263</v>
      </c>
      <c r="C10" s="497" t="s">
        <v>875</v>
      </c>
      <c r="D10" s="383" t="s">
        <v>876</v>
      </c>
      <c r="E10" s="383" t="s">
        <v>868</v>
      </c>
      <c r="F10" s="383" t="str">
        <f t="shared" si="1"/>
        <v>P199810DLouisville Gas An</v>
      </c>
      <c r="G10" s="496">
        <v>0</v>
      </c>
      <c r="H10" s="496">
        <v>0</v>
      </c>
      <c r="I10" s="496">
        <f t="shared" si="2"/>
        <v>0</v>
      </c>
      <c r="J10" s="496" t="s">
        <v>869</v>
      </c>
    </row>
    <row r="11" spans="1:10" hidden="1" x14ac:dyDescent="0.25">
      <c r="A11" s="383">
        <f t="shared" si="0"/>
        <v>19</v>
      </c>
      <c r="B11" s="383" t="s">
        <v>263</v>
      </c>
      <c r="C11" s="497" t="s">
        <v>875</v>
      </c>
      <c r="D11" s="383" t="s">
        <v>877</v>
      </c>
      <c r="E11" s="383" t="s">
        <v>868</v>
      </c>
      <c r="F11" s="383" t="str">
        <f t="shared" si="1"/>
        <v>P199810DUnited Power Asso</v>
      </c>
      <c r="G11" s="496">
        <v>0</v>
      </c>
      <c r="H11" s="496">
        <v>0</v>
      </c>
      <c r="I11" s="496">
        <f t="shared" si="2"/>
        <v>0</v>
      </c>
      <c r="J11" s="496" t="s">
        <v>869</v>
      </c>
    </row>
    <row r="12" spans="1:10" hidden="1" x14ac:dyDescent="0.25">
      <c r="A12" s="383">
        <f t="shared" si="0"/>
        <v>19</v>
      </c>
      <c r="B12" s="383" t="s">
        <v>263</v>
      </c>
      <c r="C12" s="497" t="s">
        <v>878</v>
      </c>
      <c r="D12" s="383" t="s">
        <v>879</v>
      </c>
      <c r="E12" s="383" t="s">
        <v>868</v>
      </c>
      <c r="F12" s="383" t="str">
        <f t="shared" si="1"/>
        <v xml:space="preserve">P199811DEl Paso Electric </v>
      </c>
      <c r="G12" s="496">
        <v>0</v>
      </c>
      <c r="H12" s="496">
        <v>0</v>
      </c>
      <c r="I12" s="496">
        <f t="shared" si="2"/>
        <v>0</v>
      </c>
      <c r="J12" s="496" t="s">
        <v>869</v>
      </c>
    </row>
    <row r="13" spans="1:10" x14ac:dyDescent="0.25">
      <c r="A13" s="383">
        <f t="shared" si="0"/>
        <v>19</v>
      </c>
      <c r="B13" s="383" t="s">
        <v>263</v>
      </c>
      <c r="C13" s="495" t="s">
        <v>880</v>
      </c>
      <c r="D13" s="383" t="s">
        <v>879</v>
      </c>
      <c r="E13" s="383" t="s">
        <v>868</v>
      </c>
      <c r="F13" s="383" t="str">
        <f t="shared" si="1"/>
        <v xml:space="preserve">P199901DEl Paso Electric </v>
      </c>
      <c r="G13" s="496">
        <v>-105.61</v>
      </c>
      <c r="H13" s="496">
        <v>0</v>
      </c>
      <c r="I13" s="496">
        <f t="shared" si="2"/>
        <v>-105.61</v>
      </c>
      <c r="J13" s="496"/>
    </row>
    <row r="14" spans="1:10" hidden="1" x14ac:dyDescent="0.25">
      <c r="A14" s="383">
        <f t="shared" si="0"/>
        <v>19</v>
      </c>
      <c r="B14" s="383" t="s">
        <v>263</v>
      </c>
      <c r="C14" s="497" t="s">
        <v>880</v>
      </c>
      <c r="D14" s="383" t="s">
        <v>867</v>
      </c>
      <c r="E14" s="383" t="s">
        <v>868</v>
      </c>
      <c r="F14" s="383" t="str">
        <f t="shared" si="1"/>
        <v>P199901DIllinois Power Co</v>
      </c>
      <c r="G14" s="496">
        <v>0</v>
      </c>
      <c r="H14" s="496">
        <v>0</v>
      </c>
      <c r="I14" s="496">
        <f t="shared" si="2"/>
        <v>0</v>
      </c>
      <c r="J14" s="496" t="s">
        <v>869</v>
      </c>
    </row>
    <row r="15" spans="1:10" x14ac:dyDescent="0.25">
      <c r="A15" s="383">
        <f t="shared" si="0"/>
        <v>19</v>
      </c>
      <c r="B15" s="383" t="s">
        <v>263</v>
      </c>
      <c r="C15" s="495" t="s">
        <v>881</v>
      </c>
      <c r="D15" s="383" t="s">
        <v>879</v>
      </c>
      <c r="E15" s="383" t="s">
        <v>868</v>
      </c>
      <c r="F15" s="383" t="str">
        <f t="shared" si="1"/>
        <v xml:space="preserve">P199902DEl Paso Electric </v>
      </c>
      <c r="G15" s="496">
        <v>1726.95</v>
      </c>
      <c r="H15" s="496">
        <v>0</v>
      </c>
      <c r="I15" s="496">
        <f t="shared" si="2"/>
        <v>1726.95</v>
      </c>
      <c r="J15" s="496"/>
    </row>
    <row r="16" spans="1:10" hidden="1" x14ac:dyDescent="0.25">
      <c r="A16" s="383">
        <f t="shared" si="0"/>
        <v>19</v>
      </c>
      <c r="B16" s="383" t="s">
        <v>263</v>
      </c>
      <c r="C16" s="497" t="s">
        <v>881</v>
      </c>
      <c r="D16" s="383" t="s">
        <v>867</v>
      </c>
      <c r="E16" s="383" t="s">
        <v>868</v>
      </c>
      <c r="F16" s="383" t="str">
        <f t="shared" si="1"/>
        <v>P199902DIllinois Power Co</v>
      </c>
      <c r="G16" s="496">
        <v>0</v>
      </c>
      <c r="H16" s="496">
        <v>0</v>
      </c>
      <c r="I16" s="496">
        <f t="shared" si="2"/>
        <v>0</v>
      </c>
      <c r="J16" s="496" t="s">
        <v>869</v>
      </c>
    </row>
    <row r="17" spans="1:10" hidden="1" x14ac:dyDescent="0.25">
      <c r="A17" s="383">
        <f t="shared" si="0"/>
        <v>19</v>
      </c>
      <c r="B17" s="383" t="s">
        <v>263</v>
      </c>
      <c r="C17" s="497" t="s">
        <v>882</v>
      </c>
      <c r="D17" s="383" t="s">
        <v>867</v>
      </c>
      <c r="E17" s="383" t="s">
        <v>868</v>
      </c>
      <c r="F17" s="383" t="str">
        <f t="shared" si="1"/>
        <v>P199904DIllinois Power Co</v>
      </c>
      <c r="G17" s="496">
        <v>0</v>
      </c>
      <c r="H17" s="496">
        <v>0</v>
      </c>
      <c r="I17" s="496">
        <f t="shared" si="2"/>
        <v>0</v>
      </c>
      <c r="J17" s="496" t="s">
        <v>869</v>
      </c>
    </row>
    <row r="18" spans="1:10" hidden="1" x14ac:dyDescent="0.25">
      <c r="A18" s="383">
        <f t="shared" si="0"/>
        <v>22</v>
      </c>
      <c r="B18" s="487" t="s">
        <v>263</v>
      </c>
      <c r="C18" s="498" t="s">
        <v>883</v>
      </c>
      <c r="D18" s="487" t="s">
        <v>884</v>
      </c>
      <c r="E18" s="487" t="s">
        <v>868</v>
      </c>
      <c r="F18" s="487" t="str">
        <f t="shared" si="1"/>
        <v>P199905DNew England Power</v>
      </c>
      <c r="G18" s="499"/>
      <c r="H18" s="499">
        <f>VLOOKUP(F18,[2]Pivot!$R$20:$S$1359,2,FALSE)</f>
        <v>0</v>
      </c>
      <c r="I18" s="499">
        <f t="shared" si="2"/>
        <v>0</v>
      </c>
      <c r="J18" s="496" t="s">
        <v>869</v>
      </c>
    </row>
    <row r="19" spans="1:10" hidden="1" x14ac:dyDescent="0.25">
      <c r="A19" s="383">
        <f t="shared" si="0"/>
        <v>19</v>
      </c>
      <c r="B19" s="383" t="s">
        <v>263</v>
      </c>
      <c r="C19" s="497" t="s">
        <v>883</v>
      </c>
      <c r="D19" s="383" t="s">
        <v>872</v>
      </c>
      <c r="E19" s="383" t="s">
        <v>868</v>
      </c>
      <c r="F19" s="383" t="str">
        <f t="shared" si="1"/>
        <v>P199905DVirginia Electric</v>
      </c>
      <c r="G19" s="496">
        <v>0.02</v>
      </c>
      <c r="H19" s="496">
        <v>-0.02</v>
      </c>
      <c r="I19" s="496">
        <f t="shared" si="2"/>
        <v>0</v>
      </c>
      <c r="J19" s="496" t="s">
        <v>869</v>
      </c>
    </row>
    <row r="20" spans="1:10" hidden="1" x14ac:dyDescent="0.25">
      <c r="A20" s="383">
        <f t="shared" si="0"/>
        <v>22</v>
      </c>
      <c r="B20" s="487" t="s">
        <v>263</v>
      </c>
      <c r="C20" s="498" t="s">
        <v>885</v>
      </c>
      <c r="D20" s="487" t="s">
        <v>884</v>
      </c>
      <c r="E20" s="487" t="s">
        <v>868</v>
      </c>
      <c r="F20" s="487" t="str">
        <f t="shared" si="1"/>
        <v>P199906DNew England Power</v>
      </c>
      <c r="G20" s="499"/>
      <c r="H20" s="499">
        <f>VLOOKUP(F20,[2]Pivot!$R$20:$S$1359,2,FALSE)</f>
        <v>0</v>
      </c>
      <c r="I20" s="499">
        <f t="shared" si="2"/>
        <v>0</v>
      </c>
      <c r="J20" s="496" t="s">
        <v>869</v>
      </c>
    </row>
    <row r="21" spans="1:10" hidden="1" x14ac:dyDescent="0.25">
      <c r="A21" s="383">
        <f t="shared" si="0"/>
        <v>20</v>
      </c>
      <c r="B21" s="383" t="s">
        <v>263</v>
      </c>
      <c r="C21" s="497" t="s">
        <v>885</v>
      </c>
      <c r="D21" s="383" t="s">
        <v>886</v>
      </c>
      <c r="E21" s="383" t="s">
        <v>887</v>
      </c>
      <c r="F21" s="383" t="str">
        <f t="shared" si="1"/>
        <v>P199906FAmerican Electric</v>
      </c>
      <c r="G21" s="496">
        <v>0.69</v>
      </c>
      <c r="H21" s="496">
        <v>-0.69</v>
      </c>
      <c r="I21" s="496">
        <f t="shared" si="2"/>
        <v>0</v>
      </c>
      <c r="J21" s="496" t="s">
        <v>869</v>
      </c>
    </row>
    <row r="22" spans="1:10" hidden="1" x14ac:dyDescent="0.25">
      <c r="A22" s="383">
        <f t="shared" si="0"/>
        <v>28</v>
      </c>
      <c r="B22" s="487" t="s">
        <v>263</v>
      </c>
      <c r="C22" s="498" t="s">
        <v>888</v>
      </c>
      <c r="D22" s="487" t="s">
        <v>889</v>
      </c>
      <c r="E22" s="487" t="s">
        <v>868</v>
      </c>
      <c r="F22" s="487" t="str">
        <f t="shared" si="1"/>
        <v>P199907DDynegy Power Mark</v>
      </c>
      <c r="G22" s="499"/>
      <c r="H22" s="499">
        <f>VLOOKUP(F22,[2]Pivot!$R$20:$S$1359,2,FALSE)</f>
        <v>35280</v>
      </c>
      <c r="I22" s="499">
        <f t="shared" si="2"/>
        <v>35280</v>
      </c>
      <c r="J22" s="499" t="s">
        <v>890</v>
      </c>
    </row>
    <row r="23" spans="1:10" hidden="1" x14ac:dyDescent="0.25">
      <c r="A23" s="383">
        <f t="shared" si="0"/>
        <v>19</v>
      </c>
      <c r="B23" s="383" t="s">
        <v>263</v>
      </c>
      <c r="C23" s="497" t="s">
        <v>888</v>
      </c>
      <c r="D23" s="383" t="s">
        <v>891</v>
      </c>
      <c r="E23" s="383" t="s">
        <v>868</v>
      </c>
      <c r="F23" s="383" t="str">
        <f t="shared" si="1"/>
        <v>P199907DElectric Clearing</v>
      </c>
      <c r="G23" s="496">
        <v>-35280</v>
      </c>
      <c r="H23" s="496">
        <v>0</v>
      </c>
      <c r="I23" s="496">
        <f t="shared" si="2"/>
        <v>-35280</v>
      </c>
      <c r="J23" s="499" t="s">
        <v>890</v>
      </c>
    </row>
    <row r="24" spans="1:10" hidden="1" x14ac:dyDescent="0.25">
      <c r="A24" s="383">
        <f t="shared" si="0"/>
        <v>22</v>
      </c>
      <c r="B24" s="487" t="s">
        <v>263</v>
      </c>
      <c r="C24" s="498" t="s">
        <v>888</v>
      </c>
      <c r="D24" s="487" t="s">
        <v>884</v>
      </c>
      <c r="E24" s="487" t="s">
        <v>868</v>
      </c>
      <c r="F24" s="487" t="str">
        <f t="shared" si="1"/>
        <v>P199907DNew England Power</v>
      </c>
      <c r="G24" s="499"/>
      <c r="H24" s="499">
        <f>VLOOKUP(F24,[2]Pivot!$R$20:$S$1359,2,FALSE)</f>
        <v>0</v>
      </c>
      <c r="I24" s="499">
        <f t="shared" si="2"/>
        <v>0</v>
      </c>
      <c r="J24" s="496" t="s">
        <v>869</v>
      </c>
    </row>
    <row r="25" spans="1:10" hidden="1" x14ac:dyDescent="0.25">
      <c r="A25" s="383">
        <f t="shared" si="0"/>
        <v>19</v>
      </c>
      <c r="B25" s="383" t="s">
        <v>263</v>
      </c>
      <c r="C25" s="497" t="s">
        <v>888</v>
      </c>
      <c r="D25" s="383" t="s">
        <v>892</v>
      </c>
      <c r="E25" s="383" t="s">
        <v>868</v>
      </c>
      <c r="F25" s="383" t="str">
        <f t="shared" si="1"/>
        <v>P199907DPJM Interconnecti</v>
      </c>
      <c r="G25" s="496">
        <v>0.03</v>
      </c>
      <c r="H25" s="496">
        <v>-0.03</v>
      </c>
      <c r="I25" s="496">
        <f t="shared" si="2"/>
        <v>0</v>
      </c>
      <c r="J25" s="496" t="s">
        <v>869</v>
      </c>
    </row>
    <row r="26" spans="1:10" hidden="1" x14ac:dyDescent="0.25">
      <c r="A26" s="383">
        <f t="shared" si="0"/>
        <v>20</v>
      </c>
      <c r="B26" s="383" t="s">
        <v>263</v>
      </c>
      <c r="C26" s="497" t="s">
        <v>888</v>
      </c>
      <c r="D26" s="383" t="s">
        <v>893</v>
      </c>
      <c r="E26" s="383" t="s">
        <v>887</v>
      </c>
      <c r="F26" s="383" t="str">
        <f t="shared" si="1"/>
        <v>P199907FDynegy Power Mark</v>
      </c>
      <c r="G26" s="496">
        <v>35280</v>
      </c>
      <c r="H26" s="496">
        <v>-35280</v>
      </c>
      <c r="I26" s="496">
        <f t="shared" si="2"/>
        <v>0</v>
      </c>
      <c r="J26" s="496" t="s">
        <v>869</v>
      </c>
    </row>
    <row r="27" spans="1:10" hidden="1" x14ac:dyDescent="0.25">
      <c r="A27" s="383">
        <f t="shared" si="0"/>
        <v>19</v>
      </c>
      <c r="B27" s="383" t="s">
        <v>263</v>
      </c>
      <c r="C27" s="497" t="s">
        <v>894</v>
      </c>
      <c r="D27" s="383" t="s">
        <v>895</v>
      </c>
      <c r="E27" s="383" t="s">
        <v>868</v>
      </c>
      <c r="F27" s="383" t="str">
        <f t="shared" si="1"/>
        <v>P199908DArizona Public Se</v>
      </c>
      <c r="G27" s="496">
        <v>50</v>
      </c>
      <c r="H27" s="496">
        <v>-50</v>
      </c>
      <c r="I27" s="496">
        <f t="shared" si="2"/>
        <v>0</v>
      </c>
      <c r="J27" s="496" t="s">
        <v>869</v>
      </c>
    </row>
    <row r="28" spans="1:10" hidden="1" x14ac:dyDescent="0.25">
      <c r="A28" s="383">
        <f t="shared" si="0"/>
        <v>19</v>
      </c>
      <c r="B28" s="383" t="s">
        <v>263</v>
      </c>
      <c r="C28" s="497" t="s">
        <v>894</v>
      </c>
      <c r="D28" s="383" t="s">
        <v>896</v>
      </c>
      <c r="E28" s="383" t="s">
        <v>868</v>
      </c>
      <c r="F28" s="383" t="str">
        <f t="shared" si="1"/>
        <v>P199908DEl Paso Power Ser</v>
      </c>
      <c r="G28" s="496">
        <v>0</v>
      </c>
      <c r="H28" s="496">
        <v>0</v>
      </c>
      <c r="I28" s="496">
        <f t="shared" si="2"/>
        <v>0</v>
      </c>
      <c r="J28" s="496" t="s">
        <v>869</v>
      </c>
    </row>
    <row r="29" spans="1:10" hidden="1" x14ac:dyDescent="0.25">
      <c r="A29" s="383">
        <f t="shared" si="0"/>
        <v>20</v>
      </c>
      <c r="B29" s="383" t="s">
        <v>263</v>
      </c>
      <c r="C29" s="497" t="s">
        <v>894</v>
      </c>
      <c r="D29" s="383" t="s">
        <v>897</v>
      </c>
      <c r="E29" s="383" t="s">
        <v>887</v>
      </c>
      <c r="F29" s="383" t="str">
        <f t="shared" si="1"/>
        <v>P199908FArizona Public Se</v>
      </c>
      <c r="G29" s="496">
        <v>-50</v>
      </c>
      <c r="H29" s="496">
        <v>50</v>
      </c>
      <c r="I29" s="496">
        <f t="shared" si="2"/>
        <v>0</v>
      </c>
      <c r="J29" s="496" t="s">
        <v>869</v>
      </c>
    </row>
    <row r="30" spans="1:10" hidden="1" x14ac:dyDescent="0.25">
      <c r="A30" s="383">
        <f t="shared" si="0"/>
        <v>22</v>
      </c>
      <c r="B30" s="487" t="s">
        <v>263</v>
      </c>
      <c r="C30" s="498" t="s">
        <v>894</v>
      </c>
      <c r="D30" s="487" t="s">
        <v>884</v>
      </c>
      <c r="E30" s="487" t="s">
        <v>887</v>
      </c>
      <c r="F30" s="487" t="str">
        <f t="shared" si="1"/>
        <v>P199908FNew England Power</v>
      </c>
      <c r="G30" s="499"/>
      <c r="H30" s="499">
        <f>VLOOKUP(F30,[2]Pivot!$R$20:$S$1359,2,FALSE)</f>
        <v>0</v>
      </c>
      <c r="I30" s="499">
        <f t="shared" si="2"/>
        <v>0</v>
      </c>
      <c r="J30" s="496" t="s">
        <v>869</v>
      </c>
    </row>
    <row r="31" spans="1:10" hidden="1" x14ac:dyDescent="0.25">
      <c r="A31" s="383">
        <f t="shared" si="0"/>
        <v>19</v>
      </c>
      <c r="B31" s="383" t="s">
        <v>263</v>
      </c>
      <c r="C31" s="497" t="s">
        <v>898</v>
      </c>
      <c r="D31" s="383" t="s">
        <v>892</v>
      </c>
      <c r="E31" s="383" t="s">
        <v>868</v>
      </c>
      <c r="F31" s="383" t="str">
        <f t="shared" si="1"/>
        <v>P199909DPJM Interconnecti</v>
      </c>
      <c r="G31" s="496">
        <v>0.04</v>
      </c>
      <c r="H31" s="496">
        <v>-0.04</v>
      </c>
      <c r="I31" s="496">
        <f t="shared" si="2"/>
        <v>0</v>
      </c>
      <c r="J31" s="496" t="s">
        <v>869</v>
      </c>
    </row>
    <row r="32" spans="1:10" hidden="1" x14ac:dyDescent="0.25">
      <c r="A32" s="383">
        <f t="shared" si="0"/>
        <v>22</v>
      </c>
      <c r="B32" s="487" t="s">
        <v>263</v>
      </c>
      <c r="C32" s="498" t="s">
        <v>898</v>
      </c>
      <c r="D32" s="487" t="s">
        <v>884</v>
      </c>
      <c r="E32" s="487" t="s">
        <v>887</v>
      </c>
      <c r="F32" s="487" t="str">
        <f t="shared" si="1"/>
        <v>P199909FNew England Power</v>
      </c>
      <c r="G32" s="499"/>
      <c r="H32" s="499">
        <f>VLOOKUP(F32,[2]Pivot!$R$20:$S$1359,2,FALSE)</f>
        <v>0</v>
      </c>
      <c r="I32" s="499">
        <f t="shared" si="2"/>
        <v>0</v>
      </c>
      <c r="J32" s="496" t="s">
        <v>869</v>
      </c>
    </row>
    <row r="33" spans="1:10" hidden="1" x14ac:dyDescent="0.25">
      <c r="A33" s="383">
        <f t="shared" si="0"/>
        <v>19</v>
      </c>
      <c r="B33" s="383" t="s">
        <v>263</v>
      </c>
      <c r="C33" s="497" t="s">
        <v>899</v>
      </c>
      <c r="D33" s="383" t="s">
        <v>900</v>
      </c>
      <c r="E33" s="383" t="s">
        <v>868</v>
      </c>
      <c r="F33" s="383" t="str">
        <f t="shared" si="1"/>
        <v xml:space="preserve">P199910DBritish Columbia </v>
      </c>
      <c r="G33" s="496">
        <v>-11646</v>
      </c>
      <c r="H33" s="496">
        <v>11646</v>
      </c>
      <c r="I33" s="496">
        <f t="shared" si="2"/>
        <v>0</v>
      </c>
      <c r="J33" s="496" t="s">
        <v>869</v>
      </c>
    </row>
    <row r="34" spans="1:10" hidden="1" x14ac:dyDescent="0.25">
      <c r="A34" s="383">
        <f t="shared" si="0"/>
        <v>19</v>
      </c>
      <c r="B34" s="383" t="s">
        <v>263</v>
      </c>
      <c r="C34" s="497" t="s">
        <v>899</v>
      </c>
      <c r="D34" s="383" t="s">
        <v>901</v>
      </c>
      <c r="E34" s="383" t="s">
        <v>868</v>
      </c>
      <c r="F34" s="383" t="str">
        <f t="shared" si="1"/>
        <v xml:space="preserve">P199910DMinnesota Power, </v>
      </c>
      <c r="G34" s="496">
        <v>0</v>
      </c>
      <c r="H34" s="496">
        <v>0</v>
      </c>
      <c r="I34" s="496">
        <f t="shared" si="2"/>
        <v>0</v>
      </c>
      <c r="J34" s="496" t="s">
        <v>869</v>
      </c>
    </row>
    <row r="35" spans="1:10" hidden="1" x14ac:dyDescent="0.25">
      <c r="A35" s="383">
        <f t="shared" si="0"/>
        <v>13</v>
      </c>
      <c r="B35" s="383" t="s">
        <v>263</v>
      </c>
      <c r="C35" s="497" t="s">
        <v>899</v>
      </c>
      <c r="D35" s="383" t="s">
        <v>902</v>
      </c>
      <c r="E35" s="383" t="s">
        <v>868</v>
      </c>
      <c r="F35" s="383" t="str">
        <f t="shared" si="1"/>
        <v>P199910DPowerex Corp.</v>
      </c>
      <c r="G35" s="496">
        <v>11646</v>
      </c>
      <c r="H35" s="496">
        <v>-11646</v>
      </c>
      <c r="I35" s="496">
        <f t="shared" si="2"/>
        <v>0</v>
      </c>
      <c r="J35" s="496" t="s">
        <v>869</v>
      </c>
    </row>
    <row r="36" spans="1:10" hidden="1" x14ac:dyDescent="0.25">
      <c r="A36" s="383">
        <f t="shared" si="0"/>
        <v>19</v>
      </c>
      <c r="B36" s="383" t="s">
        <v>263</v>
      </c>
      <c r="C36" s="497" t="s">
        <v>903</v>
      </c>
      <c r="D36" s="383" t="s">
        <v>904</v>
      </c>
      <c r="E36" s="383" t="s">
        <v>868</v>
      </c>
      <c r="F36" s="383" t="str">
        <f t="shared" si="1"/>
        <v xml:space="preserve">P199911DPortland General </v>
      </c>
      <c r="G36" s="496">
        <v>0</v>
      </c>
      <c r="H36" s="496">
        <v>0</v>
      </c>
      <c r="I36" s="496">
        <f t="shared" si="2"/>
        <v>0</v>
      </c>
      <c r="J36" s="496" t="s">
        <v>869</v>
      </c>
    </row>
    <row r="37" spans="1:10" hidden="1" x14ac:dyDescent="0.25">
      <c r="A37" s="383">
        <f t="shared" si="0"/>
        <v>43</v>
      </c>
      <c r="B37" s="487" t="s">
        <v>263</v>
      </c>
      <c r="C37" s="498" t="s">
        <v>903</v>
      </c>
      <c r="D37" s="487" t="s">
        <v>905</v>
      </c>
      <c r="E37" s="487" t="s">
        <v>887</v>
      </c>
      <c r="F37" s="487" t="str">
        <f t="shared" si="1"/>
        <v>P199911FAmerican Electric</v>
      </c>
      <c r="G37" s="499"/>
      <c r="H37" s="499">
        <f>VLOOKUP(F37,[2]Pivot!$R$20:$S$1359,2,FALSE)</f>
        <v>0</v>
      </c>
      <c r="I37" s="499">
        <f t="shared" si="2"/>
        <v>0</v>
      </c>
      <c r="J37" s="496" t="s">
        <v>869</v>
      </c>
    </row>
    <row r="38" spans="1:10" hidden="1" x14ac:dyDescent="0.25">
      <c r="A38" s="383">
        <f t="shared" si="0"/>
        <v>52</v>
      </c>
      <c r="B38" s="487" t="s">
        <v>263</v>
      </c>
      <c r="C38" s="498" t="s">
        <v>903</v>
      </c>
      <c r="D38" s="487" t="s">
        <v>906</v>
      </c>
      <c r="E38" s="487" t="s">
        <v>887</v>
      </c>
      <c r="F38" s="487" t="str">
        <f t="shared" si="1"/>
        <v>P199911FAvista Corporatio</v>
      </c>
      <c r="G38" s="499"/>
      <c r="H38" s="499">
        <f>VLOOKUP(F38,[2]Pivot!$R$20:$S$1359,2,FALSE)</f>
        <v>0</v>
      </c>
      <c r="I38" s="499">
        <f t="shared" si="2"/>
        <v>0</v>
      </c>
      <c r="J38" s="496" t="s">
        <v>869</v>
      </c>
    </row>
    <row r="39" spans="1:10" hidden="1" x14ac:dyDescent="0.25">
      <c r="A39" s="383">
        <f t="shared" si="0"/>
        <v>22</v>
      </c>
      <c r="B39" s="487" t="s">
        <v>263</v>
      </c>
      <c r="C39" s="498" t="s">
        <v>903</v>
      </c>
      <c r="D39" s="487" t="s">
        <v>907</v>
      </c>
      <c r="E39" s="487" t="s">
        <v>887</v>
      </c>
      <c r="F39" s="487" t="str">
        <f t="shared" si="1"/>
        <v>P199911FTosco Refining Co</v>
      </c>
      <c r="G39" s="499"/>
      <c r="H39" s="499">
        <f>VLOOKUP(F39,[2]Pivot!$R$20:$S$1359,2,FALSE)</f>
        <v>0</v>
      </c>
      <c r="I39" s="499">
        <f t="shared" si="2"/>
        <v>0</v>
      </c>
      <c r="J39" s="496" t="s">
        <v>869</v>
      </c>
    </row>
    <row r="40" spans="1:10" x14ac:dyDescent="0.25">
      <c r="A40" s="383">
        <f t="shared" si="0"/>
        <v>22</v>
      </c>
      <c r="B40" s="487" t="s">
        <v>263</v>
      </c>
      <c r="C40" s="500" t="s">
        <v>908</v>
      </c>
      <c r="D40" s="487" t="s">
        <v>884</v>
      </c>
      <c r="E40" s="487" t="s">
        <v>868</v>
      </c>
      <c r="F40" s="487" t="str">
        <f t="shared" si="1"/>
        <v>P199912DNew England Power</v>
      </c>
      <c r="G40" s="499"/>
      <c r="H40" s="499">
        <f>VLOOKUP(F40,[2]Pivot!$R$20:$S$1359,2,FALSE)</f>
        <v>-67731.08</v>
      </c>
      <c r="I40" s="499">
        <f t="shared" si="2"/>
        <v>-67731.08</v>
      </c>
      <c r="J40" s="499"/>
    </row>
    <row r="41" spans="1:10" hidden="1" x14ac:dyDescent="0.25">
      <c r="A41" s="383">
        <f t="shared" si="0"/>
        <v>20</v>
      </c>
      <c r="B41" s="383" t="s">
        <v>263</v>
      </c>
      <c r="C41" s="497" t="s">
        <v>908</v>
      </c>
      <c r="D41" s="383" t="s">
        <v>520</v>
      </c>
      <c r="E41" s="383" t="s">
        <v>887</v>
      </c>
      <c r="F41" s="383" t="str">
        <f t="shared" si="1"/>
        <v>P199912FISO New England I</v>
      </c>
      <c r="G41" s="496">
        <v>-65062.879999999997</v>
      </c>
      <c r="H41" s="496">
        <v>0</v>
      </c>
      <c r="I41" s="496">
        <f t="shared" si="2"/>
        <v>-65062.879999999997</v>
      </c>
      <c r="J41" s="499" t="s">
        <v>890</v>
      </c>
    </row>
    <row r="42" spans="1:10" hidden="1" x14ac:dyDescent="0.25">
      <c r="A42" s="383">
        <f t="shared" si="0"/>
        <v>10</v>
      </c>
      <c r="B42" s="383" t="s">
        <v>263</v>
      </c>
      <c r="C42" s="497" t="s">
        <v>908</v>
      </c>
      <c r="D42" s="383" t="s">
        <v>909</v>
      </c>
      <c r="E42" s="383" t="s">
        <v>887</v>
      </c>
      <c r="F42" s="383" t="str">
        <f t="shared" si="1"/>
        <v>P199912FMieco Inc.</v>
      </c>
      <c r="G42" s="496">
        <v>0</v>
      </c>
      <c r="H42" s="496">
        <v>0</v>
      </c>
      <c r="I42" s="496">
        <f t="shared" si="2"/>
        <v>0</v>
      </c>
      <c r="J42" s="496" t="s">
        <v>869</v>
      </c>
    </row>
    <row r="43" spans="1:10" hidden="1" x14ac:dyDescent="0.25">
      <c r="A43" s="383">
        <f t="shared" si="0"/>
        <v>22</v>
      </c>
      <c r="B43" s="487" t="s">
        <v>263</v>
      </c>
      <c r="C43" s="498" t="s">
        <v>908</v>
      </c>
      <c r="D43" s="487" t="s">
        <v>884</v>
      </c>
      <c r="E43" s="487" t="s">
        <v>887</v>
      </c>
      <c r="F43" s="487" t="str">
        <f t="shared" si="1"/>
        <v>P199912FNew England Power</v>
      </c>
      <c r="G43" s="499"/>
      <c r="H43" s="499">
        <f>VLOOKUP(F43,[2]Pivot!$R$20:$S$1359,2,FALSE)</f>
        <v>65062.879999999997</v>
      </c>
      <c r="I43" s="499">
        <f t="shared" si="2"/>
        <v>65062.879999999997</v>
      </c>
      <c r="J43" s="499" t="s">
        <v>890</v>
      </c>
    </row>
    <row r="44" spans="1:10" hidden="1" x14ac:dyDescent="0.25">
      <c r="A44" s="383">
        <f t="shared" si="0"/>
        <v>22</v>
      </c>
      <c r="B44" s="487" t="s">
        <v>263</v>
      </c>
      <c r="C44" s="498" t="s">
        <v>908</v>
      </c>
      <c r="D44" s="487" t="s">
        <v>907</v>
      </c>
      <c r="E44" s="487" t="s">
        <v>887</v>
      </c>
      <c r="F44" s="487" t="str">
        <f t="shared" si="1"/>
        <v>P199912FTosco Refining Co</v>
      </c>
      <c r="G44" s="499"/>
      <c r="H44" s="499">
        <f>VLOOKUP(F44,[2]Pivot!$R$20:$S$1359,2,FALSE)</f>
        <v>0</v>
      </c>
      <c r="I44" s="499">
        <f t="shared" si="2"/>
        <v>0</v>
      </c>
      <c r="J44" s="496" t="s">
        <v>869</v>
      </c>
    </row>
    <row r="45" spans="1:10" hidden="1" x14ac:dyDescent="0.25">
      <c r="A45" s="383">
        <f t="shared" si="0"/>
        <v>15</v>
      </c>
      <c r="B45" s="383" t="s">
        <v>263</v>
      </c>
      <c r="C45" s="497" t="s">
        <v>910</v>
      </c>
      <c r="D45" s="383" t="s">
        <v>911</v>
      </c>
      <c r="E45" s="383" t="s">
        <v>868</v>
      </c>
      <c r="F45" s="383" t="str">
        <f t="shared" si="1"/>
        <v>P200001DCity of Redding</v>
      </c>
      <c r="G45" s="496">
        <v>0</v>
      </c>
      <c r="H45" s="496">
        <v>0</v>
      </c>
      <c r="I45" s="496">
        <f t="shared" si="2"/>
        <v>0</v>
      </c>
      <c r="J45" s="496" t="s">
        <v>869</v>
      </c>
    </row>
    <row r="46" spans="1:10" x14ac:dyDescent="0.25">
      <c r="A46" s="383">
        <f t="shared" si="0"/>
        <v>19</v>
      </c>
      <c r="B46" s="383" t="s">
        <v>263</v>
      </c>
      <c r="C46" s="495" t="s">
        <v>910</v>
      </c>
      <c r="D46" s="383" t="s">
        <v>879</v>
      </c>
      <c r="E46" s="383" t="s">
        <v>868</v>
      </c>
      <c r="F46" s="383" t="str">
        <f t="shared" si="1"/>
        <v xml:space="preserve">P200001DEl Paso Electric </v>
      </c>
      <c r="G46" s="496">
        <v>9877.4699999999993</v>
      </c>
      <c r="H46" s="496">
        <v>-0.02</v>
      </c>
      <c r="I46" s="496">
        <f t="shared" si="2"/>
        <v>9877.4500000000007</v>
      </c>
      <c r="J46" s="496"/>
    </row>
    <row r="47" spans="1:10" hidden="1" x14ac:dyDescent="0.25">
      <c r="A47" s="383">
        <f t="shared" si="0"/>
        <v>19</v>
      </c>
      <c r="B47" s="383" t="s">
        <v>263</v>
      </c>
      <c r="C47" s="497" t="s">
        <v>910</v>
      </c>
      <c r="D47" s="383" t="s">
        <v>912</v>
      </c>
      <c r="E47" s="383" t="s">
        <v>868</v>
      </c>
      <c r="F47" s="383" t="str">
        <f t="shared" si="1"/>
        <v>P200001DISO New England I</v>
      </c>
      <c r="G47" s="496">
        <v>335570.48</v>
      </c>
      <c r="H47" s="496">
        <v>-335570.48</v>
      </c>
      <c r="I47" s="496">
        <f t="shared" si="2"/>
        <v>0</v>
      </c>
      <c r="J47" s="496" t="s">
        <v>869</v>
      </c>
    </row>
    <row r="48" spans="1:10" hidden="1" x14ac:dyDescent="0.25">
      <c r="A48" s="383">
        <f t="shared" si="0"/>
        <v>22</v>
      </c>
      <c r="B48" s="487" t="s">
        <v>263</v>
      </c>
      <c r="C48" s="498" t="s">
        <v>910</v>
      </c>
      <c r="D48" s="487" t="s">
        <v>884</v>
      </c>
      <c r="E48" s="487" t="s">
        <v>868</v>
      </c>
      <c r="F48" s="487" t="str">
        <f t="shared" si="1"/>
        <v>P200001DNew England Power</v>
      </c>
      <c r="G48" s="499"/>
      <c r="H48" s="499">
        <f>VLOOKUP(F48,[2]Pivot!$R$20:$S$1359,2,FALSE)</f>
        <v>0</v>
      </c>
      <c r="I48" s="499">
        <f t="shared" si="2"/>
        <v>0</v>
      </c>
      <c r="J48" s="496" t="s">
        <v>869</v>
      </c>
    </row>
    <row r="49" spans="1:11" hidden="1" x14ac:dyDescent="0.25">
      <c r="A49" s="383">
        <f t="shared" si="0"/>
        <v>20</v>
      </c>
      <c r="B49" s="383" t="s">
        <v>263</v>
      </c>
      <c r="C49" s="497" t="s">
        <v>910</v>
      </c>
      <c r="D49" s="383" t="s">
        <v>520</v>
      </c>
      <c r="E49" s="383" t="s">
        <v>887</v>
      </c>
      <c r="F49" s="383" t="str">
        <f t="shared" si="1"/>
        <v>P200001FISO New England I</v>
      </c>
      <c r="G49" s="496">
        <v>0.02</v>
      </c>
      <c r="H49" s="496"/>
      <c r="I49" s="496">
        <f t="shared" si="2"/>
        <v>0.02</v>
      </c>
      <c r="J49" s="496" t="s">
        <v>890</v>
      </c>
    </row>
    <row r="50" spans="1:11" hidden="1" x14ac:dyDescent="0.25">
      <c r="A50" s="383">
        <f t="shared" si="0"/>
        <v>22</v>
      </c>
      <c r="B50" s="487" t="s">
        <v>263</v>
      </c>
      <c r="C50" s="498" t="s">
        <v>910</v>
      </c>
      <c r="D50" s="487" t="s">
        <v>884</v>
      </c>
      <c r="E50" s="487" t="s">
        <v>887</v>
      </c>
      <c r="F50" s="487" t="str">
        <f t="shared" si="1"/>
        <v>P200001FNew England Power</v>
      </c>
      <c r="G50" s="499"/>
      <c r="H50" s="499">
        <f>VLOOKUP(F50,[2]Pivot!$R$20:$S$1359,2,FALSE)</f>
        <v>-0.02</v>
      </c>
      <c r="I50" s="499">
        <f t="shared" si="2"/>
        <v>-0.02</v>
      </c>
      <c r="J50" s="496" t="s">
        <v>890</v>
      </c>
    </row>
    <row r="51" spans="1:11" hidden="1" x14ac:dyDescent="0.25">
      <c r="A51" s="383">
        <f t="shared" si="0"/>
        <v>19</v>
      </c>
      <c r="B51" s="383" t="s">
        <v>263</v>
      </c>
      <c r="C51" s="497" t="s">
        <v>913</v>
      </c>
      <c r="D51" s="383" t="s">
        <v>895</v>
      </c>
      <c r="E51" s="383" t="s">
        <v>868</v>
      </c>
      <c r="F51" s="383" t="str">
        <f t="shared" si="1"/>
        <v>P200002DArizona Public Se</v>
      </c>
      <c r="G51" s="496">
        <v>0.03</v>
      </c>
      <c r="H51" s="496">
        <v>-0.03</v>
      </c>
      <c r="I51" s="496">
        <f t="shared" si="2"/>
        <v>0</v>
      </c>
      <c r="J51" s="496" t="s">
        <v>869</v>
      </c>
    </row>
    <row r="52" spans="1:11" x14ac:dyDescent="0.25">
      <c r="A52" s="383">
        <f t="shared" si="0"/>
        <v>19</v>
      </c>
      <c r="B52" s="383" t="s">
        <v>263</v>
      </c>
      <c r="C52" s="495" t="s">
        <v>913</v>
      </c>
      <c r="D52" s="383" t="s">
        <v>879</v>
      </c>
      <c r="E52" s="383" t="s">
        <v>868</v>
      </c>
      <c r="F52" s="383" t="str">
        <f t="shared" si="1"/>
        <v xml:space="preserve">P200002DEl Paso Electric </v>
      </c>
      <c r="G52" s="496">
        <v>26651.67</v>
      </c>
      <c r="H52" s="496">
        <v>-7.0000000000000007E-2</v>
      </c>
      <c r="I52" s="496">
        <f t="shared" si="2"/>
        <v>26651.599999999999</v>
      </c>
      <c r="J52" s="496"/>
    </row>
    <row r="53" spans="1:11" hidden="1" x14ac:dyDescent="0.25">
      <c r="A53" s="383">
        <f t="shared" si="0"/>
        <v>19</v>
      </c>
      <c r="B53" s="383" t="s">
        <v>263</v>
      </c>
      <c r="C53" s="497" t="s">
        <v>913</v>
      </c>
      <c r="D53" s="383" t="s">
        <v>912</v>
      </c>
      <c r="E53" s="383" t="s">
        <v>868</v>
      </c>
      <c r="F53" s="383" t="str">
        <f t="shared" si="1"/>
        <v>P200002DISO New England I</v>
      </c>
      <c r="G53" s="496">
        <v>289577.96000000002</v>
      </c>
      <c r="H53" s="496">
        <v>-289577.96000000002</v>
      </c>
      <c r="I53" s="496">
        <f t="shared" si="2"/>
        <v>0</v>
      </c>
      <c r="J53" s="496" t="s">
        <v>869</v>
      </c>
    </row>
    <row r="54" spans="1:11" x14ac:dyDescent="0.25">
      <c r="A54" s="383">
        <f t="shared" si="0"/>
        <v>26</v>
      </c>
      <c r="B54" s="487" t="s">
        <v>263</v>
      </c>
      <c r="C54" s="500" t="s">
        <v>913</v>
      </c>
      <c r="D54" s="487" t="s">
        <v>759</v>
      </c>
      <c r="E54" s="487" t="s">
        <v>868</v>
      </c>
      <c r="F54" s="487" t="str">
        <f t="shared" si="1"/>
        <v xml:space="preserve">P200002DNew Albany Power </v>
      </c>
      <c r="G54" s="499"/>
      <c r="H54" s="499">
        <f>VLOOKUP(F54,[2]Pivot!$R$20:$S$1359,2,FALSE)</f>
        <v>-1196747</v>
      </c>
      <c r="I54" s="499">
        <f t="shared" si="2"/>
        <v>-1196747</v>
      </c>
      <c r="J54" s="499"/>
      <c r="K54" s="499" t="s">
        <v>914</v>
      </c>
    </row>
    <row r="55" spans="1:11" hidden="1" x14ac:dyDescent="0.25">
      <c r="A55" s="383">
        <f t="shared" si="0"/>
        <v>22</v>
      </c>
      <c r="B55" s="487" t="s">
        <v>263</v>
      </c>
      <c r="C55" s="498" t="s">
        <v>913</v>
      </c>
      <c r="D55" s="487" t="s">
        <v>884</v>
      </c>
      <c r="E55" s="487" t="s">
        <v>868</v>
      </c>
      <c r="F55" s="487" t="str">
        <f t="shared" si="1"/>
        <v>P200002DNew England Power</v>
      </c>
      <c r="G55" s="499"/>
      <c r="H55" s="499">
        <f>VLOOKUP(F55,[2]Pivot!$R$20:$S$1359,2,FALSE)</f>
        <v>0</v>
      </c>
      <c r="I55" s="499">
        <f t="shared" si="2"/>
        <v>0</v>
      </c>
      <c r="J55" s="496" t="s">
        <v>869</v>
      </c>
    </row>
    <row r="56" spans="1:11" hidden="1" x14ac:dyDescent="0.25">
      <c r="A56" s="383">
        <f t="shared" si="0"/>
        <v>19</v>
      </c>
      <c r="B56" s="383" t="s">
        <v>263</v>
      </c>
      <c r="C56" s="497" t="s">
        <v>913</v>
      </c>
      <c r="D56" s="383" t="s">
        <v>915</v>
      </c>
      <c r="E56" s="383" t="s">
        <v>868</v>
      </c>
      <c r="F56" s="383" t="str">
        <f t="shared" si="1"/>
        <v>P200002DUnited Illuminati</v>
      </c>
      <c r="G56" s="496">
        <v>0</v>
      </c>
      <c r="H56" s="496">
        <v>0</v>
      </c>
      <c r="I56" s="496">
        <f t="shared" si="2"/>
        <v>0</v>
      </c>
      <c r="J56" s="496" t="s">
        <v>869</v>
      </c>
    </row>
    <row r="57" spans="1:11" hidden="1" x14ac:dyDescent="0.25">
      <c r="A57" s="383">
        <f t="shared" si="0"/>
        <v>20</v>
      </c>
      <c r="B57" s="383" t="s">
        <v>263</v>
      </c>
      <c r="C57" s="497" t="s">
        <v>913</v>
      </c>
      <c r="D57" s="383" t="s">
        <v>886</v>
      </c>
      <c r="E57" s="383" t="s">
        <v>887</v>
      </c>
      <c r="F57" s="383" t="str">
        <f t="shared" si="1"/>
        <v>P200002FAmerican Electric</v>
      </c>
      <c r="G57" s="496">
        <v>0.04</v>
      </c>
      <c r="H57" s="496">
        <v>-0.04</v>
      </c>
      <c r="I57" s="496">
        <f t="shared" si="2"/>
        <v>0</v>
      </c>
      <c r="J57" s="496" t="s">
        <v>869</v>
      </c>
    </row>
    <row r="58" spans="1:11" hidden="1" x14ac:dyDescent="0.25">
      <c r="A58" s="383">
        <f t="shared" si="0"/>
        <v>52</v>
      </c>
      <c r="B58" s="487" t="s">
        <v>263</v>
      </c>
      <c r="C58" s="498" t="s">
        <v>913</v>
      </c>
      <c r="D58" s="487" t="s">
        <v>906</v>
      </c>
      <c r="E58" s="487" t="s">
        <v>887</v>
      </c>
      <c r="F58" s="487" t="str">
        <f t="shared" si="1"/>
        <v>P200002FAvista Corporatio</v>
      </c>
      <c r="G58" s="499"/>
      <c r="H58" s="499">
        <f>VLOOKUP(F58,[2]Pivot!$R$20:$S$1359,2,FALSE)</f>
        <v>0</v>
      </c>
      <c r="I58" s="499">
        <f t="shared" si="2"/>
        <v>0</v>
      </c>
      <c r="J58" s="496" t="s">
        <v>869</v>
      </c>
    </row>
    <row r="59" spans="1:11" hidden="1" x14ac:dyDescent="0.25">
      <c r="A59" s="383">
        <f t="shared" si="0"/>
        <v>20</v>
      </c>
      <c r="B59" s="383" t="s">
        <v>263</v>
      </c>
      <c r="C59" s="497" t="s">
        <v>913</v>
      </c>
      <c r="D59" s="383" t="s">
        <v>916</v>
      </c>
      <c r="E59" s="383" t="s">
        <v>887</v>
      </c>
      <c r="F59" s="383" t="str">
        <f t="shared" si="1"/>
        <v>P200002FDelano Energy Com</v>
      </c>
      <c r="G59" s="496">
        <v>0.06</v>
      </c>
      <c r="H59" s="496">
        <v>-0.06</v>
      </c>
      <c r="I59" s="496">
        <f t="shared" si="2"/>
        <v>0</v>
      </c>
      <c r="J59" s="496" t="s">
        <v>869</v>
      </c>
    </row>
    <row r="60" spans="1:11" hidden="1" x14ac:dyDescent="0.25">
      <c r="A60" s="383">
        <f t="shared" si="0"/>
        <v>20</v>
      </c>
      <c r="B60" s="383" t="s">
        <v>263</v>
      </c>
      <c r="C60" s="497" t="s">
        <v>913</v>
      </c>
      <c r="D60" s="383" t="s">
        <v>893</v>
      </c>
      <c r="E60" s="383" t="s">
        <v>887</v>
      </c>
      <c r="F60" s="383" t="str">
        <f t="shared" si="1"/>
        <v>P200002FDynegy Power Mark</v>
      </c>
      <c r="G60" s="496">
        <v>7.0000000000000007E-2</v>
      </c>
      <c r="H60" s="496">
        <v>-7.0000000000000007E-2</v>
      </c>
      <c r="I60" s="496">
        <f t="shared" si="2"/>
        <v>0</v>
      </c>
      <c r="J60" s="496" t="s">
        <v>869</v>
      </c>
    </row>
    <row r="61" spans="1:11" hidden="1" x14ac:dyDescent="0.25">
      <c r="A61" s="383">
        <f t="shared" si="0"/>
        <v>20</v>
      </c>
      <c r="B61" s="383" t="s">
        <v>263</v>
      </c>
      <c r="C61" s="497" t="s">
        <v>913</v>
      </c>
      <c r="D61" s="383" t="s">
        <v>520</v>
      </c>
      <c r="E61" s="383" t="s">
        <v>887</v>
      </c>
      <c r="F61" s="383" t="str">
        <f t="shared" si="1"/>
        <v>P200002FISO New England I</v>
      </c>
      <c r="G61" s="496">
        <v>0.09</v>
      </c>
      <c r="H61" s="496"/>
      <c r="I61" s="496">
        <f t="shared" si="2"/>
        <v>0.09</v>
      </c>
      <c r="J61" s="496" t="s">
        <v>890</v>
      </c>
    </row>
    <row r="62" spans="1:11" hidden="1" x14ac:dyDescent="0.25">
      <c r="A62" s="383">
        <f t="shared" si="0"/>
        <v>22</v>
      </c>
      <c r="B62" s="487" t="s">
        <v>263</v>
      </c>
      <c r="C62" s="498" t="s">
        <v>913</v>
      </c>
      <c r="D62" s="487" t="s">
        <v>884</v>
      </c>
      <c r="E62" s="487" t="s">
        <v>887</v>
      </c>
      <c r="F62" s="487" t="str">
        <f t="shared" si="1"/>
        <v>P200002FNew England Power</v>
      </c>
      <c r="G62" s="499"/>
      <c r="H62" s="499">
        <f>VLOOKUP(F62,[2]Pivot!$R$20:$S$1359,2,FALSE)</f>
        <v>-0.09</v>
      </c>
      <c r="I62" s="499">
        <f t="shared" si="2"/>
        <v>-0.09</v>
      </c>
      <c r="J62" s="496" t="s">
        <v>890</v>
      </c>
    </row>
    <row r="63" spans="1:11" hidden="1" x14ac:dyDescent="0.25">
      <c r="A63" s="383">
        <f t="shared" si="0"/>
        <v>20</v>
      </c>
      <c r="B63" s="383" t="s">
        <v>263</v>
      </c>
      <c r="C63" s="497" t="s">
        <v>913</v>
      </c>
      <c r="D63" s="383" t="s">
        <v>917</v>
      </c>
      <c r="E63" s="383" t="s">
        <v>887</v>
      </c>
      <c r="F63" s="383" t="str">
        <f t="shared" si="1"/>
        <v>P200002FTosco Refining Co</v>
      </c>
      <c r="G63" s="496">
        <v>0.02</v>
      </c>
      <c r="H63" s="496">
        <v>-0.02</v>
      </c>
      <c r="I63" s="496">
        <f t="shared" si="2"/>
        <v>0</v>
      </c>
      <c r="J63" s="496" t="s">
        <v>869</v>
      </c>
    </row>
    <row r="64" spans="1:11" hidden="1" x14ac:dyDescent="0.25">
      <c r="A64" s="383">
        <f t="shared" si="0"/>
        <v>19</v>
      </c>
      <c r="B64" s="383" t="s">
        <v>263</v>
      </c>
      <c r="C64" s="497" t="s">
        <v>918</v>
      </c>
      <c r="D64" s="383" t="s">
        <v>919</v>
      </c>
      <c r="E64" s="383" t="s">
        <v>868</v>
      </c>
      <c r="F64" s="383" t="str">
        <f t="shared" si="1"/>
        <v>P200003DDelano Energy Com</v>
      </c>
      <c r="G64" s="496">
        <v>-7440</v>
      </c>
      <c r="H64" s="496">
        <v>7440</v>
      </c>
      <c r="I64" s="496">
        <f t="shared" si="2"/>
        <v>0</v>
      </c>
      <c r="J64" s="496" t="s">
        <v>869</v>
      </c>
    </row>
    <row r="65" spans="1:11" x14ac:dyDescent="0.25">
      <c r="A65" s="383">
        <f t="shared" si="0"/>
        <v>19</v>
      </c>
      <c r="B65" s="383" t="s">
        <v>263</v>
      </c>
      <c r="C65" s="495" t="s">
        <v>918</v>
      </c>
      <c r="D65" s="383" t="s">
        <v>879</v>
      </c>
      <c r="E65" s="383" t="s">
        <v>868</v>
      </c>
      <c r="F65" s="383" t="str">
        <f t="shared" si="1"/>
        <v xml:space="preserve">P200003DEl Paso Electric </v>
      </c>
      <c r="G65" s="496">
        <v>4692730.53</v>
      </c>
      <c r="H65" s="496">
        <v>-0.13</v>
      </c>
      <c r="I65" s="496">
        <f t="shared" si="2"/>
        <v>4692730.4000000004</v>
      </c>
      <c r="J65" s="496"/>
    </row>
    <row r="66" spans="1:11" hidden="1" x14ac:dyDescent="0.25">
      <c r="A66" s="383">
        <f t="shared" si="0"/>
        <v>19</v>
      </c>
      <c r="B66" s="383" t="s">
        <v>263</v>
      </c>
      <c r="C66" s="497" t="s">
        <v>918</v>
      </c>
      <c r="D66" s="383" t="s">
        <v>912</v>
      </c>
      <c r="E66" s="383" t="s">
        <v>868</v>
      </c>
      <c r="F66" s="383" t="str">
        <f t="shared" si="1"/>
        <v>P200003DISO New England I</v>
      </c>
      <c r="G66" s="496">
        <v>83790.100000000006</v>
      </c>
      <c r="H66" s="496">
        <v>-83790.100000000006</v>
      </c>
      <c r="I66" s="496">
        <f t="shared" si="2"/>
        <v>0</v>
      </c>
      <c r="J66" s="496" t="s">
        <v>869</v>
      </c>
    </row>
    <row r="67" spans="1:11" hidden="1" x14ac:dyDescent="0.25">
      <c r="A67" s="383">
        <f t="shared" si="0"/>
        <v>22</v>
      </c>
      <c r="B67" s="487" t="s">
        <v>263</v>
      </c>
      <c r="C67" s="498" t="s">
        <v>918</v>
      </c>
      <c r="D67" s="487" t="s">
        <v>884</v>
      </c>
      <c r="E67" s="487" t="s">
        <v>868</v>
      </c>
      <c r="F67" s="487" t="str">
        <f t="shared" si="1"/>
        <v>P200003DNew England Power</v>
      </c>
      <c r="G67" s="499"/>
      <c r="H67" s="499">
        <f>VLOOKUP(F67,[2]Pivot!$R$20:$S$1359,2,FALSE)</f>
        <v>0</v>
      </c>
      <c r="I67" s="499">
        <f t="shared" si="2"/>
        <v>0</v>
      </c>
      <c r="J67" s="496" t="s">
        <v>869</v>
      </c>
    </row>
    <row r="68" spans="1:11" hidden="1" x14ac:dyDescent="0.25">
      <c r="A68" s="383">
        <f t="shared" ref="A68:A131" si="3">LEN(D68)</f>
        <v>20</v>
      </c>
      <c r="B68" s="383" t="s">
        <v>263</v>
      </c>
      <c r="C68" s="497" t="s">
        <v>918</v>
      </c>
      <c r="D68" s="383" t="s">
        <v>886</v>
      </c>
      <c r="E68" s="383" t="s">
        <v>887</v>
      </c>
      <c r="F68" s="383" t="str">
        <f t="shared" ref="F68:F131" si="4">+B68&amp;C68&amp;E68&amp;LEFT(D68,17)</f>
        <v>P200003FAmerican Electric</v>
      </c>
      <c r="G68" s="496">
        <v>0.19</v>
      </c>
      <c r="H68" s="496">
        <v>-0.19</v>
      </c>
      <c r="I68" s="496">
        <f t="shared" ref="I68:I131" si="5">ROUND(+G68+H68,2)</f>
        <v>0</v>
      </c>
      <c r="J68" s="496" t="s">
        <v>869</v>
      </c>
    </row>
    <row r="69" spans="1:11" hidden="1" x14ac:dyDescent="0.25">
      <c r="A69" s="383">
        <f t="shared" si="3"/>
        <v>20</v>
      </c>
      <c r="B69" s="383" t="s">
        <v>263</v>
      </c>
      <c r="C69" s="497" t="s">
        <v>918</v>
      </c>
      <c r="D69" s="383" t="s">
        <v>916</v>
      </c>
      <c r="E69" s="383" t="s">
        <v>887</v>
      </c>
      <c r="F69" s="383" t="str">
        <f t="shared" si="4"/>
        <v>P200003FDelano Energy Com</v>
      </c>
      <c r="G69" s="496">
        <v>7440</v>
      </c>
      <c r="H69" s="496">
        <v>-7440</v>
      </c>
      <c r="I69" s="496">
        <f t="shared" si="5"/>
        <v>0</v>
      </c>
      <c r="J69" s="496" t="s">
        <v>869</v>
      </c>
    </row>
    <row r="70" spans="1:11" hidden="1" x14ac:dyDescent="0.25">
      <c r="A70" s="383">
        <f t="shared" si="3"/>
        <v>20</v>
      </c>
      <c r="B70" s="383" t="s">
        <v>263</v>
      </c>
      <c r="C70" s="497" t="s">
        <v>918</v>
      </c>
      <c r="D70" s="383" t="s">
        <v>893</v>
      </c>
      <c r="E70" s="383" t="s">
        <v>887</v>
      </c>
      <c r="F70" s="383" t="str">
        <f t="shared" si="4"/>
        <v>P200003FDynegy Power Mark</v>
      </c>
      <c r="G70" s="496">
        <v>0.35</v>
      </c>
      <c r="H70" s="496">
        <v>-0.35</v>
      </c>
      <c r="I70" s="496">
        <f t="shared" si="5"/>
        <v>0</v>
      </c>
      <c r="J70" s="496" t="s">
        <v>869</v>
      </c>
    </row>
    <row r="71" spans="1:11" hidden="1" x14ac:dyDescent="0.25">
      <c r="A71" s="383">
        <f t="shared" si="3"/>
        <v>20</v>
      </c>
      <c r="B71" s="383" t="s">
        <v>263</v>
      </c>
      <c r="C71" s="497" t="s">
        <v>918</v>
      </c>
      <c r="D71" s="383" t="s">
        <v>520</v>
      </c>
      <c r="E71" s="383" t="s">
        <v>887</v>
      </c>
      <c r="F71" s="383" t="str">
        <f t="shared" si="4"/>
        <v>P200003FISO New England I</v>
      </c>
      <c r="G71" s="496">
        <v>0.06</v>
      </c>
      <c r="H71" s="496"/>
      <c r="I71" s="496">
        <f t="shared" si="5"/>
        <v>0.06</v>
      </c>
      <c r="J71" s="496" t="s">
        <v>890</v>
      </c>
    </row>
    <row r="72" spans="1:11" hidden="1" x14ac:dyDescent="0.25">
      <c r="A72" s="383">
        <f t="shared" si="3"/>
        <v>22</v>
      </c>
      <c r="B72" s="487" t="s">
        <v>263</v>
      </c>
      <c r="C72" s="498" t="s">
        <v>918</v>
      </c>
      <c r="D72" s="487" t="s">
        <v>884</v>
      </c>
      <c r="E72" s="487" t="s">
        <v>887</v>
      </c>
      <c r="F72" s="487" t="str">
        <f t="shared" si="4"/>
        <v>P200003FNew England Power</v>
      </c>
      <c r="G72" s="499"/>
      <c r="H72" s="499">
        <f>VLOOKUP(F72,[2]Pivot!$R$20:$S$1359,2,FALSE)</f>
        <v>-0.06</v>
      </c>
      <c r="I72" s="499">
        <f t="shared" si="5"/>
        <v>-0.06</v>
      </c>
      <c r="J72" s="496" t="s">
        <v>890</v>
      </c>
    </row>
    <row r="73" spans="1:11" hidden="1" x14ac:dyDescent="0.25">
      <c r="A73" s="383">
        <f t="shared" si="3"/>
        <v>22</v>
      </c>
      <c r="B73" s="487" t="s">
        <v>263</v>
      </c>
      <c r="C73" s="498" t="s">
        <v>918</v>
      </c>
      <c r="D73" s="487" t="s">
        <v>907</v>
      </c>
      <c r="E73" s="487" t="s">
        <v>887</v>
      </c>
      <c r="F73" s="487" t="str">
        <f t="shared" si="4"/>
        <v>P200003FTosco Refining Co</v>
      </c>
      <c r="G73" s="499"/>
      <c r="H73" s="499">
        <f>VLOOKUP(F73,[2]Pivot!$R$20:$S$1359,2,FALSE)</f>
        <v>0</v>
      </c>
      <c r="I73" s="499">
        <f t="shared" si="5"/>
        <v>0</v>
      </c>
      <c r="J73" s="496" t="s">
        <v>869</v>
      </c>
    </row>
    <row r="74" spans="1:11" x14ac:dyDescent="0.25">
      <c r="A74" s="383">
        <f t="shared" si="3"/>
        <v>18</v>
      </c>
      <c r="B74" s="383" t="s">
        <v>263</v>
      </c>
      <c r="C74" s="495" t="s">
        <v>920</v>
      </c>
      <c r="D74" s="383" t="s">
        <v>921</v>
      </c>
      <c r="E74" s="383" t="s">
        <v>868</v>
      </c>
      <c r="F74" s="383" t="str">
        <f t="shared" si="4"/>
        <v>P200004DAtlantic Richfiel</v>
      </c>
      <c r="G74" s="496">
        <v>162340.54</v>
      </c>
      <c r="H74" s="496">
        <v>0</v>
      </c>
      <c r="I74" s="496">
        <f t="shared" si="5"/>
        <v>162340.54</v>
      </c>
      <c r="J74" s="496"/>
    </row>
    <row r="75" spans="1:11" x14ac:dyDescent="0.25">
      <c r="A75" s="383">
        <f t="shared" si="3"/>
        <v>19</v>
      </c>
      <c r="B75" s="383" t="s">
        <v>263</v>
      </c>
      <c r="C75" s="495" t="s">
        <v>920</v>
      </c>
      <c r="D75" s="383" t="s">
        <v>879</v>
      </c>
      <c r="E75" s="383" t="s">
        <v>868</v>
      </c>
      <c r="F75" s="383" t="str">
        <f t="shared" si="4"/>
        <v xml:space="preserve">P200004DEl Paso Electric </v>
      </c>
      <c r="G75" s="496">
        <v>768497.21</v>
      </c>
      <c r="H75" s="496">
        <v>307.55</v>
      </c>
      <c r="I75" s="496">
        <f t="shared" si="5"/>
        <v>768804.76</v>
      </c>
      <c r="J75" s="496"/>
    </row>
    <row r="76" spans="1:11" hidden="1" x14ac:dyDescent="0.25">
      <c r="A76" s="383">
        <f t="shared" si="3"/>
        <v>19</v>
      </c>
      <c r="B76" s="383" t="s">
        <v>263</v>
      </c>
      <c r="C76" s="497" t="s">
        <v>920</v>
      </c>
      <c r="D76" s="383" t="s">
        <v>912</v>
      </c>
      <c r="E76" s="383" t="s">
        <v>868</v>
      </c>
      <c r="F76" s="383" t="str">
        <f t="shared" si="4"/>
        <v>P200004DISO New England I</v>
      </c>
      <c r="G76" s="496">
        <v>166902.66</v>
      </c>
      <c r="H76" s="496">
        <v>0</v>
      </c>
      <c r="I76" s="496">
        <f t="shared" si="5"/>
        <v>166902.66</v>
      </c>
      <c r="J76" s="499" t="s">
        <v>890</v>
      </c>
    </row>
    <row r="77" spans="1:11" x14ac:dyDescent="0.25">
      <c r="A77" s="383">
        <f t="shared" si="3"/>
        <v>26</v>
      </c>
      <c r="B77" s="487" t="s">
        <v>263</v>
      </c>
      <c r="C77" s="500" t="s">
        <v>920</v>
      </c>
      <c r="D77" s="487" t="s">
        <v>922</v>
      </c>
      <c r="E77" s="487" t="s">
        <v>868</v>
      </c>
      <c r="F77" s="487" t="str">
        <f t="shared" si="4"/>
        <v>P200004DLas Vegas Cogener</v>
      </c>
      <c r="G77" s="499"/>
      <c r="H77" s="499">
        <f>VLOOKUP(F77,[2]Pivot!$R$20:$S$1359,2,FALSE)</f>
        <v>164192.68</v>
      </c>
      <c r="I77" s="499">
        <f t="shared" si="5"/>
        <v>164192.68</v>
      </c>
      <c r="J77" s="499"/>
    </row>
    <row r="78" spans="1:11" hidden="1" x14ac:dyDescent="0.25">
      <c r="A78" s="383">
        <f t="shared" si="3"/>
        <v>19</v>
      </c>
      <c r="B78" s="383" t="s">
        <v>263</v>
      </c>
      <c r="C78" s="497" t="s">
        <v>920</v>
      </c>
      <c r="D78" s="383" t="s">
        <v>923</v>
      </c>
      <c r="E78" s="383" t="s">
        <v>868</v>
      </c>
      <c r="F78" s="383" t="str">
        <f t="shared" si="4"/>
        <v>P200004DLos Angeles Dept.</v>
      </c>
      <c r="G78" s="496">
        <v>-10266.64</v>
      </c>
      <c r="H78" s="496">
        <v>10266.64</v>
      </c>
      <c r="I78" s="496">
        <f t="shared" si="5"/>
        <v>0</v>
      </c>
      <c r="J78" s="496" t="s">
        <v>869</v>
      </c>
    </row>
    <row r="79" spans="1:11" x14ac:dyDescent="0.25">
      <c r="A79" s="383">
        <f t="shared" si="3"/>
        <v>26</v>
      </c>
      <c r="B79" s="487" t="s">
        <v>263</v>
      </c>
      <c r="C79" s="500" t="s">
        <v>920</v>
      </c>
      <c r="D79" s="487" t="s">
        <v>759</v>
      </c>
      <c r="E79" s="487" t="s">
        <v>868</v>
      </c>
      <c r="F79" s="487" t="str">
        <f t="shared" si="4"/>
        <v xml:space="preserve">P200004DNew Albany Power </v>
      </c>
      <c r="G79" s="499"/>
      <c r="H79" s="499">
        <f>VLOOKUP(F79,[2]Pivot!$R$20:$S$1359,2,FALSE)</f>
        <v>-1029000</v>
      </c>
      <c r="I79" s="499">
        <f t="shared" si="5"/>
        <v>-1029000</v>
      </c>
      <c r="J79" s="499"/>
      <c r="K79" s="499" t="s">
        <v>914</v>
      </c>
    </row>
    <row r="80" spans="1:11" hidden="1" x14ac:dyDescent="0.25">
      <c r="A80" s="383">
        <f t="shared" si="3"/>
        <v>22</v>
      </c>
      <c r="B80" s="487" t="s">
        <v>263</v>
      </c>
      <c r="C80" s="498" t="s">
        <v>920</v>
      </c>
      <c r="D80" s="487" t="s">
        <v>884</v>
      </c>
      <c r="E80" s="487" t="s">
        <v>868</v>
      </c>
      <c r="F80" s="487" t="str">
        <f t="shared" si="4"/>
        <v>P200004DNew England Power</v>
      </c>
      <c r="G80" s="499"/>
      <c r="H80" s="499">
        <f>VLOOKUP(F80,[2]Pivot!$R$20:$S$1359,2,FALSE)</f>
        <v>-166902.66</v>
      </c>
      <c r="I80" s="499">
        <f t="shared" si="5"/>
        <v>-166902.66</v>
      </c>
      <c r="J80" s="499" t="s">
        <v>890</v>
      </c>
    </row>
    <row r="81" spans="1:10" hidden="1" x14ac:dyDescent="0.25">
      <c r="A81" s="383">
        <f t="shared" si="3"/>
        <v>19</v>
      </c>
      <c r="B81" s="383" t="s">
        <v>263</v>
      </c>
      <c r="C81" s="497" t="s">
        <v>920</v>
      </c>
      <c r="D81" s="383" t="s">
        <v>892</v>
      </c>
      <c r="E81" s="383" t="s">
        <v>868</v>
      </c>
      <c r="F81" s="383" t="str">
        <f t="shared" si="4"/>
        <v>P200004DPJM Interconnecti</v>
      </c>
      <c r="G81" s="496">
        <v>0</v>
      </c>
      <c r="H81" s="496">
        <v>0</v>
      </c>
      <c r="I81" s="496">
        <f t="shared" si="5"/>
        <v>0</v>
      </c>
      <c r="J81" s="496" t="s">
        <v>869</v>
      </c>
    </row>
    <row r="82" spans="1:10" hidden="1" x14ac:dyDescent="0.25">
      <c r="A82" s="383">
        <f t="shared" si="3"/>
        <v>18</v>
      </c>
      <c r="B82" s="383" t="s">
        <v>263</v>
      </c>
      <c r="C82" s="497" t="s">
        <v>920</v>
      </c>
      <c r="D82" s="383" t="s">
        <v>924</v>
      </c>
      <c r="E82" s="383" t="s">
        <v>868</v>
      </c>
      <c r="F82" s="383" t="str">
        <f t="shared" si="4"/>
        <v>P200004DWestern Area Powe</v>
      </c>
      <c r="G82" s="496">
        <v>0</v>
      </c>
      <c r="H82" s="496">
        <v>0</v>
      </c>
      <c r="I82" s="496">
        <f t="shared" si="5"/>
        <v>0</v>
      </c>
      <c r="J82" s="496" t="s">
        <v>869</v>
      </c>
    </row>
    <row r="83" spans="1:10" hidden="1" x14ac:dyDescent="0.25">
      <c r="A83" s="383">
        <f t="shared" si="3"/>
        <v>20</v>
      </c>
      <c r="B83" s="383" t="s">
        <v>263</v>
      </c>
      <c r="C83" s="497" t="s">
        <v>920</v>
      </c>
      <c r="D83" s="383" t="s">
        <v>925</v>
      </c>
      <c r="E83" s="383" t="s">
        <v>887</v>
      </c>
      <c r="F83" s="383" t="str">
        <f t="shared" si="4"/>
        <v>P200004FAvista Corporatio</v>
      </c>
      <c r="G83" s="496">
        <v>9793.52</v>
      </c>
      <c r="H83" s="496">
        <v>-9793.52</v>
      </c>
      <c r="I83" s="496">
        <f t="shared" si="5"/>
        <v>0</v>
      </c>
      <c r="J83" s="496" t="s">
        <v>869</v>
      </c>
    </row>
    <row r="84" spans="1:10" hidden="1" x14ac:dyDescent="0.25">
      <c r="A84" s="383">
        <f t="shared" si="3"/>
        <v>20</v>
      </c>
      <c r="B84" s="383" t="s">
        <v>263</v>
      </c>
      <c r="C84" s="497" t="s">
        <v>920</v>
      </c>
      <c r="D84" s="383" t="s">
        <v>926</v>
      </c>
      <c r="E84" s="383" t="s">
        <v>887</v>
      </c>
      <c r="F84" s="383" t="str">
        <f t="shared" si="4"/>
        <v>P200004FLas Vegas Cogener</v>
      </c>
      <c r="G84" s="496">
        <v>164192.68</v>
      </c>
      <c r="H84" s="496">
        <v>-164192.68</v>
      </c>
      <c r="I84" s="496">
        <f t="shared" si="5"/>
        <v>0</v>
      </c>
      <c r="J84" s="496" t="s">
        <v>869</v>
      </c>
    </row>
    <row r="85" spans="1:10" hidden="1" x14ac:dyDescent="0.25">
      <c r="A85" s="383">
        <f t="shared" si="3"/>
        <v>20</v>
      </c>
      <c r="B85" s="383" t="s">
        <v>263</v>
      </c>
      <c r="C85" s="497" t="s">
        <v>920</v>
      </c>
      <c r="D85" s="383" t="s">
        <v>927</v>
      </c>
      <c r="E85" s="383" t="s">
        <v>887</v>
      </c>
      <c r="F85" s="383" t="str">
        <f t="shared" si="4"/>
        <v>P200004FLos Angeles Dept.</v>
      </c>
      <c r="G85" s="496">
        <v>10266.64</v>
      </c>
      <c r="H85" s="496">
        <v>-10266.64</v>
      </c>
      <c r="I85" s="496">
        <f t="shared" si="5"/>
        <v>0</v>
      </c>
      <c r="J85" s="496" t="s">
        <v>869</v>
      </c>
    </row>
    <row r="86" spans="1:10" hidden="1" x14ac:dyDescent="0.25">
      <c r="A86" s="383">
        <f t="shared" si="3"/>
        <v>19</v>
      </c>
      <c r="B86" s="383" t="s">
        <v>263</v>
      </c>
      <c r="C86" s="497" t="s">
        <v>928</v>
      </c>
      <c r="D86" s="383" t="s">
        <v>929</v>
      </c>
      <c r="E86" s="383" t="s">
        <v>868</v>
      </c>
      <c r="F86" s="383" t="str">
        <f t="shared" si="4"/>
        <v>P200005DCanFibre of River</v>
      </c>
      <c r="G86" s="496">
        <v>0</v>
      </c>
      <c r="H86" s="496">
        <v>0</v>
      </c>
      <c r="I86" s="496">
        <f t="shared" si="5"/>
        <v>0</v>
      </c>
      <c r="J86" s="496" t="s">
        <v>869</v>
      </c>
    </row>
    <row r="87" spans="1:10" x14ac:dyDescent="0.25">
      <c r="A87" s="383">
        <f t="shared" si="3"/>
        <v>19</v>
      </c>
      <c r="B87" s="383" t="s">
        <v>263</v>
      </c>
      <c r="C87" s="495" t="s">
        <v>928</v>
      </c>
      <c r="D87" s="383" t="s">
        <v>879</v>
      </c>
      <c r="E87" s="383" t="s">
        <v>868</v>
      </c>
      <c r="F87" s="383" t="str">
        <f t="shared" si="4"/>
        <v xml:space="preserve">P200005DEl Paso Electric </v>
      </c>
      <c r="G87" s="496">
        <v>2531533.2400000002</v>
      </c>
      <c r="H87" s="496">
        <v>-0.08</v>
      </c>
      <c r="I87" s="496">
        <f t="shared" si="5"/>
        <v>2531533.16</v>
      </c>
      <c r="J87" s="496"/>
    </row>
    <row r="88" spans="1:10" hidden="1" x14ac:dyDescent="0.25">
      <c r="A88" s="383">
        <f t="shared" si="3"/>
        <v>18</v>
      </c>
      <c r="B88" s="383" t="s">
        <v>263</v>
      </c>
      <c r="C88" s="497" t="s">
        <v>928</v>
      </c>
      <c r="D88" s="383" t="s">
        <v>930</v>
      </c>
      <c r="E88" s="383" t="s">
        <v>868</v>
      </c>
      <c r="F88" s="383" t="str">
        <f t="shared" si="4"/>
        <v>P200005DISO New England I</v>
      </c>
      <c r="G88" s="496">
        <v>0</v>
      </c>
      <c r="H88" s="496">
        <v>0</v>
      </c>
      <c r="I88" s="496">
        <f t="shared" si="5"/>
        <v>0</v>
      </c>
      <c r="J88" s="496" t="s">
        <v>869</v>
      </c>
    </row>
    <row r="89" spans="1:10" x14ac:dyDescent="0.25">
      <c r="A89" s="383">
        <f t="shared" si="3"/>
        <v>26</v>
      </c>
      <c r="B89" s="487" t="s">
        <v>263</v>
      </c>
      <c r="C89" s="500" t="s">
        <v>928</v>
      </c>
      <c r="D89" s="487" t="s">
        <v>922</v>
      </c>
      <c r="E89" s="487" t="s">
        <v>868</v>
      </c>
      <c r="F89" s="487" t="str">
        <f t="shared" si="4"/>
        <v>P200005DLas Vegas Cogener</v>
      </c>
      <c r="G89" s="499"/>
      <c r="H89" s="499">
        <f>VLOOKUP(F89,[2]Pivot!$R$20:$S$1359,2,FALSE)</f>
        <v>429726.06</v>
      </c>
      <c r="I89" s="499">
        <f t="shared" si="5"/>
        <v>429726.06</v>
      </c>
      <c r="J89" s="499"/>
    </row>
    <row r="90" spans="1:10" hidden="1" x14ac:dyDescent="0.25">
      <c r="A90" s="383">
        <f t="shared" si="3"/>
        <v>22</v>
      </c>
      <c r="B90" s="487" t="s">
        <v>263</v>
      </c>
      <c r="C90" s="498" t="s">
        <v>928</v>
      </c>
      <c r="D90" s="487" t="s">
        <v>884</v>
      </c>
      <c r="E90" s="487" t="s">
        <v>868</v>
      </c>
      <c r="F90" s="487" t="str">
        <f t="shared" si="4"/>
        <v>P200005DNew England Power</v>
      </c>
      <c r="G90" s="499"/>
      <c r="H90" s="499">
        <f>VLOOKUP(F90,[2]Pivot!$R$20:$S$1359,2,FALSE)</f>
        <v>0</v>
      </c>
      <c r="I90" s="499">
        <f t="shared" si="5"/>
        <v>0</v>
      </c>
      <c r="J90" s="496" t="s">
        <v>869</v>
      </c>
    </row>
    <row r="91" spans="1:10" hidden="1" x14ac:dyDescent="0.25">
      <c r="A91" s="383">
        <f t="shared" si="3"/>
        <v>19</v>
      </c>
      <c r="B91" s="383" t="s">
        <v>263</v>
      </c>
      <c r="C91" s="497" t="s">
        <v>928</v>
      </c>
      <c r="D91" s="383" t="s">
        <v>931</v>
      </c>
      <c r="E91" s="383" t="s">
        <v>868</v>
      </c>
      <c r="F91" s="383" t="str">
        <f t="shared" si="4"/>
        <v>P200005DNew York Independ</v>
      </c>
      <c r="G91" s="496">
        <v>9030.7000000013413</v>
      </c>
      <c r="H91" s="496">
        <v>-9030.7000000000007</v>
      </c>
      <c r="I91" s="496">
        <f t="shared" si="5"/>
        <v>0</v>
      </c>
      <c r="J91" s="496" t="s">
        <v>869</v>
      </c>
    </row>
    <row r="92" spans="1:10" x14ac:dyDescent="0.25">
      <c r="A92" s="383">
        <f t="shared" si="3"/>
        <v>19</v>
      </c>
      <c r="B92" s="383" t="s">
        <v>263</v>
      </c>
      <c r="C92" s="495" t="s">
        <v>928</v>
      </c>
      <c r="D92" s="383" t="s">
        <v>932</v>
      </c>
      <c r="E92" s="383" t="s">
        <v>868</v>
      </c>
      <c r="F92" s="383" t="str">
        <f t="shared" si="4"/>
        <v>P200005DTosco Refining Co</v>
      </c>
      <c r="G92" s="496">
        <v>454515.19</v>
      </c>
      <c r="H92" s="496">
        <v>-0.01</v>
      </c>
      <c r="I92" s="496">
        <f t="shared" si="5"/>
        <v>454515.18</v>
      </c>
      <c r="J92" s="496"/>
    </row>
    <row r="93" spans="1:10" hidden="1" x14ac:dyDescent="0.25">
      <c r="A93" s="383">
        <f t="shared" si="3"/>
        <v>20</v>
      </c>
      <c r="B93" s="383" t="s">
        <v>263</v>
      </c>
      <c r="C93" s="497" t="s">
        <v>928</v>
      </c>
      <c r="D93" s="383" t="s">
        <v>925</v>
      </c>
      <c r="E93" s="383" t="s">
        <v>887</v>
      </c>
      <c r="F93" s="383" t="str">
        <f t="shared" si="4"/>
        <v>P200005FAvista Corporatio</v>
      </c>
      <c r="G93" s="496">
        <v>6296</v>
      </c>
      <c r="H93" s="496">
        <v>-6296</v>
      </c>
      <c r="I93" s="496">
        <f t="shared" si="5"/>
        <v>0</v>
      </c>
      <c r="J93" s="496" t="s">
        <v>869</v>
      </c>
    </row>
    <row r="94" spans="1:10" hidden="1" x14ac:dyDescent="0.25">
      <c r="A94" s="383">
        <f t="shared" si="3"/>
        <v>20</v>
      </c>
      <c r="B94" s="383" t="s">
        <v>263</v>
      </c>
      <c r="C94" s="497" t="s">
        <v>928</v>
      </c>
      <c r="D94" s="383" t="s">
        <v>520</v>
      </c>
      <c r="E94" s="383" t="s">
        <v>887</v>
      </c>
      <c r="F94" s="383" t="str">
        <f t="shared" si="4"/>
        <v>P200005FISO New England I</v>
      </c>
      <c r="G94" s="496">
        <v>0.03</v>
      </c>
      <c r="H94" s="496"/>
      <c r="I94" s="496">
        <f t="shared" si="5"/>
        <v>0.03</v>
      </c>
      <c r="J94" s="496" t="s">
        <v>890</v>
      </c>
    </row>
    <row r="95" spans="1:10" hidden="1" x14ac:dyDescent="0.25">
      <c r="A95" s="383">
        <f t="shared" si="3"/>
        <v>20</v>
      </c>
      <c r="B95" s="383" t="s">
        <v>263</v>
      </c>
      <c r="C95" s="497" t="s">
        <v>928</v>
      </c>
      <c r="D95" s="383" t="s">
        <v>926</v>
      </c>
      <c r="E95" s="383" t="s">
        <v>887</v>
      </c>
      <c r="F95" s="383" t="str">
        <f t="shared" si="4"/>
        <v>P200005FLas Vegas Cogener</v>
      </c>
      <c r="G95" s="496">
        <v>429726.06</v>
      </c>
      <c r="H95" s="496">
        <v>-429726.06</v>
      </c>
      <c r="I95" s="496">
        <f t="shared" si="5"/>
        <v>0</v>
      </c>
      <c r="J95" s="496" t="s">
        <v>869</v>
      </c>
    </row>
    <row r="96" spans="1:10" hidden="1" x14ac:dyDescent="0.25">
      <c r="A96" s="383">
        <f t="shared" si="3"/>
        <v>22</v>
      </c>
      <c r="B96" s="487" t="s">
        <v>263</v>
      </c>
      <c r="C96" s="498" t="s">
        <v>928</v>
      </c>
      <c r="D96" s="487" t="s">
        <v>884</v>
      </c>
      <c r="E96" s="487" t="s">
        <v>887</v>
      </c>
      <c r="F96" s="487" t="str">
        <f t="shared" si="4"/>
        <v>P200005FNew England Power</v>
      </c>
      <c r="G96" s="499"/>
      <c r="H96" s="499">
        <f>VLOOKUP(F96,[2]Pivot!$R$20:$S$1359,2,FALSE)</f>
        <v>-0.03</v>
      </c>
      <c r="I96" s="499">
        <f t="shared" si="5"/>
        <v>-0.03</v>
      </c>
      <c r="J96" s="496" t="s">
        <v>890</v>
      </c>
    </row>
    <row r="97" spans="1:11" hidden="1" x14ac:dyDescent="0.25">
      <c r="A97" s="383">
        <f t="shared" si="3"/>
        <v>19</v>
      </c>
      <c r="B97" s="383" t="s">
        <v>263</v>
      </c>
      <c r="C97" s="497" t="s">
        <v>933</v>
      </c>
      <c r="D97" s="383" t="s">
        <v>934</v>
      </c>
      <c r="E97" s="383" t="s">
        <v>868</v>
      </c>
      <c r="F97" s="383" t="str">
        <f t="shared" si="4"/>
        <v>P200006DAquila Energy Mar</v>
      </c>
      <c r="G97" s="496">
        <v>3693.02</v>
      </c>
      <c r="H97" s="496">
        <v>-3693.02</v>
      </c>
      <c r="I97" s="496">
        <f t="shared" si="5"/>
        <v>0</v>
      </c>
      <c r="J97" s="496" t="s">
        <v>869</v>
      </c>
    </row>
    <row r="98" spans="1:11" hidden="1" x14ac:dyDescent="0.25">
      <c r="A98" s="383">
        <f t="shared" si="3"/>
        <v>19</v>
      </c>
      <c r="B98" s="383" t="s">
        <v>263</v>
      </c>
      <c r="C98" s="497" t="s">
        <v>933</v>
      </c>
      <c r="D98" s="383" t="s">
        <v>935</v>
      </c>
      <c r="E98" s="383" t="s">
        <v>868</v>
      </c>
      <c r="F98" s="383" t="str">
        <f t="shared" si="4"/>
        <v xml:space="preserve">P200006DBonneville Power </v>
      </c>
      <c r="G98" s="496">
        <v>-901.25</v>
      </c>
      <c r="H98" s="496">
        <v>901.25</v>
      </c>
      <c r="I98" s="496">
        <f t="shared" si="5"/>
        <v>0</v>
      </c>
      <c r="J98" s="496" t="s">
        <v>869</v>
      </c>
    </row>
    <row r="99" spans="1:11" hidden="1" x14ac:dyDescent="0.25">
      <c r="A99" s="383">
        <f t="shared" si="3"/>
        <v>19</v>
      </c>
      <c r="B99" s="383" t="s">
        <v>263</v>
      </c>
      <c r="C99" s="497" t="s">
        <v>933</v>
      </c>
      <c r="D99" s="383" t="s">
        <v>936</v>
      </c>
      <c r="E99" s="383" t="s">
        <v>868</v>
      </c>
      <c r="F99" s="383" t="str">
        <f t="shared" si="4"/>
        <v xml:space="preserve">P200006DCalifornia Power </v>
      </c>
      <c r="G99" s="496">
        <v>0</v>
      </c>
      <c r="H99" s="496">
        <v>0</v>
      </c>
      <c r="I99" s="496">
        <f t="shared" si="5"/>
        <v>0</v>
      </c>
      <c r="J99" s="496" t="s">
        <v>869</v>
      </c>
    </row>
    <row r="100" spans="1:11" x14ac:dyDescent="0.25">
      <c r="A100" s="383">
        <f t="shared" si="3"/>
        <v>19</v>
      </c>
      <c r="B100" s="383" t="s">
        <v>263</v>
      </c>
      <c r="C100" s="495" t="s">
        <v>933</v>
      </c>
      <c r="D100" s="383" t="s">
        <v>879</v>
      </c>
      <c r="E100" s="383" t="s">
        <v>868</v>
      </c>
      <c r="F100" s="383" t="str">
        <f t="shared" si="4"/>
        <v xml:space="preserve">P200006DEl Paso Electric </v>
      </c>
      <c r="G100" s="496">
        <v>7748868.5500000007</v>
      </c>
      <c r="H100" s="496">
        <v>-0.02</v>
      </c>
      <c r="I100" s="496">
        <f t="shared" si="5"/>
        <v>7748868.5300000003</v>
      </c>
      <c r="J100" s="496"/>
    </row>
    <row r="101" spans="1:11" hidden="1" x14ac:dyDescent="0.25">
      <c r="A101" s="383">
        <f t="shared" si="3"/>
        <v>25</v>
      </c>
      <c r="B101" s="487" t="s">
        <v>263</v>
      </c>
      <c r="C101" s="498" t="s">
        <v>933</v>
      </c>
      <c r="D101" s="487" t="s">
        <v>937</v>
      </c>
      <c r="E101" s="487" t="s">
        <v>868</v>
      </c>
      <c r="F101" s="487" t="str">
        <f t="shared" si="4"/>
        <v>P200006DEnron North Ameri</v>
      </c>
      <c r="G101" s="499"/>
      <c r="H101" s="499">
        <f>VLOOKUP(F101,[2]Pivot!$R$20:$S$1359,2,FALSE)</f>
        <v>0</v>
      </c>
      <c r="I101" s="499">
        <f t="shared" si="5"/>
        <v>0</v>
      </c>
      <c r="J101" s="496" t="s">
        <v>869</v>
      </c>
    </row>
    <row r="102" spans="1:11" hidden="1" x14ac:dyDescent="0.25">
      <c r="A102" s="383">
        <f t="shared" si="3"/>
        <v>18</v>
      </c>
      <c r="B102" s="383" t="s">
        <v>263</v>
      </c>
      <c r="C102" s="497" t="s">
        <v>933</v>
      </c>
      <c r="D102" s="383" t="s">
        <v>930</v>
      </c>
      <c r="E102" s="383" t="s">
        <v>868</v>
      </c>
      <c r="F102" s="383" t="str">
        <f t="shared" si="4"/>
        <v>P200006DISO New England I</v>
      </c>
      <c r="G102" s="496">
        <v>0</v>
      </c>
      <c r="H102" s="496">
        <v>0</v>
      </c>
      <c r="I102" s="496">
        <f t="shared" si="5"/>
        <v>0</v>
      </c>
      <c r="J102" s="496" t="s">
        <v>869</v>
      </c>
    </row>
    <row r="103" spans="1:11" x14ac:dyDescent="0.25">
      <c r="A103" s="383">
        <f t="shared" si="3"/>
        <v>19</v>
      </c>
      <c r="B103" s="383" t="s">
        <v>263</v>
      </c>
      <c r="C103" s="495" t="s">
        <v>933</v>
      </c>
      <c r="D103" s="383" t="s">
        <v>938</v>
      </c>
      <c r="E103" s="383" t="s">
        <v>868</v>
      </c>
      <c r="F103" s="383" t="str">
        <f t="shared" si="4"/>
        <v>P200006DLas Vegas Cogener</v>
      </c>
      <c r="G103" s="496">
        <v>946094.97</v>
      </c>
      <c r="H103" s="496">
        <v>0</v>
      </c>
      <c r="I103" s="496">
        <f t="shared" si="5"/>
        <v>946094.97</v>
      </c>
      <c r="J103" s="496"/>
    </row>
    <row r="104" spans="1:11" hidden="1" x14ac:dyDescent="0.25">
      <c r="A104" s="383">
        <f t="shared" si="3"/>
        <v>19</v>
      </c>
      <c r="B104" s="383" t="s">
        <v>263</v>
      </c>
      <c r="C104" s="497" t="s">
        <v>933</v>
      </c>
      <c r="D104" s="383" t="s">
        <v>939</v>
      </c>
      <c r="E104" s="383" t="s">
        <v>868</v>
      </c>
      <c r="F104" s="383" t="str">
        <f t="shared" si="4"/>
        <v>P200006DMontana Power Com</v>
      </c>
      <c r="G104" s="496">
        <v>0</v>
      </c>
      <c r="H104" s="496">
        <v>0</v>
      </c>
      <c r="I104" s="496">
        <f t="shared" si="5"/>
        <v>0</v>
      </c>
      <c r="J104" s="496" t="s">
        <v>869</v>
      </c>
    </row>
    <row r="105" spans="1:11" x14ac:dyDescent="0.25">
      <c r="A105" s="383">
        <f t="shared" si="3"/>
        <v>26</v>
      </c>
      <c r="B105" s="487" t="s">
        <v>263</v>
      </c>
      <c r="C105" s="500" t="s">
        <v>933</v>
      </c>
      <c r="D105" s="487" t="s">
        <v>759</v>
      </c>
      <c r="E105" s="487" t="s">
        <v>868</v>
      </c>
      <c r="F105" s="487" t="str">
        <f t="shared" si="4"/>
        <v xml:space="preserve">P200006DNew Albany Power </v>
      </c>
      <c r="G105" s="499"/>
      <c r="H105" s="499">
        <f>VLOOKUP(F105,[2]Pivot!$R$20:$S$1359,2,FALSE)</f>
        <v>-1028245</v>
      </c>
      <c r="I105" s="499">
        <f t="shared" si="5"/>
        <v>-1028245</v>
      </c>
      <c r="J105" s="499"/>
      <c r="K105" s="499" t="s">
        <v>914</v>
      </c>
    </row>
    <row r="106" spans="1:11" hidden="1" x14ac:dyDescent="0.25">
      <c r="A106" s="383">
        <f t="shared" si="3"/>
        <v>22</v>
      </c>
      <c r="B106" s="487" t="s">
        <v>263</v>
      </c>
      <c r="C106" s="498" t="s">
        <v>933</v>
      </c>
      <c r="D106" s="487" t="s">
        <v>884</v>
      </c>
      <c r="E106" s="487" t="s">
        <v>868</v>
      </c>
      <c r="F106" s="487" t="str">
        <f t="shared" si="4"/>
        <v>P200006DNew England Power</v>
      </c>
      <c r="G106" s="499"/>
      <c r="H106" s="499">
        <f>VLOOKUP(F106,[2]Pivot!$R$20:$S$1359,2,FALSE)</f>
        <v>0</v>
      </c>
      <c r="I106" s="499">
        <f t="shared" si="5"/>
        <v>0</v>
      </c>
      <c r="J106" s="496" t="s">
        <v>869</v>
      </c>
    </row>
    <row r="107" spans="1:11" hidden="1" x14ac:dyDescent="0.25">
      <c r="A107" s="383">
        <f t="shared" si="3"/>
        <v>19</v>
      </c>
      <c r="B107" s="383" t="s">
        <v>263</v>
      </c>
      <c r="C107" s="497" t="s">
        <v>933</v>
      </c>
      <c r="D107" s="383" t="s">
        <v>931</v>
      </c>
      <c r="E107" s="383" t="s">
        <v>868</v>
      </c>
      <c r="F107" s="383" t="str">
        <f t="shared" si="4"/>
        <v>P200006DNew York Independ</v>
      </c>
      <c r="G107" s="496">
        <v>46682211.829999998</v>
      </c>
      <c r="H107" s="496">
        <v>-46682211.829999998</v>
      </c>
      <c r="I107" s="496">
        <f t="shared" si="5"/>
        <v>0</v>
      </c>
      <c r="J107" s="496" t="s">
        <v>869</v>
      </c>
    </row>
    <row r="108" spans="1:11" x14ac:dyDescent="0.25">
      <c r="A108" s="383">
        <f t="shared" si="3"/>
        <v>10</v>
      </c>
      <c r="B108" s="383" t="s">
        <v>263</v>
      </c>
      <c r="C108" s="495" t="s">
        <v>933</v>
      </c>
      <c r="D108" s="383" t="s">
        <v>940</v>
      </c>
      <c r="E108" s="383" t="s">
        <v>868</v>
      </c>
      <c r="F108" s="383" t="str">
        <f t="shared" si="4"/>
        <v>P200006DPacificorp</v>
      </c>
      <c r="G108" s="496">
        <v>8063052</v>
      </c>
      <c r="H108" s="496">
        <v>0</v>
      </c>
      <c r="I108" s="496">
        <f t="shared" si="5"/>
        <v>8063052</v>
      </c>
      <c r="J108" s="496"/>
    </row>
    <row r="109" spans="1:11" hidden="1" x14ac:dyDescent="0.25">
      <c r="A109" s="383">
        <f t="shared" si="3"/>
        <v>19</v>
      </c>
      <c r="B109" s="383" t="s">
        <v>263</v>
      </c>
      <c r="C109" s="497" t="s">
        <v>933</v>
      </c>
      <c r="D109" s="383" t="s">
        <v>892</v>
      </c>
      <c r="E109" s="383" t="s">
        <v>868</v>
      </c>
      <c r="F109" s="383" t="str">
        <f t="shared" si="4"/>
        <v>P200006DPJM Interconnecti</v>
      </c>
      <c r="G109" s="496">
        <v>580049.98</v>
      </c>
      <c r="H109" s="496">
        <v>-580049.98</v>
      </c>
      <c r="I109" s="496">
        <f t="shared" si="5"/>
        <v>0</v>
      </c>
      <c r="J109" s="496" t="s">
        <v>869</v>
      </c>
    </row>
    <row r="110" spans="1:11" hidden="1" x14ac:dyDescent="0.25">
      <c r="A110" s="383">
        <f t="shared" si="3"/>
        <v>19</v>
      </c>
      <c r="B110" s="383" t="s">
        <v>263</v>
      </c>
      <c r="C110" s="497" t="s">
        <v>933</v>
      </c>
      <c r="D110" s="383" t="s">
        <v>904</v>
      </c>
      <c r="E110" s="383" t="s">
        <v>868</v>
      </c>
      <c r="F110" s="383" t="str">
        <f t="shared" si="4"/>
        <v xml:space="preserve">P200006DPortland General </v>
      </c>
      <c r="G110" s="496">
        <v>1.0710209628894685E-10</v>
      </c>
      <c r="H110" s="496">
        <v>0</v>
      </c>
      <c r="I110" s="496">
        <f t="shared" si="5"/>
        <v>0</v>
      </c>
      <c r="J110" s="496" t="s">
        <v>869</v>
      </c>
    </row>
    <row r="111" spans="1:11" x14ac:dyDescent="0.25">
      <c r="A111" s="383">
        <f t="shared" si="3"/>
        <v>19</v>
      </c>
      <c r="B111" s="383" t="s">
        <v>263</v>
      </c>
      <c r="C111" s="495" t="s">
        <v>933</v>
      </c>
      <c r="D111" s="383" t="s">
        <v>941</v>
      </c>
      <c r="E111" s="383" t="s">
        <v>868</v>
      </c>
      <c r="F111" s="383" t="str">
        <f t="shared" si="4"/>
        <v>P200006DPuget Sound Energ</v>
      </c>
      <c r="G111" s="496">
        <v>10214678.84</v>
      </c>
      <c r="H111" s="496">
        <v>0</v>
      </c>
      <c r="I111" s="496">
        <f t="shared" si="5"/>
        <v>10214678.84</v>
      </c>
      <c r="J111" s="496"/>
    </row>
    <row r="112" spans="1:11" hidden="1" x14ac:dyDescent="0.25">
      <c r="A112" s="383">
        <f t="shared" si="3"/>
        <v>19</v>
      </c>
      <c r="B112" s="383" t="s">
        <v>263</v>
      </c>
      <c r="C112" s="497" t="s">
        <v>933</v>
      </c>
      <c r="D112" s="383" t="s">
        <v>942</v>
      </c>
      <c r="E112" s="383" t="s">
        <v>868</v>
      </c>
      <c r="F112" s="383" t="str">
        <f t="shared" si="4"/>
        <v>P200006DSempra Energy Tra</v>
      </c>
      <c r="G112" s="496">
        <v>591.5</v>
      </c>
      <c r="H112" s="496">
        <v>-591.5</v>
      </c>
      <c r="I112" s="496">
        <f t="shared" si="5"/>
        <v>0</v>
      </c>
      <c r="J112" s="496" t="s">
        <v>869</v>
      </c>
    </row>
    <row r="113" spans="1:10" hidden="1" x14ac:dyDescent="0.25">
      <c r="A113" s="383">
        <f t="shared" si="3"/>
        <v>20</v>
      </c>
      <c r="B113" s="383" t="s">
        <v>263</v>
      </c>
      <c r="C113" s="497" t="s">
        <v>933</v>
      </c>
      <c r="D113" s="383" t="s">
        <v>943</v>
      </c>
      <c r="E113" s="383" t="s">
        <v>887</v>
      </c>
      <c r="F113" s="383" t="str">
        <f t="shared" si="4"/>
        <v>P200006FAquila Energy Mar</v>
      </c>
      <c r="G113" s="496">
        <v>-3693.02</v>
      </c>
      <c r="H113" s="496">
        <v>3693.02</v>
      </c>
      <c r="I113" s="496">
        <f t="shared" si="5"/>
        <v>0</v>
      </c>
      <c r="J113" s="496" t="s">
        <v>869</v>
      </c>
    </row>
    <row r="114" spans="1:10" hidden="1" x14ac:dyDescent="0.25">
      <c r="A114" s="383">
        <f t="shared" si="3"/>
        <v>20</v>
      </c>
      <c r="B114" s="383" t="s">
        <v>263</v>
      </c>
      <c r="C114" s="497" t="s">
        <v>933</v>
      </c>
      <c r="D114" s="383" t="s">
        <v>925</v>
      </c>
      <c r="E114" s="383" t="s">
        <v>887</v>
      </c>
      <c r="F114" s="383" t="str">
        <f t="shared" si="4"/>
        <v>P200006FAvista Corporatio</v>
      </c>
      <c r="G114" s="496">
        <v>1050</v>
      </c>
      <c r="H114" s="496">
        <v>-1050</v>
      </c>
      <c r="I114" s="496">
        <f t="shared" si="5"/>
        <v>0</v>
      </c>
      <c r="J114" s="496" t="s">
        <v>869</v>
      </c>
    </row>
    <row r="115" spans="1:10" hidden="1" x14ac:dyDescent="0.25">
      <c r="A115" s="383">
        <f t="shared" si="3"/>
        <v>20</v>
      </c>
      <c r="B115" s="383" t="s">
        <v>263</v>
      </c>
      <c r="C115" s="497" t="s">
        <v>933</v>
      </c>
      <c r="D115" s="383" t="s">
        <v>520</v>
      </c>
      <c r="E115" s="383" t="s">
        <v>887</v>
      </c>
      <c r="F115" s="383" t="str">
        <f t="shared" si="4"/>
        <v>P200006FISO New England I</v>
      </c>
      <c r="G115" s="496">
        <v>0.04</v>
      </c>
      <c r="H115" s="496"/>
      <c r="I115" s="496">
        <f t="shared" si="5"/>
        <v>0.04</v>
      </c>
      <c r="J115" s="496" t="s">
        <v>890</v>
      </c>
    </row>
    <row r="116" spans="1:10" hidden="1" x14ac:dyDescent="0.25">
      <c r="A116" s="383">
        <f t="shared" si="3"/>
        <v>22</v>
      </c>
      <c r="B116" s="487" t="s">
        <v>263</v>
      </c>
      <c r="C116" s="498" t="s">
        <v>933</v>
      </c>
      <c r="D116" s="487" t="s">
        <v>884</v>
      </c>
      <c r="E116" s="487" t="s">
        <v>887</v>
      </c>
      <c r="F116" s="487" t="str">
        <f t="shared" si="4"/>
        <v>P200006FNew England Power</v>
      </c>
      <c r="G116" s="499"/>
      <c r="H116" s="499">
        <f>VLOOKUP(F116,[2]Pivot!$R$20:$S$1359,2,FALSE)</f>
        <v>-0.04</v>
      </c>
      <c r="I116" s="499">
        <f t="shared" si="5"/>
        <v>-0.04</v>
      </c>
      <c r="J116" s="496" t="s">
        <v>890</v>
      </c>
    </row>
    <row r="117" spans="1:10" hidden="1" x14ac:dyDescent="0.25">
      <c r="A117" s="383">
        <f t="shared" si="3"/>
        <v>20</v>
      </c>
      <c r="B117" s="383" t="s">
        <v>263</v>
      </c>
      <c r="C117" s="497" t="s">
        <v>933</v>
      </c>
      <c r="D117" s="383" t="s">
        <v>944</v>
      </c>
      <c r="E117" s="383" t="s">
        <v>887</v>
      </c>
      <c r="F117" s="383" t="str">
        <f t="shared" si="4"/>
        <v>P200006FNew York Independ</v>
      </c>
      <c r="G117" s="496">
        <v>-46682211.829999998</v>
      </c>
      <c r="H117" s="496">
        <v>46682211.829999998</v>
      </c>
      <c r="I117" s="496">
        <f t="shared" si="5"/>
        <v>0</v>
      </c>
      <c r="J117" s="496" t="s">
        <v>869</v>
      </c>
    </row>
    <row r="118" spans="1:10" hidden="1" x14ac:dyDescent="0.25">
      <c r="A118" s="383">
        <f t="shared" si="3"/>
        <v>19</v>
      </c>
      <c r="B118" s="383" t="s">
        <v>263</v>
      </c>
      <c r="C118" s="497" t="s">
        <v>933</v>
      </c>
      <c r="D118" s="383" t="s">
        <v>945</v>
      </c>
      <c r="E118" s="383" t="s">
        <v>887</v>
      </c>
      <c r="F118" s="383" t="str">
        <f t="shared" si="4"/>
        <v>P200006FPG&amp;E Energy Tradi</v>
      </c>
      <c r="G118" s="496">
        <v>0.35</v>
      </c>
      <c r="H118" s="496">
        <v>-0.35</v>
      </c>
      <c r="I118" s="496">
        <f t="shared" si="5"/>
        <v>0</v>
      </c>
      <c r="J118" s="496" t="s">
        <v>869</v>
      </c>
    </row>
    <row r="119" spans="1:10" hidden="1" x14ac:dyDescent="0.25">
      <c r="A119" s="383">
        <f t="shared" si="3"/>
        <v>20</v>
      </c>
      <c r="B119" s="383" t="s">
        <v>263</v>
      </c>
      <c r="C119" s="497" t="s">
        <v>933</v>
      </c>
      <c r="D119" s="383" t="s">
        <v>946</v>
      </c>
      <c r="E119" s="383" t="s">
        <v>887</v>
      </c>
      <c r="F119" s="383" t="str">
        <f t="shared" si="4"/>
        <v>P200006FSempra Energy Tra</v>
      </c>
      <c r="G119" s="496">
        <v>-591.5</v>
      </c>
      <c r="H119" s="496">
        <v>591.5</v>
      </c>
      <c r="I119" s="496">
        <f t="shared" si="5"/>
        <v>0</v>
      </c>
      <c r="J119" s="496" t="s">
        <v>869</v>
      </c>
    </row>
    <row r="120" spans="1:10" hidden="1" x14ac:dyDescent="0.25">
      <c r="A120" s="383">
        <f t="shared" si="3"/>
        <v>22</v>
      </c>
      <c r="B120" s="487" t="s">
        <v>263</v>
      </c>
      <c r="C120" s="498" t="s">
        <v>933</v>
      </c>
      <c r="D120" s="487" t="s">
        <v>907</v>
      </c>
      <c r="E120" s="487" t="s">
        <v>887</v>
      </c>
      <c r="F120" s="487" t="str">
        <f t="shared" si="4"/>
        <v>P200006FTosco Refining Co</v>
      </c>
      <c r="G120" s="499"/>
      <c r="H120" s="499">
        <f>VLOOKUP(F120,[2]Pivot!$R$20:$S$1359,2,FALSE)</f>
        <v>0</v>
      </c>
      <c r="I120" s="499">
        <f t="shared" si="5"/>
        <v>0</v>
      </c>
      <c r="J120" s="496" t="s">
        <v>869</v>
      </c>
    </row>
    <row r="121" spans="1:10" hidden="1" x14ac:dyDescent="0.25">
      <c r="A121" s="383">
        <f t="shared" si="3"/>
        <v>19</v>
      </c>
      <c r="B121" s="383" t="s">
        <v>263</v>
      </c>
      <c r="C121" s="497" t="s">
        <v>947</v>
      </c>
      <c r="D121" s="383" t="s">
        <v>929</v>
      </c>
      <c r="E121" s="383" t="s">
        <v>868</v>
      </c>
      <c r="F121" s="383" t="str">
        <f t="shared" si="4"/>
        <v>P200007DCanFibre of River</v>
      </c>
      <c r="G121" s="496">
        <v>0</v>
      </c>
      <c r="H121" s="496">
        <v>0</v>
      </c>
      <c r="I121" s="496">
        <f t="shared" si="5"/>
        <v>0</v>
      </c>
      <c r="J121" s="496" t="s">
        <v>869</v>
      </c>
    </row>
    <row r="122" spans="1:10" hidden="1" x14ac:dyDescent="0.25">
      <c r="A122" s="383">
        <f t="shared" si="3"/>
        <v>19</v>
      </c>
      <c r="B122" s="383" t="s">
        <v>263</v>
      </c>
      <c r="C122" s="497" t="s">
        <v>947</v>
      </c>
      <c r="D122" s="383" t="s">
        <v>948</v>
      </c>
      <c r="E122" s="383" t="s">
        <v>868</v>
      </c>
      <c r="F122" s="383" t="str">
        <f t="shared" si="4"/>
        <v>P200007DCity of Tacoma, D</v>
      </c>
      <c r="G122" s="496">
        <v>-55.2</v>
      </c>
      <c r="H122" s="496">
        <v>55.2</v>
      </c>
      <c r="I122" s="496">
        <f t="shared" si="5"/>
        <v>0</v>
      </c>
      <c r="J122" s="496" t="s">
        <v>869</v>
      </c>
    </row>
    <row r="123" spans="1:10" hidden="1" x14ac:dyDescent="0.25">
      <c r="A123" s="383">
        <f t="shared" si="3"/>
        <v>19</v>
      </c>
      <c r="B123" s="383" t="s">
        <v>263</v>
      </c>
      <c r="C123" s="497" t="s">
        <v>947</v>
      </c>
      <c r="D123" s="383" t="s">
        <v>919</v>
      </c>
      <c r="E123" s="383" t="s">
        <v>868</v>
      </c>
      <c r="F123" s="383" t="str">
        <f t="shared" si="4"/>
        <v>P200007DDelano Energy Com</v>
      </c>
      <c r="G123" s="496">
        <v>-24672</v>
      </c>
      <c r="H123" s="496">
        <v>24672</v>
      </c>
      <c r="I123" s="496">
        <f t="shared" si="5"/>
        <v>0</v>
      </c>
      <c r="J123" s="496" t="s">
        <v>869</v>
      </c>
    </row>
    <row r="124" spans="1:10" hidden="1" x14ac:dyDescent="0.25">
      <c r="A124" s="383">
        <f t="shared" si="3"/>
        <v>41</v>
      </c>
      <c r="B124" s="487" t="s">
        <v>263</v>
      </c>
      <c r="C124" s="498" t="s">
        <v>947</v>
      </c>
      <c r="D124" s="487" t="s">
        <v>949</v>
      </c>
      <c r="E124" s="487" t="s">
        <v>868</v>
      </c>
      <c r="F124" s="487" t="str">
        <f t="shared" si="4"/>
        <v>P200007DDuke Energy Tradi</v>
      </c>
      <c r="G124" s="499"/>
      <c r="H124" s="499">
        <f>VLOOKUP(F124,[2]Pivot!$R$20:$S$1359,2,FALSE)</f>
        <v>0</v>
      </c>
      <c r="I124" s="499">
        <f t="shared" si="5"/>
        <v>0</v>
      </c>
      <c r="J124" s="496" t="s">
        <v>869</v>
      </c>
    </row>
    <row r="125" spans="1:10" x14ac:dyDescent="0.25">
      <c r="A125" s="383">
        <f t="shared" si="3"/>
        <v>19</v>
      </c>
      <c r="B125" s="383" t="s">
        <v>263</v>
      </c>
      <c r="C125" s="495" t="s">
        <v>947</v>
      </c>
      <c r="D125" s="383" t="s">
        <v>879</v>
      </c>
      <c r="E125" s="383" t="s">
        <v>868</v>
      </c>
      <c r="F125" s="383" t="str">
        <f t="shared" si="4"/>
        <v xml:space="preserve">P200007DEl Paso Electric </v>
      </c>
      <c r="G125" s="496">
        <v>-554.36</v>
      </c>
      <c r="H125" s="496">
        <v>366.15</v>
      </c>
      <c r="I125" s="496">
        <f t="shared" si="5"/>
        <v>-188.21</v>
      </c>
      <c r="J125" s="496"/>
    </row>
    <row r="126" spans="1:10" hidden="1" x14ac:dyDescent="0.25">
      <c r="A126" s="383">
        <f t="shared" si="3"/>
        <v>27</v>
      </c>
      <c r="B126" s="487" t="s">
        <v>263</v>
      </c>
      <c r="C126" s="498" t="s">
        <v>947</v>
      </c>
      <c r="D126" s="487" t="s">
        <v>950</v>
      </c>
      <c r="E126" s="487" t="s">
        <v>868</v>
      </c>
      <c r="F126" s="487" t="str">
        <f t="shared" si="4"/>
        <v>P200007DEnron Energy Serv</v>
      </c>
      <c r="G126" s="499"/>
      <c r="H126" s="499">
        <f>VLOOKUP(F126,[2]Pivot!$R$20:$S$1359,2,FALSE)</f>
        <v>1718400</v>
      </c>
      <c r="I126" s="499">
        <f t="shared" si="5"/>
        <v>1718400</v>
      </c>
      <c r="J126" s="499" t="s">
        <v>951</v>
      </c>
    </row>
    <row r="127" spans="1:10" hidden="1" x14ac:dyDescent="0.25">
      <c r="A127" s="383">
        <f t="shared" si="3"/>
        <v>18</v>
      </c>
      <c r="B127" s="383" t="s">
        <v>263</v>
      </c>
      <c r="C127" s="497" t="s">
        <v>947</v>
      </c>
      <c r="D127" s="383" t="s">
        <v>930</v>
      </c>
      <c r="E127" s="383" t="s">
        <v>868</v>
      </c>
      <c r="F127" s="383" t="str">
        <f t="shared" si="4"/>
        <v>P200007DISO New England I</v>
      </c>
      <c r="G127" s="496">
        <v>0</v>
      </c>
      <c r="H127" s="496">
        <v>0</v>
      </c>
      <c r="I127" s="496">
        <f t="shared" si="5"/>
        <v>0</v>
      </c>
      <c r="J127" s="496" t="s">
        <v>869</v>
      </c>
    </row>
    <row r="128" spans="1:10" hidden="1" x14ac:dyDescent="0.25">
      <c r="A128" s="383">
        <f t="shared" si="3"/>
        <v>19</v>
      </c>
      <c r="B128" s="383" t="s">
        <v>263</v>
      </c>
      <c r="C128" s="497" t="s">
        <v>947</v>
      </c>
      <c r="D128" s="383" t="s">
        <v>938</v>
      </c>
      <c r="E128" s="383" t="s">
        <v>868</v>
      </c>
      <c r="F128" s="383" t="str">
        <f t="shared" si="4"/>
        <v>P200007DLas Vegas Cogener</v>
      </c>
      <c r="G128" s="496">
        <v>0</v>
      </c>
      <c r="H128" s="496">
        <v>0</v>
      </c>
      <c r="I128" s="496">
        <f t="shared" si="5"/>
        <v>0</v>
      </c>
      <c r="J128" s="496" t="s">
        <v>869</v>
      </c>
    </row>
    <row r="129" spans="1:11" hidden="1" x14ac:dyDescent="0.25">
      <c r="A129" s="383">
        <f t="shared" si="3"/>
        <v>19</v>
      </c>
      <c r="B129" s="383" t="s">
        <v>263</v>
      </c>
      <c r="C129" s="497" t="s">
        <v>947</v>
      </c>
      <c r="D129" s="383" t="s">
        <v>923</v>
      </c>
      <c r="E129" s="383" t="s">
        <v>868</v>
      </c>
      <c r="F129" s="383" t="str">
        <f t="shared" si="4"/>
        <v>P200007DLos Angeles Dept.</v>
      </c>
      <c r="G129" s="496">
        <v>-5510929.0300000003</v>
      </c>
      <c r="H129" s="496">
        <v>5510929.0300000003</v>
      </c>
      <c r="I129" s="496">
        <f t="shared" si="5"/>
        <v>0</v>
      </c>
      <c r="J129" s="496" t="s">
        <v>869</v>
      </c>
    </row>
    <row r="130" spans="1:11" hidden="1" x14ac:dyDescent="0.25">
      <c r="A130" s="383">
        <f t="shared" si="3"/>
        <v>19</v>
      </c>
      <c r="B130" s="383" t="s">
        <v>263</v>
      </c>
      <c r="C130" s="497" t="s">
        <v>947</v>
      </c>
      <c r="D130" s="383" t="s">
        <v>939</v>
      </c>
      <c r="E130" s="383" t="s">
        <v>868</v>
      </c>
      <c r="F130" s="383" t="str">
        <f t="shared" si="4"/>
        <v>P200007DMontana Power Com</v>
      </c>
      <c r="G130" s="496">
        <v>0</v>
      </c>
      <c r="H130" s="496">
        <v>0</v>
      </c>
      <c r="I130" s="496">
        <f t="shared" si="5"/>
        <v>0</v>
      </c>
      <c r="J130" s="496" t="s">
        <v>869</v>
      </c>
    </row>
    <row r="131" spans="1:11" x14ac:dyDescent="0.25">
      <c r="A131" s="383">
        <f t="shared" si="3"/>
        <v>26</v>
      </c>
      <c r="B131" s="487" t="s">
        <v>263</v>
      </c>
      <c r="C131" s="500" t="s">
        <v>947</v>
      </c>
      <c r="D131" s="487" t="s">
        <v>759</v>
      </c>
      <c r="E131" s="487" t="s">
        <v>868</v>
      </c>
      <c r="F131" s="487" t="str">
        <f t="shared" si="4"/>
        <v xml:space="preserve">P200007DNew Albany Power </v>
      </c>
      <c r="G131" s="499"/>
      <c r="H131" s="499">
        <f>VLOOKUP(F131,[2]Pivot!$R$20:$S$1359,2,FALSE)</f>
        <v>-1033840</v>
      </c>
      <c r="I131" s="499">
        <f t="shared" si="5"/>
        <v>-1033840</v>
      </c>
      <c r="J131" s="499"/>
      <c r="K131" s="499" t="s">
        <v>914</v>
      </c>
    </row>
    <row r="132" spans="1:11" x14ac:dyDescent="0.25">
      <c r="A132" s="383">
        <f t="shared" ref="A132:A195" si="6">LEN(D132)</f>
        <v>22</v>
      </c>
      <c r="B132" s="487" t="s">
        <v>263</v>
      </c>
      <c r="C132" s="500" t="s">
        <v>947</v>
      </c>
      <c r="D132" s="487" t="s">
        <v>884</v>
      </c>
      <c r="E132" s="487" t="s">
        <v>868</v>
      </c>
      <c r="F132" s="487" t="str">
        <f t="shared" ref="F132:F195" si="7">+B132&amp;C132&amp;E132&amp;LEFT(D132,17)</f>
        <v>P200007DNew England Power</v>
      </c>
      <c r="G132" s="499"/>
      <c r="H132" s="499">
        <f>VLOOKUP(F132,[2]Pivot!$R$20:$S$1359,2,FALSE)</f>
        <v>66856462.909999996</v>
      </c>
      <c r="I132" s="499">
        <f t="shared" ref="I132:I195" si="8">ROUND(+G132+H132,2)</f>
        <v>66856462.909999996</v>
      </c>
      <c r="J132" s="499"/>
    </row>
    <row r="133" spans="1:11" hidden="1" x14ac:dyDescent="0.25">
      <c r="A133" s="383">
        <f t="shared" si="6"/>
        <v>19</v>
      </c>
      <c r="B133" s="383" t="s">
        <v>263</v>
      </c>
      <c r="C133" s="497" t="s">
        <v>947</v>
      </c>
      <c r="D133" s="383" t="s">
        <v>931</v>
      </c>
      <c r="E133" s="383" t="s">
        <v>868</v>
      </c>
      <c r="F133" s="383" t="str">
        <f t="shared" si="7"/>
        <v>P200007DNew York Independ</v>
      </c>
      <c r="G133" s="496">
        <v>-1549206.92</v>
      </c>
      <c r="H133" s="496">
        <v>1549206.92</v>
      </c>
      <c r="I133" s="496">
        <f t="shared" si="8"/>
        <v>0</v>
      </c>
      <c r="J133" s="496" t="s">
        <v>869</v>
      </c>
    </row>
    <row r="134" spans="1:11" x14ac:dyDescent="0.25">
      <c r="A134" s="383">
        <f t="shared" si="6"/>
        <v>15</v>
      </c>
      <c r="B134" s="487" t="s">
        <v>263</v>
      </c>
      <c r="C134" s="500" t="s">
        <v>947</v>
      </c>
      <c r="D134" s="487" t="s">
        <v>952</v>
      </c>
      <c r="E134" s="487" t="s">
        <v>868</v>
      </c>
      <c r="F134" s="487" t="str">
        <f t="shared" si="7"/>
        <v>P200007DNSTAR Companies</v>
      </c>
      <c r="G134" s="499"/>
      <c r="H134" s="499">
        <f>VLOOKUP(F134,[2]Pivot!$R$20:$S$1359,2,FALSE)</f>
        <v>-3651.1</v>
      </c>
      <c r="I134" s="499">
        <f t="shared" si="8"/>
        <v>-3651.1</v>
      </c>
      <c r="J134" s="499"/>
    </row>
    <row r="135" spans="1:11" x14ac:dyDescent="0.25">
      <c r="A135" s="383">
        <f t="shared" si="6"/>
        <v>10</v>
      </c>
      <c r="B135" s="383" t="s">
        <v>263</v>
      </c>
      <c r="C135" s="495" t="s">
        <v>947</v>
      </c>
      <c r="D135" s="383" t="s">
        <v>940</v>
      </c>
      <c r="E135" s="383" t="s">
        <v>868</v>
      </c>
      <c r="F135" s="383" t="str">
        <f t="shared" si="7"/>
        <v>P200007DPacificorp</v>
      </c>
      <c r="G135" s="496">
        <v>9327159.1500000004</v>
      </c>
      <c r="H135" s="496">
        <v>0</v>
      </c>
      <c r="I135" s="496">
        <f t="shared" si="8"/>
        <v>9327159.1500000004</v>
      </c>
      <c r="J135" s="496"/>
    </row>
    <row r="136" spans="1:11" hidden="1" x14ac:dyDescent="0.25">
      <c r="A136" s="383">
        <f t="shared" si="6"/>
        <v>19</v>
      </c>
      <c r="B136" s="383" t="s">
        <v>263</v>
      </c>
      <c r="C136" s="497" t="s">
        <v>947</v>
      </c>
      <c r="D136" s="383" t="s">
        <v>892</v>
      </c>
      <c r="E136" s="383" t="s">
        <v>868</v>
      </c>
      <c r="F136" s="383" t="str">
        <f t="shared" si="7"/>
        <v>P200007DPJM Interconnecti</v>
      </c>
      <c r="G136" s="496">
        <v>-303196.73</v>
      </c>
      <c r="H136" s="496">
        <v>303196.73</v>
      </c>
      <c r="I136" s="496">
        <f t="shared" si="8"/>
        <v>0</v>
      </c>
      <c r="J136" s="496" t="s">
        <v>869</v>
      </c>
    </row>
    <row r="137" spans="1:11" x14ac:dyDescent="0.25">
      <c r="A137" s="383">
        <f t="shared" si="6"/>
        <v>24</v>
      </c>
      <c r="B137" s="487" t="s">
        <v>263</v>
      </c>
      <c r="C137" s="500" t="s">
        <v>947</v>
      </c>
      <c r="D137" s="487" t="s">
        <v>953</v>
      </c>
      <c r="E137" s="487" t="s">
        <v>868</v>
      </c>
      <c r="F137" s="487" t="str">
        <f t="shared" si="7"/>
        <v>P200007DPuget Sound Energ</v>
      </c>
      <c r="G137" s="499"/>
      <c r="H137" s="499">
        <f>VLOOKUP(F137,[2]Pivot!$R$20:$S$1359,2,FALSE)</f>
        <v>25817756.789999999</v>
      </c>
      <c r="I137" s="499">
        <f t="shared" si="8"/>
        <v>25817756.789999999</v>
      </c>
      <c r="J137" s="499"/>
    </row>
    <row r="138" spans="1:11" hidden="1" x14ac:dyDescent="0.25">
      <c r="A138" s="383">
        <f t="shared" si="6"/>
        <v>19</v>
      </c>
      <c r="B138" s="383" t="s">
        <v>263</v>
      </c>
      <c r="C138" s="497" t="s">
        <v>947</v>
      </c>
      <c r="D138" s="383" t="s">
        <v>872</v>
      </c>
      <c r="E138" s="383" t="s">
        <v>868</v>
      </c>
      <c r="F138" s="383" t="str">
        <f t="shared" si="7"/>
        <v>P200007DVirginia Electric</v>
      </c>
      <c r="G138" s="496">
        <v>-184800</v>
      </c>
      <c r="H138" s="496">
        <v>184800</v>
      </c>
      <c r="I138" s="496">
        <f t="shared" si="8"/>
        <v>0</v>
      </c>
      <c r="J138" s="496" t="s">
        <v>869</v>
      </c>
    </row>
    <row r="139" spans="1:11" hidden="1" x14ac:dyDescent="0.25">
      <c r="A139" s="383">
        <f t="shared" si="6"/>
        <v>19</v>
      </c>
      <c r="B139" s="383" t="s">
        <v>263</v>
      </c>
      <c r="C139" s="497" t="s">
        <v>947</v>
      </c>
      <c r="D139" s="383" t="s">
        <v>954</v>
      </c>
      <c r="E139" s="383" t="s">
        <v>868</v>
      </c>
      <c r="F139" s="383" t="str">
        <f t="shared" si="7"/>
        <v>P200007DWillamette Indust</v>
      </c>
      <c r="G139" s="496">
        <v>0</v>
      </c>
      <c r="H139" s="496">
        <v>0</v>
      </c>
      <c r="I139" s="496">
        <f t="shared" si="8"/>
        <v>0</v>
      </c>
      <c r="J139" s="496" t="s">
        <v>869</v>
      </c>
    </row>
    <row r="140" spans="1:11" hidden="1" x14ac:dyDescent="0.25">
      <c r="A140" s="383">
        <f t="shared" si="6"/>
        <v>19</v>
      </c>
      <c r="B140" s="383" t="s">
        <v>263</v>
      </c>
      <c r="C140" s="497" t="s">
        <v>947</v>
      </c>
      <c r="D140" s="383" t="s">
        <v>955</v>
      </c>
      <c r="E140" s="383" t="s">
        <v>887</v>
      </c>
      <c r="F140" s="383" t="str">
        <f t="shared" si="7"/>
        <v>P200007FCommonwealth Edis</v>
      </c>
      <c r="G140" s="496">
        <v>0</v>
      </c>
      <c r="H140" s="496">
        <v>0</v>
      </c>
      <c r="I140" s="496">
        <f t="shared" si="8"/>
        <v>0</v>
      </c>
      <c r="J140" s="496" t="s">
        <v>869</v>
      </c>
    </row>
    <row r="141" spans="1:11" hidden="1" x14ac:dyDescent="0.25">
      <c r="A141" s="383">
        <f t="shared" si="6"/>
        <v>20</v>
      </c>
      <c r="B141" s="383" t="s">
        <v>263</v>
      </c>
      <c r="C141" s="497" t="s">
        <v>947</v>
      </c>
      <c r="D141" s="383" t="s">
        <v>916</v>
      </c>
      <c r="E141" s="383" t="s">
        <v>887</v>
      </c>
      <c r="F141" s="383" t="str">
        <f t="shared" si="7"/>
        <v>P200007FDelano Energy Com</v>
      </c>
      <c r="G141" s="496">
        <v>31556.01</v>
      </c>
      <c r="H141" s="496">
        <v>-31556.01</v>
      </c>
      <c r="I141" s="496">
        <f t="shared" si="8"/>
        <v>0</v>
      </c>
      <c r="J141" s="496" t="s">
        <v>869</v>
      </c>
    </row>
    <row r="142" spans="1:11" hidden="1" x14ac:dyDescent="0.25">
      <c r="A142" s="383">
        <f t="shared" si="6"/>
        <v>41</v>
      </c>
      <c r="B142" s="487" t="s">
        <v>263</v>
      </c>
      <c r="C142" s="498" t="s">
        <v>947</v>
      </c>
      <c r="D142" s="487" t="s">
        <v>949</v>
      </c>
      <c r="E142" s="487" t="s">
        <v>887</v>
      </c>
      <c r="F142" s="487" t="str">
        <f t="shared" si="7"/>
        <v>P200007FDuke Energy Tradi</v>
      </c>
      <c r="G142" s="499"/>
      <c r="H142" s="499">
        <f>VLOOKUP(F142,[2]Pivot!$R$20:$S$1359,2,FALSE)</f>
        <v>0</v>
      </c>
      <c r="I142" s="499">
        <f t="shared" si="8"/>
        <v>0</v>
      </c>
      <c r="J142" s="496" t="s">
        <v>869</v>
      </c>
    </row>
    <row r="143" spans="1:11" hidden="1" x14ac:dyDescent="0.25">
      <c r="A143" s="383">
        <f t="shared" si="6"/>
        <v>28</v>
      </c>
      <c r="B143" s="487" t="s">
        <v>263</v>
      </c>
      <c r="C143" s="498" t="s">
        <v>947</v>
      </c>
      <c r="D143" s="487" t="s">
        <v>889</v>
      </c>
      <c r="E143" s="487" t="s">
        <v>887</v>
      </c>
      <c r="F143" s="487" t="str">
        <f t="shared" si="7"/>
        <v>P200007FDynegy Power Mark</v>
      </c>
      <c r="G143" s="499"/>
      <c r="H143" s="499">
        <f>VLOOKUP(F143,[2]Pivot!$R$20:$S$1359,2,FALSE)</f>
        <v>0</v>
      </c>
      <c r="I143" s="499">
        <f t="shared" si="8"/>
        <v>0</v>
      </c>
      <c r="J143" s="496" t="s">
        <v>869</v>
      </c>
    </row>
    <row r="144" spans="1:11" hidden="1" x14ac:dyDescent="0.25">
      <c r="A144" s="383">
        <f t="shared" si="6"/>
        <v>20</v>
      </c>
      <c r="B144" s="383" t="s">
        <v>263</v>
      </c>
      <c r="C144" s="497" t="s">
        <v>947</v>
      </c>
      <c r="D144" s="383" t="s">
        <v>520</v>
      </c>
      <c r="E144" s="383" t="s">
        <v>887</v>
      </c>
      <c r="F144" s="383" t="str">
        <f t="shared" si="7"/>
        <v>P200007FISO New England I</v>
      </c>
      <c r="G144" s="496">
        <v>66929698.090000004</v>
      </c>
      <c r="H144" s="496"/>
      <c r="I144" s="496">
        <f t="shared" si="8"/>
        <v>66929698.090000004</v>
      </c>
      <c r="J144" s="499" t="s">
        <v>890</v>
      </c>
    </row>
    <row r="145" spans="1:10" hidden="1" x14ac:dyDescent="0.25">
      <c r="A145" s="383">
        <f t="shared" si="6"/>
        <v>20</v>
      </c>
      <c r="B145" s="383" t="s">
        <v>263</v>
      </c>
      <c r="C145" s="497" t="s">
        <v>947</v>
      </c>
      <c r="D145" s="383" t="s">
        <v>927</v>
      </c>
      <c r="E145" s="383" t="s">
        <v>887</v>
      </c>
      <c r="F145" s="383" t="str">
        <f t="shared" si="7"/>
        <v>P200007FLos Angeles Dept.</v>
      </c>
      <c r="G145" s="496">
        <v>5510929.0300000003</v>
      </c>
      <c r="H145" s="496">
        <v>-5510929.0300000003</v>
      </c>
      <c r="I145" s="496">
        <f t="shared" si="8"/>
        <v>0</v>
      </c>
      <c r="J145" s="496" t="s">
        <v>869</v>
      </c>
    </row>
    <row r="146" spans="1:10" hidden="1" x14ac:dyDescent="0.25">
      <c r="A146" s="383">
        <f t="shared" si="6"/>
        <v>10</v>
      </c>
      <c r="B146" s="487" t="s">
        <v>263</v>
      </c>
      <c r="C146" s="498" t="s">
        <v>947</v>
      </c>
      <c r="D146" s="487" t="s">
        <v>909</v>
      </c>
      <c r="E146" s="487" t="s">
        <v>887</v>
      </c>
      <c r="F146" s="487" t="str">
        <f t="shared" si="7"/>
        <v>P200007FMieco Inc.</v>
      </c>
      <c r="G146" s="499"/>
      <c r="H146" s="499">
        <f>VLOOKUP(F146,[2]Pivot!$R$20:$S$1359,2,FALSE)</f>
        <v>0</v>
      </c>
      <c r="I146" s="499">
        <f t="shared" si="8"/>
        <v>0</v>
      </c>
      <c r="J146" s="496" t="s">
        <v>869</v>
      </c>
    </row>
    <row r="147" spans="1:10" hidden="1" x14ac:dyDescent="0.25">
      <c r="A147" s="383">
        <f t="shared" si="6"/>
        <v>22</v>
      </c>
      <c r="B147" s="487" t="s">
        <v>263</v>
      </c>
      <c r="C147" s="498" t="s">
        <v>947</v>
      </c>
      <c r="D147" s="487" t="s">
        <v>884</v>
      </c>
      <c r="E147" s="487" t="s">
        <v>887</v>
      </c>
      <c r="F147" s="487" t="str">
        <f t="shared" si="7"/>
        <v>P200007FNew England Power</v>
      </c>
      <c r="G147" s="499"/>
      <c r="H147" s="499">
        <f>VLOOKUP(F147,[2]Pivot!$R$20:$S$1359,2,FALSE)</f>
        <v>-66929698.090000004</v>
      </c>
      <c r="I147" s="499">
        <f t="shared" si="8"/>
        <v>-66929698.090000004</v>
      </c>
      <c r="J147" s="499" t="s">
        <v>890</v>
      </c>
    </row>
    <row r="148" spans="1:10" hidden="1" x14ac:dyDescent="0.25">
      <c r="A148" s="383">
        <f t="shared" si="6"/>
        <v>20</v>
      </c>
      <c r="B148" s="383" t="s">
        <v>263</v>
      </c>
      <c r="C148" s="497" t="s">
        <v>947</v>
      </c>
      <c r="D148" s="383" t="s">
        <v>944</v>
      </c>
      <c r="E148" s="383" t="s">
        <v>887</v>
      </c>
      <c r="F148" s="383" t="str">
        <f t="shared" si="7"/>
        <v>P200007FNew York Independ</v>
      </c>
      <c r="G148" s="496">
        <v>-28051518.490000002</v>
      </c>
      <c r="H148" s="496">
        <v>28051518.490000002</v>
      </c>
      <c r="I148" s="496">
        <f t="shared" si="8"/>
        <v>0</v>
      </c>
      <c r="J148" s="496" t="s">
        <v>869</v>
      </c>
    </row>
    <row r="149" spans="1:10" hidden="1" x14ac:dyDescent="0.25">
      <c r="A149" s="383">
        <f t="shared" si="6"/>
        <v>15</v>
      </c>
      <c r="B149" s="383" t="s">
        <v>263</v>
      </c>
      <c r="C149" s="497" t="s">
        <v>947</v>
      </c>
      <c r="D149" s="383" t="s">
        <v>952</v>
      </c>
      <c r="E149" s="383" t="s">
        <v>887</v>
      </c>
      <c r="F149" s="383" t="str">
        <f t="shared" si="7"/>
        <v>P200007FNSTAR Companies</v>
      </c>
      <c r="G149" s="496">
        <v>79.900000000000006</v>
      </c>
      <c r="H149" s="496">
        <v>-79.900000000000006</v>
      </c>
      <c r="I149" s="496">
        <f t="shared" si="8"/>
        <v>0</v>
      </c>
      <c r="J149" s="496" t="s">
        <v>869</v>
      </c>
    </row>
    <row r="150" spans="1:10" hidden="1" x14ac:dyDescent="0.25">
      <c r="A150" s="383">
        <f t="shared" si="6"/>
        <v>19</v>
      </c>
      <c r="B150" s="383" t="s">
        <v>263</v>
      </c>
      <c r="C150" s="497" t="s">
        <v>947</v>
      </c>
      <c r="D150" s="383" t="s">
        <v>945</v>
      </c>
      <c r="E150" s="383" t="s">
        <v>887</v>
      </c>
      <c r="F150" s="383" t="str">
        <f t="shared" si="7"/>
        <v>P200007FPG&amp;E Energy Tradi</v>
      </c>
      <c r="G150" s="496">
        <v>-328092</v>
      </c>
      <c r="H150" s="496">
        <v>328092</v>
      </c>
      <c r="I150" s="496">
        <f t="shared" si="8"/>
        <v>0</v>
      </c>
      <c r="J150" s="496" t="s">
        <v>869</v>
      </c>
    </row>
    <row r="151" spans="1:10" hidden="1" x14ac:dyDescent="0.25">
      <c r="A151" s="383">
        <f t="shared" si="6"/>
        <v>19</v>
      </c>
      <c r="B151" s="383" t="s">
        <v>263</v>
      </c>
      <c r="C151" s="497" t="s">
        <v>947</v>
      </c>
      <c r="D151" s="383" t="s">
        <v>941</v>
      </c>
      <c r="E151" s="383" t="s">
        <v>887</v>
      </c>
      <c r="F151" s="383" t="str">
        <f t="shared" si="7"/>
        <v>P200007FPuget Sound Energ</v>
      </c>
      <c r="G151" s="496">
        <v>25817756.789999999</v>
      </c>
      <c r="H151" s="496">
        <v>-25817756.789999999</v>
      </c>
      <c r="I151" s="496">
        <f t="shared" si="8"/>
        <v>0</v>
      </c>
      <c r="J151" s="496" t="s">
        <v>869</v>
      </c>
    </row>
    <row r="152" spans="1:10" hidden="1" x14ac:dyDescent="0.25">
      <c r="A152" s="383">
        <f t="shared" si="6"/>
        <v>22</v>
      </c>
      <c r="B152" s="487" t="s">
        <v>263</v>
      </c>
      <c r="C152" s="498" t="s">
        <v>947</v>
      </c>
      <c r="D152" s="487" t="s">
        <v>907</v>
      </c>
      <c r="E152" s="487" t="s">
        <v>887</v>
      </c>
      <c r="F152" s="487" t="str">
        <f t="shared" si="7"/>
        <v>P200007FTosco Refining Co</v>
      </c>
      <c r="G152" s="499"/>
      <c r="H152" s="499">
        <f>VLOOKUP(F152,[2]Pivot!$R$20:$S$1359,2,FALSE)</f>
        <v>0</v>
      </c>
      <c r="I152" s="499">
        <f t="shared" si="8"/>
        <v>0</v>
      </c>
      <c r="J152" s="496" t="s">
        <v>869</v>
      </c>
    </row>
    <row r="153" spans="1:10" x14ac:dyDescent="0.25">
      <c r="A153" s="383">
        <f t="shared" si="6"/>
        <v>31</v>
      </c>
      <c r="B153" s="487" t="s">
        <v>263</v>
      </c>
      <c r="C153" s="500" t="s">
        <v>956</v>
      </c>
      <c r="D153" s="487" t="s">
        <v>957</v>
      </c>
      <c r="E153" s="487" t="s">
        <v>868</v>
      </c>
      <c r="F153" s="487" t="str">
        <f t="shared" si="7"/>
        <v xml:space="preserve">P200008DBonneville Power </v>
      </c>
      <c r="G153" s="499"/>
      <c r="H153" s="499">
        <f>VLOOKUP(F153,[2]Pivot!$R$20:$S$1359,2,FALSE)</f>
        <v>24944818.719999999</v>
      </c>
      <c r="I153" s="499">
        <f t="shared" si="8"/>
        <v>24944818.719999999</v>
      </c>
      <c r="J153" s="499"/>
    </row>
    <row r="154" spans="1:10" x14ac:dyDescent="0.25">
      <c r="A154" s="383">
        <f t="shared" si="6"/>
        <v>16</v>
      </c>
      <c r="B154" s="487" t="s">
        <v>263</v>
      </c>
      <c r="C154" s="500" t="s">
        <v>956</v>
      </c>
      <c r="D154" s="487" t="s">
        <v>958</v>
      </c>
      <c r="E154" s="487" t="s">
        <v>868</v>
      </c>
      <c r="F154" s="487" t="str">
        <f t="shared" si="7"/>
        <v>P200008DBurbank, City Of</v>
      </c>
      <c r="G154" s="499"/>
      <c r="H154" s="499">
        <f>VLOOKUP(F154,[2]Pivot!$R$20:$S$1359,2,FALSE)</f>
        <v>10000</v>
      </c>
      <c r="I154" s="499">
        <f t="shared" si="8"/>
        <v>10000</v>
      </c>
      <c r="J154" s="499"/>
    </row>
    <row r="155" spans="1:10" hidden="1" x14ac:dyDescent="0.25">
      <c r="A155" s="383">
        <f t="shared" si="6"/>
        <v>19</v>
      </c>
      <c r="B155" s="383" t="s">
        <v>263</v>
      </c>
      <c r="C155" s="497" t="s">
        <v>956</v>
      </c>
      <c r="D155" s="383" t="s">
        <v>936</v>
      </c>
      <c r="E155" s="383" t="s">
        <v>868</v>
      </c>
      <c r="F155" s="383" t="str">
        <f t="shared" si="7"/>
        <v xml:space="preserve">P200008DCalifornia Power </v>
      </c>
      <c r="G155" s="496">
        <v>-4.6566128730773926E-9</v>
      </c>
      <c r="H155" s="496">
        <v>0</v>
      </c>
      <c r="I155" s="496">
        <f t="shared" si="8"/>
        <v>0</v>
      </c>
      <c r="J155" s="496" t="s">
        <v>869</v>
      </c>
    </row>
    <row r="156" spans="1:10" hidden="1" x14ac:dyDescent="0.25">
      <c r="A156" s="383">
        <f t="shared" si="6"/>
        <v>18</v>
      </c>
      <c r="B156" s="383" t="s">
        <v>263</v>
      </c>
      <c r="C156" s="497" t="s">
        <v>956</v>
      </c>
      <c r="D156" s="383" t="s">
        <v>959</v>
      </c>
      <c r="E156" s="383" t="s">
        <v>868</v>
      </c>
      <c r="F156" s="383" t="str">
        <f t="shared" si="7"/>
        <v>P200008DCalifornia Supple</v>
      </c>
      <c r="G156" s="496">
        <v>0</v>
      </c>
      <c r="H156" s="496"/>
      <c r="I156" s="496">
        <f t="shared" si="8"/>
        <v>0</v>
      </c>
      <c r="J156" s="496" t="s">
        <v>869</v>
      </c>
    </row>
    <row r="157" spans="1:10" hidden="1" x14ac:dyDescent="0.25">
      <c r="A157" s="383">
        <f t="shared" si="6"/>
        <v>19</v>
      </c>
      <c r="B157" s="383" t="s">
        <v>263</v>
      </c>
      <c r="C157" s="497" t="s">
        <v>956</v>
      </c>
      <c r="D157" s="383" t="s">
        <v>929</v>
      </c>
      <c r="E157" s="383" t="s">
        <v>868</v>
      </c>
      <c r="F157" s="383" t="str">
        <f t="shared" si="7"/>
        <v>P200008DCanFibre of River</v>
      </c>
      <c r="G157" s="496">
        <v>0</v>
      </c>
      <c r="H157" s="496">
        <v>0</v>
      </c>
      <c r="I157" s="496">
        <f t="shared" si="8"/>
        <v>0</v>
      </c>
      <c r="J157" s="496" t="s">
        <v>869</v>
      </c>
    </row>
    <row r="158" spans="1:10" x14ac:dyDescent="0.25">
      <c r="A158" s="383">
        <f t="shared" si="6"/>
        <v>14</v>
      </c>
      <c r="B158" s="487" t="s">
        <v>263</v>
      </c>
      <c r="C158" s="500" t="s">
        <v>956</v>
      </c>
      <c r="D158" s="487" t="s">
        <v>960</v>
      </c>
      <c r="E158" s="487" t="s">
        <v>868</v>
      </c>
      <c r="F158" s="487" t="str">
        <f t="shared" si="7"/>
        <v>P200008DCity of Colton</v>
      </c>
      <c r="G158" s="499"/>
      <c r="H158" s="499">
        <f>VLOOKUP(F158,[2]Pivot!$R$20:$S$1359,2,FALSE)</f>
        <v>10080</v>
      </c>
      <c r="I158" s="499">
        <f t="shared" si="8"/>
        <v>10080</v>
      </c>
      <c r="J158" s="499"/>
    </row>
    <row r="159" spans="1:10" x14ac:dyDescent="0.25">
      <c r="A159" s="383">
        <f t="shared" si="6"/>
        <v>15</v>
      </c>
      <c r="B159" s="487" t="s">
        <v>263</v>
      </c>
      <c r="C159" s="500" t="s">
        <v>956</v>
      </c>
      <c r="D159" s="487" t="s">
        <v>911</v>
      </c>
      <c r="E159" s="487" t="s">
        <v>868</v>
      </c>
      <c r="F159" s="487" t="str">
        <f t="shared" si="7"/>
        <v>P200008DCity of Redding</v>
      </c>
      <c r="G159" s="499"/>
      <c r="H159" s="499">
        <f>VLOOKUP(F159,[2]Pivot!$R$20:$S$1359,2,FALSE)</f>
        <v>4284094.25</v>
      </c>
      <c r="I159" s="499">
        <f t="shared" si="8"/>
        <v>4284094.25</v>
      </c>
      <c r="J159" s="499"/>
    </row>
    <row r="160" spans="1:10" hidden="1" x14ac:dyDescent="0.25">
      <c r="A160" s="383">
        <f t="shared" si="6"/>
        <v>19</v>
      </c>
      <c r="B160" s="383" t="s">
        <v>263</v>
      </c>
      <c r="C160" s="497" t="s">
        <v>956</v>
      </c>
      <c r="D160" s="383" t="s">
        <v>948</v>
      </c>
      <c r="E160" s="383" t="s">
        <v>868</v>
      </c>
      <c r="F160" s="383" t="str">
        <f t="shared" si="7"/>
        <v>P200008DCity of Tacoma, D</v>
      </c>
      <c r="G160" s="496">
        <v>0</v>
      </c>
      <c r="H160" s="496">
        <v>0</v>
      </c>
      <c r="I160" s="496">
        <f t="shared" si="8"/>
        <v>0</v>
      </c>
      <c r="J160" s="496" t="s">
        <v>869</v>
      </c>
    </row>
    <row r="161" spans="1:10" hidden="1" x14ac:dyDescent="0.25">
      <c r="A161" s="383">
        <f t="shared" si="6"/>
        <v>19</v>
      </c>
      <c r="B161" s="383" t="s">
        <v>263</v>
      </c>
      <c r="C161" s="497" t="s">
        <v>956</v>
      </c>
      <c r="D161" s="383" t="s">
        <v>919</v>
      </c>
      <c r="E161" s="383" t="s">
        <v>868</v>
      </c>
      <c r="F161" s="383" t="str">
        <f t="shared" si="7"/>
        <v>P200008DDelano Energy Com</v>
      </c>
      <c r="G161" s="496">
        <v>0.05</v>
      </c>
      <c r="H161" s="496">
        <v>-0.05</v>
      </c>
      <c r="I161" s="496">
        <f t="shared" si="8"/>
        <v>0</v>
      </c>
      <c r="J161" s="496" t="s">
        <v>869</v>
      </c>
    </row>
    <row r="162" spans="1:10" hidden="1" x14ac:dyDescent="0.25">
      <c r="A162" s="383">
        <f t="shared" si="6"/>
        <v>19</v>
      </c>
      <c r="B162" s="383" t="s">
        <v>263</v>
      </c>
      <c r="C162" s="497" t="s">
        <v>956</v>
      </c>
      <c r="D162" s="383" t="s">
        <v>961</v>
      </c>
      <c r="E162" s="383" t="s">
        <v>868</v>
      </c>
      <c r="F162" s="383" t="str">
        <f t="shared" si="7"/>
        <v>P200008DDynegy Power Mark</v>
      </c>
      <c r="G162" s="496">
        <v>532972.04</v>
      </c>
      <c r="H162" s="496">
        <v>-532972.04</v>
      </c>
      <c r="I162" s="496">
        <f t="shared" si="8"/>
        <v>0</v>
      </c>
      <c r="J162" s="496" t="s">
        <v>869</v>
      </c>
    </row>
    <row r="163" spans="1:10" hidden="1" x14ac:dyDescent="0.25">
      <c r="A163" s="383">
        <f t="shared" si="6"/>
        <v>19</v>
      </c>
      <c r="B163" s="383" t="s">
        <v>263</v>
      </c>
      <c r="C163" s="497" t="s">
        <v>956</v>
      </c>
      <c r="D163" s="383" t="s">
        <v>962</v>
      </c>
      <c r="E163" s="383" t="s">
        <v>868</v>
      </c>
      <c r="F163" s="383" t="str">
        <f t="shared" si="7"/>
        <v>P200008DEdison Mission Ma</v>
      </c>
      <c r="G163" s="496">
        <v>0</v>
      </c>
      <c r="H163" s="496">
        <v>0</v>
      </c>
      <c r="I163" s="496">
        <f t="shared" si="8"/>
        <v>0</v>
      </c>
      <c r="J163" s="496" t="s">
        <v>869</v>
      </c>
    </row>
    <row r="164" spans="1:10" hidden="1" x14ac:dyDescent="0.25">
      <c r="A164" s="383">
        <f t="shared" si="6"/>
        <v>19</v>
      </c>
      <c r="B164" s="383" t="s">
        <v>263</v>
      </c>
      <c r="C164" s="497" t="s">
        <v>956</v>
      </c>
      <c r="D164" s="383" t="s">
        <v>879</v>
      </c>
      <c r="E164" s="383" t="s">
        <v>868</v>
      </c>
      <c r="F164" s="383" t="str">
        <f t="shared" si="7"/>
        <v xml:space="preserve">P200008DEl Paso Electric </v>
      </c>
      <c r="G164" s="496">
        <v>-4900</v>
      </c>
      <c r="H164" s="496">
        <v>4900</v>
      </c>
      <c r="I164" s="496">
        <f t="shared" si="8"/>
        <v>0</v>
      </c>
      <c r="J164" s="496" t="s">
        <v>869</v>
      </c>
    </row>
    <row r="165" spans="1:10" hidden="1" x14ac:dyDescent="0.25">
      <c r="A165" s="383">
        <f t="shared" si="6"/>
        <v>27</v>
      </c>
      <c r="B165" s="487" t="s">
        <v>263</v>
      </c>
      <c r="C165" s="498" t="s">
        <v>956</v>
      </c>
      <c r="D165" s="487" t="s">
        <v>950</v>
      </c>
      <c r="E165" s="487" t="s">
        <v>868</v>
      </c>
      <c r="F165" s="487" t="str">
        <f t="shared" si="7"/>
        <v>P200008DEnron Energy Serv</v>
      </c>
      <c r="G165" s="499"/>
      <c r="H165" s="499">
        <f>VLOOKUP(F165,[2]Pivot!$R$20:$S$1359,2,FALSE)</f>
        <v>1169152</v>
      </c>
      <c r="I165" s="499">
        <f t="shared" si="8"/>
        <v>1169152</v>
      </c>
      <c r="J165" s="499" t="s">
        <v>951</v>
      </c>
    </row>
    <row r="166" spans="1:10" hidden="1" x14ac:dyDescent="0.25">
      <c r="A166" s="383">
        <f t="shared" si="6"/>
        <v>19</v>
      </c>
      <c r="B166" s="383" t="s">
        <v>263</v>
      </c>
      <c r="C166" s="497" t="s">
        <v>956</v>
      </c>
      <c r="D166" s="383" t="s">
        <v>963</v>
      </c>
      <c r="E166" s="383" t="s">
        <v>868</v>
      </c>
      <c r="F166" s="383" t="str">
        <f t="shared" si="7"/>
        <v>P200008DEntergy Power Mar</v>
      </c>
      <c r="G166" s="496">
        <v>0</v>
      </c>
      <c r="H166" s="496">
        <v>0</v>
      </c>
      <c r="I166" s="496">
        <f t="shared" si="8"/>
        <v>0</v>
      </c>
      <c r="J166" s="496" t="s">
        <v>869</v>
      </c>
    </row>
    <row r="167" spans="1:10" hidden="1" x14ac:dyDescent="0.25">
      <c r="A167" s="383">
        <f t="shared" si="6"/>
        <v>18</v>
      </c>
      <c r="B167" s="383" t="s">
        <v>263</v>
      </c>
      <c r="C167" s="497" t="s">
        <v>956</v>
      </c>
      <c r="D167" s="383" t="s">
        <v>930</v>
      </c>
      <c r="E167" s="383" t="s">
        <v>868</v>
      </c>
      <c r="F167" s="383" t="str">
        <f t="shared" si="7"/>
        <v>P200008DISO New England I</v>
      </c>
      <c r="G167" s="496">
        <v>0</v>
      </c>
      <c r="H167" s="496">
        <v>0</v>
      </c>
      <c r="I167" s="496">
        <f t="shared" si="8"/>
        <v>0</v>
      </c>
      <c r="J167" s="496" t="s">
        <v>869</v>
      </c>
    </row>
    <row r="168" spans="1:10" hidden="1" x14ac:dyDescent="0.25">
      <c r="A168" s="383">
        <f t="shared" si="6"/>
        <v>19</v>
      </c>
      <c r="B168" s="383" t="s">
        <v>263</v>
      </c>
      <c r="C168" s="497" t="s">
        <v>956</v>
      </c>
      <c r="D168" s="383" t="s">
        <v>938</v>
      </c>
      <c r="E168" s="383" t="s">
        <v>868</v>
      </c>
      <c r="F168" s="383" t="str">
        <f t="shared" si="7"/>
        <v>P200008DLas Vegas Cogener</v>
      </c>
      <c r="G168" s="496">
        <v>0</v>
      </c>
      <c r="H168" s="496">
        <v>0</v>
      </c>
      <c r="I168" s="496">
        <f t="shared" si="8"/>
        <v>0</v>
      </c>
      <c r="J168" s="496" t="s">
        <v>869</v>
      </c>
    </row>
    <row r="169" spans="1:10" hidden="1" x14ac:dyDescent="0.25">
      <c r="A169" s="383">
        <f t="shared" si="6"/>
        <v>19</v>
      </c>
      <c r="B169" s="383" t="s">
        <v>263</v>
      </c>
      <c r="C169" s="497" t="s">
        <v>956</v>
      </c>
      <c r="D169" s="383" t="s">
        <v>964</v>
      </c>
      <c r="E169" s="383" t="s">
        <v>868</v>
      </c>
      <c r="F169" s="383" t="str">
        <f t="shared" si="7"/>
        <v>P200008DMichigan Electric</v>
      </c>
      <c r="G169" s="496">
        <v>-75164.5</v>
      </c>
      <c r="H169" s="496">
        <v>75164.5</v>
      </c>
      <c r="I169" s="496">
        <f t="shared" si="8"/>
        <v>0</v>
      </c>
      <c r="J169" s="496" t="s">
        <v>869</v>
      </c>
    </row>
    <row r="170" spans="1:10" x14ac:dyDescent="0.25">
      <c r="A170" s="383">
        <f t="shared" si="6"/>
        <v>21</v>
      </c>
      <c r="B170" s="487" t="s">
        <v>263</v>
      </c>
      <c r="C170" s="500" t="s">
        <v>956</v>
      </c>
      <c r="D170" s="487" t="s">
        <v>965</v>
      </c>
      <c r="E170" s="487" t="s">
        <v>868</v>
      </c>
      <c r="F170" s="487" t="str">
        <f t="shared" si="7"/>
        <v xml:space="preserve">P200008DMinnesota Power, </v>
      </c>
      <c r="G170" s="499"/>
      <c r="H170" s="499">
        <f>VLOOKUP(F170,[2]Pivot!$R$20:$S$1359,2,FALSE)</f>
        <v>82390</v>
      </c>
      <c r="I170" s="499">
        <f t="shared" si="8"/>
        <v>82390</v>
      </c>
      <c r="J170" s="499"/>
    </row>
    <row r="171" spans="1:10" hidden="1" x14ac:dyDescent="0.25">
      <c r="A171" s="383">
        <f t="shared" si="6"/>
        <v>19</v>
      </c>
      <c r="B171" s="383" t="s">
        <v>263</v>
      </c>
      <c r="C171" s="497" t="s">
        <v>956</v>
      </c>
      <c r="D171" s="383" t="s">
        <v>966</v>
      </c>
      <c r="E171" s="383" t="s">
        <v>868</v>
      </c>
      <c r="F171" s="383" t="str">
        <f t="shared" si="7"/>
        <v>P200008DMissouri Joint Mu</v>
      </c>
      <c r="G171" s="496">
        <v>-4156</v>
      </c>
      <c r="H171" s="496">
        <v>4156</v>
      </c>
      <c r="I171" s="496">
        <f t="shared" si="8"/>
        <v>0</v>
      </c>
      <c r="J171" s="496" t="s">
        <v>869</v>
      </c>
    </row>
    <row r="172" spans="1:10" x14ac:dyDescent="0.25">
      <c r="A172" s="383">
        <f t="shared" si="6"/>
        <v>22</v>
      </c>
      <c r="B172" s="487" t="s">
        <v>263</v>
      </c>
      <c r="C172" s="500" t="s">
        <v>956</v>
      </c>
      <c r="D172" s="487" t="s">
        <v>884</v>
      </c>
      <c r="E172" s="487" t="s">
        <v>868</v>
      </c>
      <c r="F172" s="487" t="str">
        <f t="shared" si="7"/>
        <v>P200008DNew England Power</v>
      </c>
      <c r="G172" s="499"/>
      <c r="H172" s="499">
        <f>VLOOKUP(F172,[2]Pivot!$R$20:$S$1359,2,FALSE)</f>
        <v>82310632.520000011</v>
      </c>
      <c r="I172" s="499">
        <f t="shared" si="8"/>
        <v>82310632.519999996</v>
      </c>
      <c r="J172" s="499"/>
    </row>
    <row r="173" spans="1:10" hidden="1" x14ac:dyDescent="0.25">
      <c r="A173" s="383">
        <f t="shared" si="6"/>
        <v>19</v>
      </c>
      <c r="B173" s="383" t="s">
        <v>263</v>
      </c>
      <c r="C173" s="497" t="s">
        <v>956</v>
      </c>
      <c r="D173" s="383" t="s">
        <v>931</v>
      </c>
      <c r="E173" s="383" t="s">
        <v>868</v>
      </c>
      <c r="F173" s="383" t="str">
        <f t="shared" si="7"/>
        <v>P200008DNew York Independ</v>
      </c>
      <c r="G173" s="496">
        <v>-2.7284841053187847E-11</v>
      </c>
      <c r="H173" s="496">
        <v>0</v>
      </c>
      <c r="I173" s="496">
        <f t="shared" si="8"/>
        <v>0</v>
      </c>
      <c r="J173" s="496" t="s">
        <v>869</v>
      </c>
    </row>
    <row r="174" spans="1:10" hidden="1" x14ac:dyDescent="0.25">
      <c r="A174" s="383">
        <f t="shared" si="6"/>
        <v>19</v>
      </c>
      <c r="B174" s="383" t="s">
        <v>263</v>
      </c>
      <c r="C174" s="497" t="s">
        <v>956</v>
      </c>
      <c r="D174" s="383" t="s">
        <v>967</v>
      </c>
      <c r="E174" s="383" t="s">
        <v>868</v>
      </c>
      <c r="F174" s="383" t="str">
        <f t="shared" si="7"/>
        <v xml:space="preserve">P200008DOglethorpe Power </v>
      </c>
      <c r="G174" s="496">
        <v>-25956</v>
      </c>
      <c r="H174" s="496">
        <v>25956</v>
      </c>
      <c r="I174" s="496">
        <f t="shared" si="8"/>
        <v>0</v>
      </c>
      <c r="J174" s="496" t="s">
        <v>869</v>
      </c>
    </row>
    <row r="175" spans="1:10" x14ac:dyDescent="0.25">
      <c r="A175" s="383">
        <f t="shared" si="6"/>
        <v>24</v>
      </c>
      <c r="B175" s="487" t="s">
        <v>263</v>
      </c>
      <c r="C175" s="500" t="s">
        <v>956</v>
      </c>
      <c r="D175" s="487" t="s">
        <v>968</v>
      </c>
      <c r="E175" s="487" t="s">
        <v>868</v>
      </c>
      <c r="F175" s="487" t="str">
        <f t="shared" si="7"/>
        <v xml:space="preserve">P200008DOtter Tail Power </v>
      </c>
      <c r="G175" s="499"/>
      <c r="H175" s="499">
        <f>VLOOKUP(F175,[2]Pivot!$R$20:$S$1359,2,FALSE)</f>
        <v>197417</v>
      </c>
      <c r="I175" s="499">
        <f t="shared" si="8"/>
        <v>197417</v>
      </c>
      <c r="J175" s="499"/>
    </row>
    <row r="176" spans="1:10" x14ac:dyDescent="0.25">
      <c r="A176" s="383">
        <f t="shared" si="6"/>
        <v>13</v>
      </c>
      <c r="B176" s="383" t="s">
        <v>263</v>
      </c>
      <c r="C176" s="495" t="s">
        <v>956</v>
      </c>
      <c r="D176" s="383" t="s">
        <v>969</v>
      </c>
      <c r="E176" s="383" t="s">
        <v>868</v>
      </c>
      <c r="F176" s="383" t="str">
        <f t="shared" si="7"/>
        <v>P200008DOxy Vinyls LP</v>
      </c>
      <c r="G176" s="496">
        <v>1660608</v>
      </c>
      <c r="H176" s="496">
        <v>0</v>
      </c>
      <c r="I176" s="496">
        <f t="shared" si="8"/>
        <v>1660608</v>
      </c>
      <c r="J176" s="496"/>
    </row>
    <row r="177" spans="1:10" x14ac:dyDescent="0.25">
      <c r="A177" s="383">
        <f t="shared" si="6"/>
        <v>10</v>
      </c>
      <c r="B177" s="383" t="s">
        <v>263</v>
      </c>
      <c r="C177" s="495" t="s">
        <v>956</v>
      </c>
      <c r="D177" s="383" t="s">
        <v>940</v>
      </c>
      <c r="E177" s="383" t="s">
        <v>868</v>
      </c>
      <c r="F177" s="383" t="str">
        <f t="shared" si="7"/>
        <v>P200008DPacificorp</v>
      </c>
      <c r="G177" s="496">
        <v>18213822.75</v>
      </c>
      <c r="H177" s="496">
        <v>0</v>
      </c>
      <c r="I177" s="496">
        <f t="shared" si="8"/>
        <v>18213822.75</v>
      </c>
      <c r="J177" s="496"/>
    </row>
    <row r="178" spans="1:10" hidden="1" x14ac:dyDescent="0.25">
      <c r="A178" s="383">
        <f t="shared" si="6"/>
        <v>19</v>
      </c>
      <c r="B178" s="383" t="s">
        <v>263</v>
      </c>
      <c r="C178" s="497" t="s">
        <v>956</v>
      </c>
      <c r="D178" s="383" t="s">
        <v>945</v>
      </c>
      <c r="E178" s="383" t="s">
        <v>868</v>
      </c>
      <c r="F178" s="383" t="str">
        <f t="shared" si="7"/>
        <v>P200008DPG&amp;E Energy Tradi</v>
      </c>
      <c r="G178" s="496">
        <v>-1906271.2</v>
      </c>
      <c r="H178" s="496">
        <v>1906271.2</v>
      </c>
      <c r="I178" s="496">
        <f t="shared" si="8"/>
        <v>0</v>
      </c>
      <c r="J178" s="496" t="s">
        <v>869</v>
      </c>
    </row>
    <row r="179" spans="1:10" hidden="1" x14ac:dyDescent="0.25">
      <c r="A179" s="383">
        <f t="shared" si="6"/>
        <v>19</v>
      </c>
      <c r="B179" s="383" t="s">
        <v>263</v>
      </c>
      <c r="C179" s="497" t="s">
        <v>956</v>
      </c>
      <c r="D179" s="383" t="s">
        <v>892</v>
      </c>
      <c r="E179" s="383" t="s">
        <v>868</v>
      </c>
      <c r="F179" s="383" t="str">
        <f t="shared" si="7"/>
        <v>P200008DPJM Interconnecti</v>
      </c>
      <c r="G179" s="496">
        <v>2790263.72</v>
      </c>
      <c r="H179" s="496">
        <v>-2790263.72</v>
      </c>
      <c r="I179" s="496">
        <f t="shared" si="8"/>
        <v>0</v>
      </c>
      <c r="J179" s="496" t="s">
        <v>869</v>
      </c>
    </row>
    <row r="180" spans="1:10" hidden="1" x14ac:dyDescent="0.25">
      <c r="A180" s="383">
        <f t="shared" si="6"/>
        <v>19</v>
      </c>
      <c r="B180" s="383" t="s">
        <v>263</v>
      </c>
      <c r="C180" s="497" t="s">
        <v>956</v>
      </c>
      <c r="D180" s="383" t="s">
        <v>904</v>
      </c>
      <c r="E180" s="383" t="s">
        <v>868</v>
      </c>
      <c r="F180" s="383" t="str">
        <f t="shared" si="7"/>
        <v xml:space="preserve">P200008DPortland General </v>
      </c>
      <c r="G180" s="496">
        <v>1.3969838619232178E-9</v>
      </c>
      <c r="H180" s="496">
        <v>0</v>
      </c>
      <c r="I180" s="496">
        <f t="shared" si="8"/>
        <v>0</v>
      </c>
      <c r="J180" s="496" t="s">
        <v>869</v>
      </c>
    </row>
    <row r="181" spans="1:10" hidden="1" x14ac:dyDescent="0.25">
      <c r="A181" s="383">
        <f t="shared" si="6"/>
        <v>19</v>
      </c>
      <c r="B181" s="383" t="s">
        <v>263</v>
      </c>
      <c r="C181" s="497" t="s">
        <v>956</v>
      </c>
      <c r="D181" s="383" t="s">
        <v>970</v>
      </c>
      <c r="E181" s="383" t="s">
        <v>868</v>
      </c>
      <c r="F181" s="383" t="str">
        <f t="shared" si="7"/>
        <v>P200008DPublic Service Co</v>
      </c>
      <c r="G181" s="496">
        <v>-22298985.48</v>
      </c>
      <c r="H181" s="496">
        <v>22298985.48</v>
      </c>
      <c r="I181" s="496">
        <f t="shared" si="8"/>
        <v>0</v>
      </c>
      <c r="J181" s="496" t="s">
        <v>869</v>
      </c>
    </row>
    <row r="182" spans="1:10" x14ac:dyDescent="0.25">
      <c r="A182" s="383">
        <f t="shared" si="6"/>
        <v>19</v>
      </c>
      <c r="B182" s="383" t="s">
        <v>263</v>
      </c>
      <c r="C182" s="495" t="s">
        <v>956</v>
      </c>
      <c r="D182" s="383" t="s">
        <v>941</v>
      </c>
      <c r="E182" s="383" t="s">
        <v>868</v>
      </c>
      <c r="F182" s="383" t="str">
        <f t="shared" si="7"/>
        <v>P200008DPuget Sound Energ</v>
      </c>
      <c r="G182" s="496">
        <v>30101219.390000001</v>
      </c>
      <c r="H182" s="496">
        <v>0</v>
      </c>
      <c r="I182" s="496">
        <f t="shared" si="8"/>
        <v>30101219.390000001</v>
      </c>
      <c r="J182" s="496"/>
    </row>
    <row r="183" spans="1:10" x14ac:dyDescent="0.25">
      <c r="A183" s="383">
        <f t="shared" si="6"/>
        <v>21</v>
      </c>
      <c r="B183" s="487" t="s">
        <v>263</v>
      </c>
      <c r="C183" s="500" t="s">
        <v>956</v>
      </c>
      <c r="D183" s="487" t="s">
        <v>971</v>
      </c>
      <c r="E183" s="487" t="s">
        <v>868</v>
      </c>
      <c r="F183" s="487" t="str">
        <f t="shared" si="7"/>
        <v>P200008DSaguaro Power Com</v>
      </c>
      <c r="G183" s="499"/>
      <c r="H183" s="499">
        <f>VLOOKUP(F183,[2]Pivot!$R$20:$S$1359,2,FALSE)</f>
        <v>539891.51</v>
      </c>
      <c r="I183" s="499">
        <f t="shared" si="8"/>
        <v>539891.51</v>
      </c>
      <c r="J183" s="499"/>
    </row>
    <row r="184" spans="1:10" x14ac:dyDescent="0.25">
      <c r="A184" s="383">
        <f t="shared" si="6"/>
        <v>18</v>
      </c>
      <c r="B184" s="383" t="s">
        <v>263</v>
      </c>
      <c r="C184" s="495" t="s">
        <v>956</v>
      </c>
      <c r="D184" s="383" t="s">
        <v>972</v>
      </c>
      <c r="E184" s="383" t="s">
        <v>868</v>
      </c>
      <c r="F184" s="383" t="str">
        <f t="shared" si="7"/>
        <v>P200008DSplit Rock Energy</v>
      </c>
      <c r="G184" s="496">
        <v>312</v>
      </c>
      <c r="H184" s="496">
        <v>532829</v>
      </c>
      <c r="I184" s="496">
        <f t="shared" si="8"/>
        <v>533141</v>
      </c>
      <c r="J184" s="496"/>
    </row>
    <row r="185" spans="1:10" hidden="1" x14ac:dyDescent="0.25">
      <c r="A185" s="383">
        <f t="shared" si="6"/>
        <v>19</v>
      </c>
      <c r="B185" s="383" t="s">
        <v>263</v>
      </c>
      <c r="C185" s="497" t="s">
        <v>956</v>
      </c>
      <c r="D185" s="383" t="s">
        <v>877</v>
      </c>
      <c r="E185" s="383" t="s">
        <v>868</v>
      </c>
      <c r="F185" s="383" t="str">
        <f t="shared" si="7"/>
        <v>P200008DUnited Power Asso</v>
      </c>
      <c r="G185" s="496">
        <v>-43476</v>
      </c>
      <c r="H185" s="496">
        <v>43476</v>
      </c>
      <c r="I185" s="496">
        <f t="shared" si="8"/>
        <v>0</v>
      </c>
      <c r="J185" s="496" t="s">
        <v>869</v>
      </c>
    </row>
    <row r="186" spans="1:10" hidden="1" x14ac:dyDescent="0.25">
      <c r="A186" s="383">
        <f t="shared" si="6"/>
        <v>19</v>
      </c>
      <c r="B186" s="383" t="s">
        <v>263</v>
      </c>
      <c r="C186" s="497" t="s">
        <v>956</v>
      </c>
      <c r="D186" s="383" t="s">
        <v>954</v>
      </c>
      <c r="E186" s="383" t="s">
        <v>868</v>
      </c>
      <c r="F186" s="383" t="str">
        <f t="shared" si="7"/>
        <v>P200008DWillamette Indust</v>
      </c>
      <c r="G186" s="496">
        <v>1.0000000009313226E-2</v>
      </c>
      <c r="H186" s="496">
        <v>-0.01</v>
      </c>
      <c r="I186" s="496">
        <f t="shared" si="8"/>
        <v>0</v>
      </c>
      <c r="J186" s="496" t="s">
        <v>869</v>
      </c>
    </row>
    <row r="187" spans="1:10" hidden="1" x14ac:dyDescent="0.25">
      <c r="A187" s="383">
        <f t="shared" si="6"/>
        <v>20</v>
      </c>
      <c r="B187" s="383" t="s">
        <v>263</v>
      </c>
      <c r="C187" s="497" t="s">
        <v>956</v>
      </c>
      <c r="D187" s="383" t="s">
        <v>973</v>
      </c>
      <c r="E187" s="383" t="s">
        <v>887</v>
      </c>
      <c r="F187" s="383" t="str">
        <f t="shared" si="7"/>
        <v xml:space="preserve">P200008FBonneville Power </v>
      </c>
      <c r="G187" s="496">
        <v>24944818.719999999</v>
      </c>
      <c r="H187" s="496">
        <v>-24944818.719999999</v>
      </c>
      <c r="I187" s="496">
        <f t="shared" si="8"/>
        <v>0</v>
      </c>
      <c r="J187" s="496" t="s">
        <v>869</v>
      </c>
    </row>
    <row r="188" spans="1:10" hidden="1" x14ac:dyDescent="0.25">
      <c r="A188" s="383">
        <f t="shared" si="6"/>
        <v>16</v>
      </c>
      <c r="B188" s="383" t="s">
        <v>263</v>
      </c>
      <c r="C188" s="497" t="s">
        <v>956</v>
      </c>
      <c r="D188" s="383" t="s">
        <v>958</v>
      </c>
      <c r="E188" s="383" t="s">
        <v>887</v>
      </c>
      <c r="F188" s="383" t="str">
        <f t="shared" si="7"/>
        <v>P200008FBurbank, City Of</v>
      </c>
      <c r="G188" s="496">
        <v>10000</v>
      </c>
      <c r="H188" s="496"/>
      <c r="I188" s="496">
        <f t="shared" si="8"/>
        <v>10000</v>
      </c>
      <c r="J188" s="496" t="s">
        <v>890</v>
      </c>
    </row>
    <row r="189" spans="1:10" hidden="1" x14ac:dyDescent="0.25">
      <c r="A189" s="383">
        <f t="shared" si="6"/>
        <v>18</v>
      </c>
      <c r="B189" s="383" t="s">
        <v>263</v>
      </c>
      <c r="C189" s="497" t="s">
        <v>956</v>
      </c>
      <c r="D189" s="383" t="s">
        <v>959</v>
      </c>
      <c r="E189" s="383" t="s">
        <v>887</v>
      </c>
      <c r="F189" s="383" t="str">
        <f t="shared" si="7"/>
        <v>P200008FCalifornia Supple</v>
      </c>
      <c r="G189" s="496">
        <v>0</v>
      </c>
      <c r="H189" s="496"/>
      <c r="I189" s="496">
        <f t="shared" si="8"/>
        <v>0</v>
      </c>
      <c r="J189" s="496" t="s">
        <v>869</v>
      </c>
    </row>
    <row r="190" spans="1:10" hidden="1" x14ac:dyDescent="0.25">
      <c r="A190" s="383">
        <f t="shared" si="6"/>
        <v>15</v>
      </c>
      <c r="B190" s="487" t="s">
        <v>263</v>
      </c>
      <c r="C190" s="498" t="s">
        <v>956</v>
      </c>
      <c r="D190" s="487" t="s">
        <v>974</v>
      </c>
      <c r="E190" s="487" t="s">
        <v>887</v>
      </c>
      <c r="F190" s="487" t="str">
        <f t="shared" si="7"/>
        <v>P200008FCity of Burbank</v>
      </c>
      <c r="G190" s="499"/>
      <c r="H190" s="499">
        <f>VLOOKUP(F190,[2]Pivot!$R$20:$S$1359,2,FALSE)</f>
        <v>-10000</v>
      </c>
      <c r="I190" s="499">
        <f t="shared" si="8"/>
        <v>-10000</v>
      </c>
      <c r="J190" s="496" t="s">
        <v>890</v>
      </c>
    </row>
    <row r="191" spans="1:10" hidden="1" x14ac:dyDescent="0.25">
      <c r="A191" s="383">
        <f t="shared" si="6"/>
        <v>14</v>
      </c>
      <c r="B191" s="383" t="s">
        <v>263</v>
      </c>
      <c r="C191" s="497" t="s">
        <v>956</v>
      </c>
      <c r="D191" s="383" t="s">
        <v>960</v>
      </c>
      <c r="E191" s="383" t="s">
        <v>887</v>
      </c>
      <c r="F191" s="383" t="str">
        <f t="shared" si="7"/>
        <v>P200008FCity of Colton</v>
      </c>
      <c r="G191" s="496">
        <v>10080</v>
      </c>
      <c r="H191" s="496">
        <v>-10080</v>
      </c>
      <c r="I191" s="496">
        <f t="shared" si="8"/>
        <v>0</v>
      </c>
      <c r="J191" s="496" t="s">
        <v>869</v>
      </c>
    </row>
    <row r="192" spans="1:10" hidden="1" x14ac:dyDescent="0.25">
      <c r="A192" s="383">
        <f t="shared" si="6"/>
        <v>15</v>
      </c>
      <c r="B192" s="383" t="s">
        <v>263</v>
      </c>
      <c r="C192" s="497" t="s">
        <v>956</v>
      </c>
      <c r="D192" s="383" t="s">
        <v>911</v>
      </c>
      <c r="E192" s="383" t="s">
        <v>887</v>
      </c>
      <c r="F192" s="383" t="str">
        <f t="shared" si="7"/>
        <v>P200008FCity of Redding</v>
      </c>
      <c r="G192" s="496">
        <v>4284269.3499999996</v>
      </c>
      <c r="H192" s="496">
        <v>-4284269.3499999996</v>
      </c>
      <c r="I192" s="496">
        <f t="shared" si="8"/>
        <v>0</v>
      </c>
      <c r="J192" s="496" t="s">
        <v>869</v>
      </c>
    </row>
    <row r="193" spans="1:10" hidden="1" x14ac:dyDescent="0.25">
      <c r="A193" s="383">
        <f t="shared" si="6"/>
        <v>20</v>
      </c>
      <c r="B193" s="383" t="s">
        <v>263</v>
      </c>
      <c r="C193" s="497" t="s">
        <v>956</v>
      </c>
      <c r="D193" s="383" t="s">
        <v>975</v>
      </c>
      <c r="E193" s="383" t="s">
        <v>887</v>
      </c>
      <c r="F193" s="383" t="str">
        <f t="shared" si="7"/>
        <v>P200008FEdison Mission Ma</v>
      </c>
      <c r="G193" s="496">
        <v>0</v>
      </c>
      <c r="H193" s="496">
        <v>0</v>
      </c>
      <c r="I193" s="496">
        <f t="shared" si="8"/>
        <v>0</v>
      </c>
      <c r="J193" s="496" t="s">
        <v>869</v>
      </c>
    </row>
    <row r="194" spans="1:10" hidden="1" x14ac:dyDescent="0.25">
      <c r="A194" s="383">
        <f t="shared" si="6"/>
        <v>20</v>
      </c>
      <c r="B194" s="383" t="s">
        <v>263</v>
      </c>
      <c r="C194" s="497" t="s">
        <v>956</v>
      </c>
      <c r="D194" s="383" t="s">
        <v>976</v>
      </c>
      <c r="E194" s="383" t="s">
        <v>887</v>
      </c>
      <c r="F194" s="383" t="str">
        <f t="shared" si="7"/>
        <v xml:space="preserve">P200008FEl Paso Electric </v>
      </c>
      <c r="G194" s="496">
        <v>0.02</v>
      </c>
      <c r="H194" s="496">
        <v>-0.02</v>
      </c>
      <c r="I194" s="496">
        <f t="shared" si="8"/>
        <v>0</v>
      </c>
      <c r="J194" s="496" t="s">
        <v>869</v>
      </c>
    </row>
    <row r="195" spans="1:10" hidden="1" x14ac:dyDescent="0.25">
      <c r="A195" s="383">
        <f t="shared" si="6"/>
        <v>20</v>
      </c>
      <c r="B195" s="383" t="s">
        <v>263</v>
      </c>
      <c r="C195" s="497" t="s">
        <v>956</v>
      </c>
      <c r="D195" s="383" t="s">
        <v>520</v>
      </c>
      <c r="E195" s="383" t="s">
        <v>887</v>
      </c>
      <c r="F195" s="383" t="str">
        <f t="shared" si="7"/>
        <v>P200008FISO New England I</v>
      </c>
      <c r="G195" s="496">
        <v>82422739.109999999</v>
      </c>
      <c r="H195" s="496"/>
      <c r="I195" s="496">
        <f t="shared" si="8"/>
        <v>82422739.109999999</v>
      </c>
      <c r="J195" s="499" t="s">
        <v>890</v>
      </c>
    </row>
    <row r="196" spans="1:10" hidden="1" x14ac:dyDescent="0.25">
      <c r="A196" s="383">
        <f t="shared" ref="A196:A259" si="9">LEN(D196)</f>
        <v>20</v>
      </c>
      <c r="B196" s="383" t="s">
        <v>263</v>
      </c>
      <c r="C196" s="497" t="s">
        <v>956</v>
      </c>
      <c r="D196" s="383" t="s">
        <v>977</v>
      </c>
      <c r="E196" s="383" t="s">
        <v>887</v>
      </c>
      <c r="F196" s="383" t="str">
        <f t="shared" ref="F196:F259" si="10">+B196&amp;C196&amp;E196&amp;LEFT(D196,17)</f>
        <v>P200008FMichigan Electric</v>
      </c>
      <c r="G196" s="496">
        <v>75164.5</v>
      </c>
      <c r="H196" s="496">
        <v>-75164.5</v>
      </c>
      <c r="I196" s="496">
        <f t="shared" ref="I196:I259" si="11">ROUND(+G196+H196,2)</f>
        <v>0</v>
      </c>
      <c r="J196" s="496" t="s">
        <v>869</v>
      </c>
    </row>
    <row r="197" spans="1:10" hidden="1" x14ac:dyDescent="0.25">
      <c r="A197" s="383">
        <f t="shared" si="9"/>
        <v>20</v>
      </c>
      <c r="B197" s="383" t="s">
        <v>263</v>
      </c>
      <c r="C197" s="497" t="s">
        <v>956</v>
      </c>
      <c r="D197" s="383" t="s">
        <v>978</v>
      </c>
      <c r="E197" s="383" t="s">
        <v>887</v>
      </c>
      <c r="F197" s="383" t="str">
        <f t="shared" si="10"/>
        <v>P200008FMissouri Joint Mu</v>
      </c>
      <c r="G197" s="496">
        <v>4156</v>
      </c>
      <c r="H197" s="496">
        <v>-4156</v>
      </c>
      <c r="I197" s="496">
        <f t="shared" si="11"/>
        <v>0</v>
      </c>
      <c r="J197" s="496" t="s">
        <v>869</v>
      </c>
    </row>
    <row r="198" spans="1:10" hidden="1" x14ac:dyDescent="0.25">
      <c r="A198" s="383">
        <f t="shared" si="9"/>
        <v>20</v>
      </c>
      <c r="B198" s="383" t="s">
        <v>263</v>
      </c>
      <c r="C198" s="497" t="s">
        <v>956</v>
      </c>
      <c r="D198" s="383" t="s">
        <v>979</v>
      </c>
      <c r="E198" s="383" t="s">
        <v>887</v>
      </c>
      <c r="F198" s="383" t="str">
        <f t="shared" si="10"/>
        <v>P200008FNevada Power Comp</v>
      </c>
      <c r="G198" s="496">
        <v>1720</v>
      </c>
      <c r="H198" s="496">
        <v>-1720</v>
      </c>
      <c r="I198" s="496">
        <f t="shared" si="11"/>
        <v>0</v>
      </c>
      <c r="J198" s="496" t="s">
        <v>869</v>
      </c>
    </row>
    <row r="199" spans="1:10" hidden="1" x14ac:dyDescent="0.25">
      <c r="A199" s="383">
        <f t="shared" si="9"/>
        <v>22</v>
      </c>
      <c r="B199" s="487" t="s">
        <v>263</v>
      </c>
      <c r="C199" s="498" t="s">
        <v>956</v>
      </c>
      <c r="D199" s="487" t="s">
        <v>884</v>
      </c>
      <c r="E199" s="487" t="s">
        <v>887</v>
      </c>
      <c r="F199" s="487" t="str">
        <f t="shared" si="10"/>
        <v>P200008FNew England Power</v>
      </c>
      <c r="G199" s="499"/>
      <c r="H199" s="499">
        <f>VLOOKUP(F199,[2]Pivot!$R$20:$S$1359,2,FALSE)</f>
        <v>-82422739.109999999</v>
      </c>
      <c r="I199" s="499">
        <f t="shared" si="11"/>
        <v>-82422739.109999999</v>
      </c>
      <c r="J199" s="499" t="s">
        <v>890</v>
      </c>
    </row>
    <row r="200" spans="1:10" hidden="1" x14ac:dyDescent="0.25">
      <c r="A200" s="383">
        <f t="shared" si="9"/>
        <v>19</v>
      </c>
      <c r="B200" s="383" t="s">
        <v>263</v>
      </c>
      <c r="C200" s="497" t="s">
        <v>956</v>
      </c>
      <c r="D200" s="383" t="s">
        <v>980</v>
      </c>
      <c r="E200" s="383" t="s">
        <v>887</v>
      </c>
      <c r="F200" s="383" t="str">
        <f t="shared" si="10"/>
        <v>P200008FNRG Power Marketi</v>
      </c>
      <c r="G200" s="496">
        <v>-0.25</v>
      </c>
      <c r="H200" s="496">
        <v>0.25</v>
      </c>
      <c r="I200" s="496">
        <f t="shared" si="11"/>
        <v>0</v>
      </c>
      <c r="J200" s="496" t="s">
        <v>869</v>
      </c>
    </row>
    <row r="201" spans="1:10" hidden="1" x14ac:dyDescent="0.25">
      <c r="A201" s="383">
        <f t="shared" si="9"/>
        <v>15</v>
      </c>
      <c r="B201" s="383" t="s">
        <v>263</v>
      </c>
      <c r="C201" s="497" t="s">
        <v>956</v>
      </c>
      <c r="D201" s="383" t="s">
        <v>952</v>
      </c>
      <c r="E201" s="383" t="s">
        <v>887</v>
      </c>
      <c r="F201" s="383" t="str">
        <f t="shared" si="10"/>
        <v>P200008FNSTAR Companies</v>
      </c>
      <c r="G201" s="496">
        <v>101.61</v>
      </c>
      <c r="H201" s="496">
        <v>-101.61</v>
      </c>
      <c r="I201" s="496">
        <f t="shared" si="11"/>
        <v>0</v>
      </c>
      <c r="J201" s="496" t="s">
        <v>869</v>
      </c>
    </row>
    <row r="202" spans="1:10" hidden="1" x14ac:dyDescent="0.25">
      <c r="A202" s="383">
        <f t="shared" si="9"/>
        <v>20</v>
      </c>
      <c r="B202" s="383" t="s">
        <v>263</v>
      </c>
      <c r="C202" s="497" t="s">
        <v>956</v>
      </c>
      <c r="D202" s="383" t="s">
        <v>981</v>
      </c>
      <c r="E202" s="383" t="s">
        <v>887</v>
      </c>
      <c r="F202" s="383" t="str">
        <f t="shared" si="10"/>
        <v xml:space="preserve">P200008FOglethorpe Power </v>
      </c>
      <c r="G202" s="496">
        <v>25956</v>
      </c>
      <c r="H202" s="496">
        <v>-25956</v>
      </c>
      <c r="I202" s="496">
        <f t="shared" si="11"/>
        <v>0</v>
      </c>
      <c r="J202" s="496" t="s">
        <v>869</v>
      </c>
    </row>
    <row r="203" spans="1:10" hidden="1" x14ac:dyDescent="0.25">
      <c r="A203" s="383">
        <f t="shared" si="9"/>
        <v>20</v>
      </c>
      <c r="B203" s="383" t="s">
        <v>263</v>
      </c>
      <c r="C203" s="497" t="s">
        <v>956</v>
      </c>
      <c r="D203" s="383" t="s">
        <v>982</v>
      </c>
      <c r="E203" s="383" t="s">
        <v>887</v>
      </c>
      <c r="F203" s="383" t="str">
        <f t="shared" si="10"/>
        <v xml:space="preserve">P200008FOtter Tail Power </v>
      </c>
      <c r="G203" s="496">
        <v>197417</v>
      </c>
      <c r="H203" s="496">
        <v>-197417</v>
      </c>
      <c r="I203" s="496">
        <f t="shared" si="11"/>
        <v>0</v>
      </c>
      <c r="J203" s="496" t="s">
        <v>869</v>
      </c>
    </row>
    <row r="204" spans="1:10" hidden="1" x14ac:dyDescent="0.25">
      <c r="A204" s="383">
        <f t="shared" si="9"/>
        <v>18</v>
      </c>
      <c r="B204" s="383" t="s">
        <v>263</v>
      </c>
      <c r="C204" s="497" t="s">
        <v>956</v>
      </c>
      <c r="D204" s="383" t="s">
        <v>983</v>
      </c>
      <c r="E204" s="383" t="s">
        <v>887</v>
      </c>
      <c r="F204" s="383" t="str">
        <f t="shared" si="10"/>
        <v>P200008FPG&amp;E Energy Tradi</v>
      </c>
      <c r="G204" s="496">
        <v>0</v>
      </c>
      <c r="H204" s="496"/>
      <c r="I204" s="496">
        <f t="shared" si="11"/>
        <v>0</v>
      </c>
      <c r="J204" s="496" t="s">
        <v>869</v>
      </c>
    </row>
    <row r="205" spans="1:10" hidden="1" x14ac:dyDescent="0.25">
      <c r="A205" s="383">
        <f t="shared" si="9"/>
        <v>20</v>
      </c>
      <c r="B205" s="383" t="s">
        <v>263</v>
      </c>
      <c r="C205" s="497" t="s">
        <v>956</v>
      </c>
      <c r="D205" s="383" t="s">
        <v>984</v>
      </c>
      <c r="E205" s="383" t="s">
        <v>887</v>
      </c>
      <c r="F205" s="383" t="str">
        <f t="shared" si="10"/>
        <v>P200008FPublic Service Co</v>
      </c>
      <c r="G205" s="496">
        <v>22298985.48</v>
      </c>
      <c r="H205" s="496">
        <v>-22298985.48</v>
      </c>
      <c r="I205" s="496">
        <f t="shared" si="11"/>
        <v>0</v>
      </c>
      <c r="J205" s="496" t="s">
        <v>869</v>
      </c>
    </row>
    <row r="206" spans="1:10" hidden="1" x14ac:dyDescent="0.25">
      <c r="A206" s="383">
        <f t="shared" si="9"/>
        <v>20</v>
      </c>
      <c r="B206" s="383" t="s">
        <v>263</v>
      </c>
      <c r="C206" s="497" t="s">
        <v>956</v>
      </c>
      <c r="D206" s="383" t="s">
        <v>985</v>
      </c>
      <c r="E206" s="383" t="s">
        <v>887</v>
      </c>
      <c r="F206" s="383" t="str">
        <f t="shared" si="10"/>
        <v>P200008FSaguaro Power Com</v>
      </c>
      <c r="G206" s="496">
        <v>558254.6</v>
      </c>
      <c r="H206" s="496">
        <v>-558254.6</v>
      </c>
      <c r="I206" s="496">
        <f t="shared" si="11"/>
        <v>0</v>
      </c>
      <c r="J206" s="496" t="s">
        <v>869</v>
      </c>
    </row>
    <row r="207" spans="1:10" hidden="1" x14ac:dyDescent="0.25">
      <c r="A207" s="383">
        <f t="shared" si="9"/>
        <v>20</v>
      </c>
      <c r="B207" s="383" t="s">
        <v>263</v>
      </c>
      <c r="C207" s="497" t="s">
        <v>956</v>
      </c>
      <c r="D207" s="383" t="s">
        <v>986</v>
      </c>
      <c r="E207" s="383" t="s">
        <v>887</v>
      </c>
      <c r="F207" s="383" t="str">
        <f t="shared" si="10"/>
        <v>P200008FSplit Rock Energy</v>
      </c>
      <c r="G207" s="496">
        <v>670175.07999999996</v>
      </c>
      <c r="H207" s="496">
        <v>-670175.07999999996</v>
      </c>
      <c r="I207" s="496">
        <f t="shared" si="11"/>
        <v>0</v>
      </c>
      <c r="J207" s="496" t="s">
        <v>869</v>
      </c>
    </row>
    <row r="208" spans="1:10" hidden="1" x14ac:dyDescent="0.25">
      <c r="A208" s="383">
        <f t="shared" si="9"/>
        <v>19</v>
      </c>
      <c r="B208" s="383" t="s">
        <v>263</v>
      </c>
      <c r="C208" s="497" t="s">
        <v>987</v>
      </c>
      <c r="D208" s="383" t="s">
        <v>988</v>
      </c>
      <c r="E208" s="383" t="s">
        <v>868</v>
      </c>
      <c r="F208" s="383" t="str">
        <f t="shared" si="10"/>
        <v xml:space="preserve">P200009DAlabama Electric </v>
      </c>
      <c r="G208" s="496">
        <v>-8840</v>
      </c>
      <c r="H208" s="496">
        <v>8840</v>
      </c>
      <c r="I208" s="496">
        <f t="shared" si="11"/>
        <v>0</v>
      </c>
      <c r="J208" s="496" t="s">
        <v>869</v>
      </c>
    </row>
    <row r="209" spans="1:10" hidden="1" x14ac:dyDescent="0.25">
      <c r="A209" s="383">
        <f t="shared" si="9"/>
        <v>19</v>
      </c>
      <c r="B209" s="383" t="s">
        <v>263</v>
      </c>
      <c r="C209" s="497" t="s">
        <v>987</v>
      </c>
      <c r="D209" s="383" t="s">
        <v>989</v>
      </c>
      <c r="E209" s="383" t="s">
        <v>868</v>
      </c>
      <c r="F209" s="383" t="str">
        <f t="shared" si="10"/>
        <v xml:space="preserve">P200009DAllegheny Energy </v>
      </c>
      <c r="G209" s="496">
        <v>-30050021</v>
      </c>
      <c r="H209" s="496">
        <v>30050021</v>
      </c>
      <c r="I209" s="496">
        <f t="shared" si="11"/>
        <v>0</v>
      </c>
      <c r="J209" s="496" t="s">
        <v>869</v>
      </c>
    </row>
    <row r="210" spans="1:10" x14ac:dyDescent="0.25">
      <c r="A210" s="383">
        <f t="shared" si="9"/>
        <v>24</v>
      </c>
      <c r="B210" s="487" t="s">
        <v>263</v>
      </c>
      <c r="C210" s="500" t="s">
        <v>987</v>
      </c>
      <c r="D210" s="487" t="s">
        <v>990</v>
      </c>
      <c r="E210" s="487" t="s">
        <v>868</v>
      </c>
      <c r="F210" s="487" t="str">
        <f t="shared" si="10"/>
        <v xml:space="preserve">P200009DAlliant Services </v>
      </c>
      <c r="G210" s="499"/>
      <c r="H210" s="499">
        <f>VLOOKUP(F210,[2]Pivot!$R$20:$S$1359,2,FALSE)</f>
        <v>20850</v>
      </c>
      <c r="I210" s="499">
        <f t="shared" si="11"/>
        <v>20850</v>
      </c>
      <c r="J210" s="499"/>
    </row>
    <row r="211" spans="1:10" x14ac:dyDescent="0.25">
      <c r="A211" s="383">
        <f t="shared" si="9"/>
        <v>28</v>
      </c>
      <c r="B211" s="487" t="s">
        <v>263</v>
      </c>
      <c r="C211" s="500" t="s">
        <v>987</v>
      </c>
      <c r="D211" s="487" t="s">
        <v>991</v>
      </c>
      <c r="E211" s="487" t="s">
        <v>868</v>
      </c>
      <c r="F211" s="487" t="str">
        <f t="shared" si="10"/>
        <v>P200009DAlternate Power S</v>
      </c>
      <c r="G211" s="499"/>
      <c r="H211" s="499">
        <f>VLOOKUP(F211,[2]Pivot!$R$20:$S$1359,2,FALSE)</f>
        <v>265000</v>
      </c>
      <c r="I211" s="499">
        <f t="shared" si="11"/>
        <v>265000</v>
      </c>
      <c r="J211" s="499"/>
    </row>
    <row r="212" spans="1:10" hidden="1" x14ac:dyDescent="0.25">
      <c r="A212" s="383">
        <f t="shared" si="9"/>
        <v>19</v>
      </c>
      <c r="B212" s="383" t="s">
        <v>263</v>
      </c>
      <c r="C212" s="497" t="s">
        <v>987</v>
      </c>
      <c r="D212" s="383" t="s">
        <v>992</v>
      </c>
      <c r="E212" s="383" t="s">
        <v>868</v>
      </c>
      <c r="F212" s="383" t="str">
        <f t="shared" si="10"/>
        <v>P200009DAmerada Hess Corp</v>
      </c>
      <c r="G212" s="496">
        <v>-24900</v>
      </c>
      <c r="H212" s="496">
        <v>24900</v>
      </c>
      <c r="I212" s="496">
        <f t="shared" si="11"/>
        <v>0</v>
      </c>
      <c r="J212" s="496" t="s">
        <v>869</v>
      </c>
    </row>
    <row r="213" spans="1:10" hidden="1" x14ac:dyDescent="0.25">
      <c r="A213" s="383">
        <f t="shared" si="9"/>
        <v>19</v>
      </c>
      <c r="B213" s="383" t="s">
        <v>263</v>
      </c>
      <c r="C213" s="497" t="s">
        <v>987</v>
      </c>
      <c r="D213" s="383" t="s">
        <v>993</v>
      </c>
      <c r="E213" s="383" t="s">
        <v>868</v>
      </c>
      <c r="F213" s="383" t="str">
        <f t="shared" si="10"/>
        <v>P200009DAmeren Energy, In</v>
      </c>
      <c r="G213" s="496">
        <v>-3033676</v>
      </c>
      <c r="H213" s="496">
        <v>3033676</v>
      </c>
      <c r="I213" s="496">
        <f t="shared" si="11"/>
        <v>0</v>
      </c>
      <c r="J213" s="496" t="s">
        <v>869</v>
      </c>
    </row>
    <row r="214" spans="1:10" hidden="1" x14ac:dyDescent="0.25">
      <c r="A214" s="383">
        <f t="shared" si="9"/>
        <v>19</v>
      </c>
      <c r="B214" s="383" t="s">
        <v>263</v>
      </c>
      <c r="C214" s="497" t="s">
        <v>987</v>
      </c>
      <c r="D214" s="383" t="s">
        <v>994</v>
      </c>
      <c r="E214" s="383" t="s">
        <v>868</v>
      </c>
      <c r="F214" s="383" t="str">
        <f t="shared" si="10"/>
        <v>P200009DAmerican Electric</v>
      </c>
      <c r="G214" s="496">
        <v>-386772973.09000003</v>
      </c>
      <c r="H214" s="496">
        <v>386772973.08999997</v>
      </c>
      <c r="I214" s="496">
        <f t="shared" si="11"/>
        <v>0</v>
      </c>
      <c r="J214" s="496" t="s">
        <v>869</v>
      </c>
    </row>
    <row r="215" spans="1:10" hidden="1" x14ac:dyDescent="0.25">
      <c r="A215" s="383">
        <f t="shared" si="9"/>
        <v>19</v>
      </c>
      <c r="B215" s="383" t="s">
        <v>263</v>
      </c>
      <c r="C215" s="497" t="s">
        <v>987</v>
      </c>
      <c r="D215" s="383" t="s">
        <v>934</v>
      </c>
      <c r="E215" s="383" t="s">
        <v>868</v>
      </c>
      <c r="F215" s="383" t="str">
        <f t="shared" si="10"/>
        <v>P200009DAquila Energy Mar</v>
      </c>
      <c r="G215" s="496">
        <v>-263082900.28</v>
      </c>
      <c r="H215" s="496">
        <v>263082900.28</v>
      </c>
      <c r="I215" s="496">
        <f t="shared" si="11"/>
        <v>0</v>
      </c>
      <c r="J215" s="496" t="s">
        <v>869</v>
      </c>
    </row>
    <row r="216" spans="1:10" hidden="1" x14ac:dyDescent="0.25">
      <c r="A216" s="383">
        <f t="shared" si="9"/>
        <v>19</v>
      </c>
      <c r="B216" s="383" t="s">
        <v>263</v>
      </c>
      <c r="C216" s="497" t="s">
        <v>987</v>
      </c>
      <c r="D216" s="383" t="s">
        <v>995</v>
      </c>
      <c r="E216" s="383" t="s">
        <v>868</v>
      </c>
      <c r="F216" s="383" t="str">
        <f t="shared" si="10"/>
        <v xml:space="preserve">P200009DArizona Electric </v>
      </c>
      <c r="G216" s="496">
        <v>-5700</v>
      </c>
      <c r="H216" s="496">
        <v>5700</v>
      </c>
      <c r="I216" s="496">
        <f t="shared" si="11"/>
        <v>0</v>
      </c>
      <c r="J216" s="496" t="s">
        <v>869</v>
      </c>
    </row>
    <row r="217" spans="1:10" hidden="1" x14ac:dyDescent="0.25">
      <c r="A217" s="383">
        <f t="shared" si="9"/>
        <v>19</v>
      </c>
      <c r="B217" s="383" t="s">
        <v>263</v>
      </c>
      <c r="C217" s="497" t="s">
        <v>987</v>
      </c>
      <c r="D217" s="383" t="s">
        <v>895</v>
      </c>
      <c r="E217" s="383" t="s">
        <v>868</v>
      </c>
      <c r="F217" s="383" t="str">
        <f t="shared" si="10"/>
        <v>P200009DArizona Public Se</v>
      </c>
      <c r="G217" s="496">
        <v>-48.75</v>
      </c>
      <c r="H217" s="496">
        <v>48.75</v>
      </c>
      <c r="I217" s="496">
        <f t="shared" si="11"/>
        <v>0</v>
      </c>
      <c r="J217" s="496" t="s">
        <v>869</v>
      </c>
    </row>
    <row r="218" spans="1:10" hidden="1" x14ac:dyDescent="0.25">
      <c r="A218" s="383">
        <f t="shared" si="9"/>
        <v>19</v>
      </c>
      <c r="B218" s="383" t="s">
        <v>263</v>
      </c>
      <c r="C218" s="497" t="s">
        <v>987</v>
      </c>
      <c r="D218" s="383" t="s">
        <v>996</v>
      </c>
      <c r="E218" s="383" t="s">
        <v>868</v>
      </c>
      <c r="F218" s="383" t="str">
        <f t="shared" si="10"/>
        <v>P200009DAssociated Electr</v>
      </c>
      <c r="G218" s="496">
        <v>-59395</v>
      </c>
      <c r="H218" s="496">
        <v>59395</v>
      </c>
      <c r="I218" s="496">
        <f t="shared" si="11"/>
        <v>0</v>
      </c>
      <c r="J218" s="496" t="s">
        <v>869</v>
      </c>
    </row>
    <row r="219" spans="1:10" hidden="1" x14ac:dyDescent="0.25">
      <c r="A219" s="383">
        <f t="shared" si="9"/>
        <v>19</v>
      </c>
      <c r="B219" s="383" t="s">
        <v>263</v>
      </c>
      <c r="C219" s="497" t="s">
        <v>987</v>
      </c>
      <c r="D219" s="383" t="s">
        <v>997</v>
      </c>
      <c r="E219" s="383" t="s">
        <v>868</v>
      </c>
      <c r="F219" s="383" t="str">
        <f t="shared" si="10"/>
        <v>P200009DAtlantic City Ele</v>
      </c>
      <c r="G219" s="496">
        <v>-660800</v>
      </c>
      <c r="H219" s="496">
        <v>660800</v>
      </c>
      <c r="I219" s="496">
        <f t="shared" si="11"/>
        <v>0</v>
      </c>
      <c r="J219" s="496" t="s">
        <v>869</v>
      </c>
    </row>
    <row r="220" spans="1:10" hidden="1" x14ac:dyDescent="0.25">
      <c r="A220" s="383">
        <f t="shared" si="9"/>
        <v>18</v>
      </c>
      <c r="B220" s="383" t="s">
        <v>263</v>
      </c>
      <c r="C220" s="497" t="s">
        <v>987</v>
      </c>
      <c r="D220" s="383" t="s">
        <v>921</v>
      </c>
      <c r="E220" s="383" t="s">
        <v>868</v>
      </c>
      <c r="F220" s="383" t="str">
        <f t="shared" si="10"/>
        <v>P200009DAtlantic Richfiel</v>
      </c>
      <c r="G220" s="496">
        <v>-2055160.53</v>
      </c>
      <c r="H220" s="496">
        <v>2055160.53</v>
      </c>
      <c r="I220" s="496">
        <f t="shared" si="11"/>
        <v>0</v>
      </c>
      <c r="J220" s="496" t="s">
        <v>869</v>
      </c>
    </row>
    <row r="221" spans="1:10" hidden="1" x14ac:dyDescent="0.25">
      <c r="A221" s="383">
        <f t="shared" si="9"/>
        <v>18</v>
      </c>
      <c r="B221" s="383" t="s">
        <v>263</v>
      </c>
      <c r="C221" s="497" t="s">
        <v>987</v>
      </c>
      <c r="D221" s="383" t="s">
        <v>998</v>
      </c>
      <c r="E221" s="383" t="s">
        <v>868</v>
      </c>
      <c r="F221" s="383" t="str">
        <f t="shared" si="10"/>
        <v>P200009DAvista Corporatio</v>
      </c>
      <c r="G221" s="496">
        <v>13125</v>
      </c>
      <c r="H221" s="496">
        <v>-13125</v>
      </c>
      <c r="I221" s="496">
        <f t="shared" si="11"/>
        <v>0</v>
      </c>
      <c r="J221" s="496" t="s">
        <v>869</v>
      </c>
    </row>
    <row r="222" spans="1:10" x14ac:dyDescent="0.25">
      <c r="A222" s="383">
        <f t="shared" si="9"/>
        <v>19</v>
      </c>
      <c r="B222" s="383" t="s">
        <v>263</v>
      </c>
      <c r="C222" s="495" t="s">
        <v>987</v>
      </c>
      <c r="D222" s="383" t="s">
        <v>999</v>
      </c>
      <c r="E222" s="383" t="s">
        <v>868</v>
      </c>
      <c r="F222" s="383" t="str">
        <f t="shared" si="10"/>
        <v>P200009DAvista Energy, In</v>
      </c>
      <c r="G222" s="496">
        <v>119172800</v>
      </c>
      <c r="H222" s="496">
        <v>-2836</v>
      </c>
      <c r="I222" s="496">
        <f t="shared" si="11"/>
        <v>119169964</v>
      </c>
      <c r="J222" s="496"/>
    </row>
    <row r="223" spans="1:10" x14ac:dyDescent="0.25">
      <c r="A223" s="383">
        <f t="shared" si="9"/>
        <v>31</v>
      </c>
      <c r="B223" s="487" t="s">
        <v>263</v>
      </c>
      <c r="C223" s="500" t="s">
        <v>987</v>
      </c>
      <c r="D223" s="487" t="s">
        <v>957</v>
      </c>
      <c r="E223" s="487" t="s">
        <v>868</v>
      </c>
      <c r="F223" s="487" t="str">
        <f t="shared" si="10"/>
        <v xml:space="preserve">P200009DBonneville Power </v>
      </c>
      <c r="G223" s="499"/>
      <c r="H223" s="499">
        <f>VLOOKUP(F223,[2]Pivot!$R$20:$S$1359,2,FALSE)</f>
        <v>20142786.989999998</v>
      </c>
      <c r="I223" s="499">
        <f t="shared" si="11"/>
        <v>20142786.989999998</v>
      </c>
      <c r="J223" s="499"/>
    </row>
    <row r="224" spans="1:10" x14ac:dyDescent="0.25">
      <c r="A224" s="383">
        <f t="shared" si="9"/>
        <v>17</v>
      </c>
      <c r="B224" s="487" t="s">
        <v>263</v>
      </c>
      <c r="C224" s="500" t="s">
        <v>987</v>
      </c>
      <c r="D224" s="487" t="s">
        <v>1000</v>
      </c>
      <c r="E224" s="487" t="s">
        <v>868</v>
      </c>
      <c r="F224" s="487" t="str">
        <f t="shared" si="10"/>
        <v>P200009DBP Energy Company</v>
      </c>
      <c r="G224" s="499"/>
      <c r="H224" s="499">
        <f>VLOOKUP(F224,[2]Pivot!$R$20:$S$1359,2,FALSE)</f>
        <v>40105600</v>
      </c>
      <c r="I224" s="499">
        <f t="shared" si="11"/>
        <v>40105600</v>
      </c>
      <c r="J224" s="499"/>
    </row>
    <row r="225" spans="1:11" hidden="1" x14ac:dyDescent="0.25">
      <c r="A225" s="383">
        <f t="shared" si="9"/>
        <v>19</v>
      </c>
      <c r="B225" s="383" t="s">
        <v>263</v>
      </c>
      <c r="C225" s="497" t="s">
        <v>987</v>
      </c>
      <c r="D225" s="383" t="s">
        <v>900</v>
      </c>
      <c r="E225" s="383" t="s">
        <v>868</v>
      </c>
      <c r="F225" s="383" t="str">
        <f t="shared" si="10"/>
        <v xml:space="preserve">P200009DBritish Columbia </v>
      </c>
      <c r="G225" s="496">
        <v>-29003226.079999998</v>
      </c>
      <c r="H225" s="496">
        <v>29003226.079999998</v>
      </c>
      <c r="I225" s="496">
        <f t="shared" si="11"/>
        <v>0</v>
      </c>
      <c r="J225" s="496" t="s">
        <v>869</v>
      </c>
    </row>
    <row r="226" spans="1:11" x14ac:dyDescent="0.25">
      <c r="A226" s="383">
        <f t="shared" si="9"/>
        <v>27</v>
      </c>
      <c r="B226" s="487" t="s">
        <v>263</v>
      </c>
      <c r="C226" s="500" t="s">
        <v>987</v>
      </c>
      <c r="D226" s="487" t="s">
        <v>756</v>
      </c>
      <c r="E226" s="487" t="s">
        <v>868</v>
      </c>
      <c r="F226" s="487" t="str">
        <f t="shared" si="10"/>
        <v>P200009DBrownsville Power</v>
      </c>
      <c r="G226" s="499"/>
      <c r="H226" s="499">
        <f>VLOOKUP(F226,[2]Pivot!$R$20:$S$1359,2,FALSE)</f>
        <v>933961</v>
      </c>
      <c r="I226" s="499">
        <f t="shared" si="11"/>
        <v>933961</v>
      </c>
      <c r="J226" s="499"/>
      <c r="K226" s="499" t="s">
        <v>914</v>
      </c>
    </row>
    <row r="227" spans="1:11" x14ac:dyDescent="0.25">
      <c r="A227" s="383">
        <f t="shared" si="9"/>
        <v>25</v>
      </c>
      <c r="B227" s="487" t="s">
        <v>263</v>
      </c>
      <c r="C227" s="500" t="s">
        <v>987</v>
      </c>
      <c r="D227" s="487" t="s">
        <v>758</v>
      </c>
      <c r="E227" s="487" t="s">
        <v>868</v>
      </c>
      <c r="F227" s="487" t="str">
        <f t="shared" si="10"/>
        <v>P200009DCaledonia Power I</v>
      </c>
      <c r="G227" s="499"/>
      <c r="H227" s="499">
        <f>VLOOKUP(F227,[2]Pivot!$R$20:$S$1359,2,FALSE)</f>
        <v>1312924</v>
      </c>
      <c r="I227" s="499">
        <f t="shared" si="11"/>
        <v>1312924</v>
      </c>
      <c r="J227" s="499"/>
      <c r="K227" s="499" t="s">
        <v>914</v>
      </c>
    </row>
    <row r="228" spans="1:11" hidden="1" x14ac:dyDescent="0.25">
      <c r="A228" s="383">
        <f t="shared" si="9"/>
        <v>19</v>
      </c>
      <c r="B228" s="383" t="s">
        <v>263</v>
      </c>
      <c r="C228" s="497" t="s">
        <v>987</v>
      </c>
      <c r="D228" s="383" t="s">
        <v>936</v>
      </c>
      <c r="E228" s="383" t="s">
        <v>868</v>
      </c>
      <c r="F228" s="383" t="str">
        <f t="shared" si="10"/>
        <v xml:space="preserve">P200009DCalifornia Power </v>
      </c>
      <c r="G228" s="496">
        <v>367060.59000000125</v>
      </c>
      <c r="H228" s="496">
        <v>-367060.59000000125</v>
      </c>
      <c r="I228" s="496">
        <f t="shared" si="11"/>
        <v>0</v>
      </c>
      <c r="J228" s="496" t="s">
        <v>869</v>
      </c>
    </row>
    <row r="229" spans="1:11" hidden="1" x14ac:dyDescent="0.25">
      <c r="A229" s="383">
        <f t="shared" si="9"/>
        <v>18</v>
      </c>
      <c r="B229" s="383" t="s">
        <v>263</v>
      </c>
      <c r="C229" s="497" t="s">
        <v>987</v>
      </c>
      <c r="D229" s="383" t="s">
        <v>959</v>
      </c>
      <c r="E229" s="383" t="s">
        <v>868</v>
      </c>
      <c r="F229" s="383" t="str">
        <f t="shared" si="10"/>
        <v>P200009DCalifornia Supple</v>
      </c>
      <c r="G229" s="496">
        <v>0</v>
      </c>
      <c r="H229" s="496"/>
      <c r="I229" s="496">
        <f t="shared" si="11"/>
        <v>0</v>
      </c>
      <c r="J229" s="496" t="s">
        <v>869</v>
      </c>
    </row>
    <row r="230" spans="1:11" x14ac:dyDescent="0.25">
      <c r="A230" s="383">
        <f t="shared" si="9"/>
        <v>30</v>
      </c>
      <c r="B230" s="487" t="s">
        <v>263</v>
      </c>
      <c r="C230" s="500" t="s">
        <v>987</v>
      </c>
      <c r="D230" s="487" t="s">
        <v>1001</v>
      </c>
      <c r="E230" s="487" t="s">
        <v>868</v>
      </c>
      <c r="F230" s="487" t="str">
        <f t="shared" si="10"/>
        <v>P200009DCalpine Power Ser</v>
      </c>
      <c r="G230" s="499"/>
      <c r="H230" s="499">
        <f>VLOOKUP(F230,[2]Pivot!$R$20:$S$1359,2,FALSE)</f>
        <v>4674700</v>
      </c>
      <c r="I230" s="499">
        <f t="shared" si="11"/>
        <v>4674700</v>
      </c>
      <c r="J230" s="499"/>
    </row>
    <row r="231" spans="1:11" hidden="1" x14ac:dyDescent="0.25">
      <c r="A231" s="383">
        <f t="shared" si="9"/>
        <v>19</v>
      </c>
      <c r="B231" s="383" t="s">
        <v>263</v>
      </c>
      <c r="C231" s="497" t="s">
        <v>987</v>
      </c>
      <c r="D231" s="383" t="s">
        <v>929</v>
      </c>
      <c r="E231" s="383" t="s">
        <v>868</v>
      </c>
      <c r="F231" s="383" t="str">
        <f t="shared" si="10"/>
        <v>P200009DCanFibre of River</v>
      </c>
      <c r="G231" s="496">
        <v>0</v>
      </c>
      <c r="H231" s="496">
        <v>0</v>
      </c>
      <c r="I231" s="496">
        <f t="shared" si="11"/>
        <v>0</v>
      </c>
      <c r="J231" s="496" t="s">
        <v>869</v>
      </c>
    </row>
    <row r="232" spans="1:11" x14ac:dyDescent="0.25">
      <c r="A232" s="383">
        <f t="shared" si="9"/>
        <v>20</v>
      </c>
      <c r="B232" s="487" t="s">
        <v>263</v>
      </c>
      <c r="C232" s="500" t="s">
        <v>987</v>
      </c>
      <c r="D232" s="487" t="s">
        <v>1002</v>
      </c>
      <c r="E232" s="487" t="s">
        <v>868</v>
      </c>
      <c r="F232" s="487" t="str">
        <f t="shared" si="10"/>
        <v xml:space="preserve">P200009DCargill-Alliant, </v>
      </c>
      <c r="G232" s="499"/>
      <c r="H232" s="499">
        <f>VLOOKUP(F232,[2]Pivot!$R$20:$S$1359,2,FALSE)</f>
        <v>2582200</v>
      </c>
      <c r="I232" s="499">
        <f t="shared" si="11"/>
        <v>2582200</v>
      </c>
      <c r="J232" s="499"/>
    </row>
    <row r="233" spans="1:11" hidden="1" x14ac:dyDescent="0.25">
      <c r="A233" s="383">
        <f t="shared" si="9"/>
        <v>19</v>
      </c>
      <c r="B233" s="383" t="s">
        <v>263</v>
      </c>
      <c r="C233" s="497" t="s">
        <v>987</v>
      </c>
      <c r="D233" s="383" t="s">
        <v>1003</v>
      </c>
      <c r="E233" s="383" t="s">
        <v>868</v>
      </c>
      <c r="F233" s="383" t="str">
        <f t="shared" si="10"/>
        <v xml:space="preserve">P200009DCarolina Power &amp; </v>
      </c>
      <c r="G233" s="496">
        <v>-1970400</v>
      </c>
      <c r="H233" s="496">
        <v>1970400</v>
      </c>
      <c r="I233" s="496">
        <f t="shared" si="11"/>
        <v>0</v>
      </c>
      <c r="J233" s="496" t="s">
        <v>869</v>
      </c>
    </row>
    <row r="234" spans="1:11" x14ac:dyDescent="0.25">
      <c r="A234" s="383">
        <f t="shared" si="9"/>
        <v>22</v>
      </c>
      <c r="B234" s="487" t="s">
        <v>263</v>
      </c>
      <c r="C234" s="500" t="s">
        <v>987</v>
      </c>
      <c r="D234" s="487" t="s">
        <v>1004</v>
      </c>
      <c r="E234" s="487" t="s">
        <v>868</v>
      </c>
      <c r="F234" s="487" t="str">
        <f t="shared" si="10"/>
        <v>P200009DCinergy Services,</v>
      </c>
      <c r="G234" s="499"/>
      <c r="H234" s="499">
        <f>VLOOKUP(F234,[2]Pivot!$R$20:$S$1359,2,FALSE)</f>
        <v>41885046.509999998</v>
      </c>
      <c r="I234" s="499">
        <f t="shared" si="11"/>
        <v>41885046.509999998</v>
      </c>
      <c r="J234" s="499"/>
    </row>
    <row r="235" spans="1:11" x14ac:dyDescent="0.25">
      <c r="A235" s="383">
        <f t="shared" si="9"/>
        <v>15</v>
      </c>
      <c r="B235" s="383" t="s">
        <v>263</v>
      </c>
      <c r="C235" s="495" t="s">
        <v>987</v>
      </c>
      <c r="D235" s="383" t="s">
        <v>911</v>
      </c>
      <c r="E235" s="383" t="s">
        <v>868</v>
      </c>
      <c r="F235" s="383" t="str">
        <f t="shared" si="10"/>
        <v>P200009DCity of Redding</v>
      </c>
      <c r="G235" s="496">
        <v>92000</v>
      </c>
      <c r="H235" s="496">
        <v>2345140</v>
      </c>
      <c r="I235" s="496">
        <f t="shared" si="11"/>
        <v>2437140</v>
      </c>
      <c r="J235" s="496"/>
    </row>
    <row r="236" spans="1:11" hidden="1" x14ac:dyDescent="0.25">
      <c r="A236" s="383">
        <f t="shared" si="9"/>
        <v>19</v>
      </c>
      <c r="B236" s="383" t="s">
        <v>263</v>
      </c>
      <c r="C236" s="497" t="s">
        <v>987</v>
      </c>
      <c r="D236" s="383" t="s">
        <v>948</v>
      </c>
      <c r="E236" s="383" t="s">
        <v>868</v>
      </c>
      <c r="F236" s="383" t="str">
        <f t="shared" si="10"/>
        <v>P200009DCity of Tacoma, D</v>
      </c>
      <c r="G236" s="496">
        <v>64026.959999999846</v>
      </c>
      <c r="H236" s="496">
        <v>-64026.96</v>
      </c>
      <c r="I236" s="496">
        <f t="shared" si="11"/>
        <v>0</v>
      </c>
      <c r="J236" s="496" t="s">
        <v>869</v>
      </c>
    </row>
    <row r="237" spans="1:11" x14ac:dyDescent="0.25">
      <c r="A237" s="383">
        <f t="shared" si="9"/>
        <v>17</v>
      </c>
      <c r="B237" s="487" t="s">
        <v>263</v>
      </c>
      <c r="C237" s="500" t="s">
        <v>987</v>
      </c>
      <c r="D237" s="487" t="s">
        <v>1005</v>
      </c>
      <c r="E237" s="487" t="s">
        <v>868</v>
      </c>
      <c r="F237" s="487" t="str">
        <f t="shared" si="10"/>
        <v>P200009DCLECO Corporation</v>
      </c>
      <c r="G237" s="499"/>
      <c r="H237" s="499">
        <f>VLOOKUP(F237,[2]Pivot!$R$20:$S$1359,2,FALSE)</f>
        <v>892000</v>
      </c>
      <c r="I237" s="499">
        <f t="shared" si="11"/>
        <v>892000</v>
      </c>
      <c r="J237" s="499"/>
    </row>
    <row r="238" spans="1:11" x14ac:dyDescent="0.25">
      <c r="A238" s="383">
        <f t="shared" si="9"/>
        <v>32</v>
      </c>
      <c r="B238" s="487" t="s">
        <v>263</v>
      </c>
      <c r="C238" s="500" t="s">
        <v>987</v>
      </c>
      <c r="D238" s="487" t="s">
        <v>1006</v>
      </c>
      <c r="E238" s="487" t="s">
        <v>868</v>
      </c>
      <c r="F238" s="487" t="str">
        <f t="shared" si="10"/>
        <v>P200009DCLECO Marketing a</v>
      </c>
      <c r="G238" s="499"/>
      <c r="H238" s="499">
        <f>VLOOKUP(F238,[2]Pivot!$R$20:$S$1359,2,FALSE)</f>
        <v>926400</v>
      </c>
      <c r="I238" s="499">
        <f t="shared" si="11"/>
        <v>926400</v>
      </c>
      <c r="J238" s="499"/>
    </row>
    <row r="239" spans="1:11" hidden="1" x14ac:dyDescent="0.25">
      <c r="A239" s="383">
        <f t="shared" si="9"/>
        <v>19</v>
      </c>
      <c r="B239" s="383" t="s">
        <v>263</v>
      </c>
      <c r="C239" s="497" t="s">
        <v>987</v>
      </c>
      <c r="D239" s="383" t="s">
        <v>1007</v>
      </c>
      <c r="E239" s="383" t="s">
        <v>868</v>
      </c>
      <c r="F239" s="383" t="str">
        <f t="shared" si="10"/>
        <v>P200009DCMS Marketing, Se</v>
      </c>
      <c r="G239" s="496">
        <v>-8497200</v>
      </c>
      <c r="H239" s="496">
        <v>8497200</v>
      </c>
      <c r="I239" s="496">
        <f t="shared" si="11"/>
        <v>0</v>
      </c>
      <c r="J239" s="496" t="s">
        <v>869</v>
      </c>
    </row>
    <row r="240" spans="1:11" hidden="1" x14ac:dyDescent="0.25">
      <c r="A240" s="383">
        <f t="shared" si="9"/>
        <v>19</v>
      </c>
      <c r="B240" s="383" t="s">
        <v>263</v>
      </c>
      <c r="C240" s="497" t="s">
        <v>987</v>
      </c>
      <c r="D240" s="383" t="s">
        <v>1008</v>
      </c>
      <c r="E240" s="383" t="s">
        <v>868</v>
      </c>
      <c r="F240" s="383" t="str">
        <f t="shared" si="10"/>
        <v xml:space="preserve">P200009DCoastal Merchant </v>
      </c>
      <c r="G240" s="496">
        <v>-858200</v>
      </c>
      <c r="H240" s="496">
        <v>858200</v>
      </c>
      <c r="I240" s="496">
        <f t="shared" si="11"/>
        <v>0</v>
      </c>
      <c r="J240" s="496" t="s">
        <v>869</v>
      </c>
    </row>
    <row r="241" spans="1:10" hidden="1" x14ac:dyDescent="0.25">
      <c r="A241" s="383">
        <f t="shared" si="9"/>
        <v>19</v>
      </c>
      <c r="B241" s="383" t="s">
        <v>263</v>
      </c>
      <c r="C241" s="497" t="s">
        <v>987</v>
      </c>
      <c r="D241" s="383" t="s">
        <v>1009</v>
      </c>
      <c r="E241" s="383" t="s">
        <v>868</v>
      </c>
      <c r="F241" s="383" t="str">
        <f t="shared" si="10"/>
        <v>P200009DColorado River Co</v>
      </c>
      <c r="G241" s="496">
        <v>0</v>
      </c>
      <c r="H241" s="496">
        <v>0</v>
      </c>
      <c r="I241" s="496">
        <f t="shared" si="11"/>
        <v>0</v>
      </c>
      <c r="J241" s="496" t="s">
        <v>869</v>
      </c>
    </row>
    <row r="242" spans="1:10" x14ac:dyDescent="0.25">
      <c r="A242" s="383">
        <f t="shared" si="9"/>
        <v>28</v>
      </c>
      <c r="B242" s="487" t="s">
        <v>263</v>
      </c>
      <c r="C242" s="500" t="s">
        <v>987</v>
      </c>
      <c r="D242" s="487" t="s">
        <v>1010</v>
      </c>
      <c r="E242" s="487" t="s">
        <v>868</v>
      </c>
      <c r="F242" s="487" t="str">
        <f t="shared" si="10"/>
        <v>P200009DConectiv Energy S</v>
      </c>
      <c r="G242" s="499"/>
      <c r="H242" s="499">
        <f>VLOOKUP(F242,[2]Pivot!$R$20:$S$1359,2,FALSE)</f>
        <v>802800</v>
      </c>
      <c r="I242" s="499">
        <f t="shared" si="11"/>
        <v>802800</v>
      </c>
      <c r="J242" s="499"/>
    </row>
    <row r="243" spans="1:10" x14ac:dyDescent="0.25">
      <c r="A243" s="383">
        <f t="shared" si="9"/>
        <v>32</v>
      </c>
      <c r="B243" s="487" t="s">
        <v>263</v>
      </c>
      <c r="C243" s="500" t="s">
        <v>987</v>
      </c>
      <c r="D243" s="487" t="s">
        <v>1011</v>
      </c>
      <c r="E243" s="487" t="s">
        <v>868</v>
      </c>
      <c r="F243" s="487" t="str">
        <f t="shared" si="10"/>
        <v>P200009DConsolidated Edis</v>
      </c>
      <c r="G243" s="499"/>
      <c r="H243" s="499">
        <f>VLOOKUP(F243,[2]Pivot!$R$20:$S$1359,2,FALSE)</f>
        <v>40000</v>
      </c>
      <c r="I243" s="499">
        <f t="shared" si="11"/>
        <v>40000</v>
      </c>
      <c r="J243" s="499"/>
    </row>
    <row r="244" spans="1:10" hidden="1" x14ac:dyDescent="0.25">
      <c r="A244" s="383">
        <f t="shared" si="9"/>
        <v>19</v>
      </c>
      <c r="B244" s="383" t="s">
        <v>263</v>
      </c>
      <c r="C244" s="497" t="s">
        <v>987</v>
      </c>
      <c r="D244" s="383" t="s">
        <v>1012</v>
      </c>
      <c r="E244" s="383" t="s">
        <v>868</v>
      </c>
      <c r="F244" s="383" t="str">
        <f t="shared" si="10"/>
        <v>P200009DConstellation Pow</v>
      </c>
      <c r="G244" s="496">
        <v>-190535986.94999999</v>
      </c>
      <c r="H244" s="496">
        <v>190535986.94999999</v>
      </c>
      <c r="I244" s="496">
        <f t="shared" si="11"/>
        <v>0</v>
      </c>
      <c r="J244" s="496" t="s">
        <v>869</v>
      </c>
    </row>
    <row r="245" spans="1:10" x14ac:dyDescent="0.25">
      <c r="A245" s="383">
        <f t="shared" si="9"/>
        <v>19</v>
      </c>
      <c r="B245" s="487" t="s">
        <v>263</v>
      </c>
      <c r="C245" s="500" t="s">
        <v>987</v>
      </c>
      <c r="D245" s="487" t="s">
        <v>1013</v>
      </c>
      <c r="E245" s="487" t="s">
        <v>868</v>
      </c>
      <c r="F245" s="487" t="str">
        <f t="shared" si="10"/>
        <v>P200009DCoral Power, L.L.</v>
      </c>
      <c r="G245" s="499"/>
      <c r="H245" s="499">
        <f>VLOOKUP(F245,[2]Pivot!$R$20:$S$1359,2,FALSE)</f>
        <v>30151800</v>
      </c>
      <c r="I245" s="499">
        <f t="shared" si="11"/>
        <v>30151800</v>
      </c>
      <c r="J245" s="499"/>
    </row>
    <row r="246" spans="1:10" hidden="1" x14ac:dyDescent="0.25">
      <c r="A246" s="383">
        <f t="shared" si="9"/>
        <v>19</v>
      </c>
      <c r="B246" s="383" t="s">
        <v>263</v>
      </c>
      <c r="C246" s="497" t="s">
        <v>987</v>
      </c>
      <c r="D246" s="383" t="s">
        <v>1014</v>
      </c>
      <c r="E246" s="383" t="s">
        <v>868</v>
      </c>
      <c r="F246" s="383" t="str">
        <f t="shared" si="10"/>
        <v xml:space="preserve">P200009DDayton Power and </v>
      </c>
      <c r="G246" s="496">
        <v>-22870.5</v>
      </c>
      <c r="H246" s="496">
        <v>22870.5</v>
      </c>
      <c r="I246" s="496">
        <f t="shared" si="11"/>
        <v>0</v>
      </c>
      <c r="J246" s="496" t="s">
        <v>869</v>
      </c>
    </row>
    <row r="247" spans="1:10" hidden="1" x14ac:dyDescent="0.25">
      <c r="A247" s="383">
        <f t="shared" si="9"/>
        <v>19</v>
      </c>
      <c r="B247" s="383" t="s">
        <v>263</v>
      </c>
      <c r="C247" s="497" t="s">
        <v>987</v>
      </c>
      <c r="D247" s="383" t="s">
        <v>919</v>
      </c>
      <c r="E247" s="383" t="s">
        <v>868</v>
      </c>
      <c r="F247" s="383" t="str">
        <f t="shared" si="10"/>
        <v>P200009DDelano Energy Com</v>
      </c>
      <c r="G247" s="496">
        <v>-2766850.1</v>
      </c>
      <c r="H247" s="496">
        <v>2766850.1</v>
      </c>
      <c r="I247" s="496">
        <f t="shared" si="11"/>
        <v>0</v>
      </c>
      <c r="J247" s="496" t="s">
        <v>869</v>
      </c>
    </row>
    <row r="248" spans="1:10" hidden="1" x14ac:dyDescent="0.25">
      <c r="A248" s="383">
        <f t="shared" si="9"/>
        <v>19</v>
      </c>
      <c r="B248" s="383" t="s">
        <v>263</v>
      </c>
      <c r="C248" s="497" t="s">
        <v>987</v>
      </c>
      <c r="D248" s="383" t="s">
        <v>1015</v>
      </c>
      <c r="E248" s="383" t="s">
        <v>868</v>
      </c>
      <c r="F248" s="383" t="str">
        <f t="shared" si="10"/>
        <v xml:space="preserve">P200009DDelmarva Power &amp; </v>
      </c>
      <c r="G248" s="496">
        <v>-664000</v>
      </c>
      <c r="H248" s="496">
        <v>664000</v>
      </c>
      <c r="I248" s="496">
        <f t="shared" si="11"/>
        <v>0</v>
      </c>
      <c r="J248" s="496" t="s">
        <v>869</v>
      </c>
    </row>
    <row r="249" spans="1:10" x14ac:dyDescent="0.25">
      <c r="A249" s="383">
        <f t="shared" si="9"/>
        <v>24</v>
      </c>
      <c r="B249" s="487" t="s">
        <v>263</v>
      </c>
      <c r="C249" s="500" t="s">
        <v>987</v>
      </c>
      <c r="D249" s="487" t="s">
        <v>1016</v>
      </c>
      <c r="E249" s="487" t="s">
        <v>868</v>
      </c>
      <c r="F249" s="487" t="str">
        <f t="shared" si="10"/>
        <v>P200009DDTE Energy Tradin</v>
      </c>
      <c r="G249" s="499"/>
      <c r="H249" s="499">
        <f>VLOOKUP(F249,[2]Pivot!$R$20:$S$1359,2,FALSE)</f>
        <v>6523900</v>
      </c>
      <c r="I249" s="499">
        <f t="shared" si="11"/>
        <v>6523900</v>
      </c>
      <c r="J249" s="499"/>
    </row>
    <row r="250" spans="1:10" hidden="1" x14ac:dyDescent="0.25">
      <c r="A250" s="383">
        <f t="shared" si="9"/>
        <v>19</v>
      </c>
      <c r="B250" s="383" t="s">
        <v>263</v>
      </c>
      <c r="C250" s="497" t="s">
        <v>987</v>
      </c>
      <c r="D250" s="383" t="s">
        <v>1017</v>
      </c>
      <c r="E250" s="383" t="s">
        <v>868</v>
      </c>
      <c r="F250" s="383" t="str">
        <f t="shared" si="10"/>
        <v>P200009DDuke Energy Tradi</v>
      </c>
      <c r="G250" s="496">
        <v>-255068037.55000001</v>
      </c>
      <c r="H250" s="496">
        <v>255068037.55000001</v>
      </c>
      <c r="I250" s="496">
        <f t="shared" si="11"/>
        <v>0</v>
      </c>
      <c r="J250" s="496" t="s">
        <v>869</v>
      </c>
    </row>
    <row r="251" spans="1:10" hidden="1" x14ac:dyDescent="0.25">
      <c r="A251" s="383">
        <f t="shared" si="9"/>
        <v>19</v>
      </c>
      <c r="B251" s="383" t="s">
        <v>263</v>
      </c>
      <c r="C251" s="497" t="s">
        <v>987</v>
      </c>
      <c r="D251" s="383" t="s">
        <v>1018</v>
      </c>
      <c r="E251" s="383" t="s">
        <v>868</v>
      </c>
      <c r="F251" s="383" t="str">
        <f t="shared" si="10"/>
        <v>P200009DDuke Power, a div</v>
      </c>
      <c r="G251" s="496">
        <v>-66560</v>
      </c>
      <c r="H251" s="496">
        <v>66560</v>
      </c>
      <c r="I251" s="496">
        <f t="shared" si="11"/>
        <v>0</v>
      </c>
      <c r="J251" s="496" t="s">
        <v>869</v>
      </c>
    </row>
    <row r="252" spans="1:10" hidden="1" x14ac:dyDescent="0.25">
      <c r="A252" s="383">
        <f t="shared" si="9"/>
        <v>19</v>
      </c>
      <c r="B252" s="383" t="s">
        <v>263</v>
      </c>
      <c r="C252" s="497" t="s">
        <v>987</v>
      </c>
      <c r="D252" s="383" t="s">
        <v>961</v>
      </c>
      <c r="E252" s="383" t="s">
        <v>868</v>
      </c>
      <c r="F252" s="383" t="str">
        <f t="shared" si="10"/>
        <v>P200009DDynegy Power Mark</v>
      </c>
      <c r="G252" s="496">
        <v>-60036237.789999999</v>
      </c>
      <c r="H252" s="496">
        <v>60036237.789999999</v>
      </c>
      <c r="I252" s="496">
        <f t="shared" si="11"/>
        <v>0</v>
      </c>
      <c r="J252" s="496" t="s">
        <v>869</v>
      </c>
    </row>
    <row r="253" spans="1:10" x14ac:dyDescent="0.25">
      <c r="A253" s="383">
        <f t="shared" si="9"/>
        <v>19</v>
      </c>
      <c r="B253" s="383" t="s">
        <v>263</v>
      </c>
      <c r="C253" s="495" t="s">
        <v>987</v>
      </c>
      <c r="D253" s="383" t="s">
        <v>1019</v>
      </c>
      <c r="E253" s="383" t="s">
        <v>868</v>
      </c>
      <c r="F253" s="383" t="str">
        <f t="shared" si="10"/>
        <v>P200009DEast Kentucky Pow</v>
      </c>
      <c r="G253" s="496">
        <v>-376800</v>
      </c>
      <c r="H253" s="496">
        <v>361600</v>
      </c>
      <c r="I253" s="496">
        <f t="shared" si="11"/>
        <v>-15200</v>
      </c>
      <c r="J253" s="496"/>
    </row>
    <row r="254" spans="1:10" hidden="1" x14ac:dyDescent="0.25">
      <c r="A254" s="383">
        <f t="shared" si="9"/>
        <v>19</v>
      </c>
      <c r="B254" s="383" t="s">
        <v>263</v>
      </c>
      <c r="C254" s="497" t="s">
        <v>987</v>
      </c>
      <c r="D254" s="383" t="s">
        <v>962</v>
      </c>
      <c r="E254" s="383" t="s">
        <v>868</v>
      </c>
      <c r="F254" s="383" t="str">
        <f t="shared" si="10"/>
        <v>P200009DEdison Mission Ma</v>
      </c>
      <c r="G254" s="496">
        <v>-149993201</v>
      </c>
      <c r="H254" s="496">
        <v>149993201</v>
      </c>
      <c r="I254" s="496">
        <f t="shared" si="11"/>
        <v>0</v>
      </c>
      <c r="J254" s="496" t="s">
        <v>869</v>
      </c>
    </row>
    <row r="255" spans="1:10" hidden="1" x14ac:dyDescent="0.25">
      <c r="A255" s="383">
        <f t="shared" si="9"/>
        <v>19</v>
      </c>
      <c r="B255" s="383" t="s">
        <v>263</v>
      </c>
      <c r="C255" s="497" t="s">
        <v>987</v>
      </c>
      <c r="D255" s="383" t="s">
        <v>879</v>
      </c>
      <c r="E255" s="383" t="s">
        <v>868</v>
      </c>
      <c r="F255" s="383" t="str">
        <f t="shared" si="10"/>
        <v xml:space="preserve">P200009DEl Paso Electric </v>
      </c>
      <c r="G255" s="496">
        <v>124137.39999999944</v>
      </c>
      <c r="H255" s="496">
        <v>-124137.39999999944</v>
      </c>
      <c r="I255" s="496">
        <f t="shared" si="11"/>
        <v>0</v>
      </c>
      <c r="J255" s="496" t="s">
        <v>869</v>
      </c>
    </row>
    <row r="256" spans="1:10" hidden="1" x14ac:dyDescent="0.25">
      <c r="A256" s="383">
        <f t="shared" si="9"/>
        <v>19</v>
      </c>
      <c r="B256" s="383" t="s">
        <v>263</v>
      </c>
      <c r="C256" s="497" t="s">
        <v>987</v>
      </c>
      <c r="D256" s="383" t="s">
        <v>1020</v>
      </c>
      <c r="E256" s="383" t="s">
        <v>868</v>
      </c>
      <c r="F256" s="383" t="str">
        <f t="shared" si="10"/>
        <v xml:space="preserve">P200009DEl Paso Merchant </v>
      </c>
      <c r="G256" s="496">
        <v>-173432312</v>
      </c>
      <c r="H256" s="496">
        <v>173432312</v>
      </c>
      <c r="I256" s="496">
        <f t="shared" si="11"/>
        <v>0</v>
      </c>
      <c r="J256" s="496" t="s">
        <v>869</v>
      </c>
    </row>
    <row r="257" spans="1:10" hidden="1" x14ac:dyDescent="0.25">
      <c r="A257" s="383">
        <f t="shared" si="9"/>
        <v>27</v>
      </c>
      <c r="B257" s="487" t="s">
        <v>263</v>
      </c>
      <c r="C257" s="498" t="s">
        <v>987</v>
      </c>
      <c r="D257" s="487" t="s">
        <v>950</v>
      </c>
      <c r="E257" s="487" t="s">
        <v>868</v>
      </c>
      <c r="F257" s="487" t="str">
        <f t="shared" si="10"/>
        <v>P200009DEnron Energy Serv</v>
      </c>
      <c r="G257" s="499"/>
      <c r="H257" s="499">
        <f>VLOOKUP(F257,[2]Pivot!$R$20:$S$1359,2,FALSE)</f>
        <v>576</v>
      </c>
      <c r="I257" s="499">
        <f t="shared" si="11"/>
        <v>576</v>
      </c>
      <c r="J257" s="499" t="s">
        <v>951</v>
      </c>
    </row>
    <row r="258" spans="1:10" hidden="1" x14ac:dyDescent="0.25">
      <c r="A258" s="383">
        <f t="shared" si="9"/>
        <v>19</v>
      </c>
      <c r="B258" s="383" t="s">
        <v>263</v>
      </c>
      <c r="C258" s="497" t="s">
        <v>987</v>
      </c>
      <c r="D258" s="383" t="s">
        <v>963</v>
      </c>
      <c r="E258" s="383" t="s">
        <v>868</v>
      </c>
      <c r="F258" s="383" t="str">
        <f t="shared" si="10"/>
        <v>P200009DEntergy Power Mar</v>
      </c>
      <c r="G258" s="496">
        <v>-13003942</v>
      </c>
      <c r="H258" s="496">
        <v>13003942</v>
      </c>
      <c r="I258" s="496">
        <f t="shared" si="11"/>
        <v>0</v>
      </c>
      <c r="J258" s="496" t="s">
        <v>869</v>
      </c>
    </row>
    <row r="259" spans="1:10" hidden="1" x14ac:dyDescent="0.25">
      <c r="A259" s="383">
        <f t="shared" si="9"/>
        <v>19</v>
      </c>
      <c r="B259" s="383" t="s">
        <v>263</v>
      </c>
      <c r="C259" s="497" t="s">
        <v>987</v>
      </c>
      <c r="D259" s="383" t="s">
        <v>1021</v>
      </c>
      <c r="E259" s="383" t="s">
        <v>868</v>
      </c>
      <c r="F259" s="383" t="str">
        <f t="shared" si="10"/>
        <v>P200009DEugene Water &amp; El</v>
      </c>
      <c r="G259" s="496">
        <v>-259555</v>
      </c>
      <c r="H259" s="496">
        <v>259555</v>
      </c>
      <c r="I259" s="496">
        <f t="shared" si="11"/>
        <v>0</v>
      </c>
      <c r="J259" s="496" t="s">
        <v>869</v>
      </c>
    </row>
    <row r="260" spans="1:10" x14ac:dyDescent="0.25">
      <c r="A260" s="383">
        <f t="shared" ref="A260:A323" si="12">LEN(D260)</f>
        <v>17</v>
      </c>
      <c r="B260" s="487" t="s">
        <v>263</v>
      </c>
      <c r="C260" s="500" t="s">
        <v>987</v>
      </c>
      <c r="D260" s="487" t="s">
        <v>1022</v>
      </c>
      <c r="E260" s="487" t="s">
        <v>868</v>
      </c>
      <c r="F260" s="487" t="str">
        <f t="shared" ref="F260:F323" si="13">+B260&amp;C260&amp;E260&amp;LEFT(D260,17)</f>
        <v>P200009DFirstEnergy Corp.</v>
      </c>
      <c r="G260" s="499"/>
      <c r="H260" s="499">
        <f>VLOOKUP(F260,[2]Pivot!$R$20:$S$1359,2,FALSE)</f>
        <v>100900</v>
      </c>
      <c r="I260" s="499">
        <f t="shared" ref="I260:I323" si="14">ROUND(+G260+H260,2)</f>
        <v>100900</v>
      </c>
      <c r="J260" s="499"/>
    </row>
    <row r="261" spans="1:10" x14ac:dyDescent="0.25">
      <c r="A261" s="383">
        <f t="shared" si="12"/>
        <v>29</v>
      </c>
      <c r="B261" s="487" t="s">
        <v>263</v>
      </c>
      <c r="C261" s="500" t="s">
        <v>987</v>
      </c>
      <c r="D261" s="487" t="s">
        <v>1024</v>
      </c>
      <c r="E261" s="487" t="s">
        <v>868</v>
      </c>
      <c r="F261" s="487" t="str">
        <f t="shared" si="13"/>
        <v>P200009DFlorida Power &amp; L</v>
      </c>
      <c r="G261" s="499"/>
      <c r="H261" s="499">
        <f>VLOOKUP(F261,[2]Pivot!$R$20:$S$1359,2,FALSE)</f>
        <v>1845726</v>
      </c>
      <c r="I261" s="499">
        <f t="shared" si="14"/>
        <v>1845726</v>
      </c>
      <c r="J261" s="499"/>
    </row>
    <row r="262" spans="1:10" x14ac:dyDescent="0.25">
      <c r="A262" s="383">
        <f t="shared" si="12"/>
        <v>25</v>
      </c>
      <c r="B262" s="487" t="s">
        <v>263</v>
      </c>
      <c r="C262" s="500" t="s">
        <v>987</v>
      </c>
      <c r="D262" s="487" t="s">
        <v>1025</v>
      </c>
      <c r="E262" s="487" t="s">
        <v>868</v>
      </c>
      <c r="F262" s="487" t="str">
        <f t="shared" si="13"/>
        <v>P200009DFlorida Power Cor</v>
      </c>
      <c r="G262" s="499"/>
      <c r="H262" s="499">
        <f>VLOOKUP(F262,[2]Pivot!$R$20:$S$1359,2,FALSE)</f>
        <v>704000</v>
      </c>
      <c r="I262" s="499">
        <f t="shared" si="14"/>
        <v>704000</v>
      </c>
      <c r="J262" s="499"/>
    </row>
    <row r="263" spans="1:10" x14ac:dyDescent="0.25">
      <c r="A263" s="383">
        <f t="shared" si="12"/>
        <v>32</v>
      </c>
      <c r="B263" s="487" t="s">
        <v>263</v>
      </c>
      <c r="C263" s="500" t="s">
        <v>987</v>
      </c>
      <c r="D263" s="487" t="s">
        <v>1026</v>
      </c>
      <c r="E263" s="487" t="s">
        <v>868</v>
      </c>
      <c r="F263" s="487" t="str">
        <f t="shared" si="13"/>
        <v xml:space="preserve">P200009DFPL Energy Power </v>
      </c>
      <c r="G263" s="499"/>
      <c r="H263" s="499">
        <f>VLOOKUP(F263,[2]Pivot!$R$20:$S$1359,2,FALSE)</f>
        <v>273800</v>
      </c>
      <c r="I263" s="499">
        <f t="shared" si="14"/>
        <v>273800</v>
      </c>
      <c r="J263" s="499"/>
    </row>
    <row r="264" spans="1:10" x14ac:dyDescent="0.25">
      <c r="A264" s="383">
        <f t="shared" si="12"/>
        <v>16</v>
      </c>
      <c r="B264" s="487" t="s">
        <v>263</v>
      </c>
      <c r="C264" s="500" t="s">
        <v>987</v>
      </c>
      <c r="D264" s="487" t="s">
        <v>1027</v>
      </c>
      <c r="E264" s="487" t="s">
        <v>868</v>
      </c>
      <c r="F264" s="487" t="str">
        <f t="shared" si="13"/>
        <v>P200009DGarland, City Of</v>
      </c>
      <c r="G264" s="499"/>
      <c r="H264" s="499">
        <f>VLOOKUP(F264,[2]Pivot!$R$20:$S$1359,2,FALSE)</f>
        <v>30250</v>
      </c>
      <c r="I264" s="499">
        <f t="shared" si="14"/>
        <v>30250</v>
      </c>
      <c r="J264" s="499"/>
    </row>
    <row r="265" spans="1:10" x14ac:dyDescent="0.25">
      <c r="A265" s="383">
        <f t="shared" si="12"/>
        <v>14</v>
      </c>
      <c r="B265" s="487" t="s">
        <v>263</v>
      </c>
      <c r="C265" s="500" t="s">
        <v>987</v>
      </c>
      <c r="D265" s="487" t="s">
        <v>1028</v>
      </c>
      <c r="E265" s="487" t="s">
        <v>868</v>
      </c>
      <c r="F265" s="487" t="str">
        <f t="shared" si="13"/>
        <v>P200009DGEN SYS Energy</v>
      </c>
      <c r="G265" s="499"/>
      <c r="H265" s="499">
        <f>VLOOKUP(F265,[2]Pivot!$R$20:$S$1359,2,FALSE)</f>
        <v>86660</v>
      </c>
      <c r="I265" s="499">
        <f t="shared" si="14"/>
        <v>86660</v>
      </c>
      <c r="J265" s="499"/>
    </row>
    <row r="266" spans="1:10" x14ac:dyDescent="0.25">
      <c r="A266" s="383">
        <f t="shared" si="12"/>
        <v>27</v>
      </c>
      <c r="B266" s="487" t="s">
        <v>263</v>
      </c>
      <c r="C266" s="500" t="s">
        <v>987</v>
      </c>
      <c r="D266" s="487" t="s">
        <v>1029</v>
      </c>
      <c r="E266" s="487" t="s">
        <v>868</v>
      </c>
      <c r="F266" s="487" t="str">
        <f t="shared" si="13"/>
        <v>P200009DGreat Bay Power C</v>
      </c>
      <c r="G266" s="499"/>
      <c r="H266" s="499">
        <f>VLOOKUP(F266,[2]Pivot!$R$20:$S$1359,2,FALSE)</f>
        <v>2012600</v>
      </c>
      <c r="I266" s="499">
        <f t="shared" si="14"/>
        <v>2012600</v>
      </c>
      <c r="J266" s="499"/>
    </row>
    <row r="267" spans="1:10" hidden="1" x14ac:dyDescent="0.25">
      <c r="A267" s="383">
        <f t="shared" si="12"/>
        <v>19</v>
      </c>
      <c r="B267" s="383" t="s">
        <v>263</v>
      </c>
      <c r="C267" s="497" t="s">
        <v>987</v>
      </c>
      <c r="D267" s="383" t="s">
        <v>1030</v>
      </c>
      <c r="E267" s="383" t="s">
        <v>868</v>
      </c>
      <c r="F267" s="383" t="str">
        <f t="shared" si="13"/>
        <v>P200009DGriffin Energy Ma</v>
      </c>
      <c r="G267" s="496">
        <v>-380000</v>
      </c>
      <c r="H267" s="496">
        <v>380000</v>
      </c>
      <c r="I267" s="496">
        <f t="shared" si="14"/>
        <v>0</v>
      </c>
      <c r="J267" s="496" t="s">
        <v>869</v>
      </c>
    </row>
    <row r="268" spans="1:10" hidden="1" x14ac:dyDescent="0.25">
      <c r="A268" s="383">
        <f t="shared" si="12"/>
        <v>19</v>
      </c>
      <c r="B268" s="383" t="s">
        <v>263</v>
      </c>
      <c r="C268" s="497" t="s">
        <v>987</v>
      </c>
      <c r="D268" s="383" t="s">
        <v>646</v>
      </c>
      <c r="E268" s="383" t="s">
        <v>868</v>
      </c>
      <c r="F268" s="383" t="str">
        <f t="shared" si="13"/>
        <v>P200009DHarbor Cogenerati</v>
      </c>
      <c r="G268" s="496">
        <v>-2843548.86</v>
      </c>
      <c r="H268" s="496">
        <v>2843548.86</v>
      </c>
      <c r="I268" s="496">
        <f t="shared" si="14"/>
        <v>0</v>
      </c>
      <c r="J268" s="496" t="s">
        <v>869</v>
      </c>
    </row>
    <row r="269" spans="1:10" hidden="1" x14ac:dyDescent="0.25">
      <c r="A269" s="383">
        <f t="shared" si="12"/>
        <v>18</v>
      </c>
      <c r="B269" s="383" t="s">
        <v>263</v>
      </c>
      <c r="C269" s="497" t="s">
        <v>987</v>
      </c>
      <c r="D269" s="383" t="s">
        <v>1031</v>
      </c>
      <c r="E269" s="383" t="s">
        <v>868</v>
      </c>
      <c r="F269" s="383" t="str">
        <f t="shared" si="13"/>
        <v>P200009DHQ Energy Service</v>
      </c>
      <c r="G269" s="496">
        <v>-17847130</v>
      </c>
      <c r="H269" s="496">
        <v>17847130</v>
      </c>
      <c r="I269" s="496">
        <f t="shared" si="14"/>
        <v>0</v>
      </c>
      <c r="J269" s="496" t="s">
        <v>869</v>
      </c>
    </row>
    <row r="270" spans="1:10" hidden="1" x14ac:dyDescent="0.25">
      <c r="A270" s="383">
        <f t="shared" si="12"/>
        <v>19</v>
      </c>
      <c r="B270" s="383" t="s">
        <v>263</v>
      </c>
      <c r="C270" s="497" t="s">
        <v>987</v>
      </c>
      <c r="D270" s="383" t="s">
        <v>1032</v>
      </c>
      <c r="E270" s="383" t="s">
        <v>868</v>
      </c>
      <c r="F270" s="383" t="str">
        <f t="shared" si="13"/>
        <v>P200009DIdaho Power Compa</v>
      </c>
      <c r="G270" s="496">
        <v>124800</v>
      </c>
      <c r="H270" s="496">
        <v>-124800</v>
      </c>
      <c r="I270" s="496">
        <f t="shared" si="14"/>
        <v>0</v>
      </c>
      <c r="J270" s="496" t="s">
        <v>869</v>
      </c>
    </row>
    <row r="271" spans="1:10" hidden="1" x14ac:dyDescent="0.25">
      <c r="A271" s="383">
        <f t="shared" si="12"/>
        <v>19</v>
      </c>
      <c r="B271" s="383" t="s">
        <v>263</v>
      </c>
      <c r="C271" s="497" t="s">
        <v>987</v>
      </c>
      <c r="D271" s="383" t="s">
        <v>1033</v>
      </c>
      <c r="E271" s="383" t="s">
        <v>868</v>
      </c>
      <c r="F271" s="383" t="str">
        <f t="shared" si="13"/>
        <v>P200009DIndiana Municipal</v>
      </c>
      <c r="G271" s="496">
        <v>-45200</v>
      </c>
      <c r="H271" s="496">
        <v>45200</v>
      </c>
      <c r="I271" s="496">
        <f t="shared" si="14"/>
        <v>0</v>
      </c>
      <c r="J271" s="496" t="s">
        <v>869</v>
      </c>
    </row>
    <row r="272" spans="1:10" hidden="1" x14ac:dyDescent="0.25">
      <c r="A272" s="383">
        <f t="shared" si="12"/>
        <v>18</v>
      </c>
      <c r="B272" s="383" t="s">
        <v>263</v>
      </c>
      <c r="C272" s="497" t="s">
        <v>987</v>
      </c>
      <c r="D272" s="383" t="s">
        <v>1034</v>
      </c>
      <c r="E272" s="383" t="s">
        <v>868</v>
      </c>
      <c r="F272" s="383" t="str">
        <f t="shared" si="13"/>
        <v>P200009DIndianapolis Powe</v>
      </c>
      <c r="G272" s="496">
        <v>-135516</v>
      </c>
      <c r="H272" s="496">
        <v>135516</v>
      </c>
      <c r="I272" s="496">
        <f t="shared" si="14"/>
        <v>0</v>
      </c>
      <c r="J272" s="496" t="s">
        <v>869</v>
      </c>
    </row>
    <row r="273" spans="1:10" hidden="1" x14ac:dyDescent="0.25">
      <c r="A273" s="383">
        <f t="shared" si="12"/>
        <v>18</v>
      </c>
      <c r="B273" s="383" t="s">
        <v>263</v>
      </c>
      <c r="C273" s="497" t="s">
        <v>987</v>
      </c>
      <c r="D273" s="383" t="s">
        <v>930</v>
      </c>
      <c r="E273" s="383" t="s">
        <v>868</v>
      </c>
      <c r="F273" s="383" t="str">
        <f t="shared" si="13"/>
        <v>P200009DISO New England I</v>
      </c>
      <c r="G273" s="496">
        <v>0</v>
      </c>
      <c r="H273" s="496">
        <v>0</v>
      </c>
      <c r="I273" s="496">
        <f t="shared" si="14"/>
        <v>0</v>
      </c>
      <c r="J273" s="496" t="s">
        <v>869</v>
      </c>
    </row>
    <row r="274" spans="1:10" hidden="1" x14ac:dyDescent="0.25">
      <c r="A274" s="383">
        <f t="shared" si="12"/>
        <v>19</v>
      </c>
      <c r="B274" s="383" t="s">
        <v>263</v>
      </c>
      <c r="C274" s="497" t="s">
        <v>987</v>
      </c>
      <c r="D274" s="383" t="s">
        <v>1035</v>
      </c>
      <c r="E274" s="383" t="s">
        <v>868</v>
      </c>
      <c r="F274" s="383" t="str">
        <f t="shared" si="13"/>
        <v>P200009DJacksonville Elec</v>
      </c>
      <c r="G274" s="496">
        <v>-723529.5</v>
      </c>
      <c r="H274" s="496">
        <v>723529.5</v>
      </c>
      <c r="I274" s="496">
        <f t="shared" si="14"/>
        <v>0</v>
      </c>
      <c r="J274" s="496" t="s">
        <v>869</v>
      </c>
    </row>
    <row r="275" spans="1:10" hidden="1" x14ac:dyDescent="0.25">
      <c r="A275" s="383">
        <f t="shared" si="12"/>
        <v>19</v>
      </c>
      <c r="B275" s="383" t="s">
        <v>263</v>
      </c>
      <c r="C275" s="497" t="s">
        <v>987</v>
      </c>
      <c r="D275" s="383" t="s">
        <v>1036</v>
      </c>
      <c r="E275" s="383" t="s">
        <v>868</v>
      </c>
      <c r="F275" s="383" t="str">
        <f t="shared" si="13"/>
        <v>P200009DKansas City Power</v>
      </c>
      <c r="G275" s="496">
        <v>-3200</v>
      </c>
      <c r="H275" s="496">
        <v>3200</v>
      </c>
      <c r="I275" s="496">
        <f t="shared" si="14"/>
        <v>0</v>
      </c>
      <c r="J275" s="496" t="s">
        <v>869</v>
      </c>
    </row>
    <row r="276" spans="1:10" hidden="1" x14ac:dyDescent="0.25">
      <c r="A276" s="383">
        <f t="shared" si="12"/>
        <v>19</v>
      </c>
      <c r="B276" s="383" t="s">
        <v>263</v>
      </c>
      <c r="C276" s="497" t="s">
        <v>987</v>
      </c>
      <c r="D276" s="383" t="s">
        <v>1037</v>
      </c>
      <c r="E276" s="383" t="s">
        <v>868</v>
      </c>
      <c r="F276" s="383" t="str">
        <f t="shared" si="13"/>
        <v>P200009DKoch Energy Tradi</v>
      </c>
      <c r="G276" s="496">
        <v>-61660900</v>
      </c>
      <c r="H276" s="496">
        <v>61660900</v>
      </c>
      <c r="I276" s="496">
        <f t="shared" si="14"/>
        <v>0</v>
      </c>
      <c r="J276" s="496" t="s">
        <v>869</v>
      </c>
    </row>
    <row r="277" spans="1:10" hidden="1" x14ac:dyDescent="0.25">
      <c r="A277" s="383">
        <f t="shared" si="12"/>
        <v>19</v>
      </c>
      <c r="B277" s="383" t="s">
        <v>263</v>
      </c>
      <c r="C277" s="497" t="s">
        <v>987</v>
      </c>
      <c r="D277" s="383" t="s">
        <v>938</v>
      </c>
      <c r="E277" s="383" t="s">
        <v>868</v>
      </c>
      <c r="F277" s="383" t="str">
        <f t="shared" si="13"/>
        <v>P200009DLas Vegas Cogener</v>
      </c>
      <c r="G277" s="496">
        <v>-914067.67</v>
      </c>
      <c r="H277" s="496">
        <v>914067.67</v>
      </c>
      <c r="I277" s="496">
        <f t="shared" si="14"/>
        <v>0</v>
      </c>
      <c r="J277" s="496" t="s">
        <v>869</v>
      </c>
    </row>
    <row r="278" spans="1:10" hidden="1" x14ac:dyDescent="0.25">
      <c r="A278" s="383">
        <f t="shared" si="12"/>
        <v>19</v>
      </c>
      <c r="B278" s="383" t="s">
        <v>263</v>
      </c>
      <c r="C278" s="497" t="s">
        <v>987</v>
      </c>
      <c r="D278" s="383" t="s">
        <v>1038</v>
      </c>
      <c r="E278" s="383" t="s">
        <v>868</v>
      </c>
      <c r="F278" s="383" t="str">
        <f t="shared" si="13"/>
        <v>P200009DLG&amp;E Energy Marke</v>
      </c>
      <c r="G278" s="496">
        <v>-1736000</v>
      </c>
      <c r="H278" s="496">
        <v>1736000</v>
      </c>
      <c r="I278" s="496">
        <f t="shared" si="14"/>
        <v>0</v>
      </c>
      <c r="J278" s="496" t="s">
        <v>869</v>
      </c>
    </row>
    <row r="279" spans="1:10" hidden="1" x14ac:dyDescent="0.25">
      <c r="A279" s="383">
        <f t="shared" si="12"/>
        <v>19</v>
      </c>
      <c r="B279" s="383" t="s">
        <v>263</v>
      </c>
      <c r="C279" s="497" t="s">
        <v>987</v>
      </c>
      <c r="D279" s="383" t="s">
        <v>923</v>
      </c>
      <c r="E279" s="383" t="s">
        <v>868</v>
      </c>
      <c r="F279" s="383" t="str">
        <f t="shared" si="13"/>
        <v>P200009DLos Angeles Dept.</v>
      </c>
      <c r="G279" s="496">
        <v>-2013284</v>
      </c>
      <c r="H279" s="496">
        <v>2013284</v>
      </c>
      <c r="I279" s="496">
        <f t="shared" si="14"/>
        <v>0</v>
      </c>
      <c r="J279" s="496" t="s">
        <v>869</v>
      </c>
    </row>
    <row r="280" spans="1:10" x14ac:dyDescent="0.25">
      <c r="A280" s="383">
        <f t="shared" si="12"/>
        <v>27</v>
      </c>
      <c r="B280" s="487" t="s">
        <v>263</v>
      </c>
      <c r="C280" s="500" t="s">
        <v>987</v>
      </c>
      <c r="D280" s="487" t="s">
        <v>1039</v>
      </c>
      <c r="E280" s="487" t="s">
        <v>868</v>
      </c>
      <c r="F280" s="487" t="str">
        <f t="shared" si="13"/>
        <v>P200009DLouisiana Generat</v>
      </c>
      <c r="G280" s="499"/>
      <c r="H280" s="499">
        <f>VLOOKUP(F280,[2]Pivot!$R$20:$S$1359,2,FALSE)</f>
        <v>3250</v>
      </c>
      <c r="I280" s="499">
        <f t="shared" si="14"/>
        <v>3250</v>
      </c>
      <c r="J280" s="499"/>
    </row>
    <row r="281" spans="1:10" hidden="1" x14ac:dyDescent="0.25">
      <c r="A281" s="383">
        <f t="shared" si="12"/>
        <v>19</v>
      </c>
      <c r="B281" s="383" t="s">
        <v>263</v>
      </c>
      <c r="C281" s="497" t="s">
        <v>987</v>
      </c>
      <c r="D281" s="383" t="s">
        <v>1040</v>
      </c>
      <c r="E281" s="383" t="s">
        <v>868</v>
      </c>
      <c r="F281" s="383" t="str">
        <f t="shared" si="13"/>
        <v>P200009DLower Colorado Ri</v>
      </c>
      <c r="G281" s="496">
        <v>0</v>
      </c>
      <c r="H281" s="496">
        <v>0</v>
      </c>
      <c r="I281" s="496">
        <f t="shared" si="14"/>
        <v>0</v>
      </c>
      <c r="J281" s="496" t="s">
        <v>869</v>
      </c>
    </row>
    <row r="282" spans="1:10" hidden="1" x14ac:dyDescent="0.25">
      <c r="A282" s="383">
        <f t="shared" si="12"/>
        <v>19</v>
      </c>
      <c r="B282" s="383" t="s">
        <v>263</v>
      </c>
      <c r="C282" s="497" t="s">
        <v>987</v>
      </c>
      <c r="D282" s="383" t="s">
        <v>1041</v>
      </c>
      <c r="E282" s="383" t="s">
        <v>868</v>
      </c>
      <c r="F282" s="383" t="str">
        <f t="shared" si="13"/>
        <v>P200009DMerchant Energy G</v>
      </c>
      <c r="G282" s="496">
        <v>-22628150</v>
      </c>
      <c r="H282" s="496">
        <v>22628150</v>
      </c>
      <c r="I282" s="496">
        <f t="shared" si="14"/>
        <v>0</v>
      </c>
      <c r="J282" s="496" t="s">
        <v>869</v>
      </c>
    </row>
    <row r="283" spans="1:10" hidden="1" x14ac:dyDescent="0.25">
      <c r="A283" s="383">
        <f t="shared" si="12"/>
        <v>19</v>
      </c>
      <c r="B283" s="383" t="s">
        <v>263</v>
      </c>
      <c r="C283" s="497" t="s">
        <v>987</v>
      </c>
      <c r="D283" s="383" t="s">
        <v>1042</v>
      </c>
      <c r="E283" s="383" t="s">
        <v>868</v>
      </c>
      <c r="F283" s="383" t="str">
        <f t="shared" si="13"/>
        <v>P200009DMerrill Lynch Cap</v>
      </c>
      <c r="G283" s="496">
        <v>-53250881.140000001</v>
      </c>
      <c r="H283" s="496">
        <v>53250881.140000001</v>
      </c>
      <c r="I283" s="496">
        <f t="shared" si="14"/>
        <v>0</v>
      </c>
      <c r="J283" s="496" t="s">
        <v>869</v>
      </c>
    </row>
    <row r="284" spans="1:10" hidden="1" x14ac:dyDescent="0.25">
      <c r="A284" s="383">
        <f t="shared" si="12"/>
        <v>19</v>
      </c>
      <c r="B284" s="383" t="s">
        <v>263</v>
      </c>
      <c r="C284" s="497" t="s">
        <v>987</v>
      </c>
      <c r="D284" s="383" t="s">
        <v>964</v>
      </c>
      <c r="E284" s="383" t="s">
        <v>868</v>
      </c>
      <c r="F284" s="383" t="str">
        <f t="shared" si="13"/>
        <v>P200009DMichigan Electric</v>
      </c>
      <c r="G284" s="496">
        <v>-33773</v>
      </c>
      <c r="H284" s="496">
        <v>33773</v>
      </c>
      <c r="I284" s="496">
        <f t="shared" si="14"/>
        <v>0</v>
      </c>
      <c r="J284" s="496" t="s">
        <v>869</v>
      </c>
    </row>
    <row r="285" spans="1:10" hidden="1" x14ac:dyDescent="0.25">
      <c r="A285" s="383">
        <f t="shared" si="12"/>
        <v>18</v>
      </c>
      <c r="B285" s="383" t="s">
        <v>263</v>
      </c>
      <c r="C285" s="497" t="s">
        <v>987</v>
      </c>
      <c r="D285" s="383" t="s">
        <v>1043</v>
      </c>
      <c r="E285" s="383" t="s">
        <v>868</v>
      </c>
      <c r="F285" s="383" t="str">
        <f t="shared" si="13"/>
        <v>P200009DMidAmerican Energ</v>
      </c>
      <c r="G285" s="496">
        <v>-596842.5</v>
      </c>
      <c r="H285" s="496">
        <v>596842.5</v>
      </c>
      <c r="I285" s="496">
        <f t="shared" si="14"/>
        <v>0</v>
      </c>
      <c r="J285" s="496" t="s">
        <v>869</v>
      </c>
    </row>
    <row r="286" spans="1:10" x14ac:dyDescent="0.25">
      <c r="A286" s="383">
        <f t="shared" si="12"/>
        <v>10</v>
      </c>
      <c r="B286" s="487" t="s">
        <v>263</v>
      </c>
      <c r="C286" s="500" t="s">
        <v>987</v>
      </c>
      <c r="D286" s="487" t="s">
        <v>909</v>
      </c>
      <c r="E286" s="487" t="s">
        <v>868</v>
      </c>
      <c r="F286" s="487" t="str">
        <f t="shared" si="13"/>
        <v>P200009DMieco Inc.</v>
      </c>
      <c r="G286" s="499"/>
      <c r="H286" s="499">
        <f>VLOOKUP(F286,[2]Pivot!$R$20:$S$1359,2,FALSE)</f>
        <v>68190678.120000005</v>
      </c>
      <c r="I286" s="499">
        <f t="shared" si="14"/>
        <v>68190678.120000005</v>
      </c>
      <c r="J286" s="499"/>
    </row>
    <row r="287" spans="1:10" hidden="1" x14ac:dyDescent="0.25">
      <c r="A287" s="383">
        <f t="shared" si="12"/>
        <v>19</v>
      </c>
      <c r="B287" s="383" t="s">
        <v>263</v>
      </c>
      <c r="C287" s="497" t="s">
        <v>987</v>
      </c>
      <c r="D287" s="383" t="s">
        <v>1044</v>
      </c>
      <c r="E287" s="383" t="s">
        <v>868</v>
      </c>
      <c r="F287" s="383" t="str">
        <f t="shared" si="13"/>
        <v>P200009DMinnesota Municip</v>
      </c>
      <c r="G287" s="496">
        <v>-304837.5</v>
      </c>
      <c r="H287" s="496">
        <v>304837.5</v>
      </c>
      <c r="I287" s="496">
        <f t="shared" si="14"/>
        <v>0</v>
      </c>
      <c r="J287" s="496" t="s">
        <v>869</v>
      </c>
    </row>
    <row r="288" spans="1:10" hidden="1" x14ac:dyDescent="0.25">
      <c r="A288" s="383">
        <f t="shared" si="12"/>
        <v>19</v>
      </c>
      <c r="B288" s="383" t="s">
        <v>263</v>
      </c>
      <c r="C288" s="497" t="s">
        <v>987</v>
      </c>
      <c r="D288" s="383" t="s">
        <v>939</v>
      </c>
      <c r="E288" s="383" t="s">
        <v>868</v>
      </c>
      <c r="F288" s="383" t="str">
        <f t="shared" si="13"/>
        <v>P200009DMontana Power Com</v>
      </c>
      <c r="G288" s="496">
        <v>-3096693.15</v>
      </c>
      <c r="H288" s="496">
        <v>3096693.15</v>
      </c>
      <c r="I288" s="496">
        <f t="shared" si="14"/>
        <v>0</v>
      </c>
      <c r="J288" s="496" t="s">
        <v>869</v>
      </c>
    </row>
    <row r="289" spans="1:11" hidden="1" x14ac:dyDescent="0.25">
      <c r="A289" s="383">
        <f t="shared" si="12"/>
        <v>19</v>
      </c>
      <c r="B289" s="383" t="s">
        <v>263</v>
      </c>
      <c r="C289" s="497" t="s">
        <v>987</v>
      </c>
      <c r="D289" s="383" t="s">
        <v>1045</v>
      </c>
      <c r="E289" s="383" t="s">
        <v>868</v>
      </c>
      <c r="F289" s="383" t="str">
        <f t="shared" si="13"/>
        <v>P200009DMorgan Stanley Ca</v>
      </c>
      <c r="G289" s="496">
        <v>-20226000</v>
      </c>
      <c r="H289" s="496">
        <v>20226000</v>
      </c>
      <c r="I289" s="496">
        <f t="shared" si="14"/>
        <v>0</v>
      </c>
      <c r="J289" s="496" t="s">
        <v>869</v>
      </c>
    </row>
    <row r="290" spans="1:11" x14ac:dyDescent="0.25">
      <c r="A290" s="383">
        <f t="shared" si="12"/>
        <v>19</v>
      </c>
      <c r="B290" s="383" t="s">
        <v>263</v>
      </c>
      <c r="C290" s="495" t="s">
        <v>987</v>
      </c>
      <c r="D290" s="383" t="s">
        <v>1046</v>
      </c>
      <c r="E290" s="383" t="s">
        <v>868</v>
      </c>
      <c r="F290" s="383" t="str">
        <f t="shared" si="13"/>
        <v>P200009DNevada Power Comp</v>
      </c>
      <c r="G290" s="496">
        <v>109.1</v>
      </c>
      <c r="H290" s="496">
        <v>3777201.36</v>
      </c>
      <c r="I290" s="496">
        <f t="shared" si="14"/>
        <v>3777310.46</v>
      </c>
      <c r="J290" s="496"/>
    </row>
    <row r="291" spans="1:11" x14ac:dyDescent="0.25">
      <c r="A291" s="383">
        <f t="shared" si="12"/>
        <v>26</v>
      </c>
      <c r="B291" s="487" t="s">
        <v>263</v>
      </c>
      <c r="C291" s="500" t="s">
        <v>987</v>
      </c>
      <c r="D291" s="487" t="s">
        <v>759</v>
      </c>
      <c r="E291" s="487" t="s">
        <v>868</v>
      </c>
      <c r="F291" s="487" t="str">
        <f t="shared" si="13"/>
        <v xml:space="preserve">P200009DNew Albany Power </v>
      </c>
      <c r="G291" s="499"/>
      <c r="H291" s="499">
        <f>VLOOKUP(F291,[2]Pivot!$R$20:$S$1359,2,FALSE)</f>
        <v>355586</v>
      </c>
      <c r="I291" s="499">
        <f t="shared" si="14"/>
        <v>355586</v>
      </c>
      <c r="J291" s="499"/>
      <c r="K291" s="499" t="s">
        <v>914</v>
      </c>
    </row>
    <row r="292" spans="1:11" x14ac:dyDescent="0.25">
      <c r="A292" s="383">
        <f t="shared" si="12"/>
        <v>22</v>
      </c>
      <c r="B292" s="487" t="s">
        <v>263</v>
      </c>
      <c r="C292" s="500" t="s">
        <v>987</v>
      </c>
      <c r="D292" s="487" t="s">
        <v>884</v>
      </c>
      <c r="E292" s="487" t="s">
        <v>868</v>
      </c>
      <c r="F292" s="487" t="str">
        <f t="shared" si="13"/>
        <v>P200009DNew England Power</v>
      </c>
      <c r="G292" s="499"/>
      <c r="H292" s="499">
        <f>VLOOKUP(F292,[2]Pivot!$R$20:$S$1359,2,FALSE)</f>
        <v>63642935.660000004</v>
      </c>
      <c r="I292" s="499">
        <f t="shared" si="14"/>
        <v>63642935.659999996</v>
      </c>
      <c r="J292" s="499"/>
    </row>
    <row r="293" spans="1:11" hidden="1" x14ac:dyDescent="0.25">
      <c r="A293" s="383">
        <f t="shared" si="12"/>
        <v>19</v>
      </c>
      <c r="B293" s="383" t="s">
        <v>263</v>
      </c>
      <c r="C293" s="497" t="s">
        <v>987</v>
      </c>
      <c r="D293" s="383" t="s">
        <v>931</v>
      </c>
      <c r="E293" s="383" t="s">
        <v>868</v>
      </c>
      <c r="F293" s="383" t="str">
        <f t="shared" si="13"/>
        <v>P200009DNew York Independ</v>
      </c>
      <c r="G293" s="496">
        <v>0</v>
      </c>
      <c r="H293" s="496">
        <v>0</v>
      </c>
      <c r="I293" s="496">
        <f t="shared" si="14"/>
        <v>0</v>
      </c>
      <c r="J293" s="496" t="s">
        <v>869</v>
      </c>
    </row>
    <row r="294" spans="1:11" hidden="1" x14ac:dyDescent="0.25">
      <c r="A294" s="383">
        <f t="shared" si="12"/>
        <v>19</v>
      </c>
      <c r="B294" s="383" t="s">
        <v>263</v>
      </c>
      <c r="C294" s="497" t="s">
        <v>987</v>
      </c>
      <c r="D294" s="383" t="s">
        <v>1047</v>
      </c>
      <c r="E294" s="383" t="s">
        <v>868</v>
      </c>
      <c r="F294" s="383" t="str">
        <f t="shared" si="13"/>
        <v>P200009DNiagara Mohawk En</v>
      </c>
      <c r="G294" s="496">
        <v>-4840</v>
      </c>
      <c r="H294" s="496">
        <v>4840</v>
      </c>
      <c r="I294" s="496">
        <f t="shared" si="14"/>
        <v>0</v>
      </c>
      <c r="J294" s="496" t="s">
        <v>869</v>
      </c>
    </row>
    <row r="295" spans="1:11" hidden="1" x14ac:dyDescent="0.25">
      <c r="A295" s="383">
        <f t="shared" si="12"/>
        <v>19</v>
      </c>
      <c r="B295" s="383" t="s">
        <v>263</v>
      </c>
      <c r="C295" s="497" t="s">
        <v>987</v>
      </c>
      <c r="D295" s="383" t="s">
        <v>1048</v>
      </c>
      <c r="E295" s="383" t="s">
        <v>868</v>
      </c>
      <c r="F295" s="383" t="str">
        <f t="shared" si="13"/>
        <v>P200009DNortheast Utiliti</v>
      </c>
      <c r="G295" s="496">
        <v>-496780</v>
      </c>
      <c r="H295" s="496">
        <v>496780</v>
      </c>
      <c r="I295" s="496">
        <f t="shared" si="14"/>
        <v>0</v>
      </c>
      <c r="J295" s="496" t="s">
        <v>869</v>
      </c>
    </row>
    <row r="296" spans="1:11" hidden="1" x14ac:dyDescent="0.25">
      <c r="A296" s="383">
        <f t="shared" si="12"/>
        <v>19</v>
      </c>
      <c r="B296" s="383" t="s">
        <v>263</v>
      </c>
      <c r="C296" s="497" t="s">
        <v>987</v>
      </c>
      <c r="D296" s="383" t="s">
        <v>1049</v>
      </c>
      <c r="E296" s="383" t="s">
        <v>868</v>
      </c>
      <c r="F296" s="383" t="str">
        <f t="shared" si="13"/>
        <v>P200009DNorthern States P</v>
      </c>
      <c r="G296" s="496">
        <v>-1432372</v>
      </c>
      <c r="H296" s="496">
        <v>1432372</v>
      </c>
      <c r="I296" s="496">
        <f t="shared" si="14"/>
        <v>0</v>
      </c>
      <c r="J296" s="496" t="s">
        <v>869</v>
      </c>
    </row>
    <row r="297" spans="1:11" x14ac:dyDescent="0.25">
      <c r="A297" s="383">
        <f t="shared" si="12"/>
        <v>24</v>
      </c>
      <c r="B297" s="487" t="s">
        <v>263</v>
      </c>
      <c r="C297" s="500" t="s">
        <v>987</v>
      </c>
      <c r="D297" s="487" t="s">
        <v>1050</v>
      </c>
      <c r="E297" s="487" t="s">
        <v>868</v>
      </c>
      <c r="F297" s="487" t="str">
        <f t="shared" si="13"/>
        <v>P200009DNRG Power Marketi</v>
      </c>
      <c r="G297" s="499"/>
      <c r="H297" s="499">
        <f>VLOOKUP(F297,[2]Pivot!$R$20:$S$1359,2,FALSE)</f>
        <v>895850</v>
      </c>
      <c r="I297" s="499">
        <f t="shared" si="14"/>
        <v>895850</v>
      </c>
      <c r="J297" s="499"/>
    </row>
    <row r="298" spans="1:11" x14ac:dyDescent="0.25">
      <c r="A298" s="383">
        <f t="shared" si="12"/>
        <v>15</v>
      </c>
      <c r="B298" s="487" t="s">
        <v>263</v>
      </c>
      <c r="C298" s="500" t="s">
        <v>987</v>
      </c>
      <c r="D298" s="487" t="s">
        <v>952</v>
      </c>
      <c r="E298" s="487" t="s">
        <v>868</v>
      </c>
      <c r="F298" s="487" t="str">
        <f t="shared" si="13"/>
        <v>P200009DNSTAR Companies</v>
      </c>
      <c r="G298" s="499"/>
      <c r="H298" s="499">
        <f>VLOOKUP(F298,[2]Pivot!$R$20:$S$1359,2,FALSE)</f>
        <v>46606.57</v>
      </c>
      <c r="I298" s="499">
        <f t="shared" si="14"/>
        <v>46606.57</v>
      </c>
      <c r="J298" s="499"/>
    </row>
    <row r="299" spans="1:11" x14ac:dyDescent="0.25">
      <c r="A299" s="383">
        <f t="shared" si="12"/>
        <v>26</v>
      </c>
      <c r="B299" s="487" t="s">
        <v>263</v>
      </c>
      <c r="C299" s="500" t="s">
        <v>987</v>
      </c>
      <c r="D299" s="487" t="s">
        <v>1051</v>
      </c>
      <c r="E299" s="487" t="s">
        <v>868</v>
      </c>
      <c r="F299" s="487" t="str">
        <f t="shared" si="13"/>
        <v>P200009DOGE Energy Resour</v>
      </c>
      <c r="G299" s="499"/>
      <c r="H299" s="499">
        <f>VLOOKUP(F299,[2]Pivot!$R$20:$S$1359,2,FALSE)</f>
        <v>2156000</v>
      </c>
      <c r="I299" s="499">
        <f t="shared" si="14"/>
        <v>2156000</v>
      </c>
      <c r="J299" s="499"/>
    </row>
    <row r="300" spans="1:11" hidden="1" x14ac:dyDescent="0.25">
      <c r="A300" s="383">
        <f t="shared" si="12"/>
        <v>19</v>
      </c>
      <c r="B300" s="383" t="s">
        <v>263</v>
      </c>
      <c r="C300" s="497" t="s">
        <v>987</v>
      </c>
      <c r="D300" s="383" t="s">
        <v>967</v>
      </c>
      <c r="E300" s="383" t="s">
        <v>868</v>
      </c>
      <c r="F300" s="383" t="str">
        <f t="shared" si="13"/>
        <v xml:space="preserve">P200009DOglethorpe Power </v>
      </c>
      <c r="G300" s="496">
        <v>-145856</v>
      </c>
      <c r="H300" s="496">
        <v>145856</v>
      </c>
      <c r="I300" s="496">
        <f t="shared" si="14"/>
        <v>0</v>
      </c>
      <c r="J300" s="496" t="s">
        <v>869</v>
      </c>
    </row>
    <row r="301" spans="1:11" x14ac:dyDescent="0.25">
      <c r="A301" s="383">
        <f t="shared" si="12"/>
        <v>24</v>
      </c>
      <c r="B301" s="487" t="s">
        <v>263</v>
      </c>
      <c r="C301" s="500" t="s">
        <v>987</v>
      </c>
      <c r="D301" s="487" t="s">
        <v>968</v>
      </c>
      <c r="E301" s="487" t="s">
        <v>868</v>
      </c>
      <c r="F301" s="487" t="str">
        <f t="shared" si="13"/>
        <v xml:space="preserve">P200009DOtter Tail Power </v>
      </c>
      <c r="G301" s="499"/>
      <c r="H301" s="499">
        <f>VLOOKUP(F301,[2]Pivot!$R$20:$S$1359,2,FALSE)</f>
        <v>209025</v>
      </c>
      <c r="I301" s="499">
        <f t="shared" si="14"/>
        <v>209025</v>
      </c>
      <c r="J301" s="499"/>
    </row>
    <row r="302" spans="1:11" x14ac:dyDescent="0.25">
      <c r="A302" s="383">
        <f t="shared" si="12"/>
        <v>13</v>
      </c>
      <c r="B302" s="383" t="s">
        <v>263</v>
      </c>
      <c r="C302" s="495" t="s">
        <v>987</v>
      </c>
      <c r="D302" s="383" t="s">
        <v>969</v>
      </c>
      <c r="E302" s="383" t="s">
        <v>868</v>
      </c>
      <c r="F302" s="383" t="str">
        <f t="shared" si="13"/>
        <v>P200009DOxy Vinyls LP</v>
      </c>
      <c r="G302" s="496">
        <v>1464959.99</v>
      </c>
      <c r="H302" s="496">
        <v>0</v>
      </c>
      <c r="I302" s="496">
        <f t="shared" si="14"/>
        <v>1464959.99</v>
      </c>
      <c r="J302" s="496"/>
    </row>
    <row r="303" spans="1:11" hidden="1" x14ac:dyDescent="0.25">
      <c r="A303" s="383">
        <f t="shared" si="12"/>
        <v>19</v>
      </c>
      <c r="B303" s="383" t="s">
        <v>263</v>
      </c>
      <c r="C303" s="497" t="s">
        <v>987</v>
      </c>
      <c r="D303" s="383" t="s">
        <v>1052</v>
      </c>
      <c r="E303" s="383" t="s">
        <v>868</v>
      </c>
      <c r="F303" s="383" t="str">
        <f t="shared" si="13"/>
        <v>P200009DPacific Northwest</v>
      </c>
      <c r="G303" s="496">
        <v>9.0951551845463996E-15</v>
      </c>
      <c r="H303" s="496">
        <v>0</v>
      </c>
      <c r="I303" s="496">
        <f t="shared" si="14"/>
        <v>0</v>
      </c>
      <c r="J303" s="496" t="s">
        <v>869</v>
      </c>
    </row>
    <row r="304" spans="1:11" x14ac:dyDescent="0.25">
      <c r="A304" s="383">
        <f t="shared" si="12"/>
        <v>10</v>
      </c>
      <c r="B304" s="383" t="s">
        <v>263</v>
      </c>
      <c r="C304" s="495" t="s">
        <v>987</v>
      </c>
      <c r="D304" s="383" t="s">
        <v>940</v>
      </c>
      <c r="E304" s="383" t="s">
        <v>868</v>
      </c>
      <c r="F304" s="383" t="str">
        <f t="shared" si="13"/>
        <v>P200009DPacificorp</v>
      </c>
      <c r="G304" s="496">
        <v>32082967</v>
      </c>
      <c r="H304" s="496">
        <v>-121615</v>
      </c>
      <c r="I304" s="496">
        <f t="shared" si="14"/>
        <v>31961352</v>
      </c>
      <c r="J304" s="496"/>
    </row>
    <row r="305" spans="1:10" hidden="1" x14ac:dyDescent="0.25">
      <c r="A305" s="383">
        <f t="shared" si="12"/>
        <v>19</v>
      </c>
      <c r="B305" s="383" t="s">
        <v>263</v>
      </c>
      <c r="C305" s="497" t="s">
        <v>987</v>
      </c>
      <c r="D305" s="383" t="s">
        <v>1053</v>
      </c>
      <c r="E305" s="383" t="s">
        <v>868</v>
      </c>
      <c r="F305" s="383" t="str">
        <f t="shared" si="13"/>
        <v xml:space="preserve">P200009DPacifiCorp Power </v>
      </c>
      <c r="G305" s="496">
        <v>-14359100</v>
      </c>
      <c r="H305" s="496">
        <v>14359100</v>
      </c>
      <c r="I305" s="496">
        <f t="shared" si="14"/>
        <v>0</v>
      </c>
      <c r="J305" s="496" t="s">
        <v>869</v>
      </c>
    </row>
    <row r="306" spans="1:10" x14ac:dyDescent="0.25">
      <c r="A306" s="383">
        <f t="shared" si="12"/>
        <v>19</v>
      </c>
      <c r="B306" s="487" t="s">
        <v>263</v>
      </c>
      <c r="C306" s="500" t="s">
        <v>987</v>
      </c>
      <c r="D306" s="487" t="s">
        <v>1054</v>
      </c>
      <c r="E306" s="487" t="s">
        <v>868</v>
      </c>
      <c r="F306" s="487" t="str">
        <f t="shared" si="13"/>
        <v>P200009DPeco Energy Compa</v>
      </c>
      <c r="G306" s="499"/>
      <c r="H306" s="499">
        <f>VLOOKUP(F306,[2]Pivot!$R$20:$S$1359,2,FALSE)</f>
        <v>3530940</v>
      </c>
      <c r="I306" s="499">
        <f t="shared" si="14"/>
        <v>3530940</v>
      </c>
      <c r="J306" s="499"/>
    </row>
    <row r="307" spans="1:10" hidden="1" x14ac:dyDescent="0.25">
      <c r="A307" s="383">
        <f t="shared" si="12"/>
        <v>19</v>
      </c>
      <c r="B307" s="383" t="s">
        <v>263</v>
      </c>
      <c r="C307" s="497" t="s">
        <v>987</v>
      </c>
      <c r="D307" s="383" t="s">
        <v>945</v>
      </c>
      <c r="E307" s="383" t="s">
        <v>868</v>
      </c>
      <c r="F307" s="383" t="str">
        <f t="shared" si="13"/>
        <v>P200009DPG&amp;E Energy Tradi</v>
      </c>
      <c r="G307" s="496">
        <v>-97560246.439999998</v>
      </c>
      <c r="H307" s="496">
        <v>97560246.439999998</v>
      </c>
      <c r="I307" s="496">
        <f t="shared" si="14"/>
        <v>0</v>
      </c>
      <c r="J307" s="496" t="s">
        <v>869</v>
      </c>
    </row>
    <row r="308" spans="1:10" hidden="1" x14ac:dyDescent="0.25">
      <c r="A308" s="383">
        <f t="shared" si="12"/>
        <v>19</v>
      </c>
      <c r="B308" s="383" t="s">
        <v>263</v>
      </c>
      <c r="C308" s="497" t="s">
        <v>987</v>
      </c>
      <c r="D308" s="383" t="s">
        <v>892</v>
      </c>
      <c r="E308" s="383" t="s">
        <v>868</v>
      </c>
      <c r="F308" s="383" t="str">
        <f t="shared" si="13"/>
        <v>P200009DPJM Interconnecti</v>
      </c>
      <c r="G308" s="496">
        <v>188034.69000000134</v>
      </c>
      <c r="H308" s="496">
        <v>-188034.69</v>
      </c>
      <c r="I308" s="496">
        <f t="shared" si="14"/>
        <v>0</v>
      </c>
      <c r="J308" s="496" t="s">
        <v>869</v>
      </c>
    </row>
    <row r="309" spans="1:10" hidden="1" x14ac:dyDescent="0.25">
      <c r="A309" s="383">
        <f t="shared" si="12"/>
        <v>19</v>
      </c>
      <c r="B309" s="383" t="s">
        <v>263</v>
      </c>
      <c r="C309" s="497" t="s">
        <v>987</v>
      </c>
      <c r="D309" s="383" t="s">
        <v>904</v>
      </c>
      <c r="E309" s="383" t="s">
        <v>868</v>
      </c>
      <c r="F309" s="383" t="str">
        <f t="shared" si="13"/>
        <v xml:space="preserve">P200009DPortland General </v>
      </c>
      <c r="G309" s="496">
        <v>13432.660000000149</v>
      </c>
      <c r="H309" s="496">
        <v>-13432.66</v>
      </c>
      <c r="I309" s="496">
        <f t="shared" si="14"/>
        <v>0</v>
      </c>
      <c r="J309" s="496" t="s">
        <v>869</v>
      </c>
    </row>
    <row r="310" spans="1:10" x14ac:dyDescent="0.25">
      <c r="A310" s="383">
        <f t="shared" si="12"/>
        <v>19</v>
      </c>
      <c r="B310" s="383" t="s">
        <v>263</v>
      </c>
      <c r="C310" s="495" t="s">
        <v>987</v>
      </c>
      <c r="D310" s="383" t="s">
        <v>1055</v>
      </c>
      <c r="E310" s="383" t="s">
        <v>868</v>
      </c>
      <c r="F310" s="383" t="str">
        <f t="shared" si="13"/>
        <v>P200009DPower Resources M</v>
      </c>
      <c r="G310" s="496">
        <v>51200</v>
      </c>
      <c r="H310" s="496">
        <v>108800</v>
      </c>
      <c r="I310" s="496">
        <f t="shared" si="14"/>
        <v>160000</v>
      </c>
      <c r="J310" s="496"/>
    </row>
    <row r="311" spans="1:10" x14ac:dyDescent="0.25">
      <c r="A311" s="383">
        <f t="shared" si="12"/>
        <v>19</v>
      </c>
      <c r="B311" s="487" t="s">
        <v>263</v>
      </c>
      <c r="C311" s="500" t="s">
        <v>987</v>
      </c>
      <c r="D311" s="487" t="s">
        <v>1056</v>
      </c>
      <c r="E311" s="487" t="s">
        <v>868</v>
      </c>
      <c r="F311" s="487" t="str">
        <f t="shared" si="13"/>
        <v>P200009DPPL EnergyPlus, L</v>
      </c>
      <c r="G311" s="499"/>
      <c r="H311" s="499">
        <f>VLOOKUP(F311,[2]Pivot!$R$20:$S$1359,2,FALSE)</f>
        <v>7285680</v>
      </c>
      <c r="I311" s="499">
        <f t="shared" si="14"/>
        <v>7285680</v>
      </c>
      <c r="J311" s="499"/>
    </row>
    <row r="312" spans="1:10" hidden="1" x14ac:dyDescent="0.25">
      <c r="A312" s="383">
        <f t="shared" si="12"/>
        <v>33</v>
      </c>
      <c r="B312" s="487" t="s">
        <v>263</v>
      </c>
      <c r="C312" s="498" t="s">
        <v>987</v>
      </c>
      <c r="D312" s="487" t="s">
        <v>1057</v>
      </c>
      <c r="E312" s="487" t="s">
        <v>868</v>
      </c>
      <c r="F312" s="487" t="str">
        <f t="shared" si="13"/>
        <v>P200009DPSEG Energy Resou</v>
      </c>
      <c r="G312" s="499"/>
      <c r="H312" s="499">
        <f>VLOOKUP(F312,[2]Pivot!$R$20:$S$1359,2,FALSE)</f>
        <v>428400</v>
      </c>
      <c r="I312" s="499">
        <f t="shared" si="14"/>
        <v>428400</v>
      </c>
      <c r="J312" s="499" t="s">
        <v>890</v>
      </c>
    </row>
    <row r="313" spans="1:10" hidden="1" x14ac:dyDescent="0.25">
      <c r="A313" s="383">
        <f t="shared" si="12"/>
        <v>19</v>
      </c>
      <c r="B313" s="383" t="s">
        <v>263</v>
      </c>
      <c r="C313" s="497" t="s">
        <v>987</v>
      </c>
      <c r="D313" s="383" t="s">
        <v>970</v>
      </c>
      <c r="E313" s="383" t="s">
        <v>868</v>
      </c>
      <c r="F313" s="383" t="str">
        <f t="shared" si="13"/>
        <v>P200009DPublic Service Co</v>
      </c>
      <c r="G313" s="496">
        <v>-38816700</v>
      </c>
      <c r="H313" s="496">
        <v>38816700</v>
      </c>
      <c r="I313" s="496">
        <f t="shared" si="14"/>
        <v>0</v>
      </c>
      <c r="J313" s="496" t="s">
        <v>869</v>
      </c>
    </row>
    <row r="314" spans="1:10" hidden="1" x14ac:dyDescent="0.25">
      <c r="A314" s="383">
        <f t="shared" si="12"/>
        <v>19</v>
      </c>
      <c r="B314" s="383" t="s">
        <v>263</v>
      </c>
      <c r="C314" s="497" t="s">
        <v>987</v>
      </c>
      <c r="D314" s="383" t="s">
        <v>1058</v>
      </c>
      <c r="E314" s="383" t="s">
        <v>868</v>
      </c>
      <c r="F314" s="383" t="str">
        <f t="shared" si="13"/>
        <v>P200009DPublic Service El</v>
      </c>
      <c r="G314" s="496">
        <v>-14313600</v>
      </c>
      <c r="H314" s="496">
        <v>13885200</v>
      </c>
      <c r="I314" s="496">
        <f t="shared" si="14"/>
        <v>-428400</v>
      </c>
      <c r="J314" s="499" t="s">
        <v>890</v>
      </c>
    </row>
    <row r="315" spans="1:10" hidden="1" x14ac:dyDescent="0.25">
      <c r="A315" s="383">
        <f t="shared" si="12"/>
        <v>19</v>
      </c>
      <c r="B315" s="383" t="s">
        <v>263</v>
      </c>
      <c r="C315" s="497" t="s">
        <v>987</v>
      </c>
      <c r="D315" s="383" t="s">
        <v>1059</v>
      </c>
      <c r="E315" s="383" t="s">
        <v>868</v>
      </c>
      <c r="F315" s="383" t="str">
        <f t="shared" si="13"/>
        <v>P200009DPublic Utility Di</v>
      </c>
      <c r="G315" s="496">
        <v>-4191900</v>
      </c>
      <c r="H315" s="496">
        <v>4191900</v>
      </c>
      <c r="I315" s="496">
        <f t="shared" si="14"/>
        <v>0</v>
      </c>
      <c r="J315" s="496" t="s">
        <v>869</v>
      </c>
    </row>
    <row r="316" spans="1:10" x14ac:dyDescent="0.25">
      <c r="A316" s="383">
        <f t="shared" si="12"/>
        <v>57</v>
      </c>
      <c r="B316" s="383" t="s">
        <v>263</v>
      </c>
      <c r="C316" s="495" t="s">
        <v>987</v>
      </c>
      <c r="D316" s="383" t="s">
        <v>1060</v>
      </c>
      <c r="E316" s="383" t="s">
        <v>868</v>
      </c>
      <c r="F316" s="383" t="str">
        <f t="shared" si="13"/>
        <v>P200009DPublic Utility Di</v>
      </c>
      <c r="G316" s="496">
        <v>0</v>
      </c>
      <c r="H316" s="496">
        <v>-51200</v>
      </c>
      <c r="I316" s="496">
        <f t="shared" si="14"/>
        <v>-51200</v>
      </c>
      <c r="J316" s="496"/>
    </row>
    <row r="317" spans="1:10" hidden="1" x14ac:dyDescent="0.25">
      <c r="A317" s="383">
        <f t="shared" si="12"/>
        <v>18</v>
      </c>
      <c r="B317" s="383" t="s">
        <v>263</v>
      </c>
      <c r="C317" s="497" t="s">
        <v>987</v>
      </c>
      <c r="D317" s="383" t="s">
        <v>1061</v>
      </c>
      <c r="E317" s="383" t="s">
        <v>868</v>
      </c>
      <c r="F317" s="383" t="str">
        <f t="shared" si="13"/>
        <v>P200009DPUD No. 1 of Gray</v>
      </c>
      <c r="G317" s="496">
        <v>0</v>
      </c>
      <c r="H317" s="496">
        <v>0</v>
      </c>
      <c r="I317" s="496">
        <f t="shared" si="14"/>
        <v>0</v>
      </c>
      <c r="J317" s="496" t="s">
        <v>869</v>
      </c>
    </row>
    <row r="318" spans="1:10" hidden="1" x14ac:dyDescent="0.25">
      <c r="A318" s="383">
        <f t="shared" si="12"/>
        <v>19</v>
      </c>
      <c r="B318" s="383" t="s">
        <v>263</v>
      </c>
      <c r="C318" s="497" t="s">
        <v>987</v>
      </c>
      <c r="D318" s="383" t="s">
        <v>1062</v>
      </c>
      <c r="E318" s="383" t="s">
        <v>868</v>
      </c>
      <c r="F318" s="383" t="str">
        <f t="shared" si="13"/>
        <v>P200009DRainbow Energy Ma</v>
      </c>
      <c r="G318" s="496">
        <v>-22400</v>
      </c>
      <c r="H318" s="496">
        <v>22400</v>
      </c>
      <c r="I318" s="496">
        <f t="shared" si="14"/>
        <v>0</v>
      </c>
      <c r="J318" s="496" t="s">
        <v>869</v>
      </c>
    </row>
    <row r="319" spans="1:10" hidden="1" x14ac:dyDescent="0.25">
      <c r="A319" s="383">
        <f t="shared" si="12"/>
        <v>19</v>
      </c>
      <c r="B319" s="383" t="s">
        <v>263</v>
      </c>
      <c r="C319" s="497" t="s">
        <v>987</v>
      </c>
      <c r="D319" s="383" t="s">
        <v>1063</v>
      </c>
      <c r="E319" s="383" t="s">
        <v>868</v>
      </c>
      <c r="F319" s="383" t="str">
        <f t="shared" si="13"/>
        <v>P200009DReliant Energy Se</v>
      </c>
      <c r="G319" s="496">
        <v>-151061292.07999998</v>
      </c>
      <c r="H319" s="496">
        <v>151061292.08000001</v>
      </c>
      <c r="I319" s="496">
        <f t="shared" si="14"/>
        <v>0</v>
      </c>
      <c r="J319" s="496" t="s">
        <v>869</v>
      </c>
    </row>
    <row r="320" spans="1:10" hidden="1" x14ac:dyDescent="0.25">
      <c r="A320" s="383">
        <f t="shared" si="12"/>
        <v>19</v>
      </c>
      <c r="B320" s="383" t="s">
        <v>263</v>
      </c>
      <c r="C320" s="497" t="s">
        <v>987</v>
      </c>
      <c r="D320" s="383" t="s">
        <v>1064</v>
      </c>
      <c r="E320" s="383" t="s">
        <v>868</v>
      </c>
      <c r="F320" s="383" t="str">
        <f t="shared" si="13"/>
        <v>P200009DSacramento Munici</v>
      </c>
      <c r="G320" s="496">
        <v>-25500</v>
      </c>
      <c r="H320" s="496">
        <v>25500</v>
      </c>
      <c r="I320" s="496">
        <f t="shared" si="14"/>
        <v>0</v>
      </c>
      <c r="J320" s="496" t="s">
        <v>869</v>
      </c>
    </row>
    <row r="321" spans="1:10" x14ac:dyDescent="0.25">
      <c r="A321" s="383">
        <f t="shared" si="12"/>
        <v>21</v>
      </c>
      <c r="B321" s="487" t="s">
        <v>263</v>
      </c>
      <c r="C321" s="500" t="s">
        <v>987</v>
      </c>
      <c r="D321" s="487" t="s">
        <v>971</v>
      </c>
      <c r="E321" s="487" t="s">
        <v>868</v>
      </c>
      <c r="F321" s="487" t="str">
        <f t="shared" si="13"/>
        <v>P200009DSaguaro Power Com</v>
      </c>
      <c r="G321" s="499"/>
      <c r="H321" s="499">
        <f>VLOOKUP(F321,[2]Pivot!$R$20:$S$1359,2,FALSE)</f>
        <v>326859</v>
      </c>
      <c r="I321" s="499">
        <f t="shared" si="14"/>
        <v>326859</v>
      </c>
      <c r="J321" s="499"/>
    </row>
    <row r="322" spans="1:10" hidden="1" x14ac:dyDescent="0.25">
      <c r="A322" s="383">
        <f t="shared" si="12"/>
        <v>18</v>
      </c>
      <c r="B322" s="383" t="s">
        <v>263</v>
      </c>
      <c r="C322" s="497" t="s">
        <v>987</v>
      </c>
      <c r="D322" s="383" t="s">
        <v>1065</v>
      </c>
      <c r="E322" s="383" t="s">
        <v>868</v>
      </c>
      <c r="F322" s="383" t="str">
        <f t="shared" si="13"/>
        <v>P200009DSalt River Projec</v>
      </c>
      <c r="G322" s="496">
        <v>-4980035</v>
      </c>
      <c r="H322" s="496">
        <v>4980035</v>
      </c>
      <c r="I322" s="496">
        <f t="shared" si="14"/>
        <v>0</v>
      </c>
      <c r="J322" s="496" t="s">
        <v>869</v>
      </c>
    </row>
    <row r="323" spans="1:10" hidden="1" x14ac:dyDescent="0.25">
      <c r="A323" s="383">
        <f t="shared" si="12"/>
        <v>18</v>
      </c>
      <c r="B323" s="383" t="s">
        <v>263</v>
      </c>
      <c r="C323" s="497" t="s">
        <v>987</v>
      </c>
      <c r="D323" s="383" t="s">
        <v>1066</v>
      </c>
      <c r="E323" s="383" t="s">
        <v>868</v>
      </c>
      <c r="F323" s="383" t="str">
        <f t="shared" si="13"/>
        <v>P200009DSaskatchewan Powe</v>
      </c>
      <c r="G323" s="496">
        <v>-6125</v>
      </c>
      <c r="H323" s="496">
        <v>6125</v>
      </c>
      <c r="I323" s="496">
        <f t="shared" si="14"/>
        <v>0</v>
      </c>
      <c r="J323" s="496" t="s">
        <v>869</v>
      </c>
    </row>
    <row r="324" spans="1:10" x14ac:dyDescent="0.25">
      <c r="A324" s="383">
        <f t="shared" ref="A324:A387" si="15">LEN(D324)</f>
        <v>18</v>
      </c>
      <c r="B324" s="487" t="s">
        <v>263</v>
      </c>
      <c r="C324" s="500" t="s">
        <v>987</v>
      </c>
      <c r="D324" s="487" t="s">
        <v>324</v>
      </c>
      <c r="E324" s="487" t="s">
        <v>868</v>
      </c>
      <c r="F324" s="487" t="str">
        <f t="shared" ref="F324:F387" si="16">+B324&amp;C324&amp;E324&amp;LEFT(D324,17)</f>
        <v>P200009DSeattle City Ligh</v>
      </c>
      <c r="G324" s="499"/>
      <c r="H324" s="499">
        <f>VLOOKUP(F324,[2]Pivot!$R$20:$S$1359,2,FALSE)</f>
        <v>329600</v>
      </c>
      <c r="I324" s="499">
        <f t="shared" ref="I324:I387" si="17">ROUND(+G324+H324,2)</f>
        <v>329600</v>
      </c>
      <c r="J324" s="499"/>
    </row>
    <row r="325" spans="1:10" hidden="1" x14ac:dyDescent="0.25">
      <c r="A325" s="383">
        <f t="shared" si="15"/>
        <v>19</v>
      </c>
      <c r="B325" s="383" t="s">
        <v>263</v>
      </c>
      <c r="C325" s="497" t="s">
        <v>987</v>
      </c>
      <c r="D325" s="383" t="s">
        <v>942</v>
      </c>
      <c r="E325" s="383" t="s">
        <v>868</v>
      </c>
      <c r="F325" s="383" t="str">
        <f t="shared" si="16"/>
        <v>P200009DSempra Energy Tra</v>
      </c>
      <c r="G325" s="496">
        <v>-126074800</v>
      </c>
      <c r="H325" s="496">
        <v>126074800</v>
      </c>
      <c r="I325" s="496">
        <f t="shared" si="17"/>
        <v>0</v>
      </c>
      <c r="J325" s="496" t="s">
        <v>869</v>
      </c>
    </row>
    <row r="326" spans="1:10" hidden="1" x14ac:dyDescent="0.25">
      <c r="A326" s="383">
        <f t="shared" si="15"/>
        <v>19</v>
      </c>
      <c r="B326" s="383" t="s">
        <v>263</v>
      </c>
      <c r="C326" s="497" t="s">
        <v>987</v>
      </c>
      <c r="D326" s="383" t="s">
        <v>1067</v>
      </c>
      <c r="E326" s="383" t="s">
        <v>868</v>
      </c>
      <c r="F326" s="383" t="str">
        <f t="shared" si="16"/>
        <v>P200009DSierra Pacific Po</v>
      </c>
      <c r="G326" s="496">
        <v>-6603952</v>
      </c>
      <c r="H326" s="496">
        <v>6603952</v>
      </c>
      <c r="I326" s="496">
        <f t="shared" si="17"/>
        <v>0</v>
      </c>
      <c r="J326" s="496" t="s">
        <v>869</v>
      </c>
    </row>
    <row r="327" spans="1:10" hidden="1" x14ac:dyDescent="0.25">
      <c r="A327" s="383">
        <f t="shared" si="15"/>
        <v>19</v>
      </c>
      <c r="B327" s="383" t="s">
        <v>263</v>
      </c>
      <c r="C327" s="497" t="s">
        <v>987</v>
      </c>
      <c r="D327" s="383" t="s">
        <v>1068</v>
      </c>
      <c r="E327" s="383" t="s">
        <v>868</v>
      </c>
      <c r="F327" s="383" t="str">
        <f t="shared" si="16"/>
        <v>P200009DSouth Carolina El</v>
      </c>
      <c r="G327" s="496">
        <v>-16884.46</v>
      </c>
      <c r="H327" s="496">
        <v>16884.46</v>
      </c>
      <c r="I327" s="496">
        <f t="shared" si="17"/>
        <v>0</v>
      </c>
      <c r="J327" s="496" t="s">
        <v>869</v>
      </c>
    </row>
    <row r="328" spans="1:10" hidden="1" x14ac:dyDescent="0.25">
      <c r="A328" s="383">
        <f t="shared" si="15"/>
        <v>19</v>
      </c>
      <c r="B328" s="383" t="s">
        <v>263</v>
      </c>
      <c r="C328" s="497" t="s">
        <v>987</v>
      </c>
      <c r="D328" s="383" t="s">
        <v>1069</v>
      </c>
      <c r="E328" s="383" t="s">
        <v>868</v>
      </c>
      <c r="F328" s="383" t="str">
        <f t="shared" si="16"/>
        <v xml:space="preserve">P200009DSouthern Company </v>
      </c>
      <c r="G328" s="496">
        <v>-218916638.5</v>
      </c>
      <c r="H328" s="496">
        <v>218916638.5</v>
      </c>
      <c r="I328" s="496">
        <f t="shared" si="17"/>
        <v>0</v>
      </c>
      <c r="J328" s="496" t="s">
        <v>869</v>
      </c>
    </row>
    <row r="329" spans="1:10" hidden="1" x14ac:dyDescent="0.25">
      <c r="A329" s="383">
        <f t="shared" si="15"/>
        <v>19</v>
      </c>
      <c r="B329" s="383" t="s">
        <v>263</v>
      </c>
      <c r="C329" s="497" t="s">
        <v>987</v>
      </c>
      <c r="D329" s="383" t="s">
        <v>1070</v>
      </c>
      <c r="E329" s="383" t="s">
        <v>868</v>
      </c>
      <c r="F329" s="383" t="str">
        <f t="shared" si="16"/>
        <v xml:space="preserve">P200009DSouthern Company </v>
      </c>
      <c r="G329" s="496">
        <v>-81190.5</v>
      </c>
      <c r="H329" s="496">
        <v>81190.5</v>
      </c>
      <c r="I329" s="496">
        <f t="shared" si="17"/>
        <v>0</v>
      </c>
      <c r="J329" s="496" t="s">
        <v>869</v>
      </c>
    </row>
    <row r="330" spans="1:10" hidden="1" x14ac:dyDescent="0.25">
      <c r="A330" s="383">
        <f t="shared" si="15"/>
        <v>19</v>
      </c>
      <c r="B330" s="383" t="s">
        <v>263</v>
      </c>
      <c r="C330" s="497" t="s">
        <v>987</v>
      </c>
      <c r="D330" s="383" t="s">
        <v>1071</v>
      </c>
      <c r="E330" s="383" t="s">
        <v>868</v>
      </c>
      <c r="F330" s="383" t="str">
        <f t="shared" si="16"/>
        <v xml:space="preserve">P200009DSouthern Indiana </v>
      </c>
      <c r="G330" s="496">
        <v>-464045.25</v>
      </c>
      <c r="H330" s="496">
        <v>464045.25</v>
      </c>
      <c r="I330" s="496">
        <f t="shared" si="17"/>
        <v>0</v>
      </c>
      <c r="J330" s="496" t="s">
        <v>869</v>
      </c>
    </row>
    <row r="331" spans="1:10" x14ac:dyDescent="0.25">
      <c r="A331" s="383">
        <f t="shared" si="15"/>
        <v>22</v>
      </c>
      <c r="B331" s="487" t="s">
        <v>263</v>
      </c>
      <c r="C331" s="500" t="s">
        <v>987</v>
      </c>
      <c r="D331" s="487" t="s">
        <v>1072</v>
      </c>
      <c r="E331" s="487" t="s">
        <v>868</v>
      </c>
      <c r="F331" s="487" t="str">
        <f t="shared" si="16"/>
        <v>P200009DSplit Rock Energy</v>
      </c>
      <c r="G331" s="499"/>
      <c r="H331" s="499">
        <f>VLOOKUP(F331,[2]Pivot!$R$20:$S$1359,2,FALSE)</f>
        <v>337550</v>
      </c>
      <c r="I331" s="499">
        <f t="shared" si="17"/>
        <v>337550</v>
      </c>
      <c r="J331" s="499"/>
    </row>
    <row r="332" spans="1:10" hidden="1" x14ac:dyDescent="0.25">
      <c r="A332" s="383">
        <f t="shared" si="15"/>
        <v>19</v>
      </c>
      <c r="B332" s="383" t="s">
        <v>263</v>
      </c>
      <c r="C332" s="497" t="s">
        <v>987</v>
      </c>
      <c r="D332" s="383" t="s">
        <v>1073</v>
      </c>
      <c r="E332" s="383" t="s">
        <v>868</v>
      </c>
      <c r="F332" s="383" t="str">
        <f t="shared" si="16"/>
        <v>P200009DTenaska Power Ser</v>
      </c>
      <c r="G332" s="496">
        <v>-252850</v>
      </c>
      <c r="H332" s="496">
        <v>252850</v>
      </c>
      <c r="I332" s="496">
        <f t="shared" si="17"/>
        <v>0</v>
      </c>
      <c r="J332" s="496" t="s">
        <v>869</v>
      </c>
    </row>
    <row r="333" spans="1:10" hidden="1" x14ac:dyDescent="0.25">
      <c r="A333" s="383">
        <f t="shared" si="15"/>
        <v>19</v>
      </c>
      <c r="B333" s="383" t="s">
        <v>263</v>
      </c>
      <c r="C333" s="497" t="s">
        <v>987</v>
      </c>
      <c r="D333" s="383" t="s">
        <v>1074</v>
      </c>
      <c r="E333" s="383" t="s">
        <v>868</v>
      </c>
      <c r="F333" s="383" t="str">
        <f t="shared" si="16"/>
        <v xml:space="preserve">P200009DTexas-New Mexico </v>
      </c>
      <c r="G333" s="496">
        <v>-65750</v>
      </c>
      <c r="H333" s="496">
        <v>65750</v>
      </c>
      <c r="I333" s="496">
        <f t="shared" si="17"/>
        <v>0</v>
      </c>
      <c r="J333" s="496" t="s">
        <v>869</v>
      </c>
    </row>
    <row r="334" spans="1:10" x14ac:dyDescent="0.25">
      <c r="A334" s="383">
        <f t="shared" si="15"/>
        <v>17</v>
      </c>
      <c r="B334" s="383" t="s">
        <v>263</v>
      </c>
      <c r="C334" s="495" t="s">
        <v>987</v>
      </c>
      <c r="D334" s="383" t="s">
        <v>1075</v>
      </c>
      <c r="E334" s="383" t="s">
        <v>868</v>
      </c>
      <c r="F334" s="383" t="str">
        <f t="shared" si="16"/>
        <v>P200009DThe City of Azusa</v>
      </c>
      <c r="G334" s="496">
        <v>2148888.33</v>
      </c>
      <c r="H334" s="496">
        <v>0</v>
      </c>
      <c r="I334" s="496">
        <f t="shared" si="17"/>
        <v>2148888.33</v>
      </c>
      <c r="J334" s="496"/>
    </row>
    <row r="335" spans="1:10" hidden="1" x14ac:dyDescent="0.25">
      <c r="A335" s="383">
        <f t="shared" si="15"/>
        <v>19</v>
      </c>
      <c r="B335" s="383" t="s">
        <v>263</v>
      </c>
      <c r="C335" s="497" t="s">
        <v>987</v>
      </c>
      <c r="D335" s="383" t="s">
        <v>870</v>
      </c>
      <c r="E335" s="383" t="s">
        <v>868</v>
      </c>
      <c r="F335" s="383" t="str">
        <f t="shared" si="16"/>
        <v>P200009DThe Manitoba Hydr</v>
      </c>
      <c r="G335" s="496">
        <v>-1301341</v>
      </c>
      <c r="H335" s="496">
        <v>1301341</v>
      </c>
      <c r="I335" s="496">
        <f t="shared" si="17"/>
        <v>0</v>
      </c>
      <c r="J335" s="496" t="s">
        <v>869</v>
      </c>
    </row>
    <row r="336" spans="1:10" x14ac:dyDescent="0.25">
      <c r="A336" s="383">
        <f t="shared" si="15"/>
        <v>21</v>
      </c>
      <c r="B336" s="487" t="s">
        <v>263</v>
      </c>
      <c r="C336" s="500" t="s">
        <v>987</v>
      </c>
      <c r="D336" s="487" t="s">
        <v>1076</v>
      </c>
      <c r="E336" s="487" t="s">
        <v>868</v>
      </c>
      <c r="F336" s="487" t="str">
        <f t="shared" si="16"/>
        <v>P200009DThe New Power Com</v>
      </c>
      <c r="G336" s="499"/>
      <c r="H336" s="499">
        <f>VLOOKUP(F336,[2]Pivot!$R$20:$S$1359,2,FALSE)</f>
        <v>225920</v>
      </c>
      <c r="I336" s="499">
        <f t="shared" si="17"/>
        <v>225920</v>
      </c>
      <c r="J336" s="499"/>
    </row>
    <row r="337" spans="1:10" x14ac:dyDescent="0.25">
      <c r="A337" s="383">
        <f t="shared" si="15"/>
        <v>22</v>
      </c>
      <c r="B337" s="487" t="s">
        <v>263</v>
      </c>
      <c r="C337" s="500" t="s">
        <v>987</v>
      </c>
      <c r="D337" s="487" t="s">
        <v>907</v>
      </c>
      <c r="E337" s="487" t="s">
        <v>868</v>
      </c>
      <c r="F337" s="487" t="str">
        <f t="shared" si="16"/>
        <v>P200009DTosco Refining Co</v>
      </c>
      <c r="G337" s="499"/>
      <c r="H337" s="499">
        <f>VLOOKUP(F337,[2]Pivot!$R$20:$S$1359,2,FALSE)</f>
        <v>1512241.78</v>
      </c>
      <c r="I337" s="499">
        <f t="shared" si="17"/>
        <v>1512241.78</v>
      </c>
      <c r="J337" s="499"/>
    </row>
    <row r="338" spans="1:10" hidden="1" x14ac:dyDescent="0.25">
      <c r="A338" s="383">
        <f t="shared" si="15"/>
        <v>19</v>
      </c>
      <c r="B338" s="383" t="s">
        <v>263</v>
      </c>
      <c r="C338" s="497" t="s">
        <v>987</v>
      </c>
      <c r="D338" s="383" t="s">
        <v>1077</v>
      </c>
      <c r="E338" s="383" t="s">
        <v>868</v>
      </c>
      <c r="F338" s="383" t="str">
        <f t="shared" si="16"/>
        <v xml:space="preserve">P200009DTractebel Energy </v>
      </c>
      <c r="G338" s="496">
        <v>-86008300</v>
      </c>
      <c r="H338" s="496">
        <v>86008300</v>
      </c>
      <c r="I338" s="496">
        <f t="shared" si="17"/>
        <v>0</v>
      </c>
      <c r="J338" s="496" t="s">
        <v>869</v>
      </c>
    </row>
    <row r="339" spans="1:10" hidden="1" x14ac:dyDescent="0.25">
      <c r="A339" s="383">
        <f t="shared" si="15"/>
        <v>19</v>
      </c>
      <c r="B339" s="383" t="s">
        <v>263</v>
      </c>
      <c r="C339" s="497" t="s">
        <v>987</v>
      </c>
      <c r="D339" s="383" t="s">
        <v>1078</v>
      </c>
      <c r="E339" s="383" t="s">
        <v>868</v>
      </c>
      <c r="F339" s="383" t="str">
        <f t="shared" si="16"/>
        <v xml:space="preserve">P200009DTransAlta Energy </v>
      </c>
      <c r="G339" s="496">
        <v>-28536284</v>
      </c>
      <c r="H339" s="496">
        <v>28536284</v>
      </c>
      <c r="I339" s="496">
        <f t="shared" si="17"/>
        <v>0</v>
      </c>
      <c r="J339" s="496" t="s">
        <v>869</v>
      </c>
    </row>
    <row r="340" spans="1:10" hidden="1" x14ac:dyDescent="0.25">
      <c r="A340" s="383">
        <f t="shared" si="15"/>
        <v>19</v>
      </c>
      <c r="B340" s="383" t="s">
        <v>263</v>
      </c>
      <c r="C340" s="497" t="s">
        <v>987</v>
      </c>
      <c r="D340" s="383" t="s">
        <v>1079</v>
      </c>
      <c r="E340" s="383" t="s">
        <v>868</v>
      </c>
      <c r="F340" s="383" t="str">
        <f t="shared" si="16"/>
        <v>P200009DTranscanada Power</v>
      </c>
      <c r="G340" s="496">
        <v>-386000</v>
      </c>
      <c r="H340" s="496">
        <v>386000</v>
      </c>
      <c r="I340" s="496">
        <f t="shared" si="17"/>
        <v>0</v>
      </c>
      <c r="J340" s="496" t="s">
        <v>869</v>
      </c>
    </row>
    <row r="341" spans="1:10" hidden="1" x14ac:dyDescent="0.25">
      <c r="A341" s="383">
        <f t="shared" si="15"/>
        <v>18</v>
      </c>
      <c r="B341" s="383" t="s">
        <v>263</v>
      </c>
      <c r="C341" s="497" t="s">
        <v>987</v>
      </c>
      <c r="D341" s="383" t="s">
        <v>1080</v>
      </c>
      <c r="E341" s="383" t="s">
        <v>868</v>
      </c>
      <c r="F341" s="383" t="str">
        <f t="shared" si="16"/>
        <v>P200009DTransCanada Power</v>
      </c>
      <c r="G341" s="496">
        <v>-3695000</v>
      </c>
      <c r="H341" s="496">
        <v>3695000</v>
      </c>
      <c r="I341" s="496">
        <f t="shared" si="17"/>
        <v>0</v>
      </c>
      <c r="J341" s="496" t="s">
        <v>869</v>
      </c>
    </row>
    <row r="342" spans="1:10" hidden="1" x14ac:dyDescent="0.25">
      <c r="A342" s="383">
        <f t="shared" si="15"/>
        <v>19</v>
      </c>
      <c r="B342" s="383" t="s">
        <v>263</v>
      </c>
      <c r="C342" s="497" t="s">
        <v>987</v>
      </c>
      <c r="D342" s="383" t="s">
        <v>1081</v>
      </c>
      <c r="E342" s="383" t="s">
        <v>868</v>
      </c>
      <c r="F342" s="383" t="str">
        <f t="shared" si="16"/>
        <v>P200009DTri-State Generat</v>
      </c>
      <c r="G342" s="496">
        <v>-250760</v>
      </c>
      <c r="H342" s="496">
        <v>250760</v>
      </c>
      <c r="I342" s="496">
        <f t="shared" si="17"/>
        <v>0</v>
      </c>
      <c r="J342" s="496" t="s">
        <v>869</v>
      </c>
    </row>
    <row r="343" spans="1:10" hidden="1" x14ac:dyDescent="0.25">
      <c r="A343" s="383">
        <f t="shared" si="15"/>
        <v>19</v>
      </c>
      <c r="B343" s="383" t="s">
        <v>263</v>
      </c>
      <c r="C343" s="497" t="s">
        <v>987</v>
      </c>
      <c r="D343" s="383" t="s">
        <v>915</v>
      </c>
      <c r="E343" s="383" t="s">
        <v>868</v>
      </c>
      <c r="F343" s="383" t="str">
        <f t="shared" si="16"/>
        <v>P200009DUnited Illuminati</v>
      </c>
      <c r="G343" s="496">
        <v>11510.400000000092</v>
      </c>
      <c r="H343" s="496">
        <v>-11510.4</v>
      </c>
      <c r="I343" s="496">
        <f t="shared" si="17"/>
        <v>0</v>
      </c>
      <c r="J343" s="496" t="s">
        <v>869</v>
      </c>
    </row>
    <row r="344" spans="1:10" hidden="1" x14ac:dyDescent="0.25">
      <c r="A344" s="383">
        <f t="shared" si="15"/>
        <v>19</v>
      </c>
      <c r="B344" s="383" t="s">
        <v>263</v>
      </c>
      <c r="C344" s="497" t="s">
        <v>987</v>
      </c>
      <c r="D344" s="383" t="s">
        <v>877</v>
      </c>
      <c r="E344" s="383" t="s">
        <v>868</v>
      </c>
      <c r="F344" s="383" t="str">
        <f t="shared" si="16"/>
        <v>P200009DUnited Power Asso</v>
      </c>
      <c r="G344" s="496">
        <v>-5370</v>
      </c>
      <c r="H344" s="496">
        <v>5370</v>
      </c>
      <c r="I344" s="496">
        <f t="shared" si="17"/>
        <v>0</v>
      </c>
      <c r="J344" s="496" t="s">
        <v>869</v>
      </c>
    </row>
    <row r="345" spans="1:10" hidden="1" x14ac:dyDescent="0.25">
      <c r="A345" s="383">
        <f t="shared" si="15"/>
        <v>19</v>
      </c>
      <c r="B345" s="383" t="s">
        <v>263</v>
      </c>
      <c r="C345" s="497" t="s">
        <v>987</v>
      </c>
      <c r="D345" s="383" t="s">
        <v>1082</v>
      </c>
      <c r="E345" s="383" t="s">
        <v>868</v>
      </c>
      <c r="F345" s="383" t="str">
        <f t="shared" si="16"/>
        <v>P200009DValley Electric A</v>
      </c>
      <c r="G345" s="496">
        <v>-925022.86</v>
      </c>
      <c r="H345" s="496">
        <v>925022.86</v>
      </c>
      <c r="I345" s="496">
        <f t="shared" si="17"/>
        <v>0</v>
      </c>
      <c r="J345" s="496" t="s">
        <v>869</v>
      </c>
    </row>
    <row r="346" spans="1:10" hidden="1" x14ac:dyDescent="0.25">
      <c r="A346" s="383">
        <f t="shared" si="15"/>
        <v>19</v>
      </c>
      <c r="B346" s="383" t="s">
        <v>263</v>
      </c>
      <c r="C346" s="497" t="s">
        <v>987</v>
      </c>
      <c r="D346" s="383" t="s">
        <v>872</v>
      </c>
      <c r="E346" s="383" t="s">
        <v>868</v>
      </c>
      <c r="F346" s="383" t="str">
        <f t="shared" si="16"/>
        <v>P200009DVirginia Electric</v>
      </c>
      <c r="G346" s="496">
        <v>-23699033.5</v>
      </c>
      <c r="H346" s="496">
        <v>23699033.5</v>
      </c>
      <c r="I346" s="496">
        <f t="shared" si="17"/>
        <v>0</v>
      </c>
      <c r="J346" s="496" t="s">
        <v>869</v>
      </c>
    </row>
    <row r="347" spans="1:10" x14ac:dyDescent="0.25">
      <c r="A347" s="383">
        <f t="shared" si="15"/>
        <v>19</v>
      </c>
      <c r="B347" s="383" t="s">
        <v>263</v>
      </c>
      <c r="C347" s="495" t="s">
        <v>987</v>
      </c>
      <c r="D347" s="383" t="s">
        <v>1083</v>
      </c>
      <c r="E347" s="383" t="s">
        <v>868</v>
      </c>
      <c r="F347" s="383" t="str">
        <f t="shared" si="16"/>
        <v>P200009DWabash Valley Pow</v>
      </c>
      <c r="G347" s="496">
        <v>-421600</v>
      </c>
      <c r="H347" s="496">
        <v>436800</v>
      </c>
      <c r="I347" s="496">
        <f t="shared" si="17"/>
        <v>15200</v>
      </c>
      <c r="J347" s="496"/>
    </row>
    <row r="348" spans="1:10" hidden="1" x14ac:dyDescent="0.25">
      <c r="A348" s="383">
        <f t="shared" si="15"/>
        <v>18</v>
      </c>
      <c r="B348" s="383" t="s">
        <v>263</v>
      </c>
      <c r="C348" s="497" t="s">
        <v>987</v>
      </c>
      <c r="D348" s="383" t="s">
        <v>924</v>
      </c>
      <c r="E348" s="383" t="s">
        <v>868</v>
      </c>
      <c r="F348" s="383" t="str">
        <f t="shared" si="16"/>
        <v>P200009DWestern Area Powe</v>
      </c>
      <c r="G348" s="496">
        <v>-101050</v>
      </c>
      <c r="H348" s="496">
        <v>101050</v>
      </c>
      <c r="I348" s="496">
        <f t="shared" si="17"/>
        <v>0</v>
      </c>
      <c r="J348" s="496" t="s">
        <v>869</v>
      </c>
    </row>
    <row r="349" spans="1:10" hidden="1" x14ac:dyDescent="0.25">
      <c r="A349" s="383">
        <f t="shared" si="15"/>
        <v>19</v>
      </c>
      <c r="B349" s="383" t="s">
        <v>263</v>
      </c>
      <c r="C349" s="497" t="s">
        <v>987</v>
      </c>
      <c r="D349" s="383" t="s">
        <v>1084</v>
      </c>
      <c r="E349" s="383" t="s">
        <v>868</v>
      </c>
      <c r="F349" s="383" t="str">
        <f t="shared" si="16"/>
        <v>P200009DWestern Farmers E</v>
      </c>
      <c r="G349" s="496">
        <v>-8385</v>
      </c>
      <c r="H349" s="496">
        <v>8385</v>
      </c>
      <c r="I349" s="496">
        <f t="shared" si="17"/>
        <v>0</v>
      </c>
      <c r="J349" s="496" t="s">
        <v>869</v>
      </c>
    </row>
    <row r="350" spans="1:10" x14ac:dyDescent="0.25">
      <c r="A350" s="383">
        <f t="shared" si="15"/>
        <v>22</v>
      </c>
      <c r="B350" s="487" t="s">
        <v>263</v>
      </c>
      <c r="C350" s="500" t="s">
        <v>987</v>
      </c>
      <c r="D350" s="487" t="s">
        <v>1085</v>
      </c>
      <c r="E350" s="487" t="s">
        <v>868</v>
      </c>
      <c r="F350" s="487" t="str">
        <f t="shared" si="16"/>
        <v>P200009DWestern Resources</v>
      </c>
      <c r="G350" s="499"/>
      <c r="H350" s="499">
        <f>VLOOKUP(F350,[2]Pivot!$R$20:$S$1359,2,FALSE)</f>
        <v>12324800</v>
      </c>
      <c r="I350" s="499">
        <f t="shared" si="17"/>
        <v>12324800</v>
      </c>
      <c r="J350" s="499"/>
    </row>
    <row r="351" spans="1:10" hidden="1" x14ac:dyDescent="0.25">
      <c r="A351" s="383">
        <f t="shared" si="15"/>
        <v>19</v>
      </c>
      <c r="B351" s="383" t="s">
        <v>263</v>
      </c>
      <c r="C351" s="497" t="s">
        <v>987</v>
      </c>
      <c r="D351" s="383" t="s">
        <v>1086</v>
      </c>
      <c r="E351" s="383" t="s">
        <v>868</v>
      </c>
      <c r="F351" s="383" t="str">
        <f t="shared" si="16"/>
        <v>P200009DWheelabrator Mart</v>
      </c>
      <c r="G351" s="496">
        <v>-874510.58</v>
      </c>
      <c r="H351" s="496">
        <v>874510.58</v>
      </c>
      <c r="I351" s="496">
        <f t="shared" si="17"/>
        <v>0</v>
      </c>
      <c r="J351" s="496" t="s">
        <v>869</v>
      </c>
    </row>
    <row r="352" spans="1:10" hidden="1" x14ac:dyDescent="0.25">
      <c r="A352" s="383">
        <f t="shared" si="15"/>
        <v>19</v>
      </c>
      <c r="B352" s="383" t="s">
        <v>263</v>
      </c>
      <c r="C352" s="497" t="s">
        <v>987</v>
      </c>
      <c r="D352" s="383" t="s">
        <v>954</v>
      </c>
      <c r="E352" s="383" t="s">
        <v>868</v>
      </c>
      <c r="F352" s="383" t="str">
        <f t="shared" si="16"/>
        <v>P200009DWillamette Indust</v>
      </c>
      <c r="G352" s="496">
        <v>-527813.86</v>
      </c>
      <c r="H352" s="496">
        <v>527813.86</v>
      </c>
      <c r="I352" s="496">
        <f t="shared" si="17"/>
        <v>0</v>
      </c>
      <c r="J352" s="496" t="s">
        <v>869</v>
      </c>
    </row>
    <row r="353" spans="1:10" hidden="1" x14ac:dyDescent="0.25">
      <c r="A353" s="383">
        <f t="shared" si="15"/>
        <v>19</v>
      </c>
      <c r="B353" s="383" t="s">
        <v>263</v>
      </c>
      <c r="C353" s="497" t="s">
        <v>987</v>
      </c>
      <c r="D353" s="383" t="s">
        <v>1087</v>
      </c>
      <c r="E353" s="383" t="s">
        <v>868</v>
      </c>
      <c r="F353" s="383" t="str">
        <f t="shared" si="16"/>
        <v>P200009DWilliams Energy M</v>
      </c>
      <c r="G353" s="496">
        <v>-107360261.5</v>
      </c>
      <c r="H353" s="496">
        <v>107360261.5</v>
      </c>
      <c r="I353" s="496">
        <f t="shared" si="17"/>
        <v>0</v>
      </c>
      <c r="J353" s="496" t="s">
        <v>869</v>
      </c>
    </row>
    <row r="354" spans="1:10" hidden="1" x14ac:dyDescent="0.25">
      <c r="A354" s="383">
        <f t="shared" si="15"/>
        <v>18</v>
      </c>
      <c r="B354" s="383" t="s">
        <v>263</v>
      </c>
      <c r="C354" s="497" t="s">
        <v>987</v>
      </c>
      <c r="D354" s="383" t="s">
        <v>1088</v>
      </c>
      <c r="E354" s="383" t="s">
        <v>868</v>
      </c>
      <c r="F354" s="383" t="str">
        <f t="shared" si="16"/>
        <v>P200009DWisconsin Electri</v>
      </c>
      <c r="G354" s="496">
        <v>-15600</v>
      </c>
      <c r="H354" s="496">
        <v>15600</v>
      </c>
      <c r="I354" s="496">
        <f t="shared" si="17"/>
        <v>0</v>
      </c>
      <c r="J354" s="496" t="s">
        <v>869</v>
      </c>
    </row>
    <row r="355" spans="1:10" hidden="1" x14ac:dyDescent="0.25">
      <c r="A355" s="383">
        <f t="shared" si="15"/>
        <v>19</v>
      </c>
      <c r="B355" s="383" t="s">
        <v>263</v>
      </c>
      <c r="C355" s="497" t="s">
        <v>987</v>
      </c>
      <c r="D355" s="383" t="s">
        <v>1089</v>
      </c>
      <c r="E355" s="383" t="s">
        <v>868</v>
      </c>
      <c r="F355" s="383" t="str">
        <f t="shared" si="16"/>
        <v xml:space="preserve">P200009DWisconsin Public </v>
      </c>
      <c r="G355" s="496">
        <v>-73320</v>
      </c>
      <c r="H355" s="496">
        <v>73320</v>
      </c>
      <c r="I355" s="496">
        <f t="shared" si="17"/>
        <v>0</v>
      </c>
      <c r="J355" s="496" t="s">
        <v>869</v>
      </c>
    </row>
    <row r="356" spans="1:10" hidden="1" x14ac:dyDescent="0.25">
      <c r="A356" s="383">
        <f t="shared" si="15"/>
        <v>19</v>
      </c>
      <c r="B356" s="383" t="s">
        <v>263</v>
      </c>
      <c r="C356" s="497" t="s">
        <v>987</v>
      </c>
      <c r="D356" s="383" t="s">
        <v>1090</v>
      </c>
      <c r="E356" s="383" t="s">
        <v>868</v>
      </c>
      <c r="F356" s="383" t="str">
        <f t="shared" si="16"/>
        <v>P200009DWPS Energy Servic</v>
      </c>
      <c r="G356" s="496">
        <v>-221000</v>
      </c>
      <c r="H356" s="496">
        <v>221000</v>
      </c>
      <c r="I356" s="496">
        <f t="shared" si="17"/>
        <v>0</v>
      </c>
      <c r="J356" s="496" t="s">
        <v>869</v>
      </c>
    </row>
    <row r="357" spans="1:10" hidden="1" x14ac:dyDescent="0.25">
      <c r="A357" s="383">
        <f t="shared" si="15"/>
        <v>20</v>
      </c>
      <c r="B357" s="383" t="s">
        <v>263</v>
      </c>
      <c r="C357" s="497" t="s">
        <v>987</v>
      </c>
      <c r="D357" s="383" t="s">
        <v>1091</v>
      </c>
      <c r="E357" s="383" t="s">
        <v>887</v>
      </c>
      <c r="F357" s="383" t="str">
        <f t="shared" si="16"/>
        <v xml:space="preserve">P200009FAlabama Electric </v>
      </c>
      <c r="G357" s="496">
        <v>8840</v>
      </c>
      <c r="H357" s="496">
        <v>-8840</v>
      </c>
      <c r="I357" s="496">
        <f t="shared" si="17"/>
        <v>0</v>
      </c>
      <c r="J357" s="496" t="s">
        <v>869</v>
      </c>
    </row>
    <row r="358" spans="1:10" hidden="1" x14ac:dyDescent="0.25">
      <c r="A358" s="383">
        <f t="shared" si="15"/>
        <v>20</v>
      </c>
      <c r="B358" s="383" t="s">
        <v>263</v>
      </c>
      <c r="C358" s="497" t="s">
        <v>987</v>
      </c>
      <c r="D358" s="383" t="s">
        <v>1092</v>
      </c>
      <c r="E358" s="383" t="s">
        <v>887</v>
      </c>
      <c r="F358" s="383" t="str">
        <f t="shared" si="16"/>
        <v xml:space="preserve">P200009FAllegheny Energy </v>
      </c>
      <c r="G358" s="496">
        <v>30050021</v>
      </c>
      <c r="H358" s="496">
        <v>-30050021</v>
      </c>
      <c r="I358" s="496">
        <f t="shared" si="17"/>
        <v>0</v>
      </c>
      <c r="J358" s="496" t="s">
        <v>869</v>
      </c>
    </row>
    <row r="359" spans="1:10" hidden="1" x14ac:dyDescent="0.25">
      <c r="A359" s="383">
        <f t="shared" si="15"/>
        <v>39</v>
      </c>
      <c r="B359" s="487" t="s">
        <v>263</v>
      </c>
      <c r="C359" s="498" t="s">
        <v>987</v>
      </c>
      <c r="D359" s="487" t="s">
        <v>1093</v>
      </c>
      <c r="E359" s="487" t="s">
        <v>887</v>
      </c>
      <c r="F359" s="487" t="str">
        <f t="shared" si="16"/>
        <v>P200009FAlliant Energy Co</v>
      </c>
      <c r="G359" s="499"/>
      <c r="H359" s="499">
        <f>VLOOKUP(F359,[2]Pivot!$R$20:$S$1359,2,FALSE)</f>
        <v>-20850</v>
      </c>
      <c r="I359" s="499">
        <f t="shared" si="17"/>
        <v>-20850</v>
      </c>
      <c r="J359" s="499" t="s">
        <v>890</v>
      </c>
    </row>
    <row r="360" spans="1:10" hidden="1" x14ac:dyDescent="0.25">
      <c r="A360" s="383">
        <f t="shared" si="15"/>
        <v>20</v>
      </c>
      <c r="B360" s="383" t="s">
        <v>263</v>
      </c>
      <c r="C360" s="497" t="s">
        <v>987</v>
      </c>
      <c r="D360" s="383" t="s">
        <v>1094</v>
      </c>
      <c r="E360" s="383" t="s">
        <v>887</v>
      </c>
      <c r="F360" s="383" t="str">
        <f t="shared" si="16"/>
        <v xml:space="preserve">P200009FAlliant Services </v>
      </c>
      <c r="G360" s="496">
        <v>20850</v>
      </c>
      <c r="H360" s="496"/>
      <c r="I360" s="496">
        <f t="shared" si="17"/>
        <v>20850</v>
      </c>
      <c r="J360" s="499" t="s">
        <v>890</v>
      </c>
    </row>
    <row r="361" spans="1:10" hidden="1" x14ac:dyDescent="0.25">
      <c r="A361" s="383">
        <f t="shared" si="15"/>
        <v>20</v>
      </c>
      <c r="B361" s="383" t="s">
        <v>263</v>
      </c>
      <c r="C361" s="497" t="s">
        <v>987</v>
      </c>
      <c r="D361" s="383" t="s">
        <v>1095</v>
      </c>
      <c r="E361" s="383" t="s">
        <v>887</v>
      </c>
      <c r="F361" s="383" t="str">
        <f t="shared" si="16"/>
        <v>P200009FAlternate Power S</v>
      </c>
      <c r="G361" s="496">
        <v>265000</v>
      </c>
      <c r="H361" s="496">
        <v>-265000</v>
      </c>
      <c r="I361" s="496">
        <f t="shared" si="17"/>
        <v>0</v>
      </c>
      <c r="J361" s="496" t="s">
        <v>869</v>
      </c>
    </row>
    <row r="362" spans="1:10" hidden="1" x14ac:dyDescent="0.25">
      <c r="A362" s="383">
        <f t="shared" si="15"/>
        <v>20</v>
      </c>
      <c r="B362" s="383" t="s">
        <v>263</v>
      </c>
      <c r="C362" s="497" t="s">
        <v>987</v>
      </c>
      <c r="D362" s="383" t="s">
        <v>1096</v>
      </c>
      <c r="E362" s="383" t="s">
        <v>887</v>
      </c>
      <c r="F362" s="383" t="str">
        <f t="shared" si="16"/>
        <v>P200009FAmerada Hess Corp</v>
      </c>
      <c r="G362" s="496">
        <v>24900</v>
      </c>
      <c r="H362" s="496">
        <v>-24900</v>
      </c>
      <c r="I362" s="496">
        <f t="shared" si="17"/>
        <v>0</v>
      </c>
      <c r="J362" s="496" t="s">
        <v>869</v>
      </c>
    </row>
    <row r="363" spans="1:10" hidden="1" x14ac:dyDescent="0.25">
      <c r="A363" s="383">
        <f t="shared" si="15"/>
        <v>20</v>
      </c>
      <c r="B363" s="383" t="s">
        <v>263</v>
      </c>
      <c r="C363" s="497" t="s">
        <v>987</v>
      </c>
      <c r="D363" s="383" t="s">
        <v>1097</v>
      </c>
      <c r="E363" s="383" t="s">
        <v>887</v>
      </c>
      <c r="F363" s="383" t="str">
        <f t="shared" si="16"/>
        <v>P200009FAmeren Energy, In</v>
      </c>
      <c r="G363" s="496">
        <v>3034995.5</v>
      </c>
      <c r="H363" s="496">
        <v>-3034995.5</v>
      </c>
      <c r="I363" s="496">
        <f t="shared" si="17"/>
        <v>0</v>
      </c>
      <c r="J363" s="496" t="s">
        <v>869</v>
      </c>
    </row>
    <row r="364" spans="1:10" hidden="1" x14ac:dyDescent="0.25">
      <c r="A364" s="383">
        <f t="shared" si="15"/>
        <v>20</v>
      </c>
      <c r="B364" s="383" t="s">
        <v>263</v>
      </c>
      <c r="C364" s="497" t="s">
        <v>987</v>
      </c>
      <c r="D364" s="383" t="s">
        <v>886</v>
      </c>
      <c r="E364" s="383" t="s">
        <v>887</v>
      </c>
      <c r="F364" s="383" t="str">
        <f t="shared" si="16"/>
        <v>P200009FAmerican Electric</v>
      </c>
      <c r="G364" s="496">
        <v>386773107.09000003</v>
      </c>
      <c r="H364" s="496">
        <v>-386773107.08999997</v>
      </c>
      <c r="I364" s="496">
        <f t="shared" si="17"/>
        <v>0</v>
      </c>
      <c r="J364" s="496" t="s">
        <v>869</v>
      </c>
    </row>
    <row r="365" spans="1:10" hidden="1" x14ac:dyDescent="0.25">
      <c r="A365" s="383">
        <f t="shared" si="15"/>
        <v>20</v>
      </c>
      <c r="B365" s="383" t="s">
        <v>263</v>
      </c>
      <c r="C365" s="497" t="s">
        <v>987</v>
      </c>
      <c r="D365" s="383" t="s">
        <v>943</v>
      </c>
      <c r="E365" s="383" t="s">
        <v>887</v>
      </c>
      <c r="F365" s="383" t="str">
        <f t="shared" si="16"/>
        <v>P200009FAquila Energy Mar</v>
      </c>
      <c r="G365" s="496">
        <v>263100360.94999999</v>
      </c>
      <c r="H365" s="496">
        <v>-263100360.94999999</v>
      </c>
      <c r="I365" s="496">
        <f t="shared" si="17"/>
        <v>0</v>
      </c>
      <c r="J365" s="496" t="s">
        <v>869</v>
      </c>
    </row>
    <row r="366" spans="1:10" hidden="1" x14ac:dyDescent="0.25">
      <c r="A366" s="383">
        <f t="shared" si="15"/>
        <v>20</v>
      </c>
      <c r="B366" s="383" t="s">
        <v>263</v>
      </c>
      <c r="C366" s="497" t="s">
        <v>987</v>
      </c>
      <c r="D366" s="383" t="s">
        <v>1098</v>
      </c>
      <c r="E366" s="383" t="s">
        <v>887</v>
      </c>
      <c r="F366" s="383" t="str">
        <f t="shared" si="16"/>
        <v xml:space="preserve">P200009FArizona Electric </v>
      </c>
      <c r="G366" s="496">
        <v>5700</v>
      </c>
      <c r="H366" s="496">
        <v>-5700</v>
      </c>
      <c r="I366" s="496">
        <f t="shared" si="17"/>
        <v>0</v>
      </c>
      <c r="J366" s="496" t="s">
        <v>869</v>
      </c>
    </row>
    <row r="367" spans="1:10" hidden="1" x14ac:dyDescent="0.25">
      <c r="A367" s="383">
        <f t="shared" si="15"/>
        <v>20</v>
      </c>
      <c r="B367" s="383" t="s">
        <v>263</v>
      </c>
      <c r="C367" s="497" t="s">
        <v>987</v>
      </c>
      <c r="D367" s="383" t="s">
        <v>897</v>
      </c>
      <c r="E367" s="383" t="s">
        <v>887</v>
      </c>
      <c r="F367" s="383" t="str">
        <f t="shared" si="16"/>
        <v>P200009FArizona Public Se</v>
      </c>
      <c r="G367" s="496">
        <v>48.75</v>
      </c>
      <c r="H367" s="496">
        <v>-48.75</v>
      </c>
      <c r="I367" s="496">
        <f t="shared" si="17"/>
        <v>0</v>
      </c>
      <c r="J367" s="496" t="s">
        <v>869</v>
      </c>
    </row>
    <row r="368" spans="1:10" hidden="1" x14ac:dyDescent="0.25">
      <c r="A368" s="383">
        <f t="shared" si="15"/>
        <v>19</v>
      </c>
      <c r="B368" s="383" t="s">
        <v>263</v>
      </c>
      <c r="C368" s="497" t="s">
        <v>987</v>
      </c>
      <c r="D368" s="383" t="s">
        <v>996</v>
      </c>
      <c r="E368" s="383" t="s">
        <v>887</v>
      </c>
      <c r="F368" s="383" t="str">
        <f t="shared" si="16"/>
        <v>P200009FAssociated Electr</v>
      </c>
      <c r="G368" s="496">
        <v>59395</v>
      </c>
      <c r="H368" s="496">
        <v>-59395</v>
      </c>
      <c r="I368" s="496">
        <f t="shared" si="17"/>
        <v>0</v>
      </c>
      <c r="J368" s="496" t="s">
        <v>869</v>
      </c>
    </row>
    <row r="369" spans="1:10" hidden="1" x14ac:dyDescent="0.25">
      <c r="A369" s="383">
        <f t="shared" si="15"/>
        <v>20</v>
      </c>
      <c r="B369" s="383" t="s">
        <v>263</v>
      </c>
      <c r="C369" s="497" t="s">
        <v>987</v>
      </c>
      <c r="D369" s="383" t="s">
        <v>1099</v>
      </c>
      <c r="E369" s="383" t="s">
        <v>887</v>
      </c>
      <c r="F369" s="383" t="str">
        <f t="shared" si="16"/>
        <v>P200009FAtlantic City Ele</v>
      </c>
      <c r="G369" s="496">
        <v>660800</v>
      </c>
      <c r="H369" s="496">
        <v>-660800</v>
      </c>
      <c r="I369" s="496">
        <f t="shared" si="17"/>
        <v>0</v>
      </c>
      <c r="J369" s="496" t="s">
        <v>869</v>
      </c>
    </row>
    <row r="370" spans="1:10" hidden="1" x14ac:dyDescent="0.25">
      <c r="A370" s="383">
        <f t="shared" si="15"/>
        <v>20</v>
      </c>
      <c r="B370" s="383" t="s">
        <v>263</v>
      </c>
      <c r="C370" s="497" t="s">
        <v>987</v>
      </c>
      <c r="D370" s="383" t="s">
        <v>1100</v>
      </c>
      <c r="E370" s="383" t="s">
        <v>887</v>
      </c>
      <c r="F370" s="383" t="str">
        <f t="shared" si="16"/>
        <v>P200009FAtlantic Richfiel</v>
      </c>
      <c r="G370" s="496">
        <v>2114197.41</v>
      </c>
      <c r="H370" s="496">
        <v>-2114197.41</v>
      </c>
      <c r="I370" s="496">
        <f t="shared" si="17"/>
        <v>0</v>
      </c>
      <c r="J370" s="496" t="s">
        <v>869</v>
      </c>
    </row>
    <row r="371" spans="1:10" hidden="1" x14ac:dyDescent="0.25">
      <c r="A371" s="383">
        <f t="shared" si="15"/>
        <v>20</v>
      </c>
      <c r="B371" s="383" t="s">
        <v>263</v>
      </c>
      <c r="C371" s="497" t="s">
        <v>987</v>
      </c>
      <c r="D371" s="383" t="s">
        <v>973</v>
      </c>
      <c r="E371" s="383" t="s">
        <v>887</v>
      </c>
      <c r="F371" s="383" t="str">
        <f t="shared" si="16"/>
        <v xml:space="preserve">P200009FBonneville Power </v>
      </c>
      <c r="G371" s="496">
        <v>20142786.989999998</v>
      </c>
      <c r="H371" s="496">
        <v>-20142786.989999998</v>
      </c>
      <c r="I371" s="496">
        <f t="shared" si="17"/>
        <v>0</v>
      </c>
      <c r="J371" s="496" t="s">
        <v>869</v>
      </c>
    </row>
    <row r="372" spans="1:10" hidden="1" x14ac:dyDescent="0.25">
      <c r="A372" s="383">
        <f t="shared" si="15"/>
        <v>17</v>
      </c>
      <c r="B372" s="383" t="s">
        <v>263</v>
      </c>
      <c r="C372" s="497" t="s">
        <v>987</v>
      </c>
      <c r="D372" s="383" t="s">
        <v>1000</v>
      </c>
      <c r="E372" s="383" t="s">
        <v>887</v>
      </c>
      <c r="F372" s="383" t="str">
        <f t="shared" si="16"/>
        <v>P200009FBP Energy Company</v>
      </c>
      <c r="G372" s="496">
        <v>40105600</v>
      </c>
      <c r="H372" s="496">
        <v>-40105600</v>
      </c>
      <c r="I372" s="496">
        <f t="shared" si="17"/>
        <v>0</v>
      </c>
      <c r="J372" s="496" t="s">
        <v>869</v>
      </c>
    </row>
    <row r="373" spans="1:10" hidden="1" x14ac:dyDescent="0.25">
      <c r="A373" s="383">
        <f t="shared" si="15"/>
        <v>18</v>
      </c>
      <c r="B373" s="383" t="s">
        <v>263</v>
      </c>
      <c r="C373" s="497" t="s">
        <v>987</v>
      </c>
      <c r="D373" s="383" t="s">
        <v>959</v>
      </c>
      <c r="E373" s="383" t="s">
        <v>887</v>
      </c>
      <c r="F373" s="383" t="str">
        <f t="shared" si="16"/>
        <v>P200009FCalifornia Supple</v>
      </c>
      <c r="G373" s="496">
        <v>0</v>
      </c>
      <c r="H373" s="496"/>
      <c r="I373" s="496">
        <f t="shared" si="17"/>
        <v>0</v>
      </c>
      <c r="J373" s="496" t="s">
        <v>869</v>
      </c>
    </row>
    <row r="374" spans="1:10" hidden="1" x14ac:dyDescent="0.25">
      <c r="A374" s="383">
        <f t="shared" si="15"/>
        <v>20</v>
      </c>
      <c r="B374" s="383" t="s">
        <v>263</v>
      </c>
      <c r="C374" s="497" t="s">
        <v>987</v>
      </c>
      <c r="D374" s="383" t="s">
        <v>1101</v>
      </c>
      <c r="E374" s="383" t="s">
        <v>887</v>
      </c>
      <c r="F374" s="383" t="str">
        <f t="shared" si="16"/>
        <v>P200009FCalpine Power Ser</v>
      </c>
      <c r="G374" s="496">
        <v>4674700</v>
      </c>
      <c r="H374" s="496">
        <v>-4674700</v>
      </c>
      <c r="I374" s="496">
        <f t="shared" si="17"/>
        <v>0</v>
      </c>
      <c r="J374" s="496" t="s">
        <v>869</v>
      </c>
    </row>
    <row r="375" spans="1:10" hidden="1" x14ac:dyDescent="0.25">
      <c r="A375" s="383">
        <f t="shared" si="15"/>
        <v>20</v>
      </c>
      <c r="B375" s="383" t="s">
        <v>263</v>
      </c>
      <c r="C375" s="497" t="s">
        <v>987</v>
      </c>
      <c r="D375" s="383" t="s">
        <v>1002</v>
      </c>
      <c r="E375" s="383" t="s">
        <v>887</v>
      </c>
      <c r="F375" s="383" t="str">
        <f t="shared" si="16"/>
        <v xml:space="preserve">P200009FCargill-Alliant, </v>
      </c>
      <c r="G375" s="496">
        <v>2582200</v>
      </c>
      <c r="H375" s="496">
        <v>-2582200</v>
      </c>
      <c r="I375" s="496">
        <f t="shared" si="17"/>
        <v>0</v>
      </c>
      <c r="J375" s="496" t="s">
        <v>869</v>
      </c>
    </row>
    <row r="376" spans="1:10" hidden="1" x14ac:dyDescent="0.25">
      <c r="A376" s="383">
        <f t="shared" si="15"/>
        <v>20</v>
      </c>
      <c r="B376" s="383" t="s">
        <v>263</v>
      </c>
      <c r="C376" s="497" t="s">
        <v>987</v>
      </c>
      <c r="D376" s="383" t="s">
        <v>1102</v>
      </c>
      <c r="E376" s="383" t="s">
        <v>887</v>
      </c>
      <c r="F376" s="383" t="str">
        <f t="shared" si="16"/>
        <v xml:space="preserve">P200009FCarolina Power &amp; </v>
      </c>
      <c r="G376" s="496">
        <v>1970400</v>
      </c>
      <c r="H376" s="496">
        <v>-1970400</v>
      </c>
      <c r="I376" s="496">
        <f t="shared" si="17"/>
        <v>0</v>
      </c>
      <c r="J376" s="496" t="s">
        <v>869</v>
      </c>
    </row>
    <row r="377" spans="1:10" hidden="1" x14ac:dyDescent="0.25">
      <c r="A377" s="383">
        <f t="shared" si="15"/>
        <v>20</v>
      </c>
      <c r="B377" s="383" t="s">
        <v>263</v>
      </c>
      <c r="C377" s="497" t="s">
        <v>987</v>
      </c>
      <c r="D377" s="383" t="s">
        <v>1103</v>
      </c>
      <c r="E377" s="383" t="s">
        <v>887</v>
      </c>
      <c r="F377" s="383" t="str">
        <f t="shared" si="16"/>
        <v xml:space="preserve">P200009FCentral Illinois </v>
      </c>
      <c r="G377" s="496">
        <v>1500</v>
      </c>
      <c r="H377" s="496">
        <v>-1500</v>
      </c>
      <c r="I377" s="496">
        <f t="shared" si="17"/>
        <v>0</v>
      </c>
      <c r="J377" s="496" t="s">
        <v>869</v>
      </c>
    </row>
    <row r="378" spans="1:10" hidden="1" x14ac:dyDescent="0.25">
      <c r="A378" s="383">
        <f t="shared" si="15"/>
        <v>20</v>
      </c>
      <c r="B378" s="383" t="s">
        <v>263</v>
      </c>
      <c r="C378" s="497" t="s">
        <v>987</v>
      </c>
      <c r="D378" s="383" t="s">
        <v>1104</v>
      </c>
      <c r="E378" s="383" t="s">
        <v>887</v>
      </c>
      <c r="F378" s="383" t="str">
        <f t="shared" si="16"/>
        <v>P200009FCinergy Services,</v>
      </c>
      <c r="G378" s="496">
        <v>41954780.509999998</v>
      </c>
      <c r="H378" s="496">
        <v>-41954780.509999998</v>
      </c>
      <c r="I378" s="496">
        <f t="shared" si="17"/>
        <v>0</v>
      </c>
      <c r="J378" s="496" t="s">
        <v>869</v>
      </c>
    </row>
    <row r="379" spans="1:10" hidden="1" x14ac:dyDescent="0.25">
      <c r="A379" s="383">
        <f t="shared" si="15"/>
        <v>15</v>
      </c>
      <c r="B379" s="383" t="s">
        <v>263</v>
      </c>
      <c r="C379" s="497" t="s">
        <v>987</v>
      </c>
      <c r="D379" s="383" t="s">
        <v>911</v>
      </c>
      <c r="E379" s="383" t="s">
        <v>887</v>
      </c>
      <c r="F379" s="383" t="str">
        <f t="shared" si="16"/>
        <v>P200009FCity of Redding</v>
      </c>
      <c r="G379" s="496">
        <v>2345140</v>
      </c>
      <c r="H379" s="496">
        <v>-2345140</v>
      </c>
      <c r="I379" s="496">
        <f t="shared" si="17"/>
        <v>0</v>
      </c>
      <c r="J379" s="496" t="s">
        <v>869</v>
      </c>
    </row>
    <row r="380" spans="1:10" hidden="1" x14ac:dyDescent="0.25">
      <c r="A380" s="383">
        <f t="shared" si="15"/>
        <v>16</v>
      </c>
      <c r="B380" s="383" t="s">
        <v>263</v>
      </c>
      <c r="C380" s="497" t="s">
        <v>987</v>
      </c>
      <c r="D380" s="383" t="s">
        <v>1105</v>
      </c>
      <c r="E380" s="383" t="s">
        <v>887</v>
      </c>
      <c r="F380" s="383" t="str">
        <f t="shared" si="16"/>
        <v>P200009FCity of Richland</v>
      </c>
      <c r="G380" s="496">
        <v>21120</v>
      </c>
      <c r="H380" s="496">
        <v>-21120</v>
      </c>
      <c r="I380" s="496">
        <f t="shared" si="17"/>
        <v>0</v>
      </c>
      <c r="J380" s="496" t="s">
        <v>869</v>
      </c>
    </row>
    <row r="381" spans="1:10" hidden="1" x14ac:dyDescent="0.25">
      <c r="A381" s="383">
        <f t="shared" si="15"/>
        <v>17</v>
      </c>
      <c r="B381" s="383" t="s">
        <v>263</v>
      </c>
      <c r="C381" s="497" t="s">
        <v>987</v>
      </c>
      <c r="D381" s="383" t="s">
        <v>1005</v>
      </c>
      <c r="E381" s="383" t="s">
        <v>887</v>
      </c>
      <c r="F381" s="383" t="str">
        <f t="shared" si="16"/>
        <v>P200009FCLECO Corporation</v>
      </c>
      <c r="G381" s="496">
        <v>892000</v>
      </c>
      <c r="H381" s="496">
        <v>-892000</v>
      </c>
      <c r="I381" s="496">
        <f t="shared" si="17"/>
        <v>0</v>
      </c>
      <c r="J381" s="496" t="s">
        <v>869</v>
      </c>
    </row>
    <row r="382" spans="1:10" hidden="1" x14ac:dyDescent="0.25">
      <c r="A382" s="383">
        <f t="shared" si="15"/>
        <v>19</v>
      </c>
      <c r="B382" s="383" t="s">
        <v>263</v>
      </c>
      <c r="C382" s="497" t="s">
        <v>987</v>
      </c>
      <c r="D382" s="383" t="s">
        <v>1106</v>
      </c>
      <c r="E382" s="383" t="s">
        <v>887</v>
      </c>
      <c r="F382" s="383" t="str">
        <f t="shared" si="16"/>
        <v>P200009FCLECO Marketing a</v>
      </c>
      <c r="G382" s="496">
        <v>926400</v>
      </c>
      <c r="H382" s="496">
        <v>-926400</v>
      </c>
      <c r="I382" s="496">
        <f t="shared" si="17"/>
        <v>0</v>
      </c>
      <c r="J382" s="496" t="s">
        <v>869</v>
      </c>
    </row>
    <row r="383" spans="1:10" hidden="1" x14ac:dyDescent="0.25">
      <c r="A383" s="383">
        <f t="shared" si="15"/>
        <v>20</v>
      </c>
      <c r="B383" s="383" t="s">
        <v>263</v>
      </c>
      <c r="C383" s="497" t="s">
        <v>987</v>
      </c>
      <c r="D383" s="383" t="s">
        <v>1107</v>
      </c>
      <c r="E383" s="383" t="s">
        <v>887</v>
      </c>
      <c r="F383" s="383" t="str">
        <f t="shared" si="16"/>
        <v>P200009FCMS Marketing, Se</v>
      </c>
      <c r="G383" s="496">
        <v>8497200</v>
      </c>
      <c r="H383" s="496">
        <v>-8497200</v>
      </c>
      <c r="I383" s="496">
        <f t="shared" si="17"/>
        <v>0</v>
      </c>
      <c r="J383" s="496" t="s">
        <v>869</v>
      </c>
    </row>
    <row r="384" spans="1:10" hidden="1" x14ac:dyDescent="0.25">
      <c r="A384" s="383">
        <f t="shared" si="15"/>
        <v>20</v>
      </c>
      <c r="B384" s="383" t="s">
        <v>263</v>
      </c>
      <c r="C384" s="497" t="s">
        <v>987</v>
      </c>
      <c r="D384" s="383" t="s">
        <v>1108</v>
      </c>
      <c r="E384" s="383" t="s">
        <v>887</v>
      </c>
      <c r="F384" s="383" t="str">
        <f t="shared" si="16"/>
        <v xml:space="preserve">P200009FCoastal Merchant </v>
      </c>
      <c r="G384" s="496">
        <v>858200</v>
      </c>
      <c r="H384" s="496">
        <v>-858200</v>
      </c>
      <c r="I384" s="496">
        <f t="shared" si="17"/>
        <v>0</v>
      </c>
      <c r="J384" s="496" t="s">
        <v>869</v>
      </c>
    </row>
    <row r="385" spans="1:10" hidden="1" x14ac:dyDescent="0.25">
      <c r="A385" s="383">
        <f t="shared" si="15"/>
        <v>20</v>
      </c>
      <c r="B385" s="383" t="s">
        <v>263</v>
      </c>
      <c r="C385" s="497" t="s">
        <v>987</v>
      </c>
      <c r="D385" s="383" t="s">
        <v>1109</v>
      </c>
      <c r="E385" s="383" t="s">
        <v>887</v>
      </c>
      <c r="F385" s="383" t="str">
        <f t="shared" si="16"/>
        <v>P200009FConectiv Energy S</v>
      </c>
      <c r="G385" s="496">
        <v>802800</v>
      </c>
      <c r="H385" s="496">
        <v>-802800</v>
      </c>
      <c r="I385" s="496">
        <f t="shared" si="17"/>
        <v>0</v>
      </c>
      <c r="J385" s="496" t="s">
        <v>869</v>
      </c>
    </row>
    <row r="386" spans="1:10" hidden="1" x14ac:dyDescent="0.25">
      <c r="A386" s="383">
        <f t="shared" si="15"/>
        <v>20</v>
      </c>
      <c r="B386" s="383" t="s">
        <v>263</v>
      </c>
      <c r="C386" s="497" t="s">
        <v>987</v>
      </c>
      <c r="D386" s="383" t="s">
        <v>1110</v>
      </c>
      <c r="E386" s="383" t="s">
        <v>887</v>
      </c>
      <c r="F386" s="383" t="str">
        <f t="shared" si="16"/>
        <v>P200009FConnecticut Munic</v>
      </c>
      <c r="G386" s="496">
        <v>4840</v>
      </c>
      <c r="H386" s="496">
        <v>-4840</v>
      </c>
      <c r="I386" s="496">
        <f t="shared" si="17"/>
        <v>0</v>
      </c>
      <c r="J386" s="496" t="s">
        <v>869</v>
      </c>
    </row>
    <row r="387" spans="1:10" hidden="1" x14ac:dyDescent="0.25">
      <c r="A387" s="383">
        <f t="shared" si="15"/>
        <v>19</v>
      </c>
      <c r="B387" s="383" t="s">
        <v>263</v>
      </c>
      <c r="C387" s="497" t="s">
        <v>987</v>
      </c>
      <c r="D387" s="383" t="s">
        <v>1111</v>
      </c>
      <c r="E387" s="383" t="s">
        <v>887</v>
      </c>
      <c r="F387" s="383" t="str">
        <f t="shared" si="16"/>
        <v>P200009FConsolidated Edis</v>
      </c>
      <c r="G387" s="496">
        <v>40000</v>
      </c>
      <c r="H387" s="496">
        <v>-40000</v>
      </c>
      <c r="I387" s="496">
        <f t="shared" si="17"/>
        <v>0</v>
      </c>
      <c r="J387" s="496" t="s">
        <v>869</v>
      </c>
    </row>
    <row r="388" spans="1:10" hidden="1" x14ac:dyDescent="0.25">
      <c r="A388" s="383">
        <f t="shared" ref="A388:A451" si="18">LEN(D388)</f>
        <v>19</v>
      </c>
      <c r="B388" s="383" t="s">
        <v>263</v>
      </c>
      <c r="C388" s="497" t="s">
        <v>987</v>
      </c>
      <c r="D388" s="383" t="s">
        <v>1012</v>
      </c>
      <c r="E388" s="383" t="s">
        <v>887</v>
      </c>
      <c r="F388" s="383" t="str">
        <f t="shared" ref="F388:F451" si="19">+B388&amp;C388&amp;E388&amp;LEFT(D388,17)</f>
        <v>P200009FConstellation Pow</v>
      </c>
      <c r="G388" s="496">
        <v>190535986.94999999</v>
      </c>
      <c r="H388" s="496">
        <v>-190535986.94999999</v>
      </c>
      <c r="I388" s="496">
        <f t="shared" ref="I388:I451" si="20">ROUND(+G388+H388,2)</f>
        <v>0</v>
      </c>
      <c r="J388" s="496" t="s">
        <v>869</v>
      </c>
    </row>
    <row r="389" spans="1:10" hidden="1" x14ac:dyDescent="0.25">
      <c r="A389" s="383">
        <f t="shared" si="18"/>
        <v>19</v>
      </c>
      <c r="B389" s="383" t="s">
        <v>263</v>
      </c>
      <c r="C389" s="497" t="s">
        <v>987</v>
      </c>
      <c r="D389" s="383" t="s">
        <v>1013</v>
      </c>
      <c r="E389" s="383" t="s">
        <v>887</v>
      </c>
      <c r="F389" s="383" t="str">
        <f t="shared" si="19"/>
        <v>P200009FCoral Power, L.L.</v>
      </c>
      <c r="G389" s="496">
        <v>30333200</v>
      </c>
      <c r="H389" s="496">
        <v>-30333200</v>
      </c>
      <c r="I389" s="496">
        <f t="shared" si="20"/>
        <v>0</v>
      </c>
      <c r="J389" s="496" t="s">
        <v>869</v>
      </c>
    </row>
    <row r="390" spans="1:10" hidden="1" x14ac:dyDescent="0.25">
      <c r="A390" s="383">
        <f t="shared" si="18"/>
        <v>20</v>
      </c>
      <c r="B390" s="383" t="s">
        <v>263</v>
      </c>
      <c r="C390" s="497" t="s">
        <v>987</v>
      </c>
      <c r="D390" s="383" t="s">
        <v>1112</v>
      </c>
      <c r="E390" s="383" t="s">
        <v>887</v>
      </c>
      <c r="F390" s="383" t="str">
        <f t="shared" si="19"/>
        <v xml:space="preserve">P200009FDayton Power and </v>
      </c>
      <c r="G390" s="496">
        <v>31195.5</v>
      </c>
      <c r="H390" s="496">
        <v>-31195.5</v>
      </c>
      <c r="I390" s="496">
        <f t="shared" si="20"/>
        <v>0</v>
      </c>
      <c r="J390" s="496" t="s">
        <v>869</v>
      </c>
    </row>
    <row r="391" spans="1:10" hidden="1" x14ac:dyDescent="0.25">
      <c r="A391" s="383">
        <f t="shared" si="18"/>
        <v>20</v>
      </c>
      <c r="B391" s="383" t="s">
        <v>263</v>
      </c>
      <c r="C391" s="497" t="s">
        <v>987</v>
      </c>
      <c r="D391" s="383" t="s">
        <v>916</v>
      </c>
      <c r="E391" s="383" t="s">
        <v>887</v>
      </c>
      <c r="F391" s="383" t="str">
        <f t="shared" si="19"/>
        <v>P200009FDelano Energy Com</v>
      </c>
      <c r="G391" s="496">
        <v>2820205.68</v>
      </c>
      <c r="H391" s="496">
        <v>-2820205.68</v>
      </c>
      <c r="I391" s="496">
        <f t="shared" si="20"/>
        <v>0</v>
      </c>
      <c r="J391" s="496" t="s">
        <v>869</v>
      </c>
    </row>
    <row r="392" spans="1:10" hidden="1" x14ac:dyDescent="0.25">
      <c r="A392" s="383">
        <f t="shared" si="18"/>
        <v>20</v>
      </c>
      <c r="B392" s="383" t="s">
        <v>263</v>
      </c>
      <c r="C392" s="497" t="s">
        <v>987</v>
      </c>
      <c r="D392" s="383" t="s">
        <v>1113</v>
      </c>
      <c r="E392" s="383" t="s">
        <v>887</v>
      </c>
      <c r="F392" s="383" t="str">
        <f t="shared" si="19"/>
        <v xml:space="preserve">P200009FDelmarva Power &amp; </v>
      </c>
      <c r="G392" s="496">
        <v>664000</v>
      </c>
      <c r="H392" s="496">
        <v>-664000</v>
      </c>
      <c r="I392" s="496">
        <f t="shared" si="20"/>
        <v>0</v>
      </c>
      <c r="J392" s="496" t="s">
        <v>869</v>
      </c>
    </row>
    <row r="393" spans="1:10" hidden="1" x14ac:dyDescent="0.25">
      <c r="A393" s="383">
        <f t="shared" si="18"/>
        <v>19</v>
      </c>
      <c r="B393" s="383" t="s">
        <v>263</v>
      </c>
      <c r="C393" s="497" t="s">
        <v>987</v>
      </c>
      <c r="D393" s="383" t="s">
        <v>1114</v>
      </c>
      <c r="E393" s="383" t="s">
        <v>887</v>
      </c>
      <c r="F393" s="383" t="str">
        <f t="shared" si="19"/>
        <v>P200009FDTE Energy Tradin</v>
      </c>
      <c r="G393" s="496">
        <v>6523900</v>
      </c>
      <c r="H393" s="496">
        <v>-6523900</v>
      </c>
      <c r="I393" s="496">
        <f t="shared" si="20"/>
        <v>0</v>
      </c>
      <c r="J393" s="496" t="s">
        <v>869</v>
      </c>
    </row>
    <row r="394" spans="1:10" hidden="1" x14ac:dyDescent="0.25">
      <c r="A394" s="383">
        <f t="shared" si="18"/>
        <v>19</v>
      </c>
      <c r="B394" s="383" t="s">
        <v>263</v>
      </c>
      <c r="C394" s="497" t="s">
        <v>987</v>
      </c>
      <c r="D394" s="383" t="s">
        <v>1017</v>
      </c>
      <c r="E394" s="383" t="s">
        <v>887</v>
      </c>
      <c r="F394" s="383" t="str">
        <f t="shared" si="19"/>
        <v>P200009FDuke Energy Tradi</v>
      </c>
      <c r="G394" s="496">
        <v>255052965.55000001</v>
      </c>
      <c r="H394" s="496">
        <v>-255052965.55000001</v>
      </c>
      <c r="I394" s="496">
        <f t="shared" si="20"/>
        <v>0</v>
      </c>
      <c r="J394" s="496" t="s">
        <v>869</v>
      </c>
    </row>
    <row r="395" spans="1:10" hidden="1" x14ac:dyDescent="0.25">
      <c r="A395" s="383">
        <f t="shared" si="18"/>
        <v>20</v>
      </c>
      <c r="B395" s="383" t="s">
        <v>263</v>
      </c>
      <c r="C395" s="497" t="s">
        <v>987</v>
      </c>
      <c r="D395" s="383" t="s">
        <v>1115</v>
      </c>
      <c r="E395" s="383" t="s">
        <v>887</v>
      </c>
      <c r="F395" s="383" t="str">
        <f t="shared" si="19"/>
        <v>P200009FDuke Power, a div</v>
      </c>
      <c r="G395" s="496">
        <v>78432</v>
      </c>
      <c r="H395" s="496">
        <v>-78432</v>
      </c>
      <c r="I395" s="496">
        <f t="shared" si="20"/>
        <v>0</v>
      </c>
      <c r="J395" s="496" t="s">
        <v>869</v>
      </c>
    </row>
    <row r="396" spans="1:10" hidden="1" x14ac:dyDescent="0.25">
      <c r="A396" s="383">
        <f t="shared" si="18"/>
        <v>20</v>
      </c>
      <c r="B396" s="383" t="s">
        <v>263</v>
      </c>
      <c r="C396" s="497" t="s">
        <v>987</v>
      </c>
      <c r="D396" s="383" t="s">
        <v>893</v>
      </c>
      <c r="E396" s="383" t="s">
        <v>887</v>
      </c>
      <c r="F396" s="383" t="str">
        <f t="shared" si="19"/>
        <v>P200009FDynegy Power Mark</v>
      </c>
      <c r="G396" s="496">
        <v>60070684.600000001</v>
      </c>
      <c r="H396" s="496">
        <v>-60070684.600000001</v>
      </c>
      <c r="I396" s="496">
        <f t="shared" si="20"/>
        <v>0</v>
      </c>
      <c r="J396" s="496" t="s">
        <v>869</v>
      </c>
    </row>
    <row r="397" spans="1:10" hidden="1" x14ac:dyDescent="0.25">
      <c r="A397" s="383">
        <f t="shared" si="18"/>
        <v>19</v>
      </c>
      <c r="B397" s="383" t="s">
        <v>263</v>
      </c>
      <c r="C397" s="497" t="s">
        <v>987</v>
      </c>
      <c r="D397" s="383" t="s">
        <v>1019</v>
      </c>
      <c r="E397" s="383" t="s">
        <v>887</v>
      </c>
      <c r="F397" s="383" t="str">
        <f t="shared" si="19"/>
        <v>P200009FEast Kentucky Pow</v>
      </c>
      <c r="G397" s="496">
        <v>361600</v>
      </c>
      <c r="H397" s="496">
        <v>-361600</v>
      </c>
      <c r="I397" s="496">
        <f t="shared" si="20"/>
        <v>0</v>
      </c>
      <c r="J397" s="496" t="s">
        <v>869</v>
      </c>
    </row>
    <row r="398" spans="1:10" hidden="1" x14ac:dyDescent="0.25">
      <c r="A398" s="383">
        <f t="shared" si="18"/>
        <v>20</v>
      </c>
      <c r="B398" s="383" t="s">
        <v>263</v>
      </c>
      <c r="C398" s="497" t="s">
        <v>987</v>
      </c>
      <c r="D398" s="383" t="s">
        <v>975</v>
      </c>
      <c r="E398" s="383" t="s">
        <v>887</v>
      </c>
      <c r="F398" s="383" t="str">
        <f t="shared" si="19"/>
        <v>P200009FEdison Mission Ma</v>
      </c>
      <c r="G398" s="496">
        <v>149993201</v>
      </c>
      <c r="H398" s="496">
        <v>-149993201</v>
      </c>
      <c r="I398" s="496">
        <f t="shared" si="20"/>
        <v>0</v>
      </c>
      <c r="J398" s="496" t="s">
        <v>869</v>
      </c>
    </row>
    <row r="399" spans="1:10" hidden="1" x14ac:dyDescent="0.25">
      <c r="A399" s="383">
        <f t="shared" si="18"/>
        <v>20</v>
      </c>
      <c r="B399" s="383" t="s">
        <v>263</v>
      </c>
      <c r="C399" s="497" t="s">
        <v>987</v>
      </c>
      <c r="D399" s="383" t="s">
        <v>1116</v>
      </c>
      <c r="E399" s="383" t="s">
        <v>887</v>
      </c>
      <c r="F399" s="383" t="str">
        <f t="shared" si="19"/>
        <v xml:space="preserve">P200009FEl Paso Merchant </v>
      </c>
      <c r="G399" s="496">
        <v>173430782</v>
      </c>
      <c r="H399" s="496">
        <v>-173430782</v>
      </c>
      <c r="I399" s="496">
        <f t="shared" si="20"/>
        <v>0</v>
      </c>
      <c r="J399" s="496" t="s">
        <v>869</v>
      </c>
    </row>
    <row r="400" spans="1:10" hidden="1" x14ac:dyDescent="0.25">
      <c r="A400" s="383">
        <f t="shared" si="18"/>
        <v>20</v>
      </c>
      <c r="B400" s="383" t="s">
        <v>263</v>
      </c>
      <c r="C400" s="497" t="s">
        <v>987</v>
      </c>
      <c r="D400" s="383" t="s">
        <v>1117</v>
      </c>
      <c r="E400" s="383" t="s">
        <v>887</v>
      </c>
      <c r="F400" s="383" t="str">
        <f t="shared" si="19"/>
        <v>P200009FEntergy Power Mar</v>
      </c>
      <c r="G400" s="496">
        <v>13007542</v>
      </c>
      <c r="H400" s="496">
        <v>-13007542</v>
      </c>
      <c r="I400" s="496">
        <f t="shared" si="20"/>
        <v>0</v>
      </c>
      <c r="J400" s="496" t="s">
        <v>869</v>
      </c>
    </row>
    <row r="401" spans="1:10" hidden="1" x14ac:dyDescent="0.25">
      <c r="A401" s="383">
        <f t="shared" si="18"/>
        <v>20</v>
      </c>
      <c r="B401" s="383" t="s">
        <v>263</v>
      </c>
      <c r="C401" s="497" t="s">
        <v>987</v>
      </c>
      <c r="D401" s="383" t="s">
        <v>1118</v>
      </c>
      <c r="E401" s="383" t="s">
        <v>887</v>
      </c>
      <c r="F401" s="383" t="str">
        <f t="shared" si="19"/>
        <v>P200009FEugene Water &amp; El</v>
      </c>
      <c r="G401" s="496">
        <v>259555</v>
      </c>
      <c r="H401" s="496">
        <v>-259555</v>
      </c>
      <c r="I401" s="496">
        <f t="shared" si="20"/>
        <v>0</v>
      </c>
      <c r="J401" s="496" t="s">
        <v>869</v>
      </c>
    </row>
    <row r="402" spans="1:10" hidden="1" x14ac:dyDescent="0.25">
      <c r="A402" s="383">
        <f t="shared" si="18"/>
        <v>17</v>
      </c>
      <c r="B402" s="383" t="s">
        <v>263</v>
      </c>
      <c r="C402" s="497" t="s">
        <v>987</v>
      </c>
      <c r="D402" s="383" t="s">
        <v>1022</v>
      </c>
      <c r="E402" s="383" t="s">
        <v>887</v>
      </c>
      <c r="F402" s="383" t="str">
        <f t="shared" si="19"/>
        <v>P200009FFirstEnergy Corp.</v>
      </c>
      <c r="G402" s="496">
        <v>100900</v>
      </c>
      <c r="H402" s="496">
        <v>-100900</v>
      </c>
      <c r="I402" s="496">
        <f t="shared" si="20"/>
        <v>0</v>
      </c>
      <c r="J402" s="496" t="s">
        <v>869</v>
      </c>
    </row>
    <row r="403" spans="1:10" hidden="1" x14ac:dyDescent="0.25">
      <c r="A403" s="383">
        <f t="shared" si="18"/>
        <v>20</v>
      </c>
      <c r="B403" s="383" t="s">
        <v>263</v>
      </c>
      <c r="C403" s="497" t="s">
        <v>987</v>
      </c>
      <c r="D403" s="383" t="s">
        <v>1119</v>
      </c>
      <c r="E403" s="383" t="s">
        <v>887</v>
      </c>
      <c r="F403" s="383" t="str">
        <f t="shared" si="19"/>
        <v>P200009FFlorida Power &amp; L</v>
      </c>
      <c r="G403" s="496">
        <v>1861666.38</v>
      </c>
      <c r="H403" s="496">
        <v>-1861666.38</v>
      </c>
      <c r="I403" s="496">
        <f t="shared" si="20"/>
        <v>0</v>
      </c>
      <c r="J403" s="496" t="s">
        <v>869</v>
      </c>
    </row>
    <row r="404" spans="1:10" hidden="1" x14ac:dyDescent="0.25">
      <c r="A404" s="383">
        <f t="shared" si="18"/>
        <v>20</v>
      </c>
      <c r="B404" s="383" t="s">
        <v>263</v>
      </c>
      <c r="C404" s="497" t="s">
        <v>987</v>
      </c>
      <c r="D404" s="383" t="s">
        <v>1120</v>
      </c>
      <c r="E404" s="383" t="s">
        <v>887</v>
      </c>
      <c r="F404" s="383" t="str">
        <f t="shared" si="19"/>
        <v>P200009FFlorida Power Cor</v>
      </c>
      <c r="G404" s="496">
        <v>704000</v>
      </c>
      <c r="H404" s="496">
        <v>-704000</v>
      </c>
      <c r="I404" s="496">
        <f t="shared" si="20"/>
        <v>0</v>
      </c>
      <c r="J404" s="496" t="s">
        <v>869</v>
      </c>
    </row>
    <row r="405" spans="1:10" hidden="1" x14ac:dyDescent="0.25">
      <c r="A405" s="383">
        <f t="shared" si="18"/>
        <v>20</v>
      </c>
      <c r="B405" s="383" t="s">
        <v>263</v>
      </c>
      <c r="C405" s="497" t="s">
        <v>987</v>
      </c>
      <c r="D405" s="383" t="s">
        <v>1121</v>
      </c>
      <c r="E405" s="383" t="s">
        <v>887</v>
      </c>
      <c r="F405" s="383" t="str">
        <f t="shared" si="19"/>
        <v xml:space="preserve">P200009FFPL Energy Power </v>
      </c>
      <c r="G405" s="496">
        <v>273800</v>
      </c>
      <c r="H405" s="496">
        <v>-273800</v>
      </c>
      <c r="I405" s="496">
        <f t="shared" si="20"/>
        <v>0</v>
      </c>
      <c r="J405" s="496" t="s">
        <v>869</v>
      </c>
    </row>
    <row r="406" spans="1:10" hidden="1" x14ac:dyDescent="0.25">
      <c r="A406" s="383">
        <f t="shared" si="18"/>
        <v>16</v>
      </c>
      <c r="B406" s="383" t="s">
        <v>263</v>
      </c>
      <c r="C406" s="497" t="s">
        <v>987</v>
      </c>
      <c r="D406" s="383" t="s">
        <v>1027</v>
      </c>
      <c r="E406" s="383" t="s">
        <v>887</v>
      </c>
      <c r="F406" s="383" t="str">
        <f t="shared" si="19"/>
        <v>P200009FGarland, City Of</v>
      </c>
      <c r="G406" s="496">
        <v>30250</v>
      </c>
      <c r="H406" s="496">
        <v>-30250</v>
      </c>
      <c r="I406" s="496">
        <f t="shared" si="20"/>
        <v>0</v>
      </c>
      <c r="J406" s="496" t="s">
        <v>869</v>
      </c>
    </row>
    <row r="407" spans="1:10" hidden="1" x14ac:dyDescent="0.25">
      <c r="A407" s="383">
        <f t="shared" si="18"/>
        <v>14</v>
      </c>
      <c r="B407" s="383" t="s">
        <v>263</v>
      </c>
      <c r="C407" s="497" t="s">
        <v>987</v>
      </c>
      <c r="D407" s="383" t="s">
        <v>1028</v>
      </c>
      <c r="E407" s="383" t="s">
        <v>887</v>
      </c>
      <c r="F407" s="383" t="str">
        <f t="shared" si="19"/>
        <v>P200009FGEN SYS Energy</v>
      </c>
      <c r="G407" s="496">
        <v>86660</v>
      </c>
      <c r="H407" s="496">
        <v>-86660</v>
      </c>
      <c r="I407" s="496">
        <f t="shared" si="20"/>
        <v>0</v>
      </c>
      <c r="J407" s="496" t="s">
        <v>869</v>
      </c>
    </row>
    <row r="408" spans="1:10" hidden="1" x14ac:dyDescent="0.25">
      <c r="A408" s="383">
        <f t="shared" si="18"/>
        <v>20</v>
      </c>
      <c r="B408" s="383" t="s">
        <v>263</v>
      </c>
      <c r="C408" s="497" t="s">
        <v>987</v>
      </c>
      <c r="D408" s="383" t="s">
        <v>1122</v>
      </c>
      <c r="E408" s="383" t="s">
        <v>887</v>
      </c>
      <c r="F408" s="383" t="str">
        <f t="shared" si="19"/>
        <v>P200009FGreat Bay Power C</v>
      </c>
      <c r="G408" s="496">
        <v>2012600</v>
      </c>
      <c r="H408" s="496">
        <v>-2012600</v>
      </c>
      <c r="I408" s="496">
        <f t="shared" si="20"/>
        <v>0</v>
      </c>
      <c r="J408" s="496" t="s">
        <v>869</v>
      </c>
    </row>
    <row r="409" spans="1:10" hidden="1" x14ac:dyDescent="0.25">
      <c r="A409" s="383">
        <f t="shared" si="18"/>
        <v>20</v>
      </c>
      <c r="B409" s="383" t="s">
        <v>263</v>
      </c>
      <c r="C409" s="497" t="s">
        <v>987</v>
      </c>
      <c r="D409" s="383" t="s">
        <v>1123</v>
      </c>
      <c r="E409" s="383" t="s">
        <v>887</v>
      </c>
      <c r="F409" s="383" t="str">
        <f t="shared" si="19"/>
        <v>P200009FGriffin Energy Ma</v>
      </c>
      <c r="G409" s="496">
        <v>380000</v>
      </c>
      <c r="H409" s="496">
        <v>-380000</v>
      </c>
      <c r="I409" s="496">
        <f t="shared" si="20"/>
        <v>0</v>
      </c>
      <c r="J409" s="496" t="s">
        <v>869</v>
      </c>
    </row>
    <row r="410" spans="1:10" hidden="1" x14ac:dyDescent="0.25">
      <c r="A410" s="383">
        <f t="shared" si="18"/>
        <v>19</v>
      </c>
      <c r="B410" s="383" t="s">
        <v>263</v>
      </c>
      <c r="C410" s="497" t="s">
        <v>987</v>
      </c>
      <c r="D410" s="383" t="s">
        <v>646</v>
      </c>
      <c r="E410" s="383" t="s">
        <v>887</v>
      </c>
      <c r="F410" s="383" t="str">
        <f t="shared" si="19"/>
        <v>P200009FHarbor Cogenerati</v>
      </c>
      <c r="G410" s="496">
        <v>2892026.86</v>
      </c>
      <c r="H410" s="496">
        <v>-2892026.86</v>
      </c>
      <c r="I410" s="496">
        <f t="shared" si="20"/>
        <v>0</v>
      </c>
      <c r="J410" s="496" t="s">
        <v>869</v>
      </c>
    </row>
    <row r="411" spans="1:10" hidden="1" x14ac:dyDescent="0.25">
      <c r="A411" s="383">
        <f t="shared" si="18"/>
        <v>20</v>
      </c>
      <c r="B411" s="383" t="s">
        <v>263</v>
      </c>
      <c r="C411" s="497" t="s">
        <v>987</v>
      </c>
      <c r="D411" s="383" t="s">
        <v>1124</v>
      </c>
      <c r="E411" s="383" t="s">
        <v>887</v>
      </c>
      <c r="F411" s="383" t="str">
        <f t="shared" si="19"/>
        <v>P200009FHQ Energy Service</v>
      </c>
      <c r="G411" s="496">
        <v>17847130</v>
      </c>
      <c r="H411" s="496">
        <v>-17847130</v>
      </c>
      <c r="I411" s="496">
        <f t="shared" si="20"/>
        <v>0</v>
      </c>
      <c r="J411" s="496" t="s">
        <v>869</v>
      </c>
    </row>
    <row r="412" spans="1:10" hidden="1" x14ac:dyDescent="0.25">
      <c r="A412" s="383">
        <f t="shared" si="18"/>
        <v>20</v>
      </c>
      <c r="B412" s="383" t="s">
        <v>263</v>
      </c>
      <c r="C412" s="497" t="s">
        <v>987</v>
      </c>
      <c r="D412" s="383" t="s">
        <v>1125</v>
      </c>
      <c r="E412" s="383" t="s">
        <v>887</v>
      </c>
      <c r="F412" s="383" t="str">
        <f t="shared" si="19"/>
        <v>P200009FIndiana Municipal</v>
      </c>
      <c r="G412" s="496">
        <v>45200</v>
      </c>
      <c r="H412" s="496">
        <v>-45200</v>
      </c>
      <c r="I412" s="496">
        <f t="shared" si="20"/>
        <v>0</v>
      </c>
      <c r="J412" s="496" t="s">
        <v>869</v>
      </c>
    </row>
    <row r="413" spans="1:10" hidden="1" x14ac:dyDescent="0.25">
      <c r="A413" s="383">
        <f t="shared" si="18"/>
        <v>20</v>
      </c>
      <c r="B413" s="383" t="s">
        <v>263</v>
      </c>
      <c r="C413" s="497" t="s">
        <v>987</v>
      </c>
      <c r="D413" s="383" t="s">
        <v>1126</v>
      </c>
      <c r="E413" s="383" t="s">
        <v>887</v>
      </c>
      <c r="F413" s="383" t="str">
        <f t="shared" si="19"/>
        <v>P200009FIndianapolis Powe</v>
      </c>
      <c r="G413" s="496">
        <v>135516</v>
      </c>
      <c r="H413" s="496">
        <v>-135516</v>
      </c>
      <c r="I413" s="496">
        <f t="shared" si="20"/>
        <v>0</v>
      </c>
      <c r="J413" s="496" t="s">
        <v>869</v>
      </c>
    </row>
    <row r="414" spans="1:10" hidden="1" x14ac:dyDescent="0.25">
      <c r="A414" s="383">
        <f t="shared" si="18"/>
        <v>20</v>
      </c>
      <c r="B414" s="383" t="s">
        <v>263</v>
      </c>
      <c r="C414" s="497" t="s">
        <v>987</v>
      </c>
      <c r="D414" s="383" t="s">
        <v>520</v>
      </c>
      <c r="E414" s="383" t="s">
        <v>887</v>
      </c>
      <c r="F414" s="383" t="str">
        <f t="shared" si="19"/>
        <v>P200009FISO New England I</v>
      </c>
      <c r="G414" s="496">
        <v>66059518.450000003</v>
      </c>
      <c r="H414" s="496"/>
      <c r="I414" s="496">
        <f t="shared" si="20"/>
        <v>66059518.450000003</v>
      </c>
      <c r="J414" s="499" t="s">
        <v>890</v>
      </c>
    </row>
    <row r="415" spans="1:10" hidden="1" x14ac:dyDescent="0.25">
      <c r="A415" s="383">
        <f t="shared" si="18"/>
        <v>20</v>
      </c>
      <c r="B415" s="383" t="s">
        <v>263</v>
      </c>
      <c r="C415" s="497" t="s">
        <v>987</v>
      </c>
      <c r="D415" s="383" t="s">
        <v>1127</v>
      </c>
      <c r="E415" s="383" t="s">
        <v>887</v>
      </c>
      <c r="F415" s="383" t="str">
        <f t="shared" si="19"/>
        <v>P200009FJacksonville Elec</v>
      </c>
      <c r="G415" s="496">
        <v>21081.83</v>
      </c>
      <c r="H415" s="496">
        <v>-21081.83</v>
      </c>
      <c r="I415" s="496">
        <f t="shared" si="20"/>
        <v>0</v>
      </c>
      <c r="J415" s="496" t="s">
        <v>869</v>
      </c>
    </row>
    <row r="416" spans="1:10" hidden="1" x14ac:dyDescent="0.25">
      <c r="A416" s="383">
        <f t="shared" si="18"/>
        <v>19</v>
      </c>
      <c r="B416" s="383" t="s">
        <v>263</v>
      </c>
      <c r="C416" s="497" t="s">
        <v>987</v>
      </c>
      <c r="D416" s="383" t="s">
        <v>1036</v>
      </c>
      <c r="E416" s="383" t="s">
        <v>887</v>
      </c>
      <c r="F416" s="383" t="str">
        <f t="shared" si="19"/>
        <v>P200009FKansas City Power</v>
      </c>
      <c r="G416" s="496">
        <v>3200</v>
      </c>
      <c r="H416" s="496">
        <v>-3200</v>
      </c>
      <c r="I416" s="496">
        <f t="shared" si="20"/>
        <v>0</v>
      </c>
      <c r="J416" s="496" t="s">
        <v>869</v>
      </c>
    </row>
    <row r="417" spans="1:10" hidden="1" x14ac:dyDescent="0.25">
      <c r="A417" s="383">
        <f t="shared" si="18"/>
        <v>20</v>
      </c>
      <c r="B417" s="383" t="s">
        <v>263</v>
      </c>
      <c r="C417" s="497" t="s">
        <v>987</v>
      </c>
      <c r="D417" s="383" t="s">
        <v>1128</v>
      </c>
      <c r="E417" s="383" t="s">
        <v>887</v>
      </c>
      <c r="F417" s="383" t="str">
        <f t="shared" si="19"/>
        <v>P200009FKoch Energy Tradi</v>
      </c>
      <c r="G417" s="496">
        <v>61660900</v>
      </c>
      <c r="H417" s="496">
        <v>-61660900</v>
      </c>
      <c r="I417" s="496">
        <f t="shared" si="20"/>
        <v>0</v>
      </c>
      <c r="J417" s="496" t="s">
        <v>869</v>
      </c>
    </row>
    <row r="418" spans="1:10" hidden="1" x14ac:dyDescent="0.25">
      <c r="A418" s="383">
        <f t="shared" si="18"/>
        <v>20</v>
      </c>
      <c r="B418" s="383" t="s">
        <v>263</v>
      </c>
      <c r="C418" s="497" t="s">
        <v>987</v>
      </c>
      <c r="D418" s="383" t="s">
        <v>926</v>
      </c>
      <c r="E418" s="383" t="s">
        <v>887</v>
      </c>
      <c r="F418" s="383" t="str">
        <f t="shared" si="19"/>
        <v>P200009FLas Vegas Cogener</v>
      </c>
      <c r="G418" s="496">
        <v>972518.24</v>
      </c>
      <c r="H418" s="496">
        <v>-972518.24</v>
      </c>
      <c r="I418" s="496">
        <f t="shared" si="20"/>
        <v>0</v>
      </c>
      <c r="J418" s="496" t="s">
        <v>869</v>
      </c>
    </row>
    <row r="419" spans="1:10" hidden="1" x14ac:dyDescent="0.25">
      <c r="A419" s="383">
        <f t="shared" si="18"/>
        <v>20</v>
      </c>
      <c r="B419" s="383" t="s">
        <v>263</v>
      </c>
      <c r="C419" s="497" t="s">
        <v>987</v>
      </c>
      <c r="D419" s="383" t="s">
        <v>1129</v>
      </c>
      <c r="E419" s="383" t="s">
        <v>887</v>
      </c>
      <c r="F419" s="383" t="str">
        <f t="shared" si="19"/>
        <v>P200009FLG&amp;E Energy Marke</v>
      </c>
      <c r="G419" s="496">
        <v>1736000</v>
      </c>
      <c r="H419" s="496">
        <v>-1736000</v>
      </c>
      <c r="I419" s="496">
        <f t="shared" si="20"/>
        <v>0</v>
      </c>
      <c r="J419" s="496" t="s">
        <v>869</v>
      </c>
    </row>
    <row r="420" spans="1:10" hidden="1" x14ac:dyDescent="0.25">
      <c r="A420" s="383">
        <f t="shared" si="18"/>
        <v>20</v>
      </c>
      <c r="B420" s="383" t="s">
        <v>263</v>
      </c>
      <c r="C420" s="497" t="s">
        <v>987</v>
      </c>
      <c r="D420" s="383" t="s">
        <v>927</v>
      </c>
      <c r="E420" s="383" t="s">
        <v>887</v>
      </c>
      <c r="F420" s="383" t="str">
        <f t="shared" si="19"/>
        <v>P200009FLos Angeles Dept.</v>
      </c>
      <c r="G420" s="496">
        <v>2013284</v>
      </c>
      <c r="H420" s="496">
        <v>-2013284</v>
      </c>
      <c r="I420" s="496">
        <f t="shared" si="20"/>
        <v>0</v>
      </c>
      <c r="J420" s="496" t="s">
        <v>869</v>
      </c>
    </row>
    <row r="421" spans="1:10" hidden="1" x14ac:dyDescent="0.25">
      <c r="A421" s="383">
        <f t="shared" si="18"/>
        <v>20</v>
      </c>
      <c r="B421" s="383" t="s">
        <v>263</v>
      </c>
      <c r="C421" s="497" t="s">
        <v>987</v>
      </c>
      <c r="D421" s="383" t="s">
        <v>1130</v>
      </c>
      <c r="E421" s="383" t="s">
        <v>887</v>
      </c>
      <c r="F421" s="383" t="str">
        <f t="shared" si="19"/>
        <v>P200009FMerchant Energy G</v>
      </c>
      <c r="G421" s="496">
        <v>22628150</v>
      </c>
      <c r="H421" s="496">
        <v>-22628150</v>
      </c>
      <c r="I421" s="496">
        <f t="shared" si="20"/>
        <v>0</v>
      </c>
      <c r="J421" s="496" t="s">
        <v>869</v>
      </c>
    </row>
    <row r="422" spans="1:10" hidden="1" x14ac:dyDescent="0.25">
      <c r="A422" s="383">
        <f t="shared" si="18"/>
        <v>20</v>
      </c>
      <c r="B422" s="383" t="s">
        <v>263</v>
      </c>
      <c r="C422" s="497" t="s">
        <v>987</v>
      </c>
      <c r="D422" s="383" t="s">
        <v>1131</v>
      </c>
      <c r="E422" s="383" t="s">
        <v>887</v>
      </c>
      <c r="F422" s="383" t="str">
        <f t="shared" si="19"/>
        <v>P200009FMerrill Lynch Cap</v>
      </c>
      <c r="G422" s="496">
        <v>53250881.140000001</v>
      </c>
      <c r="H422" s="496">
        <v>-53250881.140000001</v>
      </c>
      <c r="I422" s="496">
        <f t="shared" si="20"/>
        <v>0</v>
      </c>
      <c r="J422" s="496" t="s">
        <v>869</v>
      </c>
    </row>
    <row r="423" spans="1:10" hidden="1" x14ac:dyDescent="0.25">
      <c r="A423" s="383">
        <f t="shared" si="18"/>
        <v>20</v>
      </c>
      <c r="B423" s="383" t="s">
        <v>263</v>
      </c>
      <c r="C423" s="497" t="s">
        <v>987</v>
      </c>
      <c r="D423" s="383" t="s">
        <v>977</v>
      </c>
      <c r="E423" s="383" t="s">
        <v>887</v>
      </c>
      <c r="F423" s="383" t="str">
        <f t="shared" si="19"/>
        <v>P200009FMichigan Electric</v>
      </c>
      <c r="G423" s="496">
        <v>33773</v>
      </c>
      <c r="H423" s="496">
        <v>-33773</v>
      </c>
      <c r="I423" s="496">
        <f t="shared" si="20"/>
        <v>0</v>
      </c>
      <c r="J423" s="496" t="s">
        <v>869</v>
      </c>
    </row>
    <row r="424" spans="1:10" hidden="1" x14ac:dyDescent="0.25">
      <c r="A424" s="383">
        <f t="shared" si="18"/>
        <v>20</v>
      </c>
      <c r="B424" s="383" t="s">
        <v>263</v>
      </c>
      <c r="C424" s="497" t="s">
        <v>987</v>
      </c>
      <c r="D424" s="383" t="s">
        <v>1132</v>
      </c>
      <c r="E424" s="383" t="s">
        <v>887</v>
      </c>
      <c r="F424" s="383" t="str">
        <f t="shared" si="19"/>
        <v>P200009FMidAmerican Energ</v>
      </c>
      <c r="G424" s="496">
        <v>596590</v>
      </c>
      <c r="H424" s="496">
        <v>-596590</v>
      </c>
      <c r="I424" s="496">
        <f t="shared" si="20"/>
        <v>0</v>
      </c>
      <c r="J424" s="496" t="s">
        <v>869</v>
      </c>
    </row>
    <row r="425" spans="1:10" hidden="1" x14ac:dyDescent="0.25">
      <c r="A425" s="383">
        <f t="shared" si="18"/>
        <v>10</v>
      </c>
      <c r="B425" s="383" t="s">
        <v>263</v>
      </c>
      <c r="C425" s="497" t="s">
        <v>987</v>
      </c>
      <c r="D425" s="383" t="s">
        <v>909</v>
      </c>
      <c r="E425" s="383" t="s">
        <v>887</v>
      </c>
      <c r="F425" s="383" t="str">
        <f t="shared" si="19"/>
        <v>P200009FMieco Inc.</v>
      </c>
      <c r="G425" s="496">
        <v>68196335</v>
      </c>
      <c r="H425" s="496">
        <v>-68196335</v>
      </c>
      <c r="I425" s="496">
        <f t="shared" si="20"/>
        <v>0</v>
      </c>
      <c r="J425" s="496" t="s">
        <v>869</v>
      </c>
    </row>
    <row r="426" spans="1:10" hidden="1" x14ac:dyDescent="0.25">
      <c r="A426" s="383">
        <f t="shared" si="18"/>
        <v>19</v>
      </c>
      <c r="B426" s="383" t="s">
        <v>263</v>
      </c>
      <c r="C426" s="497" t="s">
        <v>987</v>
      </c>
      <c r="D426" s="383" t="s">
        <v>1044</v>
      </c>
      <c r="E426" s="383" t="s">
        <v>887</v>
      </c>
      <c r="F426" s="383" t="str">
        <f t="shared" si="19"/>
        <v>P200009FMinnesota Municip</v>
      </c>
      <c r="G426" s="496">
        <v>304527.5</v>
      </c>
      <c r="H426" s="496">
        <v>-304527.5</v>
      </c>
      <c r="I426" s="496">
        <f t="shared" si="20"/>
        <v>0</v>
      </c>
      <c r="J426" s="496" t="s">
        <v>869</v>
      </c>
    </row>
    <row r="427" spans="1:10" hidden="1" x14ac:dyDescent="0.25">
      <c r="A427" s="383">
        <f t="shared" si="18"/>
        <v>20</v>
      </c>
      <c r="B427" s="383" t="s">
        <v>263</v>
      </c>
      <c r="C427" s="497" t="s">
        <v>987</v>
      </c>
      <c r="D427" s="383" t="s">
        <v>1133</v>
      </c>
      <c r="E427" s="383" t="s">
        <v>887</v>
      </c>
      <c r="F427" s="383" t="str">
        <f t="shared" si="19"/>
        <v>P200009FMontana Power Com</v>
      </c>
      <c r="G427" s="496">
        <v>3098136.35</v>
      </c>
      <c r="H427" s="496">
        <v>-3098136.35</v>
      </c>
      <c r="I427" s="496">
        <f t="shared" si="20"/>
        <v>0</v>
      </c>
      <c r="J427" s="496" t="s">
        <v>869</v>
      </c>
    </row>
    <row r="428" spans="1:10" hidden="1" x14ac:dyDescent="0.25">
      <c r="A428" s="383">
        <f t="shared" si="18"/>
        <v>20</v>
      </c>
      <c r="B428" s="383" t="s">
        <v>263</v>
      </c>
      <c r="C428" s="497" t="s">
        <v>987</v>
      </c>
      <c r="D428" s="383" t="s">
        <v>1134</v>
      </c>
      <c r="E428" s="383" t="s">
        <v>887</v>
      </c>
      <c r="F428" s="383" t="str">
        <f t="shared" si="19"/>
        <v>P200009FMorgan Stanley Ca</v>
      </c>
      <c r="G428" s="496">
        <v>20226000</v>
      </c>
      <c r="H428" s="496">
        <v>-20226000</v>
      </c>
      <c r="I428" s="496">
        <f t="shared" si="20"/>
        <v>0</v>
      </c>
      <c r="J428" s="496" t="s">
        <v>869</v>
      </c>
    </row>
    <row r="429" spans="1:10" hidden="1" x14ac:dyDescent="0.25">
      <c r="A429" s="383">
        <f t="shared" si="18"/>
        <v>20</v>
      </c>
      <c r="B429" s="383" t="s">
        <v>263</v>
      </c>
      <c r="C429" s="497" t="s">
        <v>987</v>
      </c>
      <c r="D429" s="383" t="s">
        <v>979</v>
      </c>
      <c r="E429" s="383" t="s">
        <v>887</v>
      </c>
      <c r="F429" s="383" t="str">
        <f t="shared" si="19"/>
        <v>P200009FNevada Power Comp</v>
      </c>
      <c r="G429" s="496">
        <v>3713110</v>
      </c>
      <c r="H429" s="496">
        <v>-3713110</v>
      </c>
      <c r="I429" s="496">
        <f t="shared" si="20"/>
        <v>0</v>
      </c>
      <c r="J429" s="496" t="s">
        <v>869</v>
      </c>
    </row>
    <row r="430" spans="1:10" hidden="1" x14ac:dyDescent="0.25">
      <c r="A430" s="383">
        <f t="shared" si="18"/>
        <v>22</v>
      </c>
      <c r="B430" s="487" t="s">
        <v>263</v>
      </c>
      <c r="C430" s="498" t="s">
        <v>987</v>
      </c>
      <c r="D430" s="487" t="s">
        <v>884</v>
      </c>
      <c r="E430" s="487" t="s">
        <v>887</v>
      </c>
      <c r="F430" s="487" t="str">
        <f t="shared" si="19"/>
        <v>P200009FNew England Power</v>
      </c>
      <c r="G430" s="499"/>
      <c r="H430" s="499">
        <f>VLOOKUP(F430,[2]Pivot!$R$20:$S$1359,2,FALSE)</f>
        <v>-66059518.449999996</v>
      </c>
      <c r="I430" s="499">
        <f t="shared" si="20"/>
        <v>-66059518.450000003</v>
      </c>
      <c r="J430" s="499" t="s">
        <v>890</v>
      </c>
    </row>
    <row r="431" spans="1:10" hidden="1" x14ac:dyDescent="0.25">
      <c r="A431" s="383">
        <f t="shared" si="18"/>
        <v>20</v>
      </c>
      <c r="B431" s="383" t="s">
        <v>263</v>
      </c>
      <c r="C431" s="497" t="s">
        <v>987</v>
      </c>
      <c r="D431" s="383" t="s">
        <v>1135</v>
      </c>
      <c r="E431" s="383" t="s">
        <v>887</v>
      </c>
      <c r="F431" s="383" t="str">
        <f t="shared" si="19"/>
        <v>P200009FNiagara Mohawk En</v>
      </c>
      <c r="G431" s="496">
        <v>4840</v>
      </c>
      <c r="H431" s="496">
        <v>-4840</v>
      </c>
      <c r="I431" s="496">
        <f t="shared" si="20"/>
        <v>0</v>
      </c>
      <c r="J431" s="496" t="s">
        <v>869</v>
      </c>
    </row>
    <row r="432" spans="1:10" hidden="1" x14ac:dyDescent="0.25">
      <c r="A432" s="383">
        <f t="shared" si="18"/>
        <v>19</v>
      </c>
      <c r="B432" s="383" t="s">
        <v>263</v>
      </c>
      <c r="C432" s="497" t="s">
        <v>987</v>
      </c>
      <c r="D432" s="383" t="s">
        <v>1048</v>
      </c>
      <c r="E432" s="383" t="s">
        <v>887</v>
      </c>
      <c r="F432" s="383" t="str">
        <f t="shared" si="19"/>
        <v>P200009FNortheast Utiliti</v>
      </c>
      <c r="G432" s="496">
        <v>496780</v>
      </c>
      <c r="H432" s="496">
        <v>-496780</v>
      </c>
      <c r="I432" s="496">
        <f t="shared" si="20"/>
        <v>0</v>
      </c>
      <c r="J432" s="496" t="s">
        <v>869</v>
      </c>
    </row>
    <row r="433" spans="1:10" hidden="1" x14ac:dyDescent="0.25">
      <c r="A433" s="383">
        <f t="shared" si="18"/>
        <v>20</v>
      </c>
      <c r="B433" s="383" t="s">
        <v>263</v>
      </c>
      <c r="C433" s="497" t="s">
        <v>987</v>
      </c>
      <c r="D433" s="383" t="s">
        <v>1136</v>
      </c>
      <c r="E433" s="383" t="s">
        <v>887</v>
      </c>
      <c r="F433" s="383" t="str">
        <f t="shared" si="19"/>
        <v>P200009FNorthern States P</v>
      </c>
      <c r="G433" s="496">
        <v>1432372</v>
      </c>
      <c r="H433" s="496">
        <v>-1432372</v>
      </c>
      <c r="I433" s="496">
        <f t="shared" si="20"/>
        <v>0</v>
      </c>
      <c r="J433" s="496" t="s">
        <v>869</v>
      </c>
    </row>
    <row r="434" spans="1:10" hidden="1" x14ac:dyDescent="0.25">
      <c r="A434" s="383">
        <f t="shared" si="18"/>
        <v>19</v>
      </c>
      <c r="B434" s="383" t="s">
        <v>263</v>
      </c>
      <c r="C434" s="497" t="s">
        <v>987</v>
      </c>
      <c r="D434" s="383" t="s">
        <v>980</v>
      </c>
      <c r="E434" s="383" t="s">
        <v>887</v>
      </c>
      <c r="F434" s="383" t="str">
        <f t="shared" si="19"/>
        <v>P200009FNRG Power Marketi</v>
      </c>
      <c r="G434" s="496">
        <v>901456</v>
      </c>
      <c r="H434" s="496">
        <v>-901456</v>
      </c>
      <c r="I434" s="496">
        <f t="shared" si="20"/>
        <v>0</v>
      </c>
      <c r="J434" s="496" t="s">
        <v>869</v>
      </c>
    </row>
    <row r="435" spans="1:10" hidden="1" x14ac:dyDescent="0.25">
      <c r="A435" s="383">
        <f t="shared" si="18"/>
        <v>15</v>
      </c>
      <c r="B435" s="383" t="s">
        <v>263</v>
      </c>
      <c r="C435" s="497" t="s">
        <v>987</v>
      </c>
      <c r="D435" s="383" t="s">
        <v>952</v>
      </c>
      <c r="E435" s="383" t="s">
        <v>887</v>
      </c>
      <c r="F435" s="383" t="str">
        <f t="shared" si="19"/>
        <v>P200009FNSTAR Companies</v>
      </c>
      <c r="G435" s="496">
        <v>52720.14</v>
      </c>
      <c r="H435" s="496">
        <v>-52720.14</v>
      </c>
      <c r="I435" s="496">
        <f t="shared" si="20"/>
        <v>0</v>
      </c>
      <c r="J435" s="496" t="s">
        <v>869</v>
      </c>
    </row>
    <row r="436" spans="1:10" hidden="1" x14ac:dyDescent="0.25">
      <c r="A436" s="383">
        <f t="shared" si="18"/>
        <v>20</v>
      </c>
      <c r="B436" s="383" t="s">
        <v>263</v>
      </c>
      <c r="C436" s="497" t="s">
        <v>987</v>
      </c>
      <c r="D436" s="383" t="s">
        <v>1137</v>
      </c>
      <c r="E436" s="383" t="s">
        <v>887</v>
      </c>
      <c r="F436" s="383" t="str">
        <f t="shared" si="19"/>
        <v>P200009FOGE Energy Resour</v>
      </c>
      <c r="G436" s="496">
        <v>2156000</v>
      </c>
      <c r="H436" s="496">
        <v>-2156000</v>
      </c>
      <c r="I436" s="496">
        <f t="shared" si="20"/>
        <v>0</v>
      </c>
      <c r="J436" s="496" t="s">
        <v>869</v>
      </c>
    </row>
    <row r="437" spans="1:10" hidden="1" x14ac:dyDescent="0.25">
      <c r="A437" s="383">
        <f t="shared" si="18"/>
        <v>20</v>
      </c>
      <c r="B437" s="383" t="s">
        <v>263</v>
      </c>
      <c r="C437" s="497" t="s">
        <v>987</v>
      </c>
      <c r="D437" s="383" t="s">
        <v>981</v>
      </c>
      <c r="E437" s="383" t="s">
        <v>887</v>
      </c>
      <c r="F437" s="383" t="str">
        <f t="shared" si="19"/>
        <v xml:space="preserve">P200009FOglethorpe Power </v>
      </c>
      <c r="G437" s="496">
        <v>145856</v>
      </c>
      <c r="H437" s="496">
        <v>-145856</v>
      </c>
      <c r="I437" s="496">
        <f t="shared" si="20"/>
        <v>0</v>
      </c>
      <c r="J437" s="496" t="s">
        <v>869</v>
      </c>
    </row>
    <row r="438" spans="1:10" hidden="1" x14ac:dyDescent="0.25">
      <c r="A438" s="383">
        <f t="shared" si="18"/>
        <v>20</v>
      </c>
      <c r="B438" s="383" t="s">
        <v>263</v>
      </c>
      <c r="C438" s="497" t="s">
        <v>987</v>
      </c>
      <c r="D438" s="383" t="s">
        <v>982</v>
      </c>
      <c r="E438" s="383" t="s">
        <v>887</v>
      </c>
      <c r="F438" s="383" t="str">
        <f t="shared" si="19"/>
        <v xml:space="preserve">P200009FOtter Tail Power </v>
      </c>
      <c r="G438" s="496">
        <v>209025</v>
      </c>
      <c r="H438" s="496">
        <v>-209025</v>
      </c>
      <c r="I438" s="496">
        <f t="shared" si="20"/>
        <v>0</v>
      </c>
      <c r="J438" s="496" t="s">
        <v>869</v>
      </c>
    </row>
    <row r="439" spans="1:10" hidden="1" x14ac:dyDescent="0.25">
      <c r="A439" s="383">
        <f t="shared" si="18"/>
        <v>20</v>
      </c>
      <c r="B439" s="383" t="s">
        <v>263</v>
      </c>
      <c r="C439" s="497" t="s">
        <v>987</v>
      </c>
      <c r="D439" s="383" t="s">
        <v>1138</v>
      </c>
      <c r="E439" s="383" t="s">
        <v>887</v>
      </c>
      <c r="F439" s="383" t="str">
        <f t="shared" si="19"/>
        <v xml:space="preserve">P200009FPacifiCorp Power </v>
      </c>
      <c r="G439" s="496">
        <v>14359100</v>
      </c>
      <c r="H439" s="496">
        <v>-14359100</v>
      </c>
      <c r="I439" s="496">
        <f t="shared" si="20"/>
        <v>0</v>
      </c>
      <c r="J439" s="496" t="s">
        <v>869</v>
      </c>
    </row>
    <row r="440" spans="1:10" hidden="1" x14ac:dyDescent="0.25">
      <c r="A440" s="383">
        <f t="shared" si="18"/>
        <v>19</v>
      </c>
      <c r="B440" s="383" t="s">
        <v>263</v>
      </c>
      <c r="C440" s="497" t="s">
        <v>987</v>
      </c>
      <c r="D440" s="383" t="s">
        <v>1054</v>
      </c>
      <c r="E440" s="383" t="s">
        <v>887</v>
      </c>
      <c r="F440" s="383" t="str">
        <f t="shared" si="19"/>
        <v>P200009FPeco Energy Compa</v>
      </c>
      <c r="G440" s="496">
        <v>3619740</v>
      </c>
      <c r="H440" s="496">
        <v>-3619740</v>
      </c>
      <c r="I440" s="496">
        <f t="shared" si="20"/>
        <v>0</v>
      </c>
      <c r="J440" s="496" t="s">
        <v>869</v>
      </c>
    </row>
    <row r="441" spans="1:10" hidden="1" x14ac:dyDescent="0.25">
      <c r="A441" s="383">
        <f t="shared" si="18"/>
        <v>19</v>
      </c>
      <c r="B441" s="383" t="s">
        <v>263</v>
      </c>
      <c r="C441" s="497" t="s">
        <v>987</v>
      </c>
      <c r="D441" s="383" t="s">
        <v>945</v>
      </c>
      <c r="E441" s="383" t="s">
        <v>887</v>
      </c>
      <c r="F441" s="383" t="str">
        <f t="shared" si="19"/>
        <v>P200009FPG&amp;E Energy Tradi</v>
      </c>
      <c r="G441" s="496">
        <v>97560246.439999998</v>
      </c>
      <c r="H441" s="496">
        <v>-97560246.439999998</v>
      </c>
      <c r="I441" s="496">
        <f t="shared" si="20"/>
        <v>0</v>
      </c>
      <c r="J441" s="496" t="s">
        <v>869</v>
      </c>
    </row>
    <row r="442" spans="1:10" hidden="1" x14ac:dyDescent="0.25">
      <c r="A442" s="383">
        <f t="shared" si="18"/>
        <v>13</v>
      </c>
      <c r="B442" s="383" t="s">
        <v>263</v>
      </c>
      <c r="C442" s="497" t="s">
        <v>987</v>
      </c>
      <c r="D442" s="383" t="s">
        <v>902</v>
      </c>
      <c r="E442" s="383" t="s">
        <v>887</v>
      </c>
      <c r="F442" s="383" t="str">
        <f t="shared" si="19"/>
        <v>P200009FPowerex Corp.</v>
      </c>
      <c r="G442" s="496">
        <v>29003246.880000003</v>
      </c>
      <c r="H442" s="496">
        <v>-29003246.879999999</v>
      </c>
      <c r="I442" s="496">
        <f t="shared" si="20"/>
        <v>0</v>
      </c>
      <c r="J442" s="496" t="s">
        <v>869</v>
      </c>
    </row>
    <row r="443" spans="1:10" hidden="1" x14ac:dyDescent="0.25">
      <c r="A443" s="383">
        <f t="shared" si="18"/>
        <v>19</v>
      </c>
      <c r="B443" s="383" t="s">
        <v>263</v>
      </c>
      <c r="C443" s="497" t="s">
        <v>987</v>
      </c>
      <c r="D443" s="383" t="s">
        <v>1056</v>
      </c>
      <c r="E443" s="383" t="s">
        <v>887</v>
      </c>
      <c r="F443" s="383" t="str">
        <f t="shared" si="19"/>
        <v>P200009FPPL EnergyPlus, L</v>
      </c>
      <c r="G443" s="496">
        <v>7285680</v>
      </c>
      <c r="H443" s="496">
        <v>-7285680</v>
      </c>
      <c r="I443" s="496">
        <f t="shared" si="20"/>
        <v>0</v>
      </c>
      <c r="J443" s="496" t="s">
        <v>869</v>
      </c>
    </row>
    <row r="444" spans="1:10" hidden="1" x14ac:dyDescent="0.25">
      <c r="A444" s="383">
        <f t="shared" si="18"/>
        <v>16</v>
      </c>
      <c r="B444" s="383" t="s">
        <v>263</v>
      </c>
      <c r="C444" s="497" t="s">
        <v>987</v>
      </c>
      <c r="D444" s="383" t="s">
        <v>549</v>
      </c>
      <c r="E444" s="383" t="s">
        <v>887</v>
      </c>
      <c r="F444" s="383" t="str">
        <f t="shared" si="19"/>
        <v>P200009FPPL Montana, LLC</v>
      </c>
      <c r="G444" s="496">
        <v>42400</v>
      </c>
      <c r="H444" s="496">
        <v>-42400</v>
      </c>
      <c r="I444" s="496">
        <f t="shared" si="20"/>
        <v>0</v>
      </c>
      <c r="J444" s="496" t="s">
        <v>869</v>
      </c>
    </row>
    <row r="445" spans="1:10" hidden="1" x14ac:dyDescent="0.25">
      <c r="A445" s="383">
        <f t="shared" si="18"/>
        <v>20</v>
      </c>
      <c r="B445" s="383" t="s">
        <v>263</v>
      </c>
      <c r="C445" s="497" t="s">
        <v>987</v>
      </c>
      <c r="D445" s="383" t="s">
        <v>1139</v>
      </c>
      <c r="E445" s="383" t="s">
        <v>887</v>
      </c>
      <c r="F445" s="383" t="str">
        <f t="shared" si="19"/>
        <v>P200009FPSEG Energy Resou</v>
      </c>
      <c r="G445" s="496">
        <v>574400</v>
      </c>
      <c r="H445" s="496">
        <v>-574400</v>
      </c>
      <c r="I445" s="496">
        <f t="shared" si="20"/>
        <v>0</v>
      </c>
      <c r="J445" s="496" t="s">
        <v>869</v>
      </c>
    </row>
    <row r="446" spans="1:10" hidden="1" x14ac:dyDescent="0.25">
      <c r="A446" s="383">
        <f t="shared" si="18"/>
        <v>20</v>
      </c>
      <c r="B446" s="383" t="s">
        <v>263</v>
      </c>
      <c r="C446" s="497" t="s">
        <v>987</v>
      </c>
      <c r="D446" s="383" t="s">
        <v>984</v>
      </c>
      <c r="E446" s="383" t="s">
        <v>887</v>
      </c>
      <c r="F446" s="383" t="str">
        <f t="shared" si="19"/>
        <v>P200009FPublic Service Co</v>
      </c>
      <c r="G446" s="496">
        <v>38816700</v>
      </c>
      <c r="H446" s="496">
        <v>-38816700</v>
      </c>
      <c r="I446" s="496">
        <f t="shared" si="20"/>
        <v>0</v>
      </c>
      <c r="J446" s="496" t="s">
        <v>869</v>
      </c>
    </row>
    <row r="447" spans="1:10" hidden="1" x14ac:dyDescent="0.25">
      <c r="A447" s="383">
        <f t="shared" si="18"/>
        <v>20</v>
      </c>
      <c r="B447" s="383" t="s">
        <v>263</v>
      </c>
      <c r="C447" s="497" t="s">
        <v>987</v>
      </c>
      <c r="D447" s="383" t="s">
        <v>1140</v>
      </c>
      <c r="E447" s="383" t="s">
        <v>887</v>
      </c>
      <c r="F447" s="383" t="str">
        <f t="shared" si="19"/>
        <v>P200009FPublic Service El</v>
      </c>
      <c r="G447" s="496">
        <v>13310800</v>
      </c>
      <c r="H447" s="496">
        <v>-13310800</v>
      </c>
      <c r="I447" s="496">
        <f t="shared" si="20"/>
        <v>0</v>
      </c>
      <c r="J447" s="496" t="s">
        <v>869</v>
      </c>
    </row>
    <row r="448" spans="1:10" hidden="1" x14ac:dyDescent="0.25">
      <c r="A448" s="383">
        <f t="shared" si="18"/>
        <v>20</v>
      </c>
      <c r="B448" s="383" t="s">
        <v>263</v>
      </c>
      <c r="C448" s="497" t="s">
        <v>987</v>
      </c>
      <c r="D448" s="383" t="s">
        <v>1141</v>
      </c>
      <c r="E448" s="383" t="s">
        <v>887</v>
      </c>
      <c r="F448" s="383" t="str">
        <f t="shared" si="19"/>
        <v>P200009FPublic Utility Di</v>
      </c>
      <c r="G448" s="496">
        <v>3181200</v>
      </c>
      <c r="H448" s="496">
        <v>-3181200</v>
      </c>
      <c r="I448" s="496">
        <f t="shared" si="20"/>
        <v>0</v>
      </c>
      <c r="J448" s="496" t="s">
        <v>869</v>
      </c>
    </row>
    <row r="449" spans="1:10" hidden="1" x14ac:dyDescent="0.25">
      <c r="A449" s="383">
        <f t="shared" si="18"/>
        <v>20</v>
      </c>
      <c r="B449" s="383" t="s">
        <v>263</v>
      </c>
      <c r="C449" s="497" t="s">
        <v>987</v>
      </c>
      <c r="D449" s="383" t="s">
        <v>1142</v>
      </c>
      <c r="E449" s="383" t="s">
        <v>887</v>
      </c>
      <c r="F449" s="383" t="str">
        <f t="shared" si="19"/>
        <v>P200009FPublic Utility Di</v>
      </c>
      <c r="G449" s="496">
        <v>1010700</v>
      </c>
      <c r="H449" s="496">
        <v>-1010700</v>
      </c>
      <c r="I449" s="496">
        <f t="shared" si="20"/>
        <v>0</v>
      </c>
      <c r="J449" s="496" t="s">
        <v>869</v>
      </c>
    </row>
    <row r="450" spans="1:10" hidden="1" x14ac:dyDescent="0.25">
      <c r="A450" s="383">
        <f t="shared" si="18"/>
        <v>20</v>
      </c>
      <c r="B450" s="383" t="s">
        <v>263</v>
      </c>
      <c r="C450" s="497" t="s">
        <v>987</v>
      </c>
      <c r="D450" s="383" t="s">
        <v>1143</v>
      </c>
      <c r="E450" s="383" t="s">
        <v>887</v>
      </c>
      <c r="F450" s="383" t="str">
        <f t="shared" si="19"/>
        <v>P200009FRainbow Energy Ma</v>
      </c>
      <c r="G450" s="496">
        <v>22400</v>
      </c>
      <c r="H450" s="496">
        <v>-22400</v>
      </c>
      <c r="I450" s="496">
        <f t="shared" si="20"/>
        <v>0</v>
      </c>
      <c r="J450" s="496" t="s">
        <v>869</v>
      </c>
    </row>
    <row r="451" spans="1:10" hidden="1" x14ac:dyDescent="0.25">
      <c r="A451" s="383">
        <f t="shared" si="18"/>
        <v>20</v>
      </c>
      <c r="B451" s="383" t="s">
        <v>263</v>
      </c>
      <c r="C451" s="497" t="s">
        <v>987</v>
      </c>
      <c r="D451" s="383" t="s">
        <v>1144</v>
      </c>
      <c r="E451" s="383" t="s">
        <v>887</v>
      </c>
      <c r="F451" s="383" t="str">
        <f t="shared" si="19"/>
        <v>P200009FReliant Energy Se</v>
      </c>
      <c r="G451" s="496">
        <v>151061292.07999998</v>
      </c>
      <c r="H451" s="496">
        <v>-151061292.08000001</v>
      </c>
      <c r="I451" s="496">
        <f t="shared" si="20"/>
        <v>0</v>
      </c>
      <c r="J451" s="496" t="s">
        <v>869</v>
      </c>
    </row>
    <row r="452" spans="1:10" hidden="1" x14ac:dyDescent="0.25">
      <c r="A452" s="383">
        <f t="shared" ref="A452:A515" si="21">LEN(D452)</f>
        <v>20</v>
      </c>
      <c r="B452" s="383" t="s">
        <v>263</v>
      </c>
      <c r="C452" s="497" t="s">
        <v>987</v>
      </c>
      <c r="D452" s="383" t="s">
        <v>1145</v>
      </c>
      <c r="E452" s="383" t="s">
        <v>887</v>
      </c>
      <c r="F452" s="383" t="str">
        <f t="shared" ref="F452:F515" si="22">+B452&amp;C452&amp;E452&amp;LEFT(D452,17)</f>
        <v>P200009FSacramento Munici</v>
      </c>
      <c r="G452" s="496">
        <v>25500</v>
      </c>
      <c r="H452" s="496">
        <v>-25500</v>
      </c>
      <c r="I452" s="496">
        <f t="shared" ref="I452:I515" si="23">ROUND(+G452+H452,2)</f>
        <v>0</v>
      </c>
      <c r="J452" s="496" t="s">
        <v>869</v>
      </c>
    </row>
    <row r="453" spans="1:10" hidden="1" x14ac:dyDescent="0.25">
      <c r="A453" s="383">
        <f t="shared" si="21"/>
        <v>20</v>
      </c>
      <c r="B453" s="383" t="s">
        <v>263</v>
      </c>
      <c r="C453" s="497" t="s">
        <v>987</v>
      </c>
      <c r="D453" s="383" t="s">
        <v>985</v>
      </c>
      <c r="E453" s="383" t="s">
        <v>887</v>
      </c>
      <c r="F453" s="383" t="str">
        <f t="shared" si="22"/>
        <v>P200009FSaguaro Power Com</v>
      </c>
      <c r="G453" s="496">
        <v>326859</v>
      </c>
      <c r="H453" s="496">
        <v>-326859</v>
      </c>
      <c r="I453" s="496">
        <f t="shared" si="23"/>
        <v>0</v>
      </c>
      <c r="J453" s="496" t="s">
        <v>869</v>
      </c>
    </row>
    <row r="454" spans="1:10" hidden="1" x14ac:dyDescent="0.25">
      <c r="A454" s="383">
        <f t="shared" si="21"/>
        <v>20</v>
      </c>
      <c r="B454" s="383" t="s">
        <v>263</v>
      </c>
      <c r="C454" s="497" t="s">
        <v>987</v>
      </c>
      <c r="D454" s="383" t="s">
        <v>1146</v>
      </c>
      <c r="E454" s="383" t="s">
        <v>887</v>
      </c>
      <c r="F454" s="383" t="str">
        <f t="shared" si="22"/>
        <v>P200009FSalt River Projec</v>
      </c>
      <c r="G454" s="496">
        <v>4980200</v>
      </c>
      <c r="H454" s="496">
        <v>-4980200</v>
      </c>
      <c r="I454" s="496">
        <f t="shared" si="23"/>
        <v>0</v>
      </c>
      <c r="J454" s="496" t="s">
        <v>869</v>
      </c>
    </row>
    <row r="455" spans="1:10" hidden="1" x14ac:dyDescent="0.25">
      <c r="A455" s="383">
        <f t="shared" si="21"/>
        <v>20</v>
      </c>
      <c r="B455" s="383" t="s">
        <v>263</v>
      </c>
      <c r="C455" s="497" t="s">
        <v>987</v>
      </c>
      <c r="D455" s="383" t="s">
        <v>1147</v>
      </c>
      <c r="E455" s="383" t="s">
        <v>887</v>
      </c>
      <c r="F455" s="383" t="str">
        <f t="shared" si="22"/>
        <v>P200009FSaskatchewan Powe</v>
      </c>
      <c r="G455" s="496">
        <v>6125</v>
      </c>
      <c r="H455" s="496">
        <v>-6125</v>
      </c>
      <c r="I455" s="496">
        <f t="shared" si="23"/>
        <v>0</v>
      </c>
      <c r="J455" s="496" t="s">
        <v>869</v>
      </c>
    </row>
    <row r="456" spans="1:10" hidden="1" x14ac:dyDescent="0.25">
      <c r="A456" s="383">
        <f t="shared" si="21"/>
        <v>18</v>
      </c>
      <c r="B456" s="383" t="s">
        <v>263</v>
      </c>
      <c r="C456" s="497" t="s">
        <v>987</v>
      </c>
      <c r="D456" s="383" t="s">
        <v>324</v>
      </c>
      <c r="E456" s="383" t="s">
        <v>887</v>
      </c>
      <c r="F456" s="383" t="str">
        <f t="shared" si="22"/>
        <v>P200009FSeattle City Ligh</v>
      </c>
      <c r="G456" s="496">
        <v>329600</v>
      </c>
      <c r="H456" s="496">
        <v>-329600</v>
      </c>
      <c r="I456" s="496">
        <f t="shared" si="23"/>
        <v>0</v>
      </c>
      <c r="J456" s="496" t="s">
        <v>869</v>
      </c>
    </row>
    <row r="457" spans="1:10" hidden="1" x14ac:dyDescent="0.25">
      <c r="A457" s="383">
        <f t="shared" si="21"/>
        <v>20</v>
      </c>
      <c r="B457" s="383" t="s">
        <v>263</v>
      </c>
      <c r="C457" s="497" t="s">
        <v>987</v>
      </c>
      <c r="D457" s="383" t="s">
        <v>946</v>
      </c>
      <c r="E457" s="383" t="s">
        <v>887</v>
      </c>
      <c r="F457" s="383" t="str">
        <f t="shared" si="22"/>
        <v>P200009FSempra Energy Tra</v>
      </c>
      <c r="G457" s="496">
        <v>126717200</v>
      </c>
      <c r="H457" s="496">
        <v>-126717200</v>
      </c>
      <c r="I457" s="496">
        <f t="shared" si="23"/>
        <v>0</v>
      </c>
      <c r="J457" s="496" t="s">
        <v>869</v>
      </c>
    </row>
    <row r="458" spans="1:10" hidden="1" x14ac:dyDescent="0.25">
      <c r="A458" s="383">
        <f t="shared" si="21"/>
        <v>20</v>
      </c>
      <c r="B458" s="383" t="s">
        <v>263</v>
      </c>
      <c r="C458" s="497" t="s">
        <v>987</v>
      </c>
      <c r="D458" s="383" t="s">
        <v>1148</v>
      </c>
      <c r="E458" s="383" t="s">
        <v>887</v>
      </c>
      <c r="F458" s="383" t="str">
        <f t="shared" si="22"/>
        <v>P200009FSierra Pacific Po</v>
      </c>
      <c r="G458" s="496">
        <v>6619368</v>
      </c>
      <c r="H458" s="496">
        <v>-6619368</v>
      </c>
      <c r="I458" s="496">
        <f t="shared" si="23"/>
        <v>0</v>
      </c>
      <c r="J458" s="496" t="s">
        <v>869</v>
      </c>
    </row>
    <row r="459" spans="1:10" hidden="1" x14ac:dyDescent="0.25">
      <c r="A459" s="383">
        <f t="shared" si="21"/>
        <v>20</v>
      </c>
      <c r="B459" s="383" t="s">
        <v>263</v>
      </c>
      <c r="C459" s="497" t="s">
        <v>987</v>
      </c>
      <c r="D459" s="383" t="s">
        <v>1149</v>
      </c>
      <c r="E459" s="383" t="s">
        <v>887</v>
      </c>
      <c r="F459" s="383" t="str">
        <f t="shared" si="22"/>
        <v>P200009FSouth Carolina El</v>
      </c>
      <c r="G459" s="496">
        <v>16884.46</v>
      </c>
      <c r="H459" s="496">
        <v>-16884.46</v>
      </c>
      <c r="I459" s="496">
        <f t="shared" si="23"/>
        <v>0</v>
      </c>
      <c r="J459" s="496" t="s">
        <v>869</v>
      </c>
    </row>
    <row r="460" spans="1:10" hidden="1" x14ac:dyDescent="0.25">
      <c r="A460" s="383">
        <f t="shared" si="21"/>
        <v>20</v>
      </c>
      <c r="B460" s="383" t="s">
        <v>263</v>
      </c>
      <c r="C460" s="497" t="s">
        <v>987</v>
      </c>
      <c r="D460" s="383" t="s">
        <v>1150</v>
      </c>
      <c r="E460" s="383" t="s">
        <v>887</v>
      </c>
      <c r="F460" s="383" t="str">
        <f t="shared" si="22"/>
        <v xml:space="preserve">P200009FSouthern Company </v>
      </c>
      <c r="G460" s="496">
        <v>218914538.5</v>
      </c>
      <c r="H460" s="496">
        <v>-218914538.5</v>
      </c>
      <c r="I460" s="496">
        <f t="shared" si="23"/>
        <v>0</v>
      </c>
      <c r="J460" s="496" t="s">
        <v>869</v>
      </c>
    </row>
    <row r="461" spans="1:10" hidden="1" x14ac:dyDescent="0.25">
      <c r="A461" s="383">
        <f t="shared" si="21"/>
        <v>20</v>
      </c>
      <c r="B461" s="383" t="s">
        <v>263</v>
      </c>
      <c r="C461" s="497" t="s">
        <v>987</v>
      </c>
      <c r="D461" s="383" t="s">
        <v>1151</v>
      </c>
      <c r="E461" s="383" t="s">
        <v>887</v>
      </c>
      <c r="F461" s="383" t="str">
        <f t="shared" si="22"/>
        <v xml:space="preserve">P200009FSouthern Company </v>
      </c>
      <c r="G461" s="496">
        <v>83410.5</v>
      </c>
      <c r="H461" s="496">
        <v>-83410.5</v>
      </c>
      <c r="I461" s="496">
        <f t="shared" si="23"/>
        <v>0</v>
      </c>
      <c r="J461" s="496" t="s">
        <v>869</v>
      </c>
    </row>
    <row r="462" spans="1:10" hidden="1" x14ac:dyDescent="0.25">
      <c r="A462" s="383">
        <f t="shared" si="21"/>
        <v>20</v>
      </c>
      <c r="B462" s="383" t="s">
        <v>263</v>
      </c>
      <c r="C462" s="497" t="s">
        <v>987</v>
      </c>
      <c r="D462" s="383" t="s">
        <v>1152</v>
      </c>
      <c r="E462" s="383" t="s">
        <v>887</v>
      </c>
      <c r="F462" s="383" t="str">
        <f t="shared" si="22"/>
        <v xml:space="preserve">P200009FSouthern Indiana </v>
      </c>
      <c r="G462" s="496">
        <v>464045.25</v>
      </c>
      <c r="H462" s="496">
        <v>-464045.25</v>
      </c>
      <c r="I462" s="496">
        <f t="shared" si="23"/>
        <v>0</v>
      </c>
      <c r="J462" s="496" t="s">
        <v>869</v>
      </c>
    </row>
    <row r="463" spans="1:10" hidden="1" x14ac:dyDescent="0.25">
      <c r="A463" s="383">
        <f t="shared" si="21"/>
        <v>20</v>
      </c>
      <c r="B463" s="383" t="s">
        <v>263</v>
      </c>
      <c r="C463" s="497" t="s">
        <v>987</v>
      </c>
      <c r="D463" s="383" t="s">
        <v>986</v>
      </c>
      <c r="E463" s="383" t="s">
        <v>887</v>
      </c>
      <c r="F463" s="383" t="str">
        <f t="shared" si="22"/>
        <v>P200009FSplit Rock Energy</v>
      </c>
      <c r="G463" s="496">
        <v>345319.15</v>
      </c>
      <c r="H463" s="496">
        <v>-345319.15</v>
      </c>
      <c r="I463" s="496">
        <f t="shared" si="23"/>
        <v>0</v>
      </c>
      <c r="J463" s="496" t="s">
        <v>869</v>
      </c>
    </row>
    <row r="464" spans="1:10" hidden="1" x14ac:dyDescent="0.25">
      <c r="A464" s="383">
        <f t="shared" si="21"/>
        <v>20</v>
      </c>
      <c r="B464" s="383" t="s">
        <v>263</v>
      </c>
      <c r="C464" s="497" t="s">
        <v>987</v>
      </c>
      <c r="D464" s="383" t="s">
        <v>1153</v>
      </c>
      <c r="E464" s="383" t="s">
        <v>887</v>
      </c>
      <c r="F464" s="383" t="str">
        <f t="shared" si="22"/>
        <v>P200009FTenaska Power Ser</v>
      </c>
      <c r="G464" s="496">
        <v>252850</v>
      </c>
      <c r="H464" s="496">
        <v>-252850</v>
      </c>
      <c r="I464" s="496">
        <f t="shared" si="23"/>
        <v>0</v>
      </c>
      <c r="J464" s="496" t="s">
        <v>869</v>
      </c>
    </row>
    <row r="465" spans="1:10" hidden="1" x14ac:dyDescent="0.25">
      <c r="A465" s="383">
        <f t="shared" si="21"/>
        <v>20</v>
      </c>
      <c r="B465" s="383" t="s">
        <v>263</v>
      </c>
      <c r="C465" s="497" t="s">
        <v>987</v>
      </c>
      <c r="D465" s="383" t="s">
        <v>1154</v>
      </c>
      <c r="E465" s="383" t="s">
        <v>887</v>
      </c>
      <c r="F465" s="383" t="str">
        <f t="shared" si="22"/>
        <v xml:space="preserve">P200009FTexas-New Mexico </v>
      </c>
      <c r="G465" s="496">
        <v>65750</v>
      </c>
      <c r="H465" s="496">
        <v>-65750</v>
      </c>
      <c r="I465" s="496">
        <f t="shared" si="23"/>
        <v>0</v>
      </c>
      <c r="J465" s="496" t="s">
        <v>869</v>
      </c>
    </row>
    <row r="466" spans="1:10" hidden="1" x14ac:dyDescent="0.25">
      <c r="A466" s="383">
        <f t="shared" si="21"/>
        <v>20</v>
      </c>
      <c r="B466" s="383" t="s">
        <v>263</v>
      </c>
      <c r="C466" s="497" t="s">
        <v>987</v>
      </c>
      <c r="D466" s="383" t="s">
        <v>1155</v>
      </c>
      <c r="E466" s="383" t="s">
        <v>887</v>
      </c>
      <c r="F466" s="383" t="str">
        <f t="shared" si="22"/>
        <v>P200009FThe Manitoba Hydr</v>
      </c>
      <c r="G466" s="496">
        <v>1309014.22</v>
      </c>
      <c r="H466" s="496">
        <v>-1309014.22</v>
      </c>
      <c r="I466" s="496">
        <f t="shared" si="23"/>
        <v>0</v>
      </c>
      <c r="J466" s="496" t="s">
        <v>869</v>
      </c>
    </row>
    <row r="467" spans="1:10" hidden="1" x14ac:dyDescent="0.25">
      <c r="A467" s="383">
        <f t="shared" si="21"/>
        <v>20</v>
      </c>
      <c r="B467" s="383" t="s">
        <v>263</v>
      </c>
      <c r="C467" s="497" t="s">
        <v>987</v>
      </c>
      <c r="D467" s="383" t="s">
        <v>1156</v>
      </c>
      <c r="E467" s="383" t="s">
        <v>887</v>
      </c>
      <c r="F467" s="383" t="str">
        <f t="shared" si="22"/>
        <v>P200009FThe New Power Com</v>
      </c>
      <c r="G467" s="496">
        <v>225920</v>
      </c>
      <c r="H467" s="496">
        <v>-225920</v>
      </c>
      <c r="I467" s="496">
        <f t="shared" si="23"/>
        <v>0</v>
      </c>
      <c r="J467" s="496" t="s">
        <v>869</v>
      </c>
    </row>
    <row r="468" spans="1:10" hidden="1" x14ac:dyDescent="0.25">
      <c r="A468" s="383">
        <f t="shared" si="21"/>
        <v>20</v>
      </c>
      <c r="B468" s="383" t="s">
        <v>263</v>
      </c>
      <c r="C468" s="497" t="s">
        <v>987</v>
      </c>
      <c r="D468" s="383" t="s">
        <v>917</v>
      </c>
      <c r="E468" s="383" t="s">
        <v>887</v>
      </c>
      <c r="F468" s="383" t="str">
        <f t="shared" si="22"/>
        <v>P200009FTosco Refining Co</v>
      </c>
      <c r="G468" s="496">
        <v>1724437.64</v>
      </c>
      <c r="H468" s="496">
        <v>-1724437.64</v>
      </c>
      <c r="I468" s="496">
        <f t="shared" si="23"/>
        <v>0</v>
      </c>
      <c r="J468" s="496" t="s">
        <v>869</v>
      </c>
    </row>
    <row r="469" spans="1:10" hidden="1" x14ac:dyDescent="0.25">
      <c r="A469" s="383">
        <f t="shared" si="21"/>
        <v>20</v>
      </c>
      <c r="B469" s="383" t="s">
        <v>263</v>
      </c>
      <c r="C469" s="497" t="s">
        <v>987</v>
      </c>
      <c r="D469" s="383" t="s">
        <v>1157</v>
      </c>
      <c r="E469" s="383" t="s">
        <v>887</v>
      </c>
      <c r="F469" s="383" t="str">
        <f t="shared" si="22"/>
        <v xml:space="preserve">P200009FTractebel Energy </v>
      </c>
      <c r="G469" s="496">
        <v>86008300</v>
      </c>
      <c r="H469" s="496">
        <v>-86008300</v>
      </c>
      <c r="I469" s="496">
        <f t="shared" si="23"/>
        <v>0</v>
      </c>
      <c r="J469" s="496" t="s">
        <v>869</v>
      </c>
    </row>
    <row r="470" spans="1:10" hidden="1" x14ac:dyDescent="0.25">
      <c r="A470" s="383">
        <f t="shared" si="21"/>
        <v>20</v>
      </c>
      <c r="B470" s="383" t="s">
        <v>263</v>
      </c>
      <c r="C470" s="497" t="s">
        <v>987</v>
      </c>
      <c r="D470" s="383" t="s">
        <v>1158</v>
      </c>
      <c r="E470" s="383" t="s">
        <v>887</v>
      </c>
      <c r="F470" s="383" t="str">
        <f t="shared" si="22"/>
        <v xml:space="preserve">P200009FTransAlta Energy </v>
      </c>
      <c r="G470" s="496">
        <v>28780178</v>
      </c>
      <c r="H470" s="496">
        <v>-28780178</v>
      </c>
      <c r="I470" s="496">
        <f t="shared" si="23"/>
        <v>0</v>
      </c>
      <c r="J470" s="496" t="s">
        <v>869</v>
      </c>
    </row>
    <row r="471" spans="1:10" hidden="1" x14ac:dyDescent="0.25">
      <c r="A471" s="383">
        <f t="shared" si="21"/>
        <v>20</v>
      </c>
      <c r="B471" s="383" t="s">
        <v>263</v>
      </c>
      <c r="C471" s="497" t="s">
        <v>987</v>
      </c>
      <c r="D471" s="383" t="s">
        <v>1159</v>
      </c>
      <c r="E471" s="383" t="s">
        <v>887</v>
      </c>
      <c r="F471" s="383" t="str">
        <f t="shared" si="22"/>
        <v>P200009FTranscanada Power</v>
      </c>
      <c r="G471" s="496">
        <v>386000</v>
      </c>
      <c r="H471" s="496">
        <v>-386000</v>
      </c>
      <c r="I471" s="496">
        <f t="shared" si="23"/>
        <v>0</v>
      </c>
      <c r="J471" s="496" t="s">
        <v>869</v>
      </c>
    </row>
    <row r="472" spans="1:10" hidden="1" x14ac:dyDescent="0.25">
      <c r="A472" s="383">
        <f t="shared" si="21"/>
        <v>20</v>
      </c>
      <c r="B472" s="383" t="s">
        <v>263</v>
      </c>
      <c r="C472" s="497" t="s">
        <v>987</v>
      </c>
      <c r="D472" s="383" t="s">
        <v>1160</v>
      </c>
      <c r="E472" s="383" t="s">
        <v>887</v>
      </c>
      <c r="F472" s="383" t="str">
        <f t="shared" si="22"/>
        <v>P200009FTransCanada Power</v>
      </c>
      <c r="G472" s="496">
        <v>3695000</v>
      </c>
      <c r="H472" s="496">
        <v>-3695000</v>
      </c>
      <c r="I472" s="496">
        <f t="shared" si="23"/>
        <v>0</v>
      </c>
      <c r="J472" s="496" t="s">
        <v>869</v>
      </c>
    </row>
    <row r="473" spans="1:10" hidden="1" x14ac:dyDescent="0.25">
      <c r="A473" s="383">
        <f t="shared" si="21"/>
        <v>20</v>
      </c>
      <c r="B473" s="383" t="s">
        <v>263</v>
      </c>
      <c r="C473" s="497" t="s">
        <v>987</v>
      </c>
      <c r="D473" s="383" t="s">
        <v>1161</v>
      </c>
      <c r="E473" s="383" t="s">
        <v>887</v>
      </c>
      <c r="F473" s="383" t="str">
        <f t="shared" si="22"/>
        <v>P200009FTri-State Generat</v>
      </c>
      <c r="G473" s="496">
        <v>250760</v>
      </c>
      <c r="H473" s="496">
        <v>-250760</v>
      </c>
      <c r="I473" s="496">
        <f t="shared" si="23"/>
        <v>0</v>
      </c>
      <c r="J473" s="496" t="s">
        <v>869</v>
      </c>
    </row>
    <row r="474" spans="1:10" hidden="1" x14ac:dyDescent="0.25">
      <c r="A474" s="383">
        <f t="shared" si="21"/>
        <v>20</v>
      </c>
      <c r="B474" s="383" t="s">
        <v>263</v>
      </c>
      <c r="C474" s="497" t="s">
        <v>987</v>
      </c>
      <c r="D474" s="383" t="s">
        <v>1162</v>
      </c>
      <c r="E474" s="383" t="s">
        <v>887</v>
      </c>
      <c r="F474" s="383" t="str">
        <f t="shared" si="22"/>
        <v>P200009FValley Electric A</v>
      </c>
      <c r="G474" s="496">
        <v>925732.57</v>
      </c>
      <c r="H474" s="496">
        <v>-925732.57</v>
      </c>
      <c r="I474" s="496">
        <f t="shared" si="23"/>
        <v>0</v>
      </c>
      <c r="J474" s="496" t="s">
        <v>869</v>
      </c>
    </row>
    <row r="475" spans="1:10" hidden="1" x14ac:dyDescent="0.25">
      <c r="A475" s="383">
        <f t="shared" si="21"/>
        <v>20</v>
      </c>
      <c r="B475" s="383" t="s">
        <v>263</v>
      </c>
      <c r="C475" s="497" t="s">
        <v>987</v>
      </c>
      <c r="D475" s="383" t="s">
        <v>1163</v>
      </c>
      <c r="E475" s="383" t="s">
        <v>887</v>
      </c>
      <c r="F475" s="383" t="str">
        <f t="shared" si="22"/>
        <v>P200009FVirginia Electric</v>
      </c>
      <c r="G475" s="496">
        <v>23866898.5</v>
      </c>
      <c r="H475" s="496">
        <v>-23866898.5</v>
      </c>
      <c r="I475" s="496">
        <f t="shared" si="23"/>
        <v>0</v>
      </c>
      <c r="J475" s="496" t="s">
        <v>869</v>
      </c>
    </row>
    <row r="476" spans="1:10" hidden="1" x14ac:dyDescent="0.25">
      <c r="A476" s="383">
        <f t="shared" si="21"/>
        <v>19</v>
      </c>
      <c r="B476" s="383" t="s">
        <v>263</v>
      </c>
      <c r="C476" s="497" t="s">
        <v>987</v>
      </c>
      <c r="D476" s="383" t="s">
        <v>1083</v>
      </c>
      <c r="E476" s="383" t="s">
        <v>887</v>
      </c>
      <c r="F476" s="383" t="str">
        <f t="shared" si="22"/>
        <v>P200009FWabash Valley Pow</v>
      </c>
      <c r="G476" s="496">
        <v>436800</v>
      </c>
      <c r="H476" s="496">
        <v>-436800</v>
      </c>
      <c r="I476" s="496">
        <f t="shared" si="23"/>
        <v>0</v>
      </c>
      <c r="J476" s="496" t="s">
        <v>869</v>
      </c>
    </row>
    <row r="477" spans="1:10" hidden="1" x14ac:dyDescent="0.25">
      <c r="A477" s="383">
        <f t="shared" si="21"/>
        <v>20</v>
      </c>
      <c r="B477" s="383" t="s">
        <v>263</v>
      </c>
      <c r="C477" s="497" t="s">
        <v>987</v>
      </c>
      <c r="D477" s="383" t="s">
        <v>1164</v>
      </c>
      <c r="E477" s="383" t="s">
        <v>887</v>
      </c>
      <c r="F477" s="383" t="str">
        <f t="shared" si="22"/>
        <v>P200009FWestern Area Powe</v>
      </c>
      <c r="G477" s="496">
        <v>101050</v>
      </c>
      <c r="H477" s="496">
        <v>-101050</v>
      </c>
      <c r="I477" s="496">
        <f t="shared" si="23"/>
        <v>0</v>
      </c>
      <c r="J477" s="496" t="s">
        <v>869</v>
      </c>
    </row>
    <row r="478" spans="1:10" hidden="1" x14ac:dyDescent="0.25">
      <c r="A478" s="383">
        <f t="shared" si="21"/>
        <v>20</v>
      </c>
      <c r="B478" s="383" t="s">
        <v>263</v>
      </c>
      <c r="C478" s="497" t="s">
        <v>987</v>
      </c>
      <c r="D478" s="383" t="s">
        <v>1165</v>
      </c>
      <c r="E478" s="383" t="s">
        <v>887</v>
      </c>
      <c r="F478" s="383" t="str">
        <f t="shared" si="22"/>
        <v>P200009FWestern Farmers E</v>
      </c>
      <c r="G478" s="496">
        <v>8385</v>
      </c>
      <c r="H478" s="496">
        <v>-8385</v>
      </c>
      <c r="I478" s="496">
        <f t="shared" si="23"/>
        <v>0</v>
      </c>
      <c r="J478" s="496" t="s">
        <v>869</v>
      </c>
    </row>
    <row r="479" spans="1:10" hidden="1" x14ac:dyDescent="0.25">
      <c r="A479" s="383">
        <f t="shared" si="21"/>
        <v>20</v>
      </c>
      <c r="B479" s="383" t="s">
        <v>263</v>
      </c>
      <c r="C479" s="497" t="s">
        <v>987</v>
      </c>
      <c r="D479" s="383" t="s">
        <v>1166</v>
      </c>
      <c r="E479" s="383" t="s">
        <v>887</v>
      </c>
      <c r="F479" s="383" t="str">
        <f t="shared" si="22"/>
        <v>P200009FWestern Resources</v>
      </c>
      <c r="G479" s="496">
        <v>12324800</v>
      </c>
      <c r="H479" s="496">
        <v>-12324800</v>
      </c>
      <c r="I479" s="496">
        <f t="shared" si="23"/>
        <v>0</v>
      </c>
      <c r="J479" s="496" t="s">
        <v>869</v>
      </c>
    </row>
    <row r="480" spans="1:10" hidden="1" x14ac:dyDescent="0.25">
      <c r="A480" s="383">
        <f t="shared" si="21"/>
        <v>20</v>
      </c>
      <c r="B480" s="383" t="s">
        <v>263</v>
      </c>
      <c r="C480" s="497" t="s">
        <v>987</v>
      </c>
      <c r="D480" s="383" t="s">
        <v>1167</v>
      </c>
      <c r="E480" s="383" t="s">
        <v>887</v>
      </c>
      <c r="F480" s="383" t="str">
        <f t="shared" si="22"/>
        <v>P200009FWheelabrator Mart</v>
      </c>
      <c r="G480" s="496">
        <v>927609.27</v>
      </c>
      <c r="H480" s="496">
        <v>-927609.27</v>
      </c>
      <c r="I480" s="496">
        <f t="shared" si="23"/>
        <v>0</v>
      </c>
      <c r="J480" s="496" t="s">
        <v>869</v>
      </c>
    </row>
    <row r="481" spans="1:10" hidden="1" x14ac:dyDescent="0.25">
      <c r="A481" s="383">
        <f t="shared" si="21"/>
        <v>20</v>
      </c>
      <c r="B481" s="383" t="s">
        <v>263</v>
      </c>
      <c r="C481" s="497" t="s">
        <v>987</v>
      </c>
      <c r="D481" s="383" t="s">
        <v>1168</v>
      </c>
      <c r="E481" s="383" t="s">
        <v>887</v>
      </c>
      <c r="F481" s="383" t="str">
        <f t="shared" si="22"/>
        <v>P200009FWillamette Indust</v>
      </c>
      <c r="G481" s="496">
        <v>569897.68999999994</v>
      </c>
      <c r="H481" s="496">
        <v>-569897.68999999994</v>
      </c>
      <c r="I481" s="496">
        <f t="shared" si="23"/>
        <v>0</v>
      </c>
      <c r="J481" s="496" t="s">
        <v>869</v>
      </c>
    </row>
    <row r="482" spans="1:10" hidden="1" x14ac:dyDescent="0.25">
      <c r="A482" s="383">
        <f t="shared" si="21"/>
        <v>20</v>
      </c>
      <c r="B482" s="383" t="s">
        <v>263</v>
      </c>
      <c r="C482" s="497" t="s">
        <v>987</v>
      </c>
      <c r="D482" s="383" t="s">
        <v>1169</v>
      </c>
      <c r="E482" s="383" t="s">
        <v>887</v>
      </c>
      <c r="F482" s="383" t="str">
        <f t="shared" si="22"/>
        <v>P200009FWilliams Energy M</v>
      </c>
      <c r="G482" s="496">
        <v>107501711.5</v>
      </c>
      <c r="H482" s="496">
        <v>-107501711.5</v>
      </c>
      <c r="I482" s="496">
        <f t="shared" si="23"/>
        <v>0</v>
      </c>
      <c r="J482" s="496" t="s">
        <v>869</v>
      </c>
    </row>
    <row r="483" spans="1:10" hidden="1" x14ac:dyDescent="0.25">
      <c r="A483" s="383">
        <f t="shared" si="21"/>
        <v>20</v>
      </c>
      <c r="B483" s="383" t="s">
        <v>263</v>
      </c>
      <c r="C483" s="497" t="s">
        <v>987</v>
      </c>
      <c r="D483" s="383" t="s">
        <v>1170</v>
      </c>
      <c r="E483" s="383" t="s">
        <v>887</v>
      </c>
      <c r="F483" s="383" t="str">
        <f t="shared" si="22"/>
        <v>P200009FWisconsin Electri</v>
      </c>
      <c r="G483" s="496">
        <v>15600</v>
      </c>
      <c r="H483" s="496">
        <v>-15600</v>
      </c>
      <c r="I483" s="496">
        <f t="shared" si="23"/>
        <v>0</v>
      </c>
      <c r="J483" s="496" t="s">
        <v>869</v>
      </c>
    </row>
    <row r="484" spans="1:10" hidden="1" x14ac:dyDescent="0.25">
      <c r="A484" s="383">
        <f t="shared" si="21"/>
        <v>20</v>
      </c>
      <c r="B484" s="383" t="s">
        <v>263</v>
      </c>
      <c r="C484" s="497" t="s">
        <v>987</v>
      </c>
      <c r="D484" s="383" t="s">
        <v>1171</v>
      </c>
      <c r="E484" s="383" t="s">
        <v>887</v>
      </c>
      <c r="F484" s="383" t="str">
        <f t="shared" si="22"/>
        <v xml:space="preserve">P200009FWisconsin Public </v>
      </c>
      <c r="G484" s="496">
        <v>73320</v>
      </c>
      <c r="H484" s="496">
        <v>-73320</v>
      </c>
      <c r="I484" s="496">
        <f t="shared" si="23"/>
        <v>0</v>
      </c>
      <c r="J484" s="496" t="s">
        <v>869</v>
      </c>
    </row>
    <row r="485" spans="1:10" hidden="1" x14ac:dyDescent="0.25">
      <c r="A485" s="383">
        <f t="shared" si="21"/>
        <v>20</v>
      </c>
      <c r="B485" s="383" t="s">
        <v>263</v>
      </c>
      <c r="C485" s="497" t="s">
        <v>987</v>
      </c>
      <c r="D485" s="383" t="s">
        <v>1172</v>
      </c>
      <c r="E485" s="383" t="s">
        <v>887</v>
      </c>
      <c r="F485" s="383" t="str">
        <f t="shared" si="22"/>
        <v>P200009FWPS Energy Servic</v>
      </c>
      <c r="G485" s="496">
        <v>221000</v>
      </c>
      <c r="H485" s="496">
        <v>-221000</v>
      </c>
      <c r="I485" s="496">
        <f t="shared" si="23"/>
        <v>0</v>
      </c>
      <c r="J485" s="496" t="s">
        <v>869</v>
      </c>
    </row>
    <row r="486" spans="1:10" hidden="1" x14ac:dyDescent="0.25">
      <c r="A486" s="383">
        <f t="shared" si="21"/>
        <v>19</v>
      </c>
      <c r="B486" s="383" t="s">
        <v>263</v>
      </c>
      <c r="C486" s="497" t="s">
        <v>1173</v>
      </c>
      <c r="D486" s="383" t="s">
        <v>1174</v>
      </c>
      <c r="E486" s="383" t="s">
        <v>868</v>
      </c>
      <c r="F486" s="383" t="str">
        <f t="shared" si="22"/>
        <v>P200010DAlliant Energy Co</v>
      </c>
      <c r="G486" s="496">
        <v>80701</v>
      </c>
      <c r="H486" s="496">
        <v>-80701</v>
      </c>
      <c r="I486" s="496">
        <f t="shared" si="23"/>
        <v>0</v>
      </c>
      <c r="J486" s="496" t="s">
        <v>869</v>
      </c>
    </row>
    <row r="487" spans="1:10" hidden="1" x14ac:dyDescent="0.25">
      <c r="A487" s="383">
        <f t="shared" si="21"/>
        <v>19</v>
      </c>
      <c r="B487" s="383" t="s">
        <v>263</v>
      </c>
      <c r="C487" s="497" t="s">
        <v>1173</v>
      </c>
      <c r="D487" s="383" t="s">
        <v>992</v>
      </c>
      <c r="E487" s="383" t="s">
        <v>868</v>
      </c>
      <c r="F487" s="383" t="str">
        <f t="shared" si="22"/>
        <v>P200010DAmerada Hess Corp</v>
      </c>
      <c r="G487" s="496">
        <v>664000</v>
      </c>
      <c r="H487" s="496">
        <v>-664000</v>
      </c>
      <c r="I487" s="496">
        <f t="shared" si="23"/>
        <v>0</v>
      </c>
      <c r="J487" s="496" t="s">
        <v>869</v>
      </c>
    </row>
    <row r="488" spans="1:10" hidden="1" x14ac:dyDescent="0.25">
      <c r="A488" s="383">
        <f t="shared" si="21"/>
        <v>19</v>
      </c>
      <c r="B488" s="383" t="s">
        <v>263</v>
      </c>
      <c r="C488" s="497" t="s">
        <v>1173</v>
      </c>
      <c r="D488" s="383" t="s">
        <v>993</v>
      </c>
      <c r="E488" s="383" t="s">
        <v>868</v>
      </c>
      <c r="F488" s="383" t="str">
        <f t="shared" si="22"/>
        <v>P200010DAmeren Energy, In</v>
      </c>
      <c r="G488" s="496">
        <v>2750350</v>
      </c>
      <c r="H488" s="496">
        <v>-2750350</v>
      </c>
      <c r="I488" s="496">
        <f t="shared" si="23"/>
        <v>0</v>
      </c>
      <c r="J488" s="496" t="s">
        <v>869</v>
      </c>
    </row>
    <row r="489" spans="1:10" hidden="1" x14ac:dyDescent="0.25">
      <c r="A489" s="383">
        <f t="shared" si="21"/>
        <v>19</v>
      </c>
      <c r="B489" s="383" t="s">
        <v>263</v>
      </c>
      <c r="C489" s="497" t="s">
        <v>1173</v>
      </c>
      <c r="D489" s="383" t="s">
        <v>994</v>
      </c>
      <c r="E489" s="383" t="s">
        <v>868</v>
      </c>
      <c r="F489" s="383" t="str">
        <f t="shared" si="22"/>
        <v>P200010DAmerican Electric</v>
      </c>
      <c r="G489" s="496">
        <v>285865766.94999999</v>
      </c>
      <c r="H489" s="496">
        <v>-285865766.94999999</v>
      </c>
      <c r="I489" s="496">
        <f t="shared" si="23"/>
        <v>0</v>
      </c>
      <c r="J489" s="496" t="s">
        <v>869</v>
      </c>
    </row>
    <row r="490" spans="1:10" hidden="1" x14ac:dyDescent="0.25">
      <c r="A490" s="383">
        <f t="shared" si="21"/>
        <v>19</v>
      </c>
      <c r="B490" s="383" t="s">
        <v>263</v>
      </c>
      <c r="C490" s="497" t="s">
        <v>1173</v>
      </c>
      <c r="D490" s="383" t="s">
        <v>934</v>
      </c>
      <c r="E490" s="383" t="s">
        <v>868</v>
      </c>
      <c r="F490" s="383" t="str">
        <f t="shared" si="22"/>
        <v>P200010DAquila Energy Mar</v>
      </c>
      <c r="G490" s="496">
        <v>265178152.44</v>
      </c>
      <c r="H490" s="496">
        <v>-265178152.44</v>
      </c>
      <c r="I490" s="496">
        <f t="shared" si="23"/>
        <v>0</v>
      </c>
      <c r="J490" s="496" t="s">
        <v>869</v>
      </c>
    </row>
    <row r="491" spans="1:10" hidden="1" x14ac:dyDescent="0.25">
      <c r="A491" s="383">
        <f t="shared" si="21"/>
        <v>19</v>
      </c>
      <c r="B491" s="383" t="s">
        <v>263</v>
      </c>
      <c r="C491" s="497" t="s">
        <v>1173</v>
      </c>
      <c r="D491" s="383" t="s">
        <v>895</v>
      </c>
      <c r="E491" s="383" t="s">
        <v>868</v>
      </c>
      <c r="F491" s="383" t="str">
        <f t="shared" si="22"/>
        <v>P200010DArizona Public Se</v>
      </c>
      <c r="G491" s="496">
        <v>8071210.25</v>
      </c>
      <c r="H491" s="496">
        <v>-8071210.25</v>
      </c>
      <c r="I491" s="496">
        <f t="shared" si="23"/>
        <v>0</v>
      </c>
      <c r="J491" s="496" t="s">
        <v>869</v>
      </c>
    </row>
    <row r="492" spans="1:10" hidden="1" x14ac:dyDescent="0.25">
      <c r="A492" s="383">
        <f t="shared" si="21"/>
        <v>19</v>
      </c>
      <c r="B492" s="383" t="s">
        <v>263</v>
      </c>
      <c r="C492" s="497" t="s">
        <v>1173</v>
      </c>
      <c r="D492" s="383" t="s">
        <v>996</v>
      </c>
      <c r="E492" s="383" t="s">
        <v>868</v>
      </c>
      <c r="F492" s="383" t="str">
        <f t="shared" si="22"/>
        <v>P200010DAssociated Electr</v>
      </c>
      <c r="G492" s="496">
        <v>109293.5</v>
      </c>
      <c r="H492" s="496">
        <v>-109293.5</v>
      </c>
      <c r="I492" s="496">
        <f t="shared" si="23"/>
        <v>0</v>
      </c>
      <c r="J492" s="496" t="s">
        <v>869</v>
      </c>
    </row>
    <row r="493" spans="1:10" hidden="1" x14ac:dyDescent="0.25">
      <c r="A493" s="383">
        <f t="shared" si="21"/>
        <v>19</v>
      </c>
      <c r="B493" s="383" t="s">
        <v>263</v>
      </c>
      <c r="C493" s="497" t="s">
        <v>1173</v>
      </c>
      <c r="D493" s="383" t="s">
        <v>997</v>
      </c>
      <c r="E493" s="383" t="s">
        <v>868</v>
      </c>
      <c r="F493" s="383" t="str">
        <f t="shared" si="22"/>
        <v>P200010DAtlantic City Ele</v>
      </c>
      <c r="G493" s="496">
        <v>786643.2</v>
      </c>
      <c r="H493" s="496">
        <v>-786643.2</v>
      </c>
      <c r="I493" s="496">
        <f t="shared" si="23"/>
        <v>0</v>
      </c>
      <c r="J493" s="496" t="s">
        <v>869</v>
      </c>
    </row>
    <row r="494" spans="1:10" hidden="1" x14ac:dyDescent="0.25">
      <c r="A494" s="383">
        <f t="shared" si="21"/>
        <v>18</v>
      </c>
      <c r="B494" s="383" t="s">
        <v>263</v>
      </c>
      <c r="C494" s="497" t="s">
        <v>1173</v>
      </c>
      <c r="D494" s="383" t="s">
        <v>921</v>
      </c>
      <c r="E494" s="383" t="s">
        <v>868</v>
      </c>
      <c r="F494" s="383" t="str">
        <f t="shared" si="22"/>
        <v>P200010DAtlantic Richfiel</v>
      </c>
      <c r="G494" s="496">
        <v>1797914.93</v>
      </c>
      <c r="H494" s="496">
        <v>-1797914.93</v>
      </c>
      <c r="I494" s="496">
        <f t="shared" si="23"/>
        <v>0</v>
      </c>
      <c r="J494" s="496" t="s">
        <v>869</v>
      </c>
    </row>
    <row r="495" spans="1:10" hidden="1" x14ac:dyDescent="0.25">
      <c r="A495" s="383">
        <f t="shared" si="21"/>
        <v>15</v>
      </c>
      <c r="B495" s="383" t="s">
        <v>263</v>
      </c>
      <c r="C495" s="497" t="s">
        <v>1173</v>
      </c>
      <c r="D495" s="383" t="s">
        <v>1175</v>
      </c>
      <c r="E495" s="383" t="s">
        <v>868</v>
      </c>
      <c r="F495" s="383" t="str">
        <f t="shared" si="22"/>
        <v>P200010DAustin, City Of</v>
      </c>
      <c r="G495" s="496">
        <v>-1802.77</v>
      </c>
      <c r="H495" s="496">
        <v>1802.77</v>
      </c>
      <c r="I495" s="496">
        <f t="shared" si="23"/>
        <v>0</v>
      </c>
      <c r="J495" s="496" t="s">
        <v>869</v>
      </c>
    </row>
    <row r="496" spans="1:10" hidden="1" x14ac:dyDescent="0.25">
      <c r="A496" s="383">
        <f t="shared" si="21"/>
        <v>18</v>
      </c>
      <c r="B496" s="383" t="s">
        <v>263</v>
      </c>
      <c r="C496" s="497" t="s">
        <v>1173</v>
      </c>
      <c r="D496" s="383" t="s">
        <v>998</v>
      </c>
      <c r="E496" s="383" t="s">
        <v>868</v>
      </c>
      <c r="F496" s="383" t="str">
        <f t="shared" si="22"/>
        <v>P200010DAvista Corporatio</v>
      </c>
      <c r="G496" s="496">
        <v>7524808.25</v>
      </c>
      <c r="H496" s="496">
        <v>-7524808.25</v>
      </c>
      <c r="I496" s="496">
        <f t="shared" si="23"/>
        <v>0</v>
      </c>
      <c r="J496" s="496" t="s">
        <v>869</v>
      </c>
    </row>
    <row r="497" spans="1:10" hidden="1" x14ac:dyDescent="0.25">
      <c r="A497" s="383">
        <f t="shared" si="21"/>
        <v>19</v>
      </c>
      <c r="B497" s="383" t="s">
        <v>263</v>
      </c>
      <c r="C497" s="497" t="s">
        <v>1173</v>
      </c>
      <c r="D497" s="383" t="s">
        <v>999</v>
      </c>
      <c r="E497" s="383" t="s">
        <v>868</v>
      </c>
      <c r="F497" s="383" t="str">
        <f t="shared" si="22"/>
        <v>P200010DAvista Energy, In</v>
      </c>
      <c r="G497" s="496">
        <v>86383231</v>
      </c>
      <c r="H497" s="496">
        <v>-86383231</v>
      </c>
      <c r="I497" s="496">
        <f t="shared" si="23"/>
        <v>0</v>
      </c>
      <c r="J497" s="496" t="s">
        <v>869</v>
      </c>
    </row>
    <row r="498" spans="1:10" hidden="1" x14ac:dyDescent="0.25">
      <c r="A498" s="383">
        <f t="shared" si="21"/>
        <v>19</v>
      </c>
      <c r="B498" s="383" t="s">
        <v>263</v>
      </c>
      <c r="C498" s="497" t="s">
        <v>1173</v>
      </c>
      <c r="D498" s="383" t="s">
        <v>935</v>
      </c>
      <c r="E498" s="383" t="s">
        <v>868</v>
      </c>
      <c r="F498" s="383" t="str">
        <f t="shared" si="22"/>
        <v xml:space="preserve">P200010DBonneville Power </v>
      </c>
      <c r="G498" s="496">
        <v>10820557.489999998</v>
      </c>
      <c r="H498" s="496">
        <v>-10820557.49</v>
      </c>
      <c r="I498" s="496">
        <f t="shared" si="23"/>
        <v>0</v>
      </c>
      <c r="J498" s="496" t="s">
        <v>869</v>
      </c>
    </row>
    <row r="499" spans="1:10" hidden="1" x14ac:dyDescent="0.25">
      <c r="A499" s="383">
        <f t="shared" si="21"/>
        <v>18</v>
      </c>
      <c r="B499" s="383" t="s">
        <v>263</v>
      </c>
      <c r="C499" s="497" t="s">
        <v>1173</v>
      </c>
      <c r="D499" s="383" t="s">
        <v>1176</v>
      </c>
      <c r="E499" s="383" t="s">
        <v>868</v>
      </c>
      <c r="F499" s="383" t="str">
        <f t="shared" si="22"/>
        <v>P200010DBraintree Electri</v>
      </c>
      <c r="G499" s="496">
        <v>36750</v>
      </c>
      <c r="H499" s="496">
        <v>-36750</v>
      </c>
      <c r="I499" s="496">
        <f t="shared" si="23"/>
        <v>0</v>
      </c>
      <c r="J499" s="496" t="s">
        <v>869</v>
      </c>
    </row>
    <row r="500" spans="1:10" hidden="1" x14ac:dyDescent="0.25">
      <c r="A500" s="383">
        <f t="shared" si="21"/>
        <v>19</v>
      </c>
      <c r="B500" s="383" t="s">
        <v>263</v>
      </c>
      <c r="C500" s="497" t="s">
        <v>1173</v>
      </c>
      <c r="D500" s="383" t="s">
        <v>1177</v>
      </c>
      <c r="E500" s="383" t="s">
        <v>868</v>
      </c>
      <c r="F500" s="383" t="str">
        <f t="shared" si="22"/>
        <v>P200010DBrazos Electric P</v>
      </c>
      <c r="G500" s="496">
        <v>-1907.59</v>
      </c>
      <c r="H500" s="496">
        <v>1907.59</v>
      </c>
      <c r="I500" s="496">
        <f t="shared" si="23"/>
        <v>0</v>
      </c>
      <c r="J500" s="496" t="s">
        <v>869</v>
      </c>
    </row>
    <row r="501" spans="1:10" hidden="1" x14ac:dyDescent="0.25">
      <c r="A501" s="383">
        <f t="shared" si="21"/>
        <v>14</v>
      </c>
      <c r="B501" s="383" t="s">
        <v>263</v>
      </c>
      <c r="C501" s="497" t="s">
        <v>1173</v>
      </c>
      <c r="D501" s="383" t="s">
        <v>1178</v>
      </c>
      <c r="E501" s="383" t="s">
        <v>868</v>
      </c>
      <c r="F501" s="383" t="str">
        <f t="shared" si="22"/>
        <v>P200010DBryan, City Of</v>
      </c>
      <c r="G501" s="496">
        <v>59062.64</v>
      </c>
      <c r="H501" s="496">
        <v>-59062.64</v>
      </c>
      <c r="I501" s="496">
        <f t="shared" si="23"/>
        <v>0</v>
      </c>
      <c r="J501" s="496" t="s">
        <v>869</v>
      </c>
    </row>
    <row r="502" spans="1:10" hidden="1" x14ac:dyDescent="0.25">
      <c r="A502" s="383">
        <f t="shared" si="21"/>
        <v>19</v>
      </c>
      <c r="B502" s="383" t="s">
        <v>263</v>
      </c>
      <c r="C502" s="497" t="s">
        <v>1173</v>
      </c>
      <c r="D502" s="383" t="s">
        <v>1179</v>
      </c>
      <c r="E502" s="383" t="s">
        <v>868</v>
      </c>
      <c r="F502" s="383" t="str">
        <f t="shared" si="22"/>
        <v>P200010DCalifornia Depart</v>
      </c>
      <c r="G502" s="496">
        <v>506636.73</v>
      </c>
      <c r="H502" s="496">
        <v>-506636.73</v>
      </c>
      <c r="I502" s="496">
        <f t="shared" si="23"/>
        <v>0</v>
      </c>
      <c r="J502" s="496" t="s">
        <v>869</v>
      </c>
    </row>
    <row r="503" spans="1:10" hidden="1" x14ac:dyDescent="0.25">
      <c r="A503" s="383">
        <f t="shared" si="21"/>
        <v>19</v>
      </c>
      <c r="B503" s="383" t="s">
        <v>263</v>
      </c>
      <c r="C503" s="497" t="s">
        <v>1173</v>
      </c>
      <c r="D503" s="383" t="s">
        <v>936</v>
      </c>
      <c r="E503" s="383" t="s">
        <v>868</v>
      </c>
      <c r="F503" s="383" t="str">
        <f t="shared" si="22"/>
        <v xml:space="preserve">P200010DCalifornia Power </v>
      </c>
      <c r="G503" s="496">
        <v>9752494.4299999997</v>
      </c>
      <c r="H503" s="496">
        <v>-9752494.4299999997</v>
      </c>
      <c r="I503" s="496">
        <f t="shared" si="23"/>
        <v>0</v>
      </c>
      <c r="J503" s="496" t="s">
        <v>869</v>
      </c>
    </row>
    <row r="504" spans="1:10" hidden="1" x14ac:dyDescent="0.25">
      <c r="A504" s="383">
        <f t="shared" si="21"/>
        <v>18</v>
      </c>
      <c r="B504" s="383" t="s">
        <v>263</v>
      </c>
      <c r="C504" s="497" t="s">
        <v>1173</v>
      </c>
      <c r="D504" s="383" t="s">
        <v>959</v>
      </c>
      <c r="E504" s="383" t="s">
        <v>868</v>
      </c>
      <c r="F504" s="383" t="str">
        <f t="shared" si="22"/>
        <v>P200010DCalifornia Supple</v>
      </c>
      <c r="G504" s="496">
        <v>0</v>
      </c>
      <c r="H504" s="496"/>
      <c r="I504" s="496">
        <f t="shared" si="23"/>
        <v>0</v>
      </c>
      <c r="J504" s="496" t="s">
        <v>869</v>
      </c>
    </row>
    <row r="505" spans="1:10" hidden="1" x14ac:dyDescent="0.25">
      <c r="A505" s="383">
        <f t="shared" si="21"/>
        <v>19</v>
      </c>
      <c r="B505" s="383" t="s">
        <v>263</v>
      </c>
      <c r="C505" s="497" t="s">
        <v>1173</v>
      </c>
      <c r="D505" s="383" t="s">
        <v>1180</v>
      </c>
      <c r="E505" s="383" t="s">
        <v>868</v>
      </c>
      <c r="F505" s="383" t="str">
        <f t="shared" si="22"/>
        <v>P200010DCalpine Power Ser</v>
      </c>
      <c r="G505" s="496">
        <v>3398625</v>
      </c>
      <c r="H505" s="496">
        <v>-3398625</v>
      </c>
      <c r="I505" s="496">
        <f t="shared" si="23"/>
        <v>0</v>
      </c>
      <c r="J505" s="496" t="s">
        <v>869</v>
      </c>
    </row>
    <row r="506" spans="1:10" hidden="1" x14ac:dyDescent="0.25">
      <c r="A506" s="383">
        <f t="shared" si="21"/>
        <v>19</v>
      </c>
      <c r="B506" s="383" t="s">
        <v>263</v>
      </c>
      <c r="C506" s="497" t="s">
        <v>1173</v>
      </c>
      <c r="D506" s="383" t="s">
        <v>1181</v>
      </c>
      <c r="E506" s="383" t="s">
        <v>868</v>
      </c>
      <c r="F506" s="383" t="str">
        <f t="shared" si="22"/>
        <v xml:space="preserve">P200010DCargill-Alliant, </v>
      </c>
      <c r="G506" s="496">
        <v>14321422.5</v>
      </c>
      <c r="H506" s="496">
        <v>-14321422.5</v>
      </c>
      <c r="I506" s="496">
        <f t="shared" si="23"/>
        <v>0</v>
      </c>
      <c r="J506" s="496" t="s">
        <v>869</v>
      </c>
    </row>
    <row r="507" spans="1:10" hidden="1" x14ac:dyDescent="0.25">
      <c r="A507" s="383">
        <f t="shared" si="21"/>
        <v>19</v>
      </c>
      <c r="B507" s="383" t="s">
        <v>263</v>
      </c>
      <c r="C507" s="497" t="s">
        <v>1173</v>
      </c>
      <c r="D507" s="383" t="s">
        <v>1003</v>
      </c>
      <c r="E507" s="383" t="s">
        <v>868</v>
      </c>
      <c r="F507" s="383" t="str">
        <f t="shared" si="22"/>
        <v xml:space="preserve">P200010DCarolina Power &amp; </v>
      </c>
      <c r="G507" s="496">
        <v>764844</v>
      </c>
      <c r="H507" s="496">
        <v>-764844</v>
      </c>
      <c r="I507" s="496">
        <f t="shared" si="23"/>
        <v>0</v>
      </c>
      <c r="J507" s="496" t="s">
        <v>869</v>
      </c>
    </row>
    <row r="508" spans="1:10" hidden="1" x14ac:dyDescent="0.25">
      <c r="A508" s="383">
        <f t="shared" si="21"/>
        <v>19</v>
      </c>
      <c r="B508" s="383" t="s">
        <v>263</v>
      </c>
      <c r="C508" s="497" t="s">
        <v>1173</v>
      </c>
      <c r="D508" s="383" t="s">
        <v>1182</v>
      </c>
      <c r="E508" s="383" t="s">
        <v>868</v>
      </c>
      <c r="F508" s="383" t="str">
        <f t="shared" si="22"/>
        <v xml:space="preserve">P200010DCentral Illinois </v>
      </c>
      <c r="G508" s="496">
        <v>158701</v>
      </c>
      <c r="H508" s="496">
        <v>-158701</v>
      </c>
      <c r="I508" s="496">
        <f t="shared" si="23"/>
        <v>0</v>
      </c>
      <c r="J508" s="496" t="s">
        <v>869</v>
      </c>
    </row>
    <row r="509" spans="1:10" hidden="1" x14ac:dyDescent="0.25">
      <c r="A509" s="383">
        <f t="shared" si="21"/>
        <v>19</v>
      </c>
      <c r="B509" s="383" t="s">
        <v>263</v>
      </c>
      <c r="C509" s="497" t="s">
        <v>1173</v>
      </c>
      <c r="D509" s="383" t="s">
        <v>1183</v>
      </c>
      <c r="E509" s="383" t="s">
        <v>868</v>
      </c>
      <c r="F509" s="383" t="str">
        <f t="shared" si="22"/>
        <v>P200010DCinergy Capital &amp;</v>
      </c>
      <c r="G509" s="496">
        <v>38640</v>
      </c>
      <c r="H509" s="496">
        <v>-38640</v>
      </c>
      <c r="I509" s="496">
        <f t="shared" si="23"/>
        <v>0</v>
      </c>
      <c r="J509" s="496" t="s">
        <v>869</v>
      </c>
    </row>
    <row r="510" spans="1:10" hidden="1" x14ac:dyDescent="0.25">
      <c r="A510" s="383">
        <f t="shared" si="21"/>
        <v>19</v>
      </c>
      <c r="B510" s="383" t="s">
        <v>263</v>
      </c>
      <c r="C510" s="497" t="s">
        <v>1173</v>
      </c>
      <c r="D510" s="383" t="s">
        <v>1184</v>
      </c>
      <c r="E510" s="383" t="s">
        <v>868</v>
      </c>
      <c r="F510" s="383" t="str">
        <f t="shared" si="22"/>
        <v>P200010DCinergy Services,</v>
      </c>
      <c r="G510" s="496">
        <v>35557438.019999996</v>
      </c>
      <c r="H510" s="496">
        <v>-35557438.020000003</v>
      </c>
      <c r="I510" s="496">
        <f t="shared" si="23"/>
        <v>0</v>
      </c>
      <c r="J510" s="496" t="s">
        <v>869</v>
      </c>
    </row>
    <row r="511" spans="1:10" hidden="1" x14ac:dyDescent="0.25">
      <c r="A511" s="383">
        <f t="shared" si="21"/>
        <v>15</v>
      </c>
      <c r="B511" s="383" t="s">
        <v>263</v>
      </c>
      <c r="C511" s="497" t="s">
        <v>1173</v>
      </c>
      <c r="D511" s="383" t="s">
        <v>911</v>
      </c>
      <c r="E511" s="383" t="s">
        <v>868</v>
      </c>
      <c r="F511" s="383" t="str">
        <f t="shared" si="22"/>
        <v>P200010DCity of Redding</v>
      </c>
      <c r="G511" s="496">
        <v>2938962.5</v>
      </c>
      <c r="H511" s="496">
        <v>-2938962.5</v>
      </c>
      <c r="I511" s="496">
        <f t="shared" si="23"/>
        <v>0</v>
      </c>
      <c r="J511" s="496" t="s">
        <v>869</v>
      </c>
    </row>
    <row r="512" spans="1:10" hidden="1" x14ac:dyDescent="0.25">
      <c r="A512" s="383">
        <f t="shared" si="21"/>
        <v>17</v>
      </c>
      <c r="B512" s="383" t="s">
        <v>263</v>
      </c>
      <c r="C512" s="497" t="s">
        <v>1173</v>
      </c>
      <c r="D512" s="383" t="s">
        <v>1185</v>
      </c>
      <c r="E512" s="383" t="s">
        <v>868</v>
      </c>
      <c r="F512" s="383" t="str">
        <f t="shared" si="22"/>
        <v>P200010DCity Of Riverside</v>
      </c>
      <c r="G512" s="496">
        <v>704056</v>
      </c>
      <c r="H512" s="496">
        <v>-704056</v>
      </c>
      <c r="I512" s="496">
        <f t="shared" si="23"/>
        <v>0</v>
      </c>
      <c r="J512" s="496" t="s">
        <v>869</v>
      </c>
    </row>
    <row r="513" spans="1:10" hidden="1" x14ac:dyDescent="0.25">
      <c r="A513" s="383">
        <f t="shared" si="21"/>
        <v>17</v>
      </c>
      <c r="B513" s="383" t="s">
        <v>263</v>
      </c>
      <c r="C513" s="497" t="s">
        <v>1173</v>
      </c>
      <c r="D513" s="383" t="s">
        <v>1186</v>
      </c>
      <c r="E513" s="383" t="s">
        <v>868</v>
      </c>
      <c r="F513" s="383" t="str">
        <f t="shared" si="22"/>
        <v>P200010DCity of Roseville</v>
      </c>
      <c r="G513" s="496">
        <v>1115565</v>
      </c>
      <c r="H513" s="496">
        <v>-1115565</v>
      </c>
      <c r="I513" s="496">
        <f t="shared" si="23"/>
        <v>0</v>
      </c>
      <c r="J513" s="496" t="s">
        <v>869</v>
      </c>
    </row>
    <row r="514" spans="1:10" hidden="1" x14ac:dyDescent="0.25">
      <c r="A514" s="383">
        <f t="shared" si="21"/>
        <v>19</v>
      </c>
      <c r="B514" s="383" t="s">
        <v>263</v>
      </c>
      <c r="C514" s="497" t="s">
        <v>1173</v>
      </c>
      <c r="D514" s="383" t="s">
        <v>948</v>
      </c>
      <c r="E514" s="383" t="s">
        <v>868</v>
      </c>
      <c r="F514" s="383" t="str">
        <f t="shared" si="22"/>
        <v>P200010DCity of Tacoma, D</v>
      </c>
      <c r="G514" s="496">
        <v>2378932.7599999998</v>
      </c>
      <c r="H514" s="496">
        <v>-2378932.7599999998</v>
      </c>
      <c r="I514" s="496">
        <f t="shared" si="23"/>
        <v>0</v>
      </c>
      <c r="J514" s="496" t="s">
        <v>869</v>
      </c>
    </row>
    <row r="515" spans="1:10" hidden="1" x14ac:dyDescent="0.25">
      <c r="A515" s="383">
        <f t="shared" si="21"/>
        <v>19</v>
      </c>
      <c r="B515" s="383" t="s">
        <v>263</v>
      </c>
      <c r="C515" s="497" t="s">
        <v>1173</v>
      </c>
      <c r="D515" s="383" t="s">
        <v>1187</v>
      </c>
      <c r="E515" s="383" t="s">
        <v>868</v>
      </c>
      <c r="F515" s="383" t="str">
        <f t="shared" si="22"/>
        <v>P200010DCity Public Servi</v>
      </c>
      <c r="G515" s="496">
        <v>-1482.38</v>
      </c>
      <c r="H515" s="496">
        <v>1482.38</v>
      </c>
      <c r="I515" s="496">
        <f t="shared" si="23"/>
        <v>0</v>
      </c>
      <c r="J515" s="496" t="s">
        <v>869</v>
      </c>
    </row>
    <row r="516" spans="1:10" hidden="1" x14ac:dyDescent="0.25">
      <c r="A516" s="383">
        <f t="shared" ref="A516:A579" si="24">LEN(D516)</f>
        <v>19</v>
      </c>
      <c r="B516" s="383" t="s">
        <v>263</v>
      </c>
      <c r="C516" s="497" t="s">
        <v>1173</v>
      </c>
      <c r="D516" s="383" t="s">
        <v>1106</v>
      </c>
      <c r="E516" s="383" t="s">
        <v>868</v>
      </c>
      <c r="F516" s="383" t="str">
        <f t="shared" ref="F516:F579" si="25">+B516&amp;C516&amp;E516&amp;LEFT(D516,17)</f>
        <v>P200010DCLECO Marketing a</v>
      </c>
      <c r="G516" s="496">
        <v>29800</v>
      </c>
      <c r="H516" s="496">
        <v>-29800</v>
      </c>
      <c r="I516" s="496">
        <f t="shared" ref="I516:I579" si="26">ROUND(+G516+H516,2)</f>
        <v>0</v>
      </c>
      <c r="J516" s="496" t="s">
        <v>869</v>
      </c>
    </row>
    <row r="517" spans="1:10" hidden="1" x14ac:dyDescent="0.25">
      <c r="A517" s="383">
        <f t="shared" si="24"/>
        <v>19</v>
      </c>
      <c r="B517" s="383" t="s">
        <v>263</v>
      </c>
      <c r="C517" s="497" t="s">
        <v>1173</v>
      </c>
      <c r="D517" s="383" t="s">
        <v>1007</v>
      </c>
      <c r="E517" s="383" t="s">
        <v>868</v>
      </c>
      <c r="F517" s="383" t="str">
        <f t="shared" si="25"/>
        <v>P200010DCMS Marketing, Se</v>
      </c>
      <c r="G517" s="496">
        <v>5591658.6400000006</v>
      </c>
      <c r="H517" s="496">
        <v>-5591658.6399999997</v>
      </c>
      <c r="I517" s="496">
        <f t="shared" si="26"/>
        <v>0</v>
      </c>
      <c r="J517" s="496" t="s">
        <v>869</v>
      </c>
    </row>
    <row r="518" spans="1:10" hidden="1" x14ac:dyDescent="0.25">
      <c r="A518" s="383">
        <f t="shared" si="24"/>
        <v>19</v>
      </c>
      <c r="B518" s="383" t="s">
        <v>263</v>
      </c>
      <c r="C518" s="497" t="s">
        <v>1173</v>
      </c>
      <c r="D518" s="383" t="s">
        <v>1008</v>
      </c>
      <c r="E518" s="383" t="s">
        <v>868</v>
      </c>
      <c r="F518" s="383" t="str">
        <f t="shared" si="25"/>
        <v xml:space="preserve">P200010DCoastal Merchant </v>
      </c>
      <c r="G518" s="496">
        <v>2580164</v>
      </c>
      <c r="H518" s="496">
        <v>-2580164</v>
      </c>
      <c r="I518" s="496">
        <f t="shared" si="26"/>
        <v>0</v>
      </c>
      <c r="J518" s="496" t="s">
        <v>869</v>
      </c>
    </row>
    <row r="519" spans="1:10" hidden="1" x14ac:dyDescent="0.25">
      <c r="A519" s="383">
        <f t="shared" si="24"/>
        <v>19</v>
      </c>
      <c r="B519" s="383" t="s">
        <v>263</v>
      </c>
      <c r="C519" s="497" t="s">
        <v>1173</v>
      </c>
      <c r="D519" s="383" t="s">
        <v>1009</v>
      </c>
      <c r="E519" s="383" t="s">
        <v>868</v>
      </c>
      <c r="F519" s="383" t="str">
        <f t="shared" si="25"/>
        <v>P200010DColorado River Co</v>
      </c>
      <c r="G519" s="496">
        <v>7872714.2799999993</v>
      </c>
      <c r="H519" s="496">
        <v>-7872714.2800000003</v>
      </c>
      <c r="I519" s="496">
        <f t="shared" si="26"/>
        <v>0</v>
      </c>
      <c r="J519" s="496" t="s">
        <v>869</v>
      </c>
    </row>
    <row r="520" spans="1:10" hidden="1" x14ac:dyDescent="0.25">
      <c r="A520" s="383">
        <f t="shared" si="24"/>
        <v>19</v>
      </c>
      <c r="B520" s="383" t="s">
        <v>263</v>
      </c>
      <c r="C520" s="497" t="s">
        <v>1173</v>
      </c>
      <c r="D520" s="383" t="s">
        <v>955</v>
      </c>
      <c r="E520" s="383" t="s">
        <v>868</v>
      </c>
      <c r="F520" s="383" t="str">
        <f t="shared" si="25"/>
        <v>P200010DCommonwealth Edis</v>
      </c>
      <c r="G520" s="496">
        <v>9038715</v>
      </c>
      <c r="H520" s="496">
        <v>-9038715</v>
      </c>
      <c r="I520" s="496">
        <f t="shared" si="26"/>
        <v>0</v>
      </c>
      <c r="J520" s="496" t="s">
        <v>869</v>
      </c>
    </row>
    <row r="521" spans="1:10" hidden="1" x14ac:dyDescent="0.25">
      <c r="A521" s="383">
        <f t="shared" si="24"/>
        <v>19</v>
      </c>
      <c r="B521" s="383" t="s">
        <v>263</v>
      </c>
      <c r="C521" s="497" t="s">
        <v>1173</v>
      </c>
      <c r="D521" s="383" t="s">
        <v>1188</v>
      </c>
      <c r="E521" s="383" t="s">
        <v>868</v>
      </c>
      <c r="F521" s="383" t="str">
        <f t="shared" si="25"/>
        <v>P200010DConectiv Energy S</v>
      </c>
      <c r="G521" s="496">
        <v>678400</v>
      </c>
      <c r="H521" s="496">
        <v>-678400</v>
      </c>
      <c r="I521" s="496">
        <f t="shared" si="26"/>
        <v>0</v>
      </c>
      <c r="J521" s="496" t="s">
        <v>869</v>
      </c>
    </row>
    <row r="522" spans="1:10" hidden="1" x14ac:dyDescent="0.25">
      <c r="A522" s="383">
        <f t="shared" si="24"/>
        <v>19</v>
      </c>
      <c r="B522" s="383" t="s">
        <v>263</v>
      </c>
      <c r="C522" s="497" t="s">
        <v>1173</v>
      </c>
      <c r="D522" s="383" t="s">
        <v>1111</v>
      </c>
      <c r="E522" s="383" t="s">
        <v>868</v>
      </c>
      <c r="F522" s="383" t="str">
        <f t="shared" si="25"/>
        <v>P200010DConsolidated Edis</v>
      </c>
      <c r="G522" s="496">
        <v>40000</v>
      </c>
      <c r="H522" s="496">
        <v>-40000</v>
      </c>
      <c r="I522" s="496">
        <f t="shared" si="26"/>
        <v>0</v>
      </c>
      <c r="J522" s="496" t="s">
        <v>869</v>
      </c>
    </row>
    <row r="523" spans="1:10" hidden="1" x14ac:dyDescent="0.25">
      <c r="A523" s="383">
        <f t="shared" si="24"/>
        <v>19</v>
      </c>
      <c r="B523" s="383" t="s">
        <v>263</v>
      </c>
      <c r="C523" s="497" t="s">
        <v>1173</v>
      </c>
      <c r="D523" s="383" t="s">
        <v>1012</v>
      </c>
      <c r="E523" s="383" t="s">
        <v>868</v>
      </c>
      <c r="F523" s="383" t="str">
        <f t="shared" si="25"/>
        <v>P200010DConstellation Pow</v>
      </c>
      <c r="G523" s="496">
        <v>65008286.25</v>
      </c>
      <c r="H523" s="496">
        <v>-65008286.25</v>
      </c>
      <c r="I523" s="496">
        <f t="shared" si="26"/>
        <v>0</v>
      </c>
      <c r="J523" s="496" t="s">
        <v>869</v>
      </c>
    </row>
    <row r="524" spans="1:10" hidden="1" x14ac:dyDescent="0.25">
      <c r="A524" s="383">
        <f t="shared" si="24"/>
        <v>19</v>
      </c>
      <c r="B524" s="383" t="s">
        <v>263</v>
      </c>
      <c r="C524" s="497" t="s">
        <v>1173</v>
      </c>
      <c r="D524" s="383" t="s">
        <v>1013</v>
      </c>
      <c r="E524" s="383" t="s">
        <v>868</v>
      </c>
      <c r="F524" s="383" t="str">
        <f t="shared" si="25"/>
        <v>P200010DCoral Power, L.L.</v>
      </c>
      <c r="G524" s="496">
        <v>21809275</v>
      </c>
      <c r="H524" s="496">
        <v>-21809275</v>
      </c>
      <c r="I524" s="496">
        <f t="shared" si="26"/>
        <v>0</v>
      </c>
      <c r="J524" s="496" t="s">
        <v>869</v>
      </c>
    </row>
    <row r="525" spans="1:10" hidden="1" x14ac:dyDescent="0.25">
      <c r="A525" s="383">
        <f t="shared" si="24"/>
        <v>19</v>
      </c>
      <c r="B525" s="383" t="s">
        <v>263</v>
      </c>
      <c r="C525" s="497" t="s">
        <v>1173</v>
      </c>
      <c r="D525" s="383" t="s">
        <v>919</v>
      </c>
      <c r="E525" s="383" t="s">
        <v>868</v>
      </c>
      <c r="F525" s="383" t="str">
        <f t="shared" si="25"/>
        <v>P200010DDelano Energy Com</v>
      </c>
      <c r="G525" s="496">
        <v>2566320.9300000002</v>
      </c>
      <c r="H525" s="496">
        <v>-2566320.9300000002</v>
      </c>
      <c r="I525" s="496">
        <f t="shared" si="26"/>
        <v>0</v>
      </c>
      <c r="J525" s="496" t="s">
        <v>869</v>
      </c>
    </row>
    <row r="526" spans="1:10" hidden="1" x14ac:dyDescent="0.25">
      <c r="A526" s="383">
        <f t="shared" si="24"/>
        <v>19</v>
      </c>
      <c r="B526" s="383" t="s">
        <v>263</v>
      </c>
      <c r="C526" s="497" t="s">
        <v>1173</v>
      </c>
      <c r="D526" s="383" t="s">
        <v>1015</v>
      </c>
      <c r="E526" s="383" t="s">
        <v>868</v>
      </c>
      <c r="F526" s="383" t="str">
        <f t="shared" si="25"/>
        <v xml:space="preserve">P200010DDelmarva Power &amp; </v>
      </c>
      <c r="G526" s="496">
        <v>2153360</v>
      </c>
      <c r="H526" s="496">
        <v>-2153360</v>
      </c>
      <c r="I526" s="496">
        <f t="shared" si="26"/>
        <v>0</v>
      </c>
      <c r="J526" s="496" t="s">
        <v>869</v>
      </c>
    </row>
    <row r="527" spans="1:10" hidden="1" x14ac:dyDescent="0.25">
      <c r="A527" s="383">
        <f t="shared" si="24"/>
        <v>19</v>
      </c>
      <c r="B527" s="383" t="s">
        <v>263</v>
      </c>
      <c r="C527" s="497" t="s">
        <v>1173</v>
      </c>
      <c r="D527" s="383" t="s">
        <v>1114</v>
      </c>
      <c r="E527" s="383" t="s">
        <v>868</v>
      </c>
      <c r="F527" s="383" t="str">
        <f t="shared" si="25"/>
        <v>P200010DDTE Energy Tradin</v>
      </c>
      <c r="G527" s="496">
        <v>6306340</v>
      </c>
      <c r="H527" s="496">
        <v>-6306340</v>
      </c>
      <c r="I527" s="496">
        <f t="shared" si="26"/>
        <v>0</v>
      </c>
      <c r="J527" s="496" t="s">
        <v>869</v>
      </c>
    </row>
    <row r="528" spans="1:10" hidden="1" x14ac:dyDescent="0.25">
      <c r="A528" s="383">
        <f t="shared" si="24"/>
        <v>19</v>
      </c>
      <c r="B528" s="383" t="s">
        <v>263</v>
      </c>
      <c r="C528" s="497" t="s">
        <v>1173</v>
      </c>
      <c r="D528" s="383" t="s">
        <v>1017</v>
      </c>
      <c r="E528" s="383" t="s">
        <v>868</v>
      </c>
      <c r="F528" s="383" t="str">
        <f t="shared" si="25"/>
        <v>P200010DDuke Energy Tradi</v>
      </c>
      <c r="G528" s="496">
        <v>182987036.5</v>
      </c>
      <c r="H528" s="496">
        <v>-182987036.5</v>
      </c>
      <c r="I528" s="496">
        <f t="shared" si="26"/>
        <v>0</v>
      </c>
      <c r="J528" s="496" t="s">
        <v>869</v>
      </c>
    </row>
    <row r="529" spans="1:10" hidden="1" x14ac:dyDescent="0.25">
      <c r="A529" s="383">
        <f t="shared" si="24"/>
        <v>19</v>
      </c>
      <c r="B529" s="383" t="s">
        <v>263</v>
      </c>
      <c r="C529" s="497" t="s">
        <v>1173</v>
      </c>
      <c r="D529" s="383" t="s">
        <v>1018</v>
      </c>
      <c r="E529" s="383" t="s">
        <v>868</v>
      </c>
      <c r="F529" s="383" t="str">
        <f t="shared" si="25"/>
        <v>P200010DDuke Power, a div</v>
      </c>
      <c r="G529" s="496">
        <v>2526941</v>
      </c>
      <c r="H529" s="496">
        <v>-2526941</v>
      </c>
      <c r="I529" s="496">
        <f t="shared" si="26"/>
        <v>0</v>
      </c>
      <c r="J529" s="496" t="s">
        <v>869</v>
      </c>
    </row>
    <row r="530" spans="1:10" hidden="1" x14ac:dyDescent="0.25">
      <c r="A530" s="383">
        <f t="shared" si="24"/>
        <v>19</v>
      </c>
      <c r="B530" s="383" t="s">
        <v>263</v>
      </c>
      <c r="C530" s="497" t="s">
        <v>1173</v>
      </c>
      <c r="D530" s="383" t="s">
        <v>961</v>
      </c>
      <c r="E530" s="383" t="s">
        <v>868</v>
      </c>
      <c r="F530" s="383" t="str">
        <f t="shared" si="25"/>
        <v>P200010DDynegy Power Mark</v>
      </c>
      <c r="G530" s="496">
        <v>80649258</v>
      </c>
      <c r="H530" s="496">
        <v>-80649258</v>
      </c>
      <c r="I530" s="496">
        <f t="shared" si="26"/>
        <v>0</v>
      </c>
      <c r="J530" s="496" t="s">
        <v>869</v>
      </c>
    </row>
    <row r="531" spans="1:10" hidden="1" x14ac:dyDescent="0.25">
      <c r="A531" s="383">
        <f t="shared" si="24"/>
        <v>19</v>
      </c>
      <c r="B531" s="383" t="s">
        <v>263</v>
      </c>
      <c r="C531" s="497" t="s">
        <v>1173</v>
      </c>
      <c r="D531" s="383" t="s">
        <v>1019</v>
      </c>
      <c r="E531" s="383" t="s">
        <v>868</v>
      </c>
      <c r="F531" s="383" t="str">
        <f t="shared" si="25"/>
        <v>P200010DEast Kentucky Pow</v>
      </c>
      <c r="G531" s="496">
        <v>410600</v>
      </c>
      <c r="H531" s="496">
        <v>-410600</v>
      </c>
      <c r="I531" s="496">
        <f t="shared" si="26"/>
        <v>0</v>
      </c>
      <c r="J531" s="496" t="s">
        <v>869</v>
      </c>
    </row>
    <row r="532" spans="1:10" hidden="1" x14ac:dyDescent="0.25">
      <c r="A532" s="383">
        <f t="shared" si="24"/>
        <v>19</v>
      </c>
      <c r="B532" s="383" t="s">
        <v>263</v>
      </c>
      <c r="C532" s="497" t="s">
        <v>1173</v>
      </c>
      <c r="D532" s="383" t="s">
        <v>962</v>
      </c>
      <c r="E532" s="383" t="s">
        <v>868</v>
      </c>
      <c r="F532" s="383" t="str">
        <f t="shared" si="25"/>
        <v>P200010DEdison Mission Ma</v>
      </c>
      <c r="G532" s="496">
        <v>121676268</v>
      </c>
      <c r="H532" s="496">
        <v>-121676268</v>
      </c>
      <c r="I532" s="496">
        <f t="shared" si="26"/>
        <v>0</v>
      </c>
      <c r="J532" s="496" t="s">
        <v>869</v>
      </c>
    </row>
    <row r="533" spans="1:10" hidden="1" x14ac:dyDescent="0.25">
      <c r="A533" s="383">
        <f t="shared" si="24"/>
        <v>19</v>
      </c>
      <c r="B533" s="383" t="s">
        <v>263</v>
      </c>
      <c r="C533" s="497" t="s">
        <v>1173</v>
      </c>
      <c r="D533" s="383" t="s">
        <v>879</v>
      </c>
      <c r="E533" s="383" t="s">
        <v>868</v>
      </c>
      <c r="F533" s="383" t="str">
        <f t="shared" si="25"/>
        <v xml:space="preserve">P200010DEl Paso Electric </v>
      </c>
      <c r="G533" s="496">
        <v>6503860.3100000005</v>
      </c>
      <c r="H533" s="496">
        <v>-6503860.3099999996</v>
      </c>
      <c r="I533" s="496">
        <f t="shared" si="26"/>
        <v>0</v>
      </c>
      <c r="J533" s="496" t="s">
        <v>869</v>
      </c>
    </row>
    <row r="534" spans="1:10" hidden="1" x14ac:dyDescent="0.25">
      <c r="A534" s="383">
        <f t="shared" si="24"/>
        <v>19</v>
      </c>
      <c r="B534" s="383" t="s">
        <v>263</v>
      </c>
      <c r="C534" s="497" t="s">
        <v>1173</v>
      </c>
      <c r="D534" s="383" t="s">
        <v>1020</v>
      </c>
      <c r="E534" s="383" t="s">
        <v>868</v>
      </c>
      <c r="F534" s="383" t="str">
        <f t="shared" si="25"/>
        <v xml:space="preserve">P200010DEl Paso Merchant </v>
      </c>
      <c r="G534" s="496">
        <v>92599886.460000008</v>
      </c>
      <c r="H534" s="496">
        <v>-92599886.459999993</v>
      </c>
      <c r="I534" s="496">
        <f t="shared" si="26"/>
        <v>0</v>
      </c>
      <c r="J534" s="496" t="s">
        <v>869</v>
      </c>
    </row>
    <row r="535" spans="1:10" hidden="1" x14ac:dyDescent="0.25">
      <c r="A535" s="383">
        <f t="shared" si="24"/>
        <v>27</v>
      </c>
      <c r="B535" s="487" t="s">
        <v>263</v>
      </c>
      <c r="C535" s="498" t="s">
        <v>1173</v>
      </c>
      <c r="D535" s="487" t="s">
        <v>950</v>
      </c>
      <c r="E535" s="487" t="s">
        <v>868</v>
      </c>
      <c r="F535" s="487" t="str">
        <f t="shared" si="25"/>
        <v>P200010DEnron Energy Serv</v>
      </c>
      <c r="G535" s="499"/>
      <c r="H535" s="499">
        <f>VLOOKUP(F535,[2]Pivot!$R$20:$S$1359,2,FALSE)</f>
        <v>-100857114.08</v>
      </c>
      <c r="I535" s="499">
        <f t="shared" si="26"/>
        <v>-100857114.08</v>
      </c>
      <c r="J535" s="499" t="s">
        <v>951</v>
      </c>
    </row>
    <row r="536" spans="1:10" hidden="1" x14ac:dyDescent="0.25">
      <c r="A536" s="383">
        <f t="shared" si="24"/>
        <v>19</v>
      </c>
      <c r="B536" s="383" t="s">
        <v>263</v>
      </c>
      <c r="C536" s="497" t="s">
        <v>1173</v>
      </c>
      <c r="D536" s="383" t="s">
        <v>963</v>
      </c>
      <c r="E536" s="383" t="s">
        <v>868</v>
      </c>
      <c r="F536" s="383" t="str">
        <f t="shared" si="25"/>
        <v>P200010DEntergy Power Mar</v>
      </c>
      <c r="G536" s="496">
        <v>12625992.5</v>
      </c>
      <c r="H536" s="496">
        <v>-12625992.5</v>
      </c>
      <c r="I536" s="496">
        <f t="shared" si="26"/>
        <v>0</v>
      </c>
      <c r="J536" s="496" t="s">
        <v>869</v>
      </c>
    </row>
    <row r="537" spans="1:10" hidden="1" x14ac:dyDescent="0.25">
      <c r="A537" s="383">
        <f t="shared" si="24"/>
        <v>19</v>
      </c>
      <c r="B537" s="383" t="s">
        <v>263</v>
      </c>
      <c r="C537" s="497" t="s">
        <v>1173</v>
      </c>
      <c r="D537" s="383" t="s">
        <v>1189</v>
      </c>
      <c r="E537" s="383" t="s">
        <v>868</v>
      </c>
      <c r="F537" s="383" t="str">
        <f t="shared" si="25"/>
        <v>P200010DEntergy Services,</v>
      </c>
      <c r="G537" s="496">
        <v>14780</v>
      </c>
      <c r="H537" s="496">
        <v>-14780</v>
      </c>
      <c r="I537" s="496">
        <f t="shared" si="26"/>
        <v>0</v>
      </c>
      <c r="J537" s="496" t="s">
        <v>869</v>
      </c>
    </row>
    <row r="538" spans="1:10" hidden="1" x14ac:dyDescent="0.25">
      <c r="A538" s="383">
        <f t="shared" si="24"/>
        <v>19</v>
      </c>
      <c r="B538" s="383" t="s">
        <v>263</v>
      </c>
      <c r="C538" s="497" t="s">
        <v>1173</v>
      </c>
      <c r="D538" s="383" t="s">
        <v>1021</v>
      </c>
      <c r="E538" s="383" t="s">
        <v>868</v>
      </c>
      <c r="F538" s="383" t="str">
        <f t="shared" si="25"/>
        <v>P200010DEugene Water &amp; El</v>
      </c>
      <c r="G538" s="496">
        <v>519983.07</v>
      </c>
      <c r="H538" s="496">
        <v>-519983.07</v>
      </c>
      <c r="I538" s="496">
        <f t="shared" si="26"/>
        <v>0</v>
      </c>
      <c r="J538" s="496" t="s">
        <v>869</v>
      </c>
    </row>
    <row r="539" spans="1:10" hidden="1" x14ac:dyDescent="0.25">
      <c r="A539" s="383">
        <f t="shared" si="24"/>
        <v>17</v>
      </c>
      <c r="B539" s="383" t="s">
        <v>263</v>
      </c>
      <c r="C539" s="497" t="s">
        <v>1173</v>
      </c>
      <c r="D539" s="383" t="s">
        <v>1022</v>
      </c>
      <c r="E539" s="383" t="s">
        <v>868</v>
      </c>
      <c r="F539" s="383" t="str">
        <f t="shared" si="25"/>
        <v>P200010DFirstEnergy Corp.</v>
      </c>
      <c r="G539" s="496">
        <v>111949</v>
      </c>
      <c r="H539" s="496">
        <v>-111949</v>
      </c>
      <c r="I539" s="496">
        <f t="shared" si="26"/>
        <v>0</v>
      </c>
      <c r="J539" s="496" t="s">
        <v>869</v>
      </c>
    </row>
    <row r="540" spans="1:10" hidden="1" x14ac:dyDescent="0.25">
      <c r="A540" s="383">
        <f t="shared" si="24"/>
        <v>19</v>
      </c>
      <c r="B540" s="383" t="s">
        <v>263</v>
      </c>
      <c r="C540" s="497" t="s">
        <v>1173</v>
      </c>
      <c r="D540" s="383" t="s">
        <v>1190</v>
      </c>
      <c r="E540" s="383" t="s">
        <v>868</v>
      </c>
      <c r="F540" s="383" t="str">
        <f t="shared" si="25"/>
        <v>P200010DFlorida Power &amp; L</v>
      </c>
      <c r="G540" s="496">
        <v>2034780</v>
      </c>
      <c r="H540" s="496">
        <v>-2034780</v>
      </c>
      <c r="I540" s="496">
        <f t="shared" si="26"/>
        <v>0</v>
      </c>
      <c r="J540" s="496" t="s">
        <v>869</v>
      </c>
    </row>
    <row r="541" spans="1:10" hidden="1" x14ac:dyDescent="0.25">
      <c r="A541" s="383">
        <f t="shared" si="24"/>
        <v>19</v>
      </c>
      <c r="B541" s="383" t="s">
        <v>263</v>
      </c>
      <c r="C541" s="497" t="s">
        <v>1173</v>
      </c>
      <c r="D541" s="383" t="s">
        <v>1191</v>
      </c>
      <c r="E541" s="383" t="s">
        <v>868</v>
      </c>
      <c r="F541" s="383" t="str">
        <f t="shared" si="25"/>
        <v xml:space="preserve">P200010DFPL Energy Power </v>
      </c>
      <c r="G541" s="496">
        <v>1699913.4</v>
      </c>
      <c r="H541" s="496">
        <v>-1699913.4</v>
      </c>
      <c r="I541" s="496">
        <f t="shared" si="26"/>
        <v>0</v>
      </c>
      <c r="J541" s="496" t="s">
        <v>869</v>
      </c>
    </row>
    <row r="542" spans="1:10" hidden="1" x14ac:dyDescent="0.25">
      <c r="A542" s="383">
        <f t="shared" si="24"/>
        <v>16</v>
      </c>
      <c r="B542" s="383" t="s">
        <v>263</v>
      </c>
      <c r="C542" s="497" t="s">
        <v>1173</v>
      </c>
      <c r="D542" s="383" t="s">
        <v>1027</v>
      </c>
      <c r="E542" s="383" t="s">
        <v>868</v>
      </c>
      <c r="F542" s="383" t="str">
        <f t="shared" si="25"/>
        <v>P200010DGarland, City Of</v>
      </c>
      <c r="G542" s="496">
        <v>-49.28</v>
      </c>
      <c r="H542" s="496">
        <v>49.28</v>
      </c>
      <c r="I542" s="496">
        <f t="shared" si="26"/>
        <v>0</v>
      </c>
      <c r="J542" s="496" t="s">
        <v>869</v>
      </c>
    </row>
    <row r="543" spans="1:10" hidden="1" x14ac:dyDescent="0.25">
      <c r="A543" s="383">
        <f t="shared" si="24"/>
        <v>14</v>
      </c>
      <c r="B543" s="383" t="s">
        <v>263</v>
      </c>
      <c r="C543" s="497" t="s">
        <v>1173</v>
      </c>
      <c r="D543" s="383" t="s">
        <v>1028</v>
      </c>
      <c r="E543" s="383" t="s">
        <v>868</v>
      </c>
      <c r="F543" s="383" t="str">
        <f t="shared" si="25"/>
        <v>P200010DGEN SYS Energy</v>
      </c>
      <c r="G543" s="496">
        <v>20800</v>
      </c>
      <c r="H543" s="496">
        <v>-20800</v>
      </c>
      <c r="I543" s="496">
        <f t="shared" si="26"/>
        <v>0</v>
      </c>
      <c r="J543" s="496" t="s">
        <v>869</v>
      </c>
    </row>
    <row r="544" spans="1:10" hidden="1" x14ac:dyDescent="0.25">
      <c r="A544" s="383">
        <f t="shared" si="24"/>
        <v>19</v>
      </c>
      <c r="B544" s="383" t="s">
        <v>263</v>
      </c>
      <c r="C544" s="497" t="s">
        <v>1173</v>
      </c>
      <c r="D544" s="383" t="s">
        <v>1192</v>
      </c>
      <c r="E544" s="383" t="s">
        <v>868</v>
      </c>
      <c r="F544" s="383" t="str">
        <f t="shared" si="25"/>
        <v>P200010DGreat Bay Power C</v>
      </c>
      <c r="G544" s="496">
        <v>606900</v>
      </c>
      <c r="H544" s="496">
        <v>-606900</v>
      </c>
      <c r="I544" s="496">
        <f t="shared" si="26"/>
        <v>0</v>
      </c>
      <c r="J544" s="496" t="s">
        <v>869</v>
      </c>
    </row>
    <row r="545" spans="1:10" hidden="1" x14ac:dyDescent="0.25">
      <c r="A545" s="383">
        <f t="shared" si="24"/>
        <v>19</v>
      </c>
      <c r="B545" s="383" t="s">
        <v>263</v>
      </c>
      <c r="C545" s="497" t="s">
        <v>1173</v>
      </c>
      <c r="D545" s="383" t="s">
        <v>1030</v>
      </c>
      <c r="E545" s="383" t="s">
        <v>868</v>
      </c>
      <c r="F545" s="383" t="str">
        <f t="shared" si="25"/>
        <v>P200010DGriffin Energy Ma</v>
      </c>
      <c r="G545" s="496">
        <v>399800</v>
      </c>
      <c r="H545" s="496">
        <v>-399800</v>
      </c>
      <c r="I545" s="496">
        <f t="shared" si="26"/>
        <v>0</v>
      </c>
      <c r="J545" s="496" t="s">
        <v>869</v>
      </c>
    </row>
    <row r="546" spans="1:10" hidden="1" x14ac:dyDescent="0.25">
      <c r="A546" s="383">
        <f t="shared" si="24"/>
        <v>19</v>
      </c>
      <c r="B546" s="383" t="s">
        <v>263</v>
      </c>
      <c r="C546" s="497" t="s">
        <v>1173</v>
      </c>
      <c r="D546" s="383" t="s">
        <v>1193</v>
      </c>
      <c r="E546" s="383" t="s">
        <v>868</v>
      </c>
      <c r="F546" s="383" t="str">
        <f t="shared" si="25"/>
        <v>P200010DHafslund Energy T</v>
      </c>
      <c r="G546" s="496">
        <v>8065138.75</v>
      </c>
      <c r="H546" s="496">
        <v>-8065138.75</v>
      </c>
      <c r="I546" s="496">
        <f t="shared" si="26"/>
        <v>0</v>
      </c>
      <c r="J546" s="496" t="s">
        <v>869</v>
      </c>
    </row>
    <row r="547" spans="1:10" hidden="1" x14ac:dyDescent="0.25">
      <c r="A547" s="383">
        <f t="shared" si="24"/>
        <v>19</v>
      </c>
      <c r="B547" s="383" t="s">
        <v>263</v>
      </c>
      <c r="C547" s="497" t="s">
        <v>1173</v>
      </c>
      <c r="D547" s="383" t="s">
        <v>646</v>
      </c>
      <c r="E547" s="383" t="s">
        <v>868</v>
      </c>
      <c r="F547" s="383" t="str">
        <f t="shared" si="25"/>
        <v>P200010DHarbor Cogenerati</v>
      </c>
      <c r="G547" s="496">
        <v>1229627.19</v>
      </c>
      <c r="H547" s="496">
        <v>-1229627.19</v>
      </c>
      <c r="I547" s="496">
        <f t="shared" si="26"/>
        <v>0</v>
      </c>
      <c r="J547" s="496" t="s">
        <v>869</v>
      </c>
    </row>
    <row r="548" spans="1:10" hidden="1" x14ac:dyDescent="0.25">
      <c r="A548" s="383">
        <f t="shared" si="24"/>
        <v>18</v>
      </c>
      <c r="B548" s="383" t="s">
        <v>263</v>
      </c>
      <c r="C548" s="497" t="s">
        <v>1173</v>
      </c>
      <c r="D548" s="383" t="s">
        <v>1031</v>
      </c>
      <c r="E548" s="383" t="s">
        <v>868</v>
      </c>
      <c r="F548" s="383" t="str">
        <f t="shared" si="25"/>
        <v>P200010DHQ Energy Service</v>
      </c>
      <c r="G548" s="496">
        <v>10419912.5</v>
      </c>
      <c r="H548" s="496">
        <v>-10419912.5</v>
      </c>
      <c r="I548" s="496">
        <f t="shared" si="26"/>
        <v>0</v>
      </c>
      <c r="J548" s="496" t="s">
        <v>869</v>
      </c>
    </row>
    <row r="549" spans="1:10" hidden="1" x14ac:dyDescent="0.25">
      <c r="A549" s="383">
        <f t="shared" si="24"/>
        <v>19</v>
      </c>
      <c r="B549" s="383" t="s">
        <v>263</v>
      </c>
      <c r="C549" s="497" t="s">
        <v>1173</v>
      </c>
      <c r="D549" s="383" t="s">
        <v>1032</v>
      </c>
      <c r="E549" s="383" t="s">
        <v>868</v>
      </c>
      <c r="F549" s="383" t="str">
        <f t="shared" si="25"/>
        <v>P200010DIdaho Power Compa</v>
      </c>
      <c r="G549" s="496">
        <v>70708330</v>
      </c>
      <c r="H549" s="496">
        <v>-70708330</v>
      </c>
      <c r="I549" s="496">
        <f t="shared" si="26"/>
        <v>0</v>
      </c>
      <c r="J549" s="496" t="s">
        <v>869</v>
      </c>
    </row>
    <row r="550" spans="1:10" hidden="1" x14ac:dyDescent="0.25">
      <c r="A550" s="383">
        <f t="shared" si="24"/>
        <v>19</v>
      </c>
      <c r="B550" s="383" t="s">
        <v>263</v>
      </c>
      <c r="C550" s="497" t="s">
        <v>1173</v>
      </c>
      <c r="D550" s="383" t="s">
        <v>1194</v>
      </c>
      <c r="E550" s="383" t="s">
        <v>868</v>
      </c>
      <c r="F550" s="383" t="str">
        <f t="shared" si="25"/>
        <v>P200010DIllinova Power Ma</v>
      </c>
      <c r="G550" s="496">
        <v>30108</v>
      </c>
      <c r="H550" s="496">
        <v>-30108</v>
      </c>
      <c r="I550" s="496">
        <f t="shared" si="26"/>
        <v>0</v>
      </c>
      <c r="J550" s="496" t="s">
        <v>869</v>
      </c>
    </row>
    <row r="551" spans="1:10" hidden="1" x14ac:dyDescent="0.25">
      <c r="A551" s="383">
        <f t="shared" si="24"/>
        <v>19</v>
      </c>
      <c r="B551" s="383" t="s">
        <v>263</v>
      </c>
      <c r="C551" s="497" t="s">
        <v>1173</v>
      </c>
      <c r="D551" s="383" t="s">
        <v>1195</v>
      </c>
      <c r="E551" s="383" t="s">
        <v>868</v>
      </c>
      <c r="F551" s="383" t="str">
        <f t="shared" si="25"/>
        <v>P200010DImperial Irrigati</v>
      </c>
      <c r="G551" s="496">
        <v>13000</v>
      </c>
      <c r="H551" s="496">
        <v>-13000</v>
      </c>
      <c r="I551" s="496">
        <f t="shared" si="26"/>
        <v>0</v>
      </c>
      <c r="J551" s="496" t="s">
        <v>869</v>
      </c>
    </row>
    <row r="552" spans="1:10" hidden="1" x14ac:dyDescent="0.25">
      <c r="A552" s="383">
        <f t="shared" si="24"/>
        <v>18</v>
      </c>
      <c r="B552" s="383" t="s">
        <v>263</v>
      </c>
      <c r="C552" s="497" t="s">
        <v>1173</v>
      </c>
      <c r="D552" s="383" t="s">
        <v>1034</v>
      </c>
      <c r="E552" s="383" t="s">
        <v>868</v>
      </c>
      <c r="F552" s="383" t="str">
        <f t="shared" si="25"/>
        <v>P200010DIndianapolis Powe</v>
      </c>
      <c r="G552" s="496">
        <v>1307592</v>
      </c>
      <c r="H552" s="496">
        <v>-1307592</v>
      </c>
      <c r="I552" s="496">
        <f t="shared" si="26"/>
        <v>0</v>
      </c>
      <c r="J552" s="496" t="s">
        <v>869</v>
      </c>
    </row>
    <row r="553" spans="1:10" hidden="1" x14ac:dyDescent="0.25">
      <c r="A553" s="383">
        <f t="shared" si="24"/>
        <v>19</v>
      </c>
      <c r="B553" s="383" t="s">
        <v>263</v>
      </c>
      <c r="C553" s="497" t="s">
        <v>1173</v>
      </c>
      <c r="D553" s="383" t="s">
        <v>912</v>
      </c>
      <c r="E553" s="383" t="s">
        <v>868</v>
      </c>
      <c r="F553" s="383" t="str">
        <f t="shared" si="25"/>
        <v>P200010DISO New England I</v>
      </c>
      <c r="G553" s="496">
        <v>82397625.680000007</v>
      </c>
      <c r="H553" s="496">
        <v>0</v>
      </c>
      <c r="I553" s="496">
        <f t="shared" si="26"/>
        <v>82397625.680000007</v>
      </c>
      <c r="J553" s="499" t="s">
        <v>890</v>
      </c>
    </row>
    <row r="554" spans="1:10" hidden="1" x14ac:dyDescent="0.25">
      <c r="A554" s="383">
        <f t="shared" si="24"/>
        <v>19</v>
      </c>
      <c r="B554" s="383" t="s">
        <v>263</v>
      </c>
      <c r="C554" s="497" t="s">
        <v>1173</v>
      </c>
      <c r="D554" s="383" t="s">
        <v>1035</v>
      </c>
      <c r="E554" s="383" t="s">
        <v>868</v>
      </c>
      <c r="F554" s="383" t="str">
        <f t="shared" si="25"/>
        <v>P200010DJacksonville Elec</v>
      </c>
      <c r="G554" s="496">
        <v>36448</v>
      </c>
      <c r="H554" s="496">
        <v>-36448</v>
      </c>
      <c r="I554" s="496">
        <f t="shared" si="26"/>
        <v>0</v>
      </c>
      <c r="J554" s="496" t="s">
        <v>869</v>
      </c>
    </row>
    <row r="555" spans="1:10" hidden="1" x14ac:dyDescent="0.25">
      <c r="A555" s="383">
        <f t="shared" si="24"/>
        <v>19</v>
      </c>
      <c r="B555" s="383" t="s">
        <v>263</v>
      </c>
      <c r="C555" s="497" t="s">
        <v>1173</v>
      </c>
      <c r="D555" s="383" t="s">
        <v>1036</v>
      </c>
      <c r="E555" s="383" t="s">
        <v>868</v>
      </c>
      <c r="F555" s="383" t="str">
        <f t="shared" si="25"/>
        <v>P200010DKansas City Power</v>
      </c>
      <c r="G555" s="496">
        <v>9815</v>
      </c>
      <c r="H555" s="496">
        <v>-9815</v>
      </c>
      <c r="I555" s="496">
        <f t="shared" si="26"/>
        <v>0</v>
      </c>
      <c r="J555" s="496" t="s">
        <v>869</v>
      </c>
    </row>
    <row r="556" spans="1:10" hidden="1" x14ac:dyDescent="0.25">
      <c r="A556" s="383">
        <f t="shared" si="24"/>
        <v>19</v>
      </c>
      <c r="B556" s="383" t="s">
        <v>263</v>
      </c>
      <c r="C556" s="497" t="s">
        <v>1173</v>
      </c>
      <c r="D556" s="383" t="s">
        <v>1037</v>
      </c>
      <c r="E556" s="383" t="s">
        <v>868</v>
      </c>
      <c r="F556" s="383" t="str">
        <f t="shared" si="25"/>
        <v>P200010DKoch Energy Tradi</v>
      </c>
      <c r="G556" s="496">
        <v>37102640</v>
      </c>
      <c r="H556" s="496">
        <v>-37102640</v>
      </c>
      <c r="I556" s="496">
        <f t="shared" si="26"/>
        <v>0</v>
      </c>
      <c r="J556" s="496" t="s">
        <v>869</v>
      </c>
    </row>
    <row r="557" spans="1:10" hidden="1" x14ac:dyDescent="0.25">
      <c r="A557" s="383">
        <f t="shared" si="24"/>
        <v>19</v>
      </c>
      <c r="B557" s="383" t="s">
        <v>263</v>
      </c>
      <c r="C557" s="497" t="s">
        <v>1173</v>
      </c>
      <c r="D557" s="383" t="s">
        <v>938</v>
      </c>
      <c r="E557" s="383" t="s">
        <v>868</v>
      </c>
      <c r="F557" s="383" t="str">
        <f t="shared" si="25"/>
        <v>P200010DLas Vegas Cogener</v>
      </c>
      <c r="G557" s="496">
        <v>1186312.94</v>
      </c>
      <c r="H557" s="496">
        <v>-1186312.94</v>
      </c>
      <c r="I557" s="496">
        <f t="shared" si="26"/>
        <v>0</v>
      </c>
      <c r="J557" s="496" t="s">
        <v>869</v>
      </c>
    </row>
    <row r="558" spans="1:10" hidden="1" x14ac:dyDescent="0.25">
      <c r="A558" s="383">
        <f t="shared" si="24"/>
        <v>19</v>
      </c>
      <c r="B558" s="383" t="s">
        <v>263</v>
      </c>
      <c r="C558" s="497" t="s">
        <v>1173</v>
      </c>
      <c r="D558" s="383" t="s">
        <v>923</v>
      </c>
      <c r="E558" s="383" t="s">
        <v>868</v>
      </c>
      <c r="F558" s="383" t="str">
        <f t="shared" si="25"/>
        <v>P200010DLos Angeles Dept.</v>
      </c>
      <c r="G558" s="496">
        <v>416042</v>
      </c>
      <c r="H558" s="496">
        <v>-416042</v>
      </c>
      <c r="I558" s="496">
        <f t="shared" si="26"/>
        <v>0</v>
      </c>
      <c r="J558" s="496" t="s">
        <v>869</v>
      </c>
    </row>
    <row r="559" spans="1:10" hidden="1" x14ac:dyDescent="0.25">
      <c r="A559" s="383">
        <f t="shared" si="24"/>
        <v>19</v>
      </c>
      <c r="B559" s="383" t="s">
        <v>263</v>
      </c>
      <c r="C559" s="497" t="s">
        <v>1173</v>
      </c>
      <c r="D559" s="383" t="s">
        <v>1040</v>
      </c>
      <c r="E559" s="383" t="s">
        <v>868</v>
      </c>
      <c r="F559" s="383" t="str">
        <f t="shared" si="25"/>
        <v>P200010DLower Colorado Ri</v>
      </c>
      <c r="G559" s="496">
        <v>59073.86</v>
      </c>
      <c r="H559" s="496">
        <v>-59073.86</v>
      </c>
      <c r="I559" s="496">
        <f t="shared" si="26"/>
        <v>0</v>
      </c>
      <c r="J559" s="496" t="s">
        <v>869</v>
      </c>
    </row>
    <row r="560" spans="1:10" hidden="1" x14ac:dyDescent="0.25">
      <c r="A560" s="383">
        <f t="shared" si="24"/>
        <v>19</v>
      </c>
      <c r="B560" s="383" t="s">
        <v>263</v>
      </c>
      <c r="C560" s="497" t="s">
        <v>1173</v>
      </c>
      <c r="D560" s="383" t="s">
        <v>1196</v>
      </c>
      <c r="E560" s="383" t="s">
        <v>868</v>
      </c>
      <c r="F560" s="383" t="str">
        <f t="shared" si="25"/>
        <v>P200010DMagic Valley Elec</v>
      </c>
      <c r="G560" s="496">
        <v>-12.85</v>
      </c>
      <c r="H560" s="496">
        <v>12.85</v>
      </c>
      <c r="I560" s="496">
        <f t="shared" si="26"/>
        <v>0</v>
      </c>
      <c r="J560" s="496" t="s">
        <v>869</v>
      </c>
    </row>
    <row r="561" spans="1:10" hidden="1" x14ac:dyDescent="0.25">
      <c r="A561" s="383">
        <f t="shared" si="24"/>
        <v>19</v>
      </c>
      <c r="B561" s="383" t="s">
        <v>263</v>
      </c>
      <c r="C561" s="497" t="s">
        <v>1173</v>
      </c>
      <c r="D561" s="383" t="s">
        <v>1041</v>
      </c>
      <c r="E561" s="383" t="s">
        <v>868</v>
      </c>
      <c r="F561" s="383" t="str">
        <f t="shared" si="25"/>
        <v>P200010DMerchant Energy G</v>
      </c>
      <c r="G561" s="496">
        <v>13296715</v>
      </c>
      <c r="H561" s="496">
        <v>-13296715</v>
      </c>
      <c r="I561" s="496">
        <f t="shared" si="26"/>
        <v>0</v>
      </c>
      <c r="J561" s="496" t="s">
        <v>869</v>
      </c>
    </row>
    <row r="562" spans="1:10" hidden="1" x14ac:dyDescent="0.25">
      <c r="A562" s="383">
        <f t="shared" si="24"/>
        <v>19</v>
      </c>
      <c r="B562" s="383" t="s">
        <v>263</v>
      </c>
      <c r="C562" s="497" t="s">
        <v>1173</v>
      </c>
      <c r="D562" s="383" t="s">
        <v>1042</v>
      </c>
      <c r="E562" s="383" t="s">
        <v>868</v>
      </c>
      <c r="F562" s="383" t="str">
        <f t="shared" si="25"/>
        <v>P200010DMerrill Lynch Cap</v>
      </c>
      <c r="G562" s="496">
        <v>55095613.75</v>
      </c>
      <c r="H562" s="496">
        <v>-55095613.75</v>
      </c>
      <c r="I562" s="496">
        <f t="shared" si="26"/>
        <v>0</v>
      </c>
      <c r="J562" s="496" t="s">
        <v>869</v>
      </c>
    </row>
    <row r="563" spans="1:10" hidden="1" x14ac:dyDescent="0.25">
      <c r="A563" s="383">
        <f t="shared" si="24"/>
        <v>19</v>
      </c>
      <c r="B563" s="383" t="s">
        <v>263</v>
      </c>
      <c r="C563" s="497" t="s">
        <v>1173</v>
      </c>
      <c r="D563" s="383" t="s">
        <v>964</v>
      </c>
      <c r="E563" s="383" t="s">
        <v>868</v>
      </c>
      <c r="F563" s="383" t="str">
        <f t="shared" si="25"/>
        <v>P200010DMichigan Electric</v>
      </c>
      <c r="G563" s="496">
        <v>195303</v>
      </c>
      <c r="H563" s="496">
        <v>-195303</v>
      </c>
      <c r="I563" s="496">
        <f t="shared" si="26"/>
        <v>0</v>
      </c>
      <c r="J563" s="496" t="s">
        <v>869</v>
      </c>
    </row>
    <row r="564" spans="1:10" hidden="1" x14ac:dyDescent="0.25">
      <c r="A564" s="383">
        <f t="shared" si="24"/>
        <v>18</v>
      </c>
      <c r="B564" s="383" t="s">
        <v>263</v>
      </c>
      <c r="C564" s="497" t="s">
        <v>1173</v>
      </c>
      <c r="D564" s="383" t="s">
        <v>1043</v>
      </c>
      <c r="E564" s="383" t="s">
        <v>868</v>
      </c>
      <c r="F564" s="383" t="str">
        <f t="shared" si="25"/>
        <v>P200010DMidAmerican Energ</v>
      </c>
      <c r="G564" s="496">
        <v>102050</v>
      </c>
      <c r="H564" s="496">
        <v>-102050</v>
      </c>
      <c r="I564" s="496">
        <f t="shared" si="26"/>
        <v>0</v>
      </c>
      <c r="J564" s="496" t="s">
        <v>869</v>
      </c>
    </row>
    <row r="565" spans="1:10" hidden="1" x14ac:dyDescent="0.25">
      <c r="A565" s="383">
        <f t="shared" si="24"/>
        <v>10</v>
      </c>
      <c r="B565" s="383" t="s">
        <v>263</v>
      </c>
      <c r="C565" s="497" t="s">
        <v>1173</v>
      </c>
      <c r="D565" s="383" t="s">
        <v>909</v>
      </c>
      <c r="E565" s="383" t="s">
        <v>868</v>
      </c>
      <c r="F565" s="383" t="str">
        <f t="shared" si="25"/>
        <v>P200010DMieco Inc.</v>
      </c>
      <c r="G565" s="496">
        <v>18671488.75</v>
      </c>
      <c r="H565" s="496">
        <v>-18671488.75</v>
      </c>
      <c r="I565" s="496">
        <f t="shared" si="26"/>
        <v>0</v>
      </c>
      <c r="J565" s="496" t="s">
        <v>869</v>
      </c>
    </row>
    <row r="566" spans="1:10" hidden="1" x14ac:dyDescent="0.25">
      <c r="A566" s="383">
        <f t="shared" si="24"/>
        <v>19</v>
      </c>
      <c r="B566" s="383" t="s">
        <v>263</v>
      </c>
      <c r="C566" s="497" t="s">
        <v>1173</v>
      </c>
      <c r="D566" s="383" t="s">
        <v>1044</v>
      </c>
      <c r="E566" s="383" t="s">
        <v>868</v>
      </c>
      <c r="F566" s="383" t="str">
        <f t="shared" si="25"/>
        <v>P200010DMinnesota Municip</v>
      </c>
      <c r="G566" s="496">
        <v>107470</v>
      </c>
      <c r="H566" s="496">
        <v>-107470</v>
      </c>
      <c r="I566" s="496">
        <f t="shared" si="26"/>
        <v>0</v>
      </c>
      <c r="J566" s="496" t="s">
        <v>869</v>
      </c>
    </row>
    <row r="567" spans="1:10" hidden="1" x14ac:dyDescent="0.25">
      <c r="A567" s="383">
        <f t="shared" si="24"/>
        <v>17</v>
      </c>
      <c r="B567" s="383" t="s">
        <v>263</v>
      </c>
      <c r="C567" s="497" t="s">
        <v>1173</v>
      </c>
      <c r="D567" s="383" t="s">
        <v>1197</v>
      </c>
      <c r="E567" s="383" t="s">
        <v>868</v>
      </c>
      <c r="F567" s="383" t="str">
        <f t="shared" si="25"/>
        <v>P200010DMissoula Electric</v>
      </c>
      <c r="G567" s="496">
        <v>0</v>
      </c>
      <c r="H567" s="496"/>
      <c r="I567" s="496">
        <f t="shared" si="26"/>
        <v>0</v>
      </c>
      <c r="J567" s="496" t="s">
        <v>869</v>
      </c>
    </row>
    <row r="568" spans="1:10" hidden="1" x14ac:dyDescent="0.25">
      <c r="A568" s="383">
        <f t="shared" si="24"/>
        <v>19</v>
      </c>
      <c r="B568" s="383" t="s">
        <v>263</v>
      </c>
      <c r="C568" s="497" t="s">
        <v>1173</v>
      </c>
      <c r="D568" s="383" t="s">
        <v>1198</v>
      </c>
      <c r="E568" s="383" t="s">
        <v>868</v>
      </c>
      <c r="F568" s="383" t="str">
        <f t="shared" si="25"/>
        <v>P200010DMissouri Public S</v>
      </c>
      <c r="G568" s="496">
        <v>370056</v>
      </c>
      <c r="H568" s="496">
        <v>-370056</v>
      </c>
      <c r="I568" s="496">
        <f t="shared" si="26"/>
        <v>0</v>
      </c>
      <c r="J568" s="496" t="s">
        <v>869</v>
      </c>
    </row>
    <row r="569" spans="1:10" hidden="1" x14ac:dyDescent="0.25">
      <c r="A569" s="383">
        <f t="shared" si="24"/>
        <v>19</v>
      </c>
      <c r="B569" s="383" t="s">
        <v>263</v>
      </c>
      <c r="C569" s="497" t="s">
        <v>1173</v>
      </c>
      <c r="D569" s="383" t="s">
        <v>939</v>
      </c>
      <c r="E569" s="383" t="s">
        <v>868</v>
      </c>
      <c r="F569" s="383" t="str">
        <f t="shared" si="25"/>
        <v>P200010DMontana Power Com</v>
      </c>
      <c r="G569" s="496">
        <v>2912674.2</v>
      </c>
      <c r="H569" s="496">
        <v>-2912674.2</v>
      </c>
      <c r="I569" s="496">
        <f t="shared" si="26"/>
        <v>0</v>
      </c>
      <c r="J569" s="496" t="s">
        <v>869</v>
      </c>
    </row>
    <row r="570" spans="1:10" hidden="1" x14ac:dyDescent="0.25">
      <c r="A570" s="383">
        <f t="shared" si="24"/>
        <v>19</v>
      </c>
      <c r="B570" s="383" t="s">
        <v>263</v>
      </c>
      <c r="C570" s="497" t="s">
        <v>1173</v>
      </c>
      <c r="D570" s="383" t="s">
        <v>1199</v>
      </c>
      <c r="E570" s="383" t="s">
        <v>868</v>
      </c>
      <c r="F570" s="383" t="str">
        <f t="shared" si="25"/>
        <v>P200010DMontana-Dakota Ut</v>
      </c>
      <c r="G570" s="496">
        <v>4065</v>
      </c>
      <c r="H570" s="496">
        <v>-4065</v>
      </c>
      <c r="I570" s="496">
        <f t="shared" si="26"/>
        <v>0</v>
      </c>
      <c r="J570" s="496" t="s">
        <v>869</v>
      </c>
    </row>
    <row r="571" spans="1:10" hidden="1" x14ac:dyDescent="0.25">
      <c r="A571" s="383">
        <f t="shared" si="24"/>
        <v>19</v>
      </c>
      <c r="B571" s="383" t="s">
        <v>263</v>
      </c>
      <c r="C571" s="497" t="s">
        <v>1173</v>
      </c>
      <c r="D571" s="383" t="s">
        <v>1045</v>
      </c>
      <c r="E571" s="383" t="s">
        <v>868</v>
      </c>
      <c r="F571" s="383" t="str">
        <f t="shared" si="25"/>
        <v>P200010DMorgan Stanley Ca</v>
      </c>
      <c r="G571" s="496">
        <v>33411680.25</v>
      </c>
      <c r="H571" s="496">
        <v>-33411680.25</v>
      </c>
      <c r="I571" s="496">
        <f t="shared" si="26"/>
        <v>0</v>
      </c>
      <c r="J571" s="496" t="s">
        <v>869</v>
      </c>
    </row>
    <row r="572" spans="1:10" hidden="1" x14ac:dyDescent="0.25">
      <c r="A572" s="383">
        <f t="shared" si="24"/>
        <v>19</v>
      </c>
      <c r="B572" s="383" t="s">
        <v>263</v>
      </c>
      <c r="C572" s="497" t="s">
        <v>1173</v>
      </c>
      <c r="D572" s="383" t="s">
        <v>1046</v>
      </c>
      <c r="E572" s="383" t="s">
        <v>868</v>
      </c>
      <c r="F572" s="383" t="str">
        <f t="shared" si="25"/>
        <v>P200010DNevada Power Comp</v>
      </c>
      <c r="G572" s="496">
        <v>100382.52</v>
      </c>
      <c r="H572" s="496">
        <v>-100382.52</v>
      </c>
      <c r="I572" s="496">
        <f t="shared" si="26"/>
        <v>0</v>
      </c>
      <c r="J572" s="496" t="s">
        <v>869</v>
      </c>
    </row>
    <row r="573" spans="1:10" hidden="1" x14ac:dyDescent="0.25">
      <c r="A573" s="383">
        <f t="shared" si="24"/>
        <v>22</v>
      </c>
      <c r="B573" s="487" t="s">
        <v>263</v>
      </c>
      <c r="C573" s="498" t="s">
        <v>1173</v>
      </c>
      <c r="D573" s="487" t="s">
        <v>884</v>
      </c>
      <c r="E573" s="487" t="s">
        <v>868</v>
      </c>
      <c r="F573" s="487" t="str">
        <f t="shared" si="25"/>
        <v>P200010DNew England Power</v>
      </c>
      <c r="G573" s="499"/>
      <c r="H573" s="499">
        <f>VLOOKUP(F573,[2]Pivot!$R$20:$S$1359,2,FALSE)</f>
        <v>-82397625.680000007</v>
      </c>
      <c r="I573" s="499">
        <f t="shared" si="26"/>
        <v>-82397625.680000007</v>
      </c>
      <c r="J573" s="499" t="s">
        <v>890</v>
      </c>
    </row>
    <row r="574" spans="1:10" hidden="1" x14ac:dyDescent="0.25">
      <c r="A574" s="383">
        <f t="shared" si="24"/>
        <v>19</v>
      </c>
      <c r="B574" s="383" t="s">
        <v>263</v>
      </c>
      <c r="C574" s="497" t="s">
        <v>1173</v>
      </c>
      <c r="D574" s="383" t="s">
        <v>931</v>
      </c>
      <c r="E574" s="383" t="s">
        <v>868</v>
      </c>
      <c r="F574" s="383" t="str">
        <f t="shared" si="25"/>
        <v>P200010DNew York Independ</v>
      </c>
      <c r="G574" s="496">
        <v>-3388698.25</v>
      </c>
      <c r="H574" s="496">
        <v>3388698.25</v>
      </c>
      <c r="I574" s="496">
        <f t="shared" si="26"/>
        <v>0</v>
      </c>
      <c r="J574" s="496" t="s">
        <v>869</v>
      </c>
    </row>
    <row r="575" spans="1:10" hidden="1" x14ac:dyDescent="0.25">
      <c r="A575" s="383">
        <f t="shared" si="24"/>
        <v>15</v>
      </c>
      <c r="B575" s="383" t="s">
        <v>263</v>
      </c>
      <c r="C575" s="497" t="s">
        <v>1173</v>
      </c>
      <c r="D575" s="383" t="s">
        <v>1200</v>
      </c>
      <c r="E575" s="383" t="s">
        <v>868</v>
      </c>
      <c r="F575" s="383" t="str">
        <f t="shared" si="25"/>
        <v>P200010DNewEnergy, Inc.</v>
      </c>
      <c r="G575" s="496">
        <v>2230410</v>
      </c>
      <c r="H575" s="496">
        <v>-2230410</v>
      </c>
      <c r="I575" s="496">
        <f t="shared" si="26"/>
        <v>0</v>
      </c>
      <c r="J575" s="496" t="s">
        <v>869</v>
      </c>
    </row>
    <row r="576" spans="1:10" hidden="1" x14ac:dyDescent="0.25">
      <c r="A576" s="383">
        <f t="shared" si="24"/>
        <v>19</v>
      </c>
      <c r="B576" s="383" t="s">
        <v>263</v>
      </c>
      <c r="C576" s="497" t="s">
        <v>1173</v>
      </c>
      <c r="D576" s="383" t="s">
        <v>1048</v>
      </c>
      <c r="E576" s="383" t="s">
        <v>868</v>
      </c>
      <c r="F576" s="383" t="str">
        <f t="shared" si="25"/>
        <v>P200010DNortheast Utiliti</v>
      </c>
      <c r="G576" s="496">
        <v>1229720</v>
      </c>
      <c r="H576" s="496">
        <v>-1229720</v>
      </c>
      <c r="I576" s="496">
        <f t="shared" si="26"/>
        <v>0</v>
      </c>
      <c r="J576" s="496" t="s">
        <v>869</v>
      </c>
    </row>
    <row r="577" spans="1:10" hidden="1" x14ac:dyDescent="0.25">
      <c r="A577" s="383">
        <f t="shared" si="24"/>
        <v>19</v>
      </c>
      <c r="B577" s="383" t="s">
        <v>263</v>
      </c>
      <c r="C577" s="497" t="s">
        <v>1173</v>
      </c>
      <c r="D577" s="383" t="s">
        <v>1201</v>
      </c>
      <c r="E577" s="383" t="s">
        <v>868</v>
      </c>
      <c r="F577" s="383" t="str">
        <f t="shared" si="25"/>
        <v xml:space="preserve">P200010DNorthern Indiana </v>
      </c>
      <c r="G577" s="496">
        <v>7366837</v>
      </c>
      <c r="H577" s="496">
        <v>-7366837</v>
      </c>
      <c r="I577" s="496">
        <f t="shared" si="26"/>
        <v>0</v>
      </c>
      <c r="J577" s="496" t="s">
        <v>869</v>
      </c>
    </row>
    <row r="578" spans="1:10" hidden="1" x14ac:dyDescent="0.25">
      <c r="A578" s="383">
        <f t="shared" si="24"/>
        <v>19</v>
      </c>
      <c r="B578" s="383" t="s">
        <v>263</v>
      </c>
      <c r="C578" s="497" t="s">
        <v>1173</v>
      </c>
      <c r="D578" s="383" t="s">
        <v>1049</v>
      </c>
      <c r="E578" s="383" t="s">
        <v>868</v>
      </c>
      <c r="F578" s="383" t="str">
        <f t="shared" si="25"/>
        <v>P200010DNorthern States P</v>
      </c>
      <c r="G578" s="496">
        <v>688971.3</v>
      </c>
      <c r="H578" s="496">
        <v>-688971.3</v>
      </c>
      <c r="I578" s="496">
        <f t="shared" si="26"/>
        <v>0</v>
      </c>
      <c r="J578" s="496" t="s">
        <v>869</v>
      </c>
    </row>
    <row r="579" spans="1:10" hidden="1" x14ac:dyDescent="0.25">
      <c r="A579" s="383">
        <f t="shared" si="24"/>
        <v>19</v>
      </c>
      <c r="B579" s="383" t="s">
        <v>263</v>
      </c>
      <c r="C579" s="497" t="s">
        <v>1173</v>
      </c>
      <c r="D579" s="383" t="s">
        <v>980</v>
      </c>
      <c r="E579" s="383" t="s">
        <v>868</v>
      </c>
      <c r="F579" s="383" t="str">
        <f t="shared" si="25"/>
        <v>P200010DNRG Power Marketi</v>
      </c>
      <c r="G579" s="496">
        <v>3524763.5</v>
      </c>
      <c r="H579" s="496">
        <v>-3524763.5</v>
      </c>
      <c r="I579" s="496">
        <f t="shared" si="26"/>
        <v>0</v>
      </c>
      <c r="J579" s="496" t="s">
        <v>869</v>
      </c>
    </row>
    <row r="580" spans="1:10" hidden="1" x14ac:dyDescent="0.25">
      <c r="A580" s="383">
        <f t="shared" ref="A580:A643" si="27">LEN(D580)</f>
        <v>15</v>
      </c>
      <c r="B580" s="383" t="s">
        <v>263</v>
      </c>
      <c r="C580" s="497" t="s">
        <v>1173</v>
      </c>
      <c r="D580" s="383" t="s">
        <v>952</v>
      </c>
      <c r="E580" s="383" t="s">
        <v>868</v>
      </c>
      <c r="F580" s="383" t="str">
        <f t="shared" ref="F580:F643" si="28">+B580&amp;C580&amp;E580&amp;LEFT(D580,17)</f>
        <v>P200010DNSTAR Companies</v>
      </c>
      <c r="G580" s="496">
        <v>197409.21</v>
      </c>
      <c r="H580" s="496">
        <v>-197409.21</v>
      </c>
      <c r="I580" s="496">
        <f t="shared" ref="I580:I643" si="29">ROUND(+G580+H580,2)</f>
        <v>0</v>
      </c>
      <c r="J580" s="496" t="s">
        <v>869</v>
      </c>
    </row>
    <row r="581" spans="1:10" hidden="1" x14ac:dyDescent="0.25">
      <c r="A581" s="383">
        <f t="shared" si="27"/>
        <v>19</v>
      </c>
      <c r="B581" s="383" t="s">
        <v>263</v>
      </c>
      <c r="C581" s="497" t="s">
        <v>1173</v>
      </c>
      <c r="D581" s="383" t="s">
        <v>967</v>
      </c>
      <c r="E581" s="383" t="s">
        <v>868</v>
      </c>
      <c r="F581" s="383" t="str">
        <f t="shared" si="28"/>
        <v xml:space="preserve">P200010DOglethorpe Power </v>
      </c>
      <c r="G581" s="496">
        <v>4550</v>
      </c>
      <c r="H581" s="496">
        <v>-4550</v>
      </c>
      <c r="I581" s="496">
        <f t="shared" si="29"/>
        <v>0</v>
      </c>
      <c r="J581" s="496" t="s">
        <v>869</v>
      </c>
    </row>
    <row r="582" spans="1:10" hidden="1" x14ac:dyDescent="0.25">
      <c r="A582" s="383">
        <f t="shared" si="27"/>
        <v>19</v>
      </c>
      <c r="B582" s="383" t="s">
        <v>263</v>
      </c>
      <c r="C582" s="497" t="s">
        <v>1173</v>
      </c>
      <c r="D582" s="383" t="s">
        <v>1202</v>
      </c>
      <c r="E582" s="383" t="s">
        <v>868</v>
      </c>
      <c r="F582" s="383" t="str">
        <f t="shared" si="28"/>
        <v xml:space="preserve">P200010DOklahoma Gas And </v>
      </c>
      <c r="G582" s="496">
        <v>1625</v>
      </c>
      <c r="H582" s="496">
        <v>-1625</v>
      </c>
      <c r="I582" s="496">
        <f t="shared" si="29"/>
        <v>0</v>
      </c>
      <c r="J582" s="496" t="s">
        <v>869</v>
      </c>
    </row>
    <row r="583" spans="1:10" hidden="1" x14ac:dyDescent="0.25">
      <c r="A583" s="383">
        <f t="shared" si="27"/>
        <v>19</v>
      </c>
      <c r="B583" s="383" t="s">
        <v>263</v>
      </c>
      <c r="C583" s="497" t="s">
        <v>1173</v>
      </c>
      <c r="D583" s="383" t="s">
        <v>1203</v>
      </c>
      <c r="E583" s="383" t="s">
        <v>868</v>
      </c>
      <c r="F583" s="383" t="str">
        <f t="shared" si="28"/>
        <v>P200010DOntario Power Gen</v>
      </c>
      <c r="G583" s="496">
        <v>1404710</v>
      </c>
      <c r="H583" s="496">
        <v>-1404710</v>
      </c>
      <c r="I583" s="496">
        <f t="shared" si="29"/>
        <v>0</v>
      </c>
      <c r="J583" s="496" t="s">
        <v>869</v>
      </c>
    </row>
    <row r="584" spans="1:10" hidden="1" x14ac:dyDescent="0.25">
      <c r="A584" s="383">
        <f t="shared" si="27"/>
        <v>19</v>
      </c>
      <c r="B584" s="383" t="s">
        <v>263</v>
      </c>
      <c r="C584" s="497" t="s">
        <v>1173</v>
      </c>
      <c r="D584" s="383" t="s">
        <v>1204</v>
      </c>
      <c r="E584" s="383" t="s">
        <v>868</v>
      </c>
      <c r="F584" s="383" t="str">
        <f t="shared" si="28"/>
        <v xml:space="preserve">P200010DOtter Tail Power </v>
      </c>
      <c r="G584" s="496">
        <v>885732</v>
      </c>
      <c r="H584" s="496">
        <v>-885732</v>
      </c>
      <c r="I584" s="496">
        <f t="shared" si="29"/>
        <v>0</v>
      </c>
      <c r="J584" s="496" t="s">
        <v>869</v>
      </c>
    </row>
    <row r="585" spans="1:10" hidden="1" x14ac:dyDescent="0.25">
      <c r="A585" s="383">
        <f t="shared" si="27"/>
        <v>10</v>
      </c>
      <c r="B585" s="383" t="s">
        <v>263</v>
      </c>
      <c r="C585" s="497" t="s">
        <v>1173</v>
      </c>
      <c r="D585" s="383" t="s">
        <v>940</v>
      </c>
      <c r="E585" s="383" t="s">
        <v>868</v>
      </c>
      <c r="F585" s="383" t="str">
        <f t="shared" si="28"/>
        <v>P200010DPacificorp</v>
      </c>
      <c r="G585" s="496">
        <v>45854326.640000001</v>
      </c>
      <c r="H585" s="496">
        <v>-45854326.640000001</v>
      </c>
      <c r="I585" s="496">
        <f t="shared" si="29"/>
        <v>0</v>
      </c>
      <c r="J585" s="496" t="s">
        <v>869</v>
      </c>
    </row>
    <row r="586" spans="1:10" hidden="1" x14ac:dyDescent="0.25">
      <c r="A586" s="383">
        <f t="shared" si="27"/>
        <v>19</v>
      </c>
      <c r="B586" s="383" t="s">
        <v>263</v>
      </c>
      <c r="C586" s="497" t="s">
        <v>1173</v>
      </c>
      <c r="D586" s="383" t="s">
        <v>1053</v>
      </c>
      <c r="E586" s="383" t="s">
        <v>868</v>
      </c>
      <c r="F586" s="383" t="str">
        <f t="shared" si="28"/>
        <v xml:space="preserve">P200010DPacifiCorp Power </v>
      </c>
      <c r="G586" s="496">
        <v>1223187.5</v>
      </c>
      <c r="H586" s="496">
        <v>-1223187.5</v>
      </c>
      <c r="I586" s="496">
        <f t="shared" si="29"/>
        <v>0</v>
      </c>
      <c r="J586" s="496" t="s">
        <v>869</v>
      </c>
    </row>
    <row r="587" spans="1:10" hidden="1" x14ac:dyDescent="0.25">
      <c r="A587" s="383">
        <f t="shared" si="27"/>
        <v>19</v>
      </c>
      <c r="B587" s="383" t="s">
        <v>263</v>
      </c>
      <c r="C587" s="497" t="s">
        <v>1173</v>
      </c>
      <c r="D587" s="383" t="s">
        <v>1054</v>
      </c>
      <c r="E587" s="383" t="s">
        <v>868</v>
      </c>
      <c r="F587" s="383" t="str">
        <f t="shared" si="28"/>
        <v>P200010DPeco Energy Compa</v>
      </c>
      <c r="G587" s="496">
        <v>3024720</v>
      </c>
      <c r="H587" s="496">
        <v>-3024720</v>
      </c>
      <c r="I587" s="496">
        <f t="shared" si="29"/>
        <v>0</v>
      </c>
      <c r="J587" s="496" t="s">
        <v>869</v>
      </c>
    </row>
    <row r="588" spans="1:10" hidden="1" x14ac:dyDescent="0.25">
      <c r="A588" s="383">
        <f t="shared" si="27"/>
        <v>19</v>
      </c>
      <c r="B588" s="383" t="s">
        <v>263</v>
      </c>
      <c r="C588" s="497" t="s">
        <v>1173</v>
      </c>
      <c r="D588" s="383" t="s">
        <v>945</v>
      </c>
      <c r="E588" s="383" t="s">
        <v>868</v>
      </c>
      <c r="F588" s="383" t="str">
        <f t="shared" si="28"/>
        <v>P200010DPG&amp;E Energy Tradi</v>
      </c>
      <c r="G588" s="496">
        <v>128426045.05</v>
      </c>
      <c r="H588" s="496">
        <v>-128426045.05</v>
      </c>
      <c r="I588" s="496">
        <f t="shared" si="29"/>
        <v>0</v>
      </c>
      <c r="J588" s="496" t="s">
        <v>869</v>
      </c>
    </row>
    <row r="589" spans="1:10" hidden="1" x14ac:dyDescent="0.25">
      <c r="A589" s="383">
        <f t="shared" si="27"/>
        <v>19</v>
      </c>
      <c r="B589" s="383" t="s">
        <v>263</v>
      </c>
      <c r="C589" s="497" t="s">
        <v>1173</v>
      </c>
      <c r="D589" s="383" t="s">
        <v>1205</v>
      </c>
      <c r="E589" s="383" t="s">
        <v>868</v>
      </c>
      <c r="F589" s="383" t="str">
        <f t="shared" si="28"/>
        <v>P200010DPinnacle West Cap</v>
      </c>
      <c r="G589" s="496">
        <v>1138744</v>
      </c>
      <c r="H589" s="496">
        <v>-1138744</v>
      </c>
      <c r="I589" s="496">
        <f t="shared" si="29"/>
        <v>0</v>
      </c>
      <c r="J589" s="496" t="s">
        <v>869</v>
      </c>
    </row>
    <row r="590" spans="1:10" hidden="1" x14ac:dyDescent="0.25">
      <c r="A590" s="383">
        <f t="shared" si="27"/>
        <v>19</v>
      </c>
      <c r="B590" s="383" t="s">
        <v>263</v>
      </c>
      <c r="C590" s="497" t="s">
        <v>1173</v>
      </c>
      <c r="D590" s="383" t="s">
        <v>892</v>
      </c>
      <c r="E590" s="383" t="s">
        <v>868</v>
      </c>
      <c r="F590" s="383" t="str">
        <f t="shared" si="28"/>
        <v>P200010DPJM Interconnecti</v>
      </c>
      <c r="G590" s="496">
        <v>23517338.75</v>
      </c>
      <c r="H590" s="496">
        <v>-23517338.75</v>
      </c>
      <c r="I590" s="496">
        <f t="shared" si="29"/>
        <v>0</v>
      </c>
      <c r="J590" s="496" t="s">
        <v>869</v>
      </c>
    </row>
    <row r="591" spans="1:10" hidden="1" x14ac:dyDescent="0.25">
      <c r="A591" s="383">
        <f t="shared" si="27"/>
        <v>19</v>
      </c>
      <c r="B591" s="383" t="s">
        <v>263</v>
      </c>
      <c r="C591" s="497" t="s">
        <v>1173</v>
      </c>
      <c r="D591" s="383" t="s">
        <v>904</v>
      </c>
      <c r="E591" s="383" t="s">
        <v>868</v>
      </c>
      <c r="F591" s="383" t="str">
        <f t="shared" si="28"/>
        <v xml:space="preserve">P200010DPortland General </v>
      </c>
      <c r="G591" s="496">
        <v>15981081.09</v>
      </c>
      <c r="H591" s="496">
        <v>-15981081.09</v>
      </c>
      <c r="I591" s="496">
        <f t="shared" si="29"/>
        <v>0</v>
      </c>
      <c r="J591" s="496" t="s">
        <v>869</v>
      </c>
    </row>
    <row r="592" spans="1:10" hidden="1" x14ac:dyDescent="0.25">
      <c r="A592" s="383">
        <f t="shared" si="27"/>
        <v>13</v>
      </c>
      <c r="B592" s="383" t="s">
        <v>263</v>
      </c>
      <c r="C592" s="497" t="s">
        <v>1173</v>
      </c>
      <c r="D592" s="383" t="s">
        <v>902</v>
      </c>
      <c r="E592" s="383" t="s">
        <v>868</v>
      </c>
      <c r="F592" s="383" t="str">
        <f t="shared" si="28"/>
        <v>P200010DPowerex Corp.</v>
      </c>
      <c r="G592" s="496">
        <v>17312449.030000001</v>
      </c>
      <c r="H592" s="496">
        <v>-17312449.030000001</v>
      </c>
      <c r="I592" s="496">
        <f t="shared" si="29"/>
        <v>0</v>
      </c>
      <c r="J592" s="496" t="s">
        <v>869</v>
      </c>
    </row>
    <row r="593" spans="1:10" hidden="1" x14ac:dyDescent="0.25">
      <c r="A593" s="383">
        <f t="shared" si="27"/>
        <v>19</v>
      </c>
      <c r="B593" s="383" t="s">
        <v>263</v>
      </c>
      <c r="C593" s="497" t="s">
        <v>1173</v>
      </c>
      <c r="D593" s="383" t="s">
        <v>1056</v>
      </c>
      <c r="E593" s="383" t="s">
        <v>868</v>
      </c>
      <c r="F593" s="383" t="str">
        <f t="shared" si="28"/>
        <v>P200010DPPL EnergyPlus, L</v>
      </c>
      <c r="G593" s="496">
        <v>6091304</v>
      </c>
      <c r="H593" s="496">
        <v>-6091304</v>
      </c>
      <c r="I593" s="496">
        <f t="shared" si="29"/>
        <v>0</v>
      </c>
      <c r="J593" s="496" t="s">
        <v>869</v>
      </c>
    </row>
    <row r="594" spans="1:10" hidden="1" x14ac:dyDescent="0.25">
      <c r="A594" s="383">
        <f t="shared" si="27"/>
        <v>19</v>
      </c>
      <c r="B594" s="383" t="s">
        <v>263</v>
      </c>
      <c r="C594" s="497" t="s">
        <v>1173</v>
      </c>
      <c r="D594" s="383" t="s">
        <v>1206</v>
      </c>
      <c r="E594" s="383" t="s">
        <v>868</v>
      </c>
      <c r="F594" s="383" t="str">
        <f t="shared" si="28"/>
        <v>P200010DPSEG Energy Resou</v>
      </c>
      <c r="G594" s="496">
        <v>11008000</v>
      </c>
      <c r="H594" s="496">
        <v>-11008000</v>
      </c>
      <c r="I594" s="496">
        <f t="shared" si="29"/>
        <v>0</v>
      </c>
      <c r="J594" s="496" t="s">
        <v>869</v>
      </c>
    </row>
    <row r="595" spans="1:10" hidden="1" x14ac:dyDescent="0.25">
      <c r="A595" s="383">
        <f t="shared" si="27"/>
        <v>19</v>
      </c>
      <c r="B595" s="383" t="s">
        <v>263</v>
      </c>
      <c r="C595" s="497" t="s">
        <v>1173</v>
      </c>
      <c r="D595" s="383" t="s">
        <v>970</v>
      </c>
      <c r="E595" s="383" t="s">
        <v>868</v>
      </c>
      <c r="F595" s="383" t="str">
        <f t="shared" si="28"/>
        <v>P200010DPublic Service Co</v>
      </c>
      <c r="G595" s="496">
        <v>60087034</v>
      </c>
      <c r="H595" s="496">
        <v>-60087034</v>
      </c>
      <c r="I595" s="496">
        <f t="shared" si="29"/>
        <v>0</v>
      </c>
      <c r="J595" s="496" t="s">
        <v>869</v>
      </c>
    </row>
    <row r="596" spans="1:10" hidden="1" x14ac:dyDescent="0.25">
      <c r="A596" s="383">
        <f t="shared" si="27"/>
        <v>19</v>
      </c>
      <c r="B596" s="383" t="s">
        <v>263</v>
      </c>
      <c r="C596" s="497" t="s">
        <v>1173</v>
      </c>
      <c r="D596" s="383" t="s">
        <v>1059</v>
      </c>
      <c r="E596" s="383" t="s">
        <v>868</v>
      </c>
      <c r="F596" s="383" t="str">
        <f t="shared" si="28"/>
        <v>P200010DPublic Utility Di</v>
      </c>
      <c r="G596" s="496">
        <v>4587757.5</v>
      </c>
      <c r="H596" s="496">
        <v>-4587757.5</v>
      </c>
      <c r="I596" s="496">
        <f t="shared" si="29"/>
        <v>0</v>
      </c>
      <c r="J596" s="496" t="s">
        <v>869</v>
      </c>
    </row>
    <row r="597" spans="1:10" hidden="1" x14ac:dyDescent="0.25">
      <c r="A597" s="383">
        <f t="shared" si="27"/>
        <v>18</v>
      </c>
      <c r="B597" s="383" t="s">
        <v>263</v>
      </c>
      <c r="C597" s="497" t="s">
        <v>1173</v>
      </c>
      <c r="D597" s="383" t="s">
        <v>1061</v>
      </c>
      <c r="E597" s="383" t="s">
        <v>868</v>
      </c>
      <c r="F597" s="383" t="str">
        <f t="shared" si="28"/>
        <v>P200010DPUD No. 1 of Gray</v>
      </c>
      <c r="G597" s="496">
        <v>504</v>
      </c>
      <c r="H597" s="496">
        <v>-504</v>
      </c>
      <c r="I597" s="496">
        <f t="shared" si="29"/>
        <v>0</v>
      </c>
      <c r="J597" s="496" t="s">
        <v>869</v>
      </c>
    </row>
    <row r="598" spans="1:10" hidden="1" x14ac:dyDescent="0.25">
      <c r="A598" s="383">
        <f t="shared" si="27"/>
        <v>19</v>
      </c>
      <c r="B598" s="383" t="s">
        <v>263</v>
      </c>
      <c r="C598" s="497" t="s">
        <v>1173</v>
      </c>
      <c r="D598" s="383" t="s">
        <v>941</v>
      </c>
      <c r="E598" s="383" t="s">
        <v>868</v>
      </c>
      <c r="F598" s="383" t="str">
        <f t="shared" si="28"/>
        <v>P200010DPuget Sound Energ</v>
      </c>
      <c r="G598" s="496">
        <v>28284894.75</v>
      </c>
      <c r="H598" s="496">
        <v>-28284894.75</v>
      </c>
      <c r="I598" s="496">
        <f t="shared" si="29"/>
        <v>0</v>
      </c>
      <c r="J598" s="496" t="s">
        <v>869</v>
      </c>
    </row>
    <row r="599" spans="1:10" hidden="1" x14ac:dyDescent="0.25">
      <c r="A599" s="383">
        <f t="shared" si="27"/>
        <v>19</v>
      </c>
      <c r="B599" s="383" t="s">
        <v>263</v>
      </c>
      <c r="C599" s="497" t="s">
        <v>1173</v>
      </c>
      <c r="D599" s="383" t="s">
        <v>1062</v>
      </c>
      <c r="E599" s="383" t="s">
        <v>868</v>
      </c>
      <c r="F599" s="383" t="str">
        <f t="shared" si="28"/>
        <v>P200010DRainbow Energy Ma</v>
      </c>
      <c r="G599" s="496">
        <v>305200</v>
      </c>
      <c r="H599" s="496">
        <v>-305200</v>
      </c>
      <c r="I599" s="496">
        <f t="shared" si="29"/>
        <v>0</v>
      </c>
      <c r="J599" s="496" t="s">
        <v>869</v>
      </c>
    </row>
    <row r="600" spans="1:10" hidden="1" x14ac:dyDescent="0.25">
      <c r="A600" s="383">
        <f t="shared" si="27"/>
        <v>19</v>
      </c>
      <c r="B600" s="383" t="s">
        <v>263</v>
      </c>
      <c r="C600" s="497" t="s">
        <v>1173</v>
      </c>
      <c r="D600" s="383" t="s">
        <v>1207</v>
      </c>
      <c r="E600" s="383" t="s">
        <v>868</v>
      </c>
      <c r="F600" s="383" t="str">
        <f t="shared" si="28"/>
        <v>P200010DReliant Energy HL</v>
      </c>
      <c r="G600" s="496">
        <v>985656.88</v>
      </c>
      <c r="H600" s="496">
        <v>-985656.88</v>
      </c>
      <c r="I600" s="496">
        <f t="shared" si="29"/>
        <v>0</v>
      </c>
      <c r="J600" s="496" t="s">
        <v>869</v>
      </c>
    </row>
    <row r="601" spans="1:10" hidden="1" x14ac:dyDescent="0.25">
      <c r="A601" s="383">
        <f t="shared" si="27"/>
        <v>19</v>
      </c>
      <c r="B601" s="383" t="s">
        <v>263</v>
      </c>
      <c r="C601" s="497" t="s">
        <v>1173</v>
      </c>
      <c r="D601" s="383" t="s">
        <v>1063</v>
      </c>
      <c r="E601" s="383" t="s">
        <v>868</v>
      </c>
      <c r="F601" s="383" t="str">
        <f t="shared" si="28"/>
        <v>P200010DReliant Energy Se</v>
      </c>
      <c r="G601" s="496">
        <v>86647872.890000001</v>
      </c>
      <c r="H601" s="496">
        <v>-86647872.890000001</v>
      </c>
      <c r="I601" s="496">
        <f t="shared" si="29"/>
        <v>0</v>
      </c>
      <c r="J601" s="496" t="s">
        <v>869</v>
      </c>
    </row>
    <row r="602" spans="1:10" hidden="1" x14ac:dyDescent="0.25">
      <c r="A602" s="383">
        <f t="shared" si="27"/>
        <v>19</v>
      </c>
      <c r="B602" s="383" t="s">
        <v>263</v>
      </c>
      <c r="C602" s="497" t="s">
        <v>1173</v>
      </c>
      <c r="D602" s="383" t="s">
        <v>1064</v>
      </c>
      <c r="E602" s="383" t="s">
        <v>868</v>
      </c>
      <c r="F602" s="383" t="str">
        <f t="shared" si="28"/>
        <v>P200010DSacramento Munici</v>
      </c>
      <c r="G602" s="496">
        <v>1279200</v>
      </c>
      <c r="H602" s="496">
        <v>-1279200</v>
      </c>
      <c r="I602" s="496">
        <f t="shared" si="29"/>
        <v>0</v>
      </c>
      <c r="J602" s="496" t="s">
        <v>869</v>
      </c>
    </row>
    <row r="603" spans="1:10" hidden="1" x14ac:dyDescent="0.25">
      <c r="A603" s="383">
        <f t="shared" si="27"/>
        <v>19</v>
      </c>
      <c r="B603" s="383" t="s">
        <v>263</v>
      </c>
      <c r="C603" s="497" t="s">
        <v>1173</v>
      </c>
      <c r="D603" s="383" t="s">
        <v>1208</v>
      </c>
      <c r="E603" s="383" t="s">
        <v>868</v>
      </c>
      <c r="F603" s="383" t="str">
        <f t="shared" si="28"/>
        <v>P200010DSaguaro Power Com</v>
      </c>
      <c r="G603" s="496">
        <v>51021.58</v>
      </c>
      <c r="H603" s="496">
        <v>-51021.58</v>
      </c>
      <c r="I603" s="496">
        <f t="shared" si="29"/>
        <v>0</v>
      </c>
      <c r="J603" s="496" t="s">
        <v>869</v>
      </c>
    </row>
    <row r="604" spans="1:10" hidden="1" x14ac:dyDescent="0.25">
      <c r="A604" s="383">
        <f t="shared" si="27"/>
        <v>18</v>
      </c>
      <c r="B604" s="383" t="s">
        <v>263</v>
      </c>
      <c r="C604" s="497" t="s">
        <v>1173</v>
      </c>
      <c r="D604" s="383" t="s">
        <v>1065</v>
      </c>
      <c r="E604" s="383" t="s">
        <v>868</v>
      </c>
      <c r="F604" s="383" t="str">
        <f t="shared" si="28"/>
        <v>P200010DSalt River Projec</v>
      </c>
      <c r="G604" s="496">
        <v>1845480</v>
      </c>
      <c r="H604" s="496">
        <v>-1845480</v>
      </c>
      <c r="I604" s="496">
        <f t="shared" si="29"/>
        <v>0</v>
      </c>
      <c r="J604" s="496" t="s">
        <v>869</v>
      </c>
    </row>
    <row r="605" spans="1:10" hidden="1" x14ac:dyDescent="0.25">
      <c r="A605" s="383">
        <f t="shared" si="27"/>
        <v>19</v>
      </c>
      <c r="B605" s="383" t="s">
        <v>263</v>
      </c>
      <c r="C605" s="497" t="s">
        <v>1173</v>
      </c>
      <c r="D605" s="383" t="s">
        <v>1209</v>
      </c>
      <c r="E605" s="383" t="s">
        <v>868</v>
      </c>
      <c r="F605" s="383" t="str">
        <f t="shared" si="28"/>
        <v>P200010DSan Diego Gas &amp; E</v>
      </c>
      <c r="G605" s="496">
        <v>4867200</v>
      </c>
      <c r="H605" s="496">
        <v>-4867200</v>
      </c>
      <c r="I605" s="496">
        <f t="shared" si="29"/>
        <v>0</v>
      </c>
      <c r="J605" s="496" t="s">
        <v>869</v>
      </c>
    </row>
    <row r="606" spans="1:10" hidden="1" x14ac:dyDescent="0.25">
      <c r="A606" s="383">
        <f t="shared" si="27"/>
        <v>18</v>
      </c>
      <c r="B606" s="383" t="s">
        <v>263</v>
      </c>
      <c r="C606" s="497" t="s">
        <v>1173</v>
      </c>
      <c r="D606" s="383" t="s">
        <v>1066</v>
      </c>
      <c r="E606" s="383" t="s">
        <v>868</v>
      </c>
      <c r="F606" s="383" t="str">
        <f t="shared" si="28"/>
        <v>P200010DSaskatchewan Powe</v>
      </c>
      <c r="G606" s="496">
        <v>25616.5</v>
      </c>
      <c r="H606" s="496">
        <v>-25616.5</v>
      </c>
      <c r="I606" s="496">
        <f t="shared" si="29"/>
        <v>0</v>
      </c>
      <c r="J606" s="496" t="s">
        <v>869</v>
      </c>
    </row>
    <row r="607" spans="1:10" hidden="1" x14ac:dyDescent="0.25">
      <c r="A607" s="383">
        <f t="shared" si="27"/>
        <v>18</v>
      </c>
      <c r="B607" s="383" t="s">
        <v>263</v>
      </c>
      <c r="C607" s="497" t="s">
        <v>1173</v>
      </c>
      <c r="D607" s="383" t="s">
        <v>324</v>
      </c>
      <c r="E607" s="383" t="s">
        <v>868</v>
      </c>
      <c r="F607" s="383" t="str">
        <f t="shared" si="28"/>
        <v>P200010DSeattle City Ligh</v>
      </c>
      <c r="G607" s="496">
        <v>360700</v>
      </c>
      <c r="H607" s="496">
        <v>-360700</v>
      </c>
      <c r="I607" s="496">
        <f t="shared" si="29"/>
        <v>0</v>
      </c>
      <c r="J607" s="496" t="s">
        <v>869</v>
      </c>
    </row>
    <row r="608" spans="1:10" hidden="1" x14ac:dyDescent="0.25">
      <c r="A608" s="383">
        <f t="shared" si="27"/>
        <v>19</v>
      </c>
      <c r="B608" s="383" t="s">
        <v>263</v>
      </c>
      <c r="C608" s="497" t="s">
        <v>1173</v>
      </c>
      <c r="D608" s="383" t="s">
        <v>1210</v>
      </c>
      <c r="E608" s="383" t="s">
        <v>868</v>
      </c>
      <c r="F608" s="383" t="str">
        <f t="shared" si="28"/>
        <v>P200010DSelect Energy, In</v>
      </c>
      <c r="G608" s="496">
        <v>1875700</v>
      </c>
      <c r="H608" s="496">
        <v>-1875700</v>
      </c>
      <c r="I608" s="496">
        <f t="shared" si="29"/>
        <v>0</v>
      </c>
      <c r="J608" s="496" t="s">
        <v>869</v>
      </c>
    </row>
    <row r="609" spans="1:10" hidden="1" x14ac:dyDescent="0.25">
      <c r="A609" s="383">
        <f t="shared" si="27"/>
        <v>19</v>
      </c>
      <c r="B609" s="383" t="s">
        <v>263</v>
      </c>
      <c r="C609" s="497" t="s">
        <v>1173</v>
      </c>
      <c r="D609" s="383" t="s">
        <v>942</v>
      </c>
      <c r="E609" s="383" t="s">
        <v>868</v>
      </c>
      <c r="F609" s="383" t="str">
        <f t="shared" si="28"/>
        <v>P200010DSempra Energy Tra</v>
      </c>
      <c r="G609" s="496">
        <v>88766606.680000007</v>
      </c>
      <c r="H609" s="496">
        <v>-88766606.680000007</v>
      </c>
      <c r="I609" s="496">
        <f t="shared" si="29"/>
        <v>0</v>
      </c>
      <c r="J609" s="496" t="s">
        <v>869</v>
      </c>
    </row>
    <row r="610" spans="1:10" hidden="1" x14ac:dyDescent="0.25">
      <c r="A610" s="383">
        <f t="shared" si="27"/>
        <v>19</v>
      </c>
      <c r="B610" s="383" t="s">
        <v>263</v>
      </c>
      <c r="C610" s="497" t="s">
        <v>1173</v>
      </c>
      <c r="D610" s="383" t="s">
        <v>1067</v>
      </c>
      <c r="E610" s="383" t="s">
        <v>868</v>
      </c>
      <c r="F610" s="383" t="str">
        <f t="shared" si="28"/>
        <v>P200010DSierra Pacific Po</v>
      </c>
      <c r="G610" s="496">
        <v>6920900</v>
      </c>
      <c r="H610" s="496">
        <v>-6920900</v>
      </c>
      <c r="I610" s="496">
        <f t="shared" si="29"/>
        <v>0</v>
      </c>
      <c r="J610" s="496" t="s">
        <v>869</v>
      </c>
    </row>
    <row r="611" spans="1:10" hidden="1" x14ac:dyDescent="0.25">
      <c r="A611" s="383">
        <f t="shared" si="27"/>
        <v>19</v>
      </c>
      <c r="B611" s="383" t="s">
        <v>263</v>
      </c>
      <c r="C611" s="497" t="s">
        <v>1173</v>
      </c>
      <c r="D611" s="383" t="s">
        <v>1211</v>
      </c>
      <c r="E611" s="383" t="s">
        <v>868</v>
      </c>
      <c r="F611" s="383" t="str">
        <f t="shared" si="28"/>
        <v>P200010DSikeston Board of</v>
      </c>
      <c r="G611" s="496">
        <v>28938.6</v>
      </c>
      <c r="H611" s="496">
        <v>-28938.6</v>
      </c>
      <c r="I611" s="496">
        <f t="shared" si="29"/>
        <v>0</v>
      </c>
      <c r="J611" s="496" t="s">
        <v>869</v>
      </c>
    </row>
    <row r="612" spans="1:10" hidden="1" x14ac:dyDescent="0.25">
      <c r="A612" s="383">
        <f t="shared" si="27"/>
        <v>19</v>
      </c>
      <c r="B612" s="383" t="s">
        <v>263</v>
      </c>
      <c r="C612" s="497" t="s">
        <v>1173</v>
      </c>
      <c r="D612" s="383" t="s">
        <v>1212</v>
      </c>
      <c r="E612" s="383" t="s">
        <v>868</v>
      </c>
      <c r="F612" s="383" t="str">
        <f t="shared" si="28"/>
        <v>P200010DSmurfit-Stone Con</v>
      </c>
      <c r="G612" s="496">
        <v>673200</v>
      </c>
      <c r="H612" s="496">
        <v>-673200</v>
      </c>
      <c r="I612" s="496">
        <f t="shared" si="29"/>
        <v>0</v>
      </c>
      <c r="J612" s="496" t="s">
        <v>869</v>
      </c>
    </row>
    <row r="613" spans="1:10" hidden="1" x14ac:dyDescent="0.25">
      <c r="A613" s="383">
        <f t="shared" si="27"/>
        <v>19</v>
      </c>
      <c r="B613" s="383" t="s">
        <v>263</v>
      </c>
      <c r="C613" s="497" t="s">
        <v>1173</v>
      </c>
      <c r="D613" s="383" t="s">
        <v>1068</v>
      </c>
      <c r="E613" s="383" t="s">
        <v>868</v>
      </c>
      <c r="F613" s="383" t="str">
        <f t="shared" si="28"/>
        <v>P200010DSouth Carolina El</v>
      </c>
      <c r="G613" s="496">
        <v>111941.5</v>
      </c>
      <c r="H613" s="496">
        <v>-111941.5</v>
      </c>
      <c r="I613" s="496">
        <f t="shared" si="29"/>
        <v>0</v>
      </c>
      <c r="J613" s="496" t="s">
        <v>869</v>
      </c>
    </row>
    <row r="614" spans="1:10" hidden="1" x14ac:dyDescent="0.25">
      <c r="A614" s="383">
        <f t="shared" si="27"/>
        <v>19</v>
      </c>
      <c r="B614" s="383" t="s">
        <v>263</v>
      </c>
      <c r="C614" s="497" t="s">
        <v>1173</v>
      </c>
      <c r="D614" s="383" t="s">
        <v>1213</v>
      </c>
      <c r="E614" s="383" t="s">
        <v>868</v>
      </c>
      <c r="F614" s="383" t="str">
        <f t="shared" si="28"/>
        <v>P200010DSouth Texas Elect</v>
      </c>
      <c r="G614" s="496">
        <v>-1222.73</v>
      </c>
      <c r="H614" s="496">
        <v>1222.73</v>
      </c>
      <c r="I614" s="496">
        <f t="shared" si="29"/>
        <v>0</v>
      </c>
      <c r="J614" s="496" t="s">
        <v>869</v>
      </c>
    </row>
    <row r="615" spans="1:10" hidden="1" x14ac:dyDescent="0.25">
      <c r="A615" s="383">
        <f t="shared" si="27"/>
        <v>19</v>
      </c>
      <c r="B615" s="383" t="s">
        <v>263</v>
      </c>
      <c r="C615" s="497" t="s">
        <v>1173</v>
      </c>
      <c r="D615" s="383" t="s">
        <v>1069</v>
      </c>
      <c r="E615" s="383" t="s">
        <v>868</v>
      </c>
      <c r="F615" s="383" t="str">
        <f t="shared" si="28"/>
        <v xml:space="preserve">P200010DSouthern Company </v>
      </c>
      <c r="G615" s="496">
        <v>139576007.75</v>
      </c>
      <c r="H615" s="496">
        <v>-139576007.75</v>
      </c>
      <c r="I615" s="496">
        <f t="shared" si="29"/>
        <v>0</v>
      </c>
      <c r="J615" s="496" t="s">
        <v>869</v>
      </c>
    </row>
    <row r="616" spans="1:10" hidden="1" x14ac:dyDescent="0.25">
      <c r="A616" s="383">
        <f t="shared" si="27"/>
        <v>19</v>
      </c>
      <c r="B616" s="383" t="s">
        <v>263</v>
      </c>
      <c r="C616" s="497" t="s">
        <v>1173</v>
      </c>
      <c r="D616" s="383" t="s">
        <v>1070</v>
      </c>
      <c r="E616" s="383" t="s">
        <v>868</v>
      </c>
      <c r="F616" s="383" t="str">
        <f t="shared" si="28"/>
        <v xml:space="preserve">P200010DSouthern Company </v>
      </c>
      <c r="G616" s="496">
        <v>1568256</v>
      </c>
      <c r="H616" s="496">
        <v>-1568256</v>
      </c>
      <c r="I616" s="496">
        <f t="shared" si="29"/>
        <v>0</v>
      </c>
      <c r="J616" s="496" t="s">
        <v>869</v>
      </c>
    </row>
    <row r="617" spans="1:10" hidden="1" x14ac:dyDescent="0.25">
      <c r="A617" s="383">
        <f t="shared" si="27"/>
        <v>19</v>
      </c>
      <c r="B617" s="383" t="s">
        <v>263</v>
      </c>
      <c r="C617" s="497" t="s">
        <v>1173</v>
      </c>
      <c r="D617" s="383" t="s">
        <v>1214</v>
      </c>
      <c r="E617" s="383" t="s">
        <v>868</v>
      </c>
      <c r="F617" s="383" t="str">
        <f t="shared" si="28"/>
        <v>P200010DSouthern Illinois</v>
      </c>
      <c r="G617" s="496">
        <v>92000</v>
      </c>
      <c r="H617" s="496">
        <v>-92000</v>
      </c>
      <c r="I617" s="496">
        <f t="shared" si="29"/>
        <v>0</v>
      </c>
      <c r="J617" s="496" t="s">
        <v>869</v>
      </c>
    </row>
    <row r="618" spans="1:10" hidden="1" x14ac:dyDescent="0.25">
      <c r="A618" s="383">
        <f t="shared" si="27"/>
        <v>18</v>
      </c>
      <c r="B618" s="383" t="s">
        <v>263</v>
      </c>
      <c r="C618" s="497" t="s">
        <v>1173</v>
      </c>
      <c r="D618" s="383" t="s">
        <v>1215</v>
      </c>
      <c r="E618" s="383" t="s">
        <v>868</v>
      </c>
      <c r="F618" s="383" t="str">
        <f t="shared" si="28"/>
        <v>P200010DSouthern Minnesot</v>
      </c>
      <c r="G618" s="496">
        <v>4800</v>
      </c>
      <c r="H618" s="496">
        <v>-4800</v>
      </c>
      <c r="I618" s="496">
        <f t="shared" si="29"/>
        <v>0</v>
      </c>
      <c r="J618" s="496" t="s">
        <v>869</v>
      </c>
    </row>
    <row r="619" spans="1:10" hidden="1" x14ac:dyDescent="0.25">
      <c r="A619" s="383">
        <f t="shared" si="27"/>
        <v>18</v>
      </c>
      <c r="B619" s="383" t="s">
        <v>263</v>
      </c>
      <c r="C619" s="497" t="s">
        <v>1173</v>
      </c>
      <c r="D619" s="383" t="s">
        <v>972</v>
      </c>
      <c r="E619" s="383" t="s">
        <v>868</v>
      </c>
      <c r="F619" s="383" t="str">
        <f t="shared" si="28"/>
        <v>P200010DSplit Rock Energy</v>
      </c>
      <c r="G619" s="496">
        <v>384653.3</v>
      </c>
      <c r="H619" s="496">
        <v>-384653.3</v>
      </c>
      <c r="I619" s="496">
        <f t="shared" si="29"/>
        <v>0</v>
      </c>
      <c r="J619" s="496" t="s">
        <v>869</v>
      </c>
    </row>
    <row r="620" spans="1:10" hidden="1" x14ac:dyDescent="0.25">
      <c r="A620" s="383">
        <f t="shared" si="27"/>
        <v>19</v>
      </c>
      <c r="B620" s="383" t="s">
        <v>263</v>
      </c>
      <c r="C620" s="497" t="s">
        <v>1173</v>
      </c>
      <c r="D620" s="383" t="s">
        <v>1216</v>
      </c>
      <c r="E620" s="383" t="s">
        <v>868</v>
      </c>
      <c r="F620" s="383" t="str">
        <f t="shared" si="28"/>
        <v>P200010DTexas Municipal P</v>
      </c>
      <c r="G620" s="496">
        <v>-778.81</v>
      </c>
      <c r="H620" s="496">
        <v>778.81</v>
      </c>
      <c r="I620" s="496">
        <f t="shared" si="29"/>
        <v>0</v>
      </c>
      <c r="J620" s="496" t="s">
        <v>869</v>
      </c>
    </row>
    <row r="621" spans="1:10" hidden="1" x14ac:dyDescent="0.25">
      <c r="A621" s="383">
        <f t="shared" si="27"/>
        <v>19</v>
      </c>
      <c r="B621" s="383" t="s">
        <v>263</v>
      </c>
      <c r="C621" s="497" t="s">
        <v>1173</v>
      </c>
      <c r="D621" s="383" t="s">
        <v>1074</v>
      </c>
      <c r="E621" s="383" t="s">
        <v>868</v>
      </c>
      <c r="F621" s="383" t="str">
        <f t="shared" si="28"/>
        <v xml:space="preserve">P200010DTexas-New Mexico </v>
      </c>
      <c r="G621" s="496">
        <v>4303.9799999999996</v>
      </c>
      <c r="H621" s="496">
        <v>-4303.9799999999996</v>
      </c>
      <c r="I621" s="496">
        <f t="shared" si="29"/>
        <v>0</v>
      </c>
      <c r="J621" s="496" t="s">
        <v>869</v>
      </c>
    </row>
    <row r="622" spans="1:10" hidden="1" x14ac:dyDescent="0.25">
      <c r="A622" s="383">
        <f t="shared" si="27"/>
        <v>17</v>
      </c>
      <c r="B622" s="383" t="s">
        <v>263</v>
      </c>
      <c r="C622" s="497" t="s">
        <v>1173</v>
      </c>
      <c r="D622" s="383" t="s">
        <v>1075</v>
      </c>
      <c r="E622" s="383" t="s">
        <v>868</v>
      </c>
      <c r="F622" s="383" t="str">
        <f t="shared" si="28"/>
        <v>P200010DThe City of Azusa</v>
      </c>
      <c r="G622" s="496">
        <v>934110</v>
      </c>
      <c r="H622" s="496">
        <v>-934110</v>
      </c>
      <c r="I622" s="496">
        <f t="shared" si="29"/>
        <v>0</v>
      </c>
      <c r="J622" s="496" t="s">
        <v>869</v>
      </c>
    </row>
    <row r="623" spans="1:10" hidden="1" x14ac:dyDescent="0.25">
      <c r="A623" s="383">
        <f t="shared" si="27"/>
        <v>19</v>
      </c>
      <c r="B623" s="383" t="s">
        <v>263</v>
      </c>
      <c r="C623" s="497" t="s">
        <v>1173</v>
      </c>
      <c r="D623" s="383" t="s">
        <v>870</v>
      </c>
      <c r="E623" s="383" t="s">
        <v>868</v>
      </c>
      <c r="F623" s="383" t="str">
        <f t="shared" si="28"/>
        <v>P200010DThe Manitoba Hydr</v>
      </c>
      <c r="G623" s="496">
        <v>2454726</v>
      </c>
      <c r="H623" s="496">
        <v>-2454726</v>
      </c>
      <c r="I623" s="496">
        <f t="shared" si="29"/>
        <v>0</v>
      </c>
      <c r="J623" s="496" t="s">
        <v>869</v>
      </c>
    </row>
    <row r="624" spans="1:10" hidden="1" x14ac:dyDescent="0.25">
      <c r="A624" s="383">
        <f t="shared" si="27"/>
        <v>19</v>
      </c>
      <c r="B624" s="383" t="s">
        <v>263</v>
      </c>
      <c r="C624" s="497" t="s">
        <v>1173</v>
      </c>
      <c r="D624" s="383" t="s">
        <v>1217</v>
      </c>
      <c r="E624" s="383" t="s">
        <v>868</v>
      </c>
      <c r="F624" s="383" t="str">
        <f t="shared" si="28"/>
        <v>P200010DThe New Power Com</v>
      </c>
      <c r="G624" s="496">
        <v>248512</v>
      </c>
      <c r="H624" s="496">
        <v>-248512</v>
      </c>
      <c r="I624" s="496">
        <f t="shared" si="29"/>
        <v>0</v>
      </c>
      <c r="J624" s="496" t="s">
        <v>869</v>
      </c>
    </row>
    <row r="625" spans="1:10" hidden="1" x14ac:dyDescent="0.25">
      <c r="A625" s="383">
        <f t="shared" si="27"/>
        <v>19</v>
      </c>
      <c r="B625" s="383" t="s">
        <v>263</v>
      </c>
      <c r="C625" s="497" t="s">
        <v>1173</v>
      </c>
      <c r="D625" s="383" t="s">
        <v>932</v>
      </c>
      <c r="E625" s="383" t="s">
        <v>868</v>
      </c>
      <c r="F625" s="383" t="str">
        <f t="shared" si="28"/>
        <v>P200010DTosco Refining Co</v>
      </c>
      <c r="G625" s="496">
        <v>1538557.17</v>
      </c>
      <c r="H625" s="496">
        <v>-1538557.17</v>
      </c>
      <c r="I625" s="496">
        <f t="shared" si="29"/>
        <v>0</v>
      </c>
      <c r="J625" s="496" t="s">
        <v>869</v>
      </c>
    </row>
    <row r="626" spans="1:10" hidden="1" x14ac:dyDescent="0.25">
      <c r="A626" s="383">
        <f t="shared" si="27"/>
        <v>19</v>
      </c>
      <c r="B626" s="383" t="s">
        <v>263</v>
      </c>
      <c r="C626" s="497" t="s">
        <v>1173</v>
      </c>
      <c r="D626" s="383" t="s">
        <v>1077</v>
      </c>
      <c r="E626" s="383" t="s">
        <v>868</v>
      </c>
      <c r="F626" s="383" t="str">
        <f t="shared" si="28"/>
        <v xml:space="preserve">P200010DTractebel Energy </v>
      </c>
      <c r="G626" s="496">
        <v>49061340</v>
      </c>
      <c r="H626" s="496">
        <v>-49061340</v>
      </c>
      <c r="I626" s="496">
        <f t="shared" si="29"/>
        <v>0</v>
      </c>
      <c r="J626" s="496" t="s">
        <v>869</v>
      </c>
    </row>
    <row r="627" spans="1:10" hidden="1" x14ac:dyDescent="0.25">
      <c r="A627" s="383">
        <f t="shared" si="27"/>
        <v>19</v>
      </c>
      <c r="B627" s="383" t="s">
        <v>263</v>
      </c>
      <c r="C627" s="497" t="s">
        <v>1173</v>
      </c>
      <c r="D627" s="383" t="s">
        <v>1078</v>
      </c>
      <c r="E627" s="383" t="s">
        <v>868</v>
      </c>
      <c r="F627" s="383" t="str">
        <f t="shared" si="28"/>
        <v xml:space="preserve">P200010DTransAlta Energy </v>
      </c>
      <c r="G627" s="496">
        <v>27883013.259999998</v>
      </c>
      <c r="H627" s="496">
        <v>-27883013.260000002</v>
      </c>
      <c r="I627" s="496">
        <f t="shared" si="29"/>
        <v>0</v>
      </c>
      <c r="J627" s="496" t="s">
        <v>869</v>
      </c>
    </row>
    <row r="628" spans="1:10" hidden="1" x14ac:dyDescent="0.25">
      <c r="A628" s="383">
        <f t="shared" si="27"/>
        <v>19</v>
      </c>
      <c r="B628" s="383" t="s">
        <v>263</v>
      </c>
      <c r="C628" s="497" t="s">
        <v>1173</v>
      </c>
      <c r="D628" s="383" t="s">
        <v>1079</v>
      </c>
      <c r="E628" s="383" t="s">
        <v>868</v>
      </c>
      <c r="F628" s="383" t="str">
        <f t="shared" si="28"/>
        <v>P200010DTranscanada Power</v>
      </c>
      <c r="G628" s="496">
        <v>484000</v>
      </c>
      <c r="H628" s="496">
        <f>-G628</f>
        <v>-484000</v>
      </c>
      <c r="I628" s="496">
        <f t="shared" si="29"/>
        <v>0</v>
      </c>
      <c r="J628" s="496" t="s">
        <v>869</v>
      </c>
    </row>
    <row r="629" spans="1:10" hidden="1" x14ac:dyDescent="0.25">
      <c r="A629" s="383">
        <f t="shared" si="27"/>
        <v>18</v>
      </c>
      <c r="B629" s="383" t="s">
        <v>263</v>
      </c>
      <c r="C629" s="497" t="s">
        <v>1173</v>
      </c>
      <c r="D629" s="383" t="s">
        <v>1080</v>
      </c>
      <c r="E629" s="383" t="s">
        <v>868</v>
      </c>
      <c r="F629" s="383" t="str">
        <f t="shared" si="28"/>
        <v>P200010DTransCanada Power</v>
      </c>
      <c r="G629" s="496">
        <v>393120</v>
      </c>
      <c r="H629" s="496">
        <f>-G629</f>
        <v>-393120</v>
      </c>
      <c r="I629" s="496">
        <f t="shared" si="29"/>
        <v>0</v>
      </c>
      <c r="J629" s="496" t="s">
        <v>869</v>
      </c>
    </row>
    <row r="630" spans="1:10" hidden="1" x14ac:dyDescent="0.25">
      <c r="A630" s="383">
        <f t="shared" si="27"/>
        <v>19</v>
      </c>
      <c r="B630" s="383" t="s">
        <v>263</v>
      </c>
      <c r="C630" s="497" t="s">
        <v>1173</v>
      </c>
      <c r="D630" s="383" t="s">
        <v>1081</v>
      </c>
      <c r="E630" s="383" t="s">
        <v>868</v>
      </c>
      <c r="F630" s="383" t="str">
        <f t="shared" si="28"/>
        <v>P200010DTri-State Generat</v>
      </c>
      <c r="G630" s="496">
        <v>43691.5</v>
      </c>
      <c r="H630" s="496">
        <v>-43691.5</v>
      </c>
      <c r="I630" s="496">
        <f t="shared" si="29"/>
        <v>0</v>
      </c>
      <c r="J630" s="496" t="s">
        <v>869</v>
      </c>
    </row>
    <row r="631" spans="1:10" hidden="1" x14ac:dyDescent="0.25">
      <c r="A631" s="383">
        <f t="shared" si="27"/>
        <v>19</v>
      </c>
      <c r="B631" s="383" t="s">
        <v>263</v>
      </c>
      <c r="C631" s="497" t="s">
        <v>1173</v>
      </c>
      <c r="D631" s="383" t="s">
        <v>1218</v>
      </c>
      <c r="E631" s="383" t="s">
        <v>868</v>
      </c>
      <c r="F631" s="383" t="str">
        <f t="shared" si="28"/>
        <v>P200010DTucson Electric P</v>
      </c>
      <c r="G631" s="496">
        <v>1672104.55</v>
      </c>
      <c r="H631" s="496">
        <v>-1672104.55</v>
      </c>
      <c r="I631" s="496">
        <f t="shared" si="29"/>
        <v>0</v>
      </c>
      <c r="J631" s="496" t="s">
        <v>869</v>
      </c>
    </row>
    <row r="632" spans="1:10" hidden="1" x14ac:dyDescent="0.25">
      <c r="A632" s="383">
        <f t="shared" si="27"/>
        <v>19</v>
      </c>
      <c r="B632" s="383" t="s">
        <v>263</v>
      </c>
      <c r="C632" s="497" t="s">
        <v>1173</v>
      </c>
      <c r="D632" s="383" t="s">
        <v>1219</v>
      </c>
      <c r="E632" s="383" t="s">
        <v>868</v>
      </c>
      <c r="F632" s="383" t="str">
        <f t="shared" si="28"/>
        <v>P200010DTXU Electric Comp</v>
      </c>
      <c r="G632" s="496">
        <v>-22239.83</v>
      </c>
      <c r="H632" s="496">
        <v>22239.83</v>
      </c>
      <c r="I632" s="496">
        <f t="shared" si="29"/>
        <v>0</v>
      </c>
      <c r="J632" s="496" t="s">
        <v>869</v>
      </c>
    </row>
    <row r="633" spans="1:10" hidden="1" x14ac:dyDescent="0.25">
      <c r="A633" s="383">
        <f t="shared" si="27"/>
        <v>19</v>
      </c>
      <c r="B633" s="383" t="s">
        <v>263</v>
      </c>
      <c r="C633" s="497" t="s">
        <v>1173</v>
      </c>
      <c r="D633" s="383" t="s">
        <v>915</v>
      </c>
      <c r="E633" s="383" t="s">
        <v>868</v>
      </c>
      <c r="F633" s="383" t="str">
        <f t="shared" si="28"/>
        <v>P200010DUnited Illuminati</v>
      </c>
      <c r="G633" s="496">
        <v>4055559.41</v>
      </c>
      <c r="H633" s="496">
        <v>-4055559.41</v>
      </c>
      <c r="I633" s="496">
        <f t="shared" si="29"/>
        <v>0</v>
      </c>
      <c r="J633" s="496" t="s">
        <v>869</v>
      </c>
    </row>
    <row r="634" spans="1:10" hidden="1" x14ac:dyDescent="0.25">
      <c r="A634" s="383">
        <f t="shared" si="27"/>
        <v>19</v>
      </c>
      <c r="B634" s="383" t="s">
        <v>263</v>
      </c>
      <c r="C634" s="497" t="s">
        <v>1173</v>
      </c>
      <c r="D634" s="383" t="s">
        <v>877</v>
      </c>
      <c r="E634" s="383" t="s">
        <v>868</v>
      </c>
      <c r="F634" s="383" t="str">
        <f t="shared" si="28"/>
        <v>P200010DUnited Power Asso</v>
      </c>
      <c r="G634" s="496">
        <v>4045</v>
      </c>
      <c r="H634" s="496">
        <v>-4045</v>
      </c>
      <c r="I634" s="496">
        <f t="shared" si="29"/>
        <v>0</v>
      </c>
      <c r="J634" s="496" t="s">
        <v>869</v>
      </c>
    </row>
    <row r="635" spans="1:10" hidden="1" x14ac:dyDescent="0.25">
      <c r="A635" s="383">
        <f t="shared" si="27"/>
        <v>19</v>
      </c>
      <c r="B635" s="383" t="s">
        <v>263</v>
      </c>
      <c r="C635" s="497" t="s">
        <v>1173</v>
      </c>
      <c r="D635" s="383" t="s">
        <v>1082</v>
      </c>
      <c r="E635" s="383" t="s">
        <v>868</v>
      </c>
      <c r="F635" s="383" t="str">
        <f t="shared" si="28"/>
        <v>P200010DValley Electric A</v>
      </c>
      <c r="G635" s="496">
        <v>279294.52</v>
      </c>
      <c r="H635" s="496">
        <v>-279294.52</v>
      </c>
      <c r="I635" s="496">
        <f t="shared" si="29"/>
        <v>0</v>
      </c>
      <c r="J635" s="496" t="s">
        <v>869</v>
      </c>
    </row>
    <row r="636" spans="1:10" hidden="1" x14ac:dyDescent="0.25">
      <c r="A636" s="383">
        <f t="shared" si="27"/>
        <v>19</v>
      </c>
      <c r="B636" s="383" t="s">
        <v>263</v>
      </c>
      <c r="C636" s="497" t="s">
        <v>1173</v>
      </c>
      <c r="D636" s="383" t="s">
        <v>872</v>
      </c>
      <c r="E636" s="383" t="s">
        <v>868</v>
      </c>
      <c r="F636" s="383" t="str">
        <f t="shared" si="28"/>
        <v>P200010DVirginia Electric</v>
      </c>
      <c r="G636" s="496">
        <v>13223458.5</v>
      </c>
      <c r="H636" s="496">
        <v>-13223458.5</v>
      </c>
      <c r="I636" s="496">
        <f t="shared" si="29"/>
        <v>0</v>
      </c>
      <c r="J636" s="496" t="s">
        <v>869</v>
      </c>
    </row>
    <row r="637" spans="1:10" hidden="1" x14ac:dyDescent="0.25">
      <c r="A637" s="383">
        <f t="shared" si="27"/>
        <v>19</v>
      </c>
      <c r="B637" s="383" t="s">
        <v>263</v>
      </c>
      <c r="C637" s="497" t="s">
        <v>1173</v>
      </c>
      <c r="D637" s="383" t="s">
        <v>1083</v>
      </c>
      <c r="E637" s="383" t="s">
        <v>868</v>
      </c>
      <c r="F637" s="383" t="str">
        <f t="shared" si="28"/>
        <v>P200010DWabash Valley Pow</v>
      </c>
      <c r="G637" s="496">
        <v>1174480</v>
      </c>
      <c r="H637" s="496">
        <v>-1174480</v>
      </c>
      <c r="I637" s="496">
        <f t="shared" si="29"/>
        <v>0</v>
      </c>
      <c r="J637" s="496" t="s">
        <v>869</v>
      </c>
    </row>
    <row r="638" spans="1:10" hidden="1" x14ac:dyDescent="0.25">
      <c r="A638" s="383">
        <f t="shared" si="27"/>
        <v>18</v>
      </c>
      <c r="B638" s="383" t="s">
        <v>263</v>
      </c>
      <c r="C638" s="497" t="s">
        <v>1173</v>
      </c>
      <c r="D638" s="383" t="s">
        <v>924</v>
      </c>
      <c r="E638" s="383" t="s">
        <v>868</v>
      </c>
      <c r="F638" s="383" t="str">
        <f t="shared" si="28"/>
        <v>P200010DWestern Area Powe</v>
      </c>
      <c r="G638" s="496">
        <v>948853.2</v>
      </c>
      <c r="H638" s="496">
        <v>-948853.2</v>
      </c>
      <c r="I638" s="496">
        <f t="shared" si="29"/>
        <v>0</v>
      </c>
      <c r="J638" s="496" t="s">
        <v>869</v>
      </c>
    </row>
    <row r="639" spans="1:10" hidden="1" x14ac:dyDescent="0.25">
      <c r="A639" s="383">
        <f t="shared" si="27"/>
        <v>19</v>
      </c>
      <c r="B639" s="383" t="s">
        <v>263</v>
      </c>
      <c r="C639" s="497" t="s">
        <v>1173</v>
      </c>
      <c r="D639" s="383" t="s">
        <v>1220</v>
      </c>
      <c r="E639" s="383" t="s">
        <v>868</v>
      </c>
      <c r="F639" s="383" t="str">
        <f t="shared" si="28"/>
        <v>P200010DWestern Resources</v>
      </c>
      <c r="G639" s="496">
        <v>4736920</v>
      </c>
      <c r="H639" s="496">
        <v>-4736920</v>
      </c>
      <c r="I639" s="496">
        <f t="shared" si="29"/>
        <v>0</v>
      </c>
      <c r="J639" s="496" t="s">
        <v>869</v>
      </c>
    </row>
    <row r="640" spans="1:10" hidden="1" x14ac:dyDescent="0.25">
      <c r="A640" s="383">
        <f t="shared" si="27"/>
        <v>19</v>
      </c>
      <c r="B640" s="383" t="s">
        <v>263</v>
      </c>
      <c r="C640" s="497" t="s">
        <v>1173</v>
      </c>
      <c r="D640" s="383" t="s">
        <v>1086</v>
      </c>
      <c r="E640" s="383" t="s">
        <v>868</v>
      </c>
      <c r="F640" s="383" t="str">
        <f t="shared" si="28"/>
        <v>P200010DWheelabrator Mart</v>
      </c>
      <c r="G640" s="496">
        <v>897509.19</v>
      </c>
      <c r="H640" s="496">
        <v>-897509.19</v>
      </c>
      <c r="I640" s="496">
        <f t="shared" si="29"/>
        <v>0</v>
      </c>
      <c r="J640" s="496" t="s">
        <v>869</v>
      </c>
    </row>
    <row r="641" spans="1:10" hidden="1" x14ac:dyDescent="0.25">
      <c r="A641" s="383">
        <f t="shared" si="27"/>
        <v>19</v>
      </c>
      <c r="B641" s="383" t="s">
        <v>263</v>
      </c>
      <c r="C641" s="497" t="s">
        <v>1173</v>
      </c>
      <c r="D641" s="383" t="s">
        <v>954</v>
      </c>
      <c r="E641" s="383" t="s">
        <v>868</v>
      </c>
      <c r="F641" s="383" t="str">
        <f t="shared" si="28"/>
        <v>P200010DWillamette Indust</v>
      </c>
      <c r="G641" s="496">
        <v>492471.72</v>
      </c>
      <c r="H641" s="496">
        <v>-492471.72</v>
      </c>
      <c r="I641" s="496">
        <f t="shared" si="29"/>
        <v>0</v>
      </c>
      <c r="J641" s="496" t="s">
        <v>869</v>
      </c>
    </row>
    <row r="642" spans="1:10" hidden="1" x14ac:dyDescent="0.25">
      <c r="A642" s="383">
        <f t="shared" si="27"/>
        <v>19</v>
      </c>
      <c r="B642" s="383" t="s">
        <v>263</v>
      </c>
      <c r="C642" s="497" t="s">
        <v>1173</v>
      </c>
      <c r="D642" s="383" t="s">
        <v>1087</v>
      </c>
      <c r="E642" s="383" t="s">
        <v>868</v>
      </c>
      <c r="F642" s="383" t="str">
        <f t="shared" si="28"/>
        <v>P200010DWilliams Energy M</v>
      </c>
      <c r="G642" s="496">
        <v>203265630.75</v>
      </c>
      <c r="H642" s="496">
        <v>-203265630.75</v>
      </c>
      <c r="I642" s="496">
        <f t="shared" si="29"/>
        <v>0</v>
      </c>
      <c r="J642" s="496" t="s">
        <v>869</v>
      </c>
    </row>
    <row r="643" spans="1:10" hidden="1" x14ac:dyDescent="0.25">
      <c r="A643" s="383">
        <f t="shared" si="27"/>
        <v>18</v>
      </c>
      <c r="B643" s="383" t="s">
        <v>263</v>
      </c>
      <c r="C643" s="497" t="s">
        <v>1173</v>
      </c>
      <c r="D643" s="383" t="s">
        <v>1088</v>
      </c>
      <c r="E643" s="383" t="s">
        <v>868</v>
      </c>
      <c r="F643" s="383" t="str">
        <f t="shared" si="28"/>
        <v>P200010DWisconsin Electri</v>
      </c>
      <c r="G643" s="496">
        <v>198891</v>
      </c>
      <c r="H643" s="496">
        <v>-198891</v>
      </c>
      <c r="I643" s="496">
        <f t="shared" si="29"/>
        <v>0</v>
      </c>
      <c r="J643" s="496" t="s">
        <v>869</v>
      </c>
    </row>
    <row r="644" spans="1:10" hidden="1" x14ac:dyDescent="0.25">
      <c r="A644" s="383">
        <f t="shared" ref="A644:A707" si="30">LEN(D644)</f>
        <v>19</v>
      </c>
      <c r="B644" s="383" t="s">
        <v>263</v>
      </c>
      <c r="C644" s="497" t="s">
        <v>1173</v>
      </c>
      <c r="D644" s="383" t="s">
        <v>1089</v>
      </c>
      <c r="E644" s="383" t="s">
        <v>868</v>
      </c>
      <c r="F644" s="383" t="str">
        <f t="shared" ref="F644:F707" si="31">+B644&amp;C644&amp;E644&amp;LEFT(D644,17)</f>
        <v xml:space="preserve">P200010DWisconsin Public </v>
      </c>
      <c r="G644" s="496">
        <v>73315</v>
      </c>
      <c r="H644" s="496">
        <v>-73315</v>
      </c>
      <c r="I644" s="496">
        <f t="shared" ref="I644:I707" si="32">ROUND(+G644+H644,2)</f>
        <v>0</v>
      </c>
      <c r="J644" s="496" t="s">
        <v>869</v>
      </c>
    </row>
    <row r="645" spans="1:10" hidden="1" x14ac:dyDescent="0.25">
      <c r="A645" s="383">
        <f t="shared" si="30"/>
        <v>20</v>
      </c>
      <c r="B645" s="383" t="s">
        <v>263</v>
      </c>
      <c r="C645" s="497" t="s">
        <v>1173</v>
      </c>
      <c r="D645" s="383" t="s">
        <v>1092</v>
      </c>
      <c r="E645" s="383" t="s">
        <v>887</v>
      </c>
      <c r="F645" s="383" t="str">
        <f t="shared" si="31"/>
        <v xml:space="preserve">P200010FAllegheny Energy </v>
      </c>
      <c r="G645" s="496">
        <v>16646784.5</v>
      </c>
      <c r="H645" s="496">
        <v>-16646784.5</v>
      </c>
      <c r="I645" s="496">
        <f t="shared" si="32"/>
        <v>0</v>
      </c>
      <c r="J645" s="496" t="s">
        <v>869</v>
      </c>
    </row>
    <row r="646" spans="1:10" hidden="1" x14ac:dyDescent="0.25">
      <c r="A646" s="383">
        <f t="shared" si="30"/>
        <v>20</v>
      </c>
      <c r="B646" s="383" t="s">
        <v>263</v>
      </c>
      <c r="C646" s="497" t="s">
        <v>1173</v>
      </c>
      <c r="D646" s="383" t="s">
        <v>1095</v>
      </c>
      <c r="E646" s="383" t="s">
        <v>887</v>
      </c>
      <c r="F646" s="383" t="str">
        <f t="shared" si="31"/>
        <v>P200010FAlternate Power S</v>
      </c>
      <c r="G646" s="496">
        <v>260362.5</v>
      </c>
      <c r="H646" s="496">
        <v>-260362.5</v>
      </c>
      <c r="I646" s="496">
        <f t="shared" si="32"/>
        <v>0</v>
      </c>
      <c r="J646" s="496" t="s">
        <v>869</v>
      </c>
    </row>
    <row r="647" spans="1:10" hidden="1" x14ac:dyDescent="0.25">
      <c r="A647" s="383">
        <f t="shared" si="30"/>
        <v>20</v>
      </c>
      <c r="B647" s="383" t="s">
        <v>263</v>
      </c>
      <c r="C647" s="497" t="s">
        <v>1173</v>
      </c>
      <c r="D647" s="383" t="s">
        <v>943</v>
      </c>
      <c r="E647" s="383" t="s">
        <v>887</v>
      </c>
      <c r="F647" s="383" t="str">
        <f t="shared" si="31"/>
        <v>P200010FAquila Energy Mar</v>
      </c>
      <c r="G647" s="496">
        <v>480180</v>
      </c>
      <c r="H647" s="496">
        <v>-480180</v>
      </c>
      <c r="I647" s="496">
        <f t="shared" si="32"/>
        <v>0</v>
      </c>
      <c r="J647" s="496" t="s">
        <v>869</v>
      </c>
    </row>
    <row r="648" spans="1:10" hidden="1" x14ac:dyDescent="0.25">
      <c r="A648" s="383">
        <f t="shared" si="30"/>
        <v>19</v>
      </c>
      <c r="B648" s="383" t="s">
        <v>263</v>
      </c>
      <c r="C648" s="497" t="s">
        <v>1173</v>
      </c>
      <c r="D648" s="383" t="s">
        <v>999</v>
      </c>
      <c r="E648" s="383" t="s">
        <v>887</v>
      </c>
      <c r="F648" s="383" t="str">
        <f t="shared" si="31"/>
        <v>P200010FAvista Energy, In</v>
      </c>
      <c r="G648" s="496">
        <v>223300</v>
      </c>
      <c r="H648" s="496">
        <v>-223300</v>
      </c>
      <c r="I648" s="496">
        <f t="shared" si="32"/>
        <v>0</v>
      </c>
      <c r="J648" s="496" t="s">
        <v>869</v>
      </c>
    </row>
    <row r="649" spans="1:10" hidden="1" x14ac:dyDescent="0.25">
      <c r="A649" s="383">
        <f t="shared" si="30"/>
        <v>17</v>
      </c>
      <c r="B649" s="383" t="s">
        <v>263</v>
      </c>
      <c r="C649" s="497" t="s">
        <v>1173</v>
      </c>
      <c r="D649" s="383" t="s">
        <v>1000</v>
      </c>
      <c r="E649" s="383" t="s">
        <v>887</v>
      </c>
      <c r="F649" s="383" t="str">
        <f t="shared" si="31"/>
        <v>P200010FBP Energy Company</v>
      </c>
      <c r="G649" s="496">
        <v>55709021</v>
      </c>
      <c r="H649" s="496">
        <v>-55709021</v>
      </c>
      <c r="I649" s="496">
        <f t="shared" si="32"/>
        <v>0</v>
      </c>
      <c r="J649" s="496" t="s">
        <v>869</v>
      </c>
    </row>
    <row r="650" spans="1:10" hidden="1" x14ac:dyDescent="0.25">
      <c r="A650" s="383">
        <f t="shared" si="30"/>
        <v>18</v>
      </c>
      <c r="B650" s="383" t="s">
        <v>263</v>
      </c>
      <c r="C650" s="497" t="s">
        <v>1173</v>
      </c>
      <c r="D650" s="383" t="s">
        <v>959</v>
      </c>
      <c r="E650" s="383" t="s">
        <v>887</v>
      </c>
      <c r="F650" s="383" t="str">
        <f t="shared" si="31"/>
        <v>P200010FCalifornia Supple</v>
      </c>
      <c r="G650" s="496">
        <v>0</v>
      </c>
      <c r="H650" s="496"/>
      <c r="I650" s="496">
        <f t="shared" si="32"/>
        <v>0</v>
      </c>
      <c r="J650" s="496" t="s">
        <v>869</v>
      </c>
    </row>
    <row r="651" spans="1:10" hidden="1" x14ac:dyDescent="0.25">
      <c r="A651" s="383">
        <f t="shared" si="30"/>
        <v>19</v>
      </c>
      <c r="B651" s="383" t="s">
        <v>263</v>
      </c>
      <c r="C651" s="497" t="s">
        <v>1173</v>
      </c>
      <c r="D651" s="383" t="s">
        <v>1221</v>
      </c>
      <c r="E651" s="383" t="s">
        <v>887</v>
      </c>
      <c r="F651" s="383" t="str">
        <f t="shared" si="31"/>
        <v>P200010FCity of Santa Cla</v>
      </c>
      <c r="G651" s="496">
        <v>5578200</v>
      </c>
      <c r="H651" s="496">
        <v>-5578200</v>
      </c>
      <c r="I651" s="496">
        <f t="shared" si="32"/>
        <v>0</v>
      </c>
      <c r="J651" s="496" t="s">
        <v>869</v>
      </c>
    </row>
    <row r="652" spans="1:10" hidden="1" x14ac:dyDescent="0.25">
      <c r="A652" s="383">
        <f t="shared" si="30"/>
        <v>20</v>
      </c>
      <c r="B652" s="383" t="s">
        <v>263</v>
      </c>
      <c r="C652" s="497" t="s">
        <v>1173</v>
      </c>
      <c r="D652" s="383" t="s">
        <v>1222</v>
      </c>
      <c r="E652" s="383" t="s">
        <v>887</v>
      </c>
      <c r="F652" s="383" t="str">
        <f t="shared" si="31"/>
        <v>P200010FConAgra Energy Se</v>
      </c>
      <c r="G652" s="496">
        <v>1456000</v>
      </c>
      <c r="H652" s="496">
        <v>-1456000</v>
      </c>
      <c r="I652" s="496">
        <f t="shared" si="32"/>
        <v>0</v>
      </c>
      <c r="J652" s="496" t="s">
        <v>869</v>
      </c>
    </row>
    <row r="653" spans="1:10" hidden="1" x14ac:dyDescent="0.25">
      <c r="A653" s="383">
        <f t="shared" si="30"/>
        <v>20</v>
      </c>
      <c r="B653" s="383" t="s">
        <v>263</v>
      </c>
      <c r="C653" s="497" t="s">
        <v>1173</v>
      </c>
      <c r="D653" s="383" t="s">
        <v>1112</v>
      </c>
      <c r="E653" s="383" t="s">
        <v>887</v>
      </c>
      <c r="F653" s="383" t="str">
        <f t="shared" si="31"/>
        <v xml:space="preserve">P200010FDayton Power and </v>
      </c>
      <c r="G653" s="496">
        <v>84728.5</v>
      </c>
      <c r="H653" s="496">
        <v>-84728.5</v>
      </c>
      <c r="I653" s="496">
        <f t="shared" si="32"/>
        <v>0</v>
      </c>
      <c r="J653" s="496" t="s">
        <v>869</v>
      </c>
    </row>
    <row r="654" spans="1:10" hidden="1" x14ac:dyDescent="0.25">
      <c r="A654" s="383">
        <f t="shared" si="30"/>
        <v>19</v>
      </c>
      <c r="B654" s="383" t="s">
        <v>263</v>
      </c>
      <c r="C654" s="497" t="s">
        <v>1173</v>
      </c>
      <c r="D654" s="383" t="s">
        <v>1017</v>
      </c>
      <c r="E654" s="383" t="s">
        <v>887</v>
      </c>
      <c r="F654" s="383" t="str">
        <f t="shared" si="31"/>
        <v>P200010FDuke Energy Tradi</v>
      </c>
      <c r="G654" s="496">
        <v>252000</v>
      </c>
      <c r="H654" s="496">
        <v>-252000</v>
      </c>
      <c r="I654" s="496">
        <f t="shared" si="32"/>
        <v>0</v>
      </c>
      <c r="J654" s="496" t="s">
        <v>869</v>
      </c>
    </row>
    <row r="655" spans="1:10" hidden="1" x14ac:dyDescent="0.25">
      <c r="A655" s="383">
        <f t="shared" si="30"/>
        <v>20</v>
      </c>
      <c r="B655" s="383" t="s">
        <v>263</v>
      </c>
      <c r="C655" s="497" t="s">
        <v>1173</v>
      </c>
      <c r="D655" s="383" t="s">
        <v>1116</v>
      </c>
      <c r="E655" s="383" t="s">
        <v>887</v>
      </c>
      <c r="F655" s="383" t="str">
        <f t="shared" si="31"/>
        <v xml:space="preserve">P200010FEl Paso Merchant </v>
      </c>
      <c r="G655" s="496">
        <v>311480</v>
      </c>
      <c r="H655" s="496">
        <v>-311480</v>
      </c>
      <c r="I655" s="496">
        <f t="shared" si="32"/>
        <v>0</v>
      </c>
      <c r="J655" s="496" t="s">
        <v>869</v>
      </c>
    </row>
    <row r="656" spans="1:10" hidden="1" x14ac:dyDescent="0.25">
      <c r="A656" s="383">
        <f t="shared" si="30"/>
        <v>20</v>
      </c>
      <c r="B656" s="383" t="s">
        <v>263</v>
      </c>
      <c r="C656" s="497" t="s">
        <v>1173</v>
      </c>
      <c r="D656" s="383" t="s">
        <v>1223</v>
      </c>
      <c r="E656" s="383" t="s">
        <v>887</v>
      </c>
      <c r="F656" s="383" t="str">
        <f t="shared" si="31"/>
        <v xml:space="preserve">P200010FEnergy Services, </v>
      </c>
      <c r="G656" s="496">
        <v>539380</v>
      </c>
      <c r="H656" s="496">
        <v>-539380</v>
      </c>
      <c r="I656" s="496">
        <f t="shared" si="32"/>
        <v>0</v>
      </c>
      <c r="J656" s="496" t="s">
        <v>869</v>
      </c>
    </row>
    <row r="657" spans="1:10" hidden="1" x14ac:dyDescent="0.25">
      <c r="A657" s="383">
        <f t="shared" si="30"/>
        <v>19</v>
      </c>
      <c r="B657" s="383" t="s">
        <v>263</v>
      </c>
      <c r="C657" s="497" t="s">
        <v>1173</v>
      </c>
      <c r="D657" s="383" t="s">
        <v>1224</v>
      </c>
      <c r="E657" s="383" t="s">
        <v>887</v>
      </c>
      <c r="F657" s="383" t="str">
        <f t="shared" si="31"/>
        <v>P200010FFirstEnergy Tradi</v>
      </c>
      <c r="G657" s="496">
        <v>643200</v>
      </c>
      <c r="H657" s="496">
        <v>-643200</v>
      </c>
      <c r="I657" s="496">
        <f t="shared" si="32"/>
        <v>0</v>
      </c>
      <c r="J657" s="496" t="s">
        <v>869</v>
      </c>
    </row>
    <row r="658" spans="1:10" hidden="1" x14ac:dyDescent="0.25">
      <c r="A658" s="383">
        <f t="shared" si="30"/>
        <v>20</v>
      </c>
      <c r="B658" s="383" t="s">
        <v>263</v>
      </c>
      <c r="C658" s="497" t="s">
        <v>1173</v>
      </c>
      <c r="D658" s="383" t="s">
        <v>1120</v>
      </c>
      <c r="E658" s="383" t="s">
        <v>887</v>
      </c>
      <c r="F658" s="383" t="str">
        <f t="shared" si="31"/>
        <v>P200010FFlorida Power Cor</v>
      </c>
      <c r="G658" s="496">
        <v>4944</v>
      </c>
      <c r="H658" s="496">
        <v>-4944</v>
      </c>
      <c r="I658" s="496">
        <f t="shared" si="32"/>
        <v>0</v>
      </c>
      <c r="J658" s="496" t="s">
        <v>869</v>
      </c>
    </row>
    <row r="659" spans="1:10" hidden="1" x14ac:dyDescent="0.25">
      <c r="A659" s="383">
        <f t="shared" si="30"/>
        <v>20</v>
      </c>
      <c r="B659" s="383" t="s">
        <v>263</v>
      </c>
      <c r="C659" s="497" t="s">
        <v>1173</v>
      </c>
      <c r="D659" s="383" t="s">
        <v>1121</v>
      </c>
      <c r="E659" s="383" t="s">
        <v>887</v>
      </c>
      <c r="F659" s="383" t="str">
        <f t="shared" si="31"/>
        <v xml:space="preserve">P200010FFPL Energy Power </v>
      </c>
      <c r="G659" s="496">
        <v>87600</v>
      </c>
      <c r="H659" s="496">
        <v>-87600</v>
      </c>
      <c r="I659" s="496">
        <f t="shared" si="32"/>
        <v>0</v>
      </c>
      <c r="J659" s="496" t="s">
        <v>869</v>
      </c>
    </row>
    <row r="660" spans="1:10" hidden="1" x14ac:dyDescent="0.25">
      <c r="A660" s="383">
        <f t="shared" si="30"/>
        <v>20</v>
      </c>
      <c r="B660" s="383" t="s">
        <v>263</v>
      </c>
      <c r="C660" s="497" t="s">
        <v>1173</v>
      </c>
      <c r="D660" s="383" t="s">
        <v>1129</v>
      </c>
      <c r="E660" s="383" t="s">
        <v>887</v>
      </c>
      <c r="F660" s="383" t="str">
        <f t="shared" si="31"/>
        <v>P200010FLG&amp;E Energy Marke</v>
      </c>
      <c r="G660" s="496">
        <v>1927295</v>
      </c>
      <c r="H660" s="496">
        <v>-1927295</v>
      </c>
      <c r="I660" s="496">
        <f t="shared" si="32"/>
        <v>0</v>
      </c>
      <c r="J660" s="496" t="s">
        <v>869</v>
      </c>
    </row>
    <row r="661" spans="1:10" hidden="1" x14ac:dyDescent="0.25">
      <c r="A661" s="383">
        <f t="shared" si="30"/>
        <v>20</v>
      </c>
      <c r="B661" s="383" t="s">
        <v>263</v>
      </c>
      <c r="C661" s="497" t="s">
        <v>1173</v>
      </c>
      <c r="D661" s="383" t="s">
        <v>1135</v>
      </c>
      <c r="E661" s="383" t="s">
        <v>887</v>
      </c>
      <c r="F661" s="383" t="str">
        <f t="shared" si="31"/>
        <v>P200010FNiagara Mohawk En</v>
      </c>
      <c r="G661" s="496">
        <v>661290.96</v>
      </c>
      <c r="H661" s="496">
        <v>-661290.96</v>
      </c>
      <c r="I661" s="496">
        <f t="shared" si="32"/>
        <v>0</v>
      </c>
      <c r="J661" s="496" t="s">
        <v>869</v>
      </c>
    </row>
    <row r="662" spans="1:10" hidden="1" x14ac:dyDescent="0.25">
      <c r="A662" s="383">
        <f t="shared" si="30"/>
        <v>19</v>
      </c>
      <c r="B662" s="383" t="s">
        <v>263</v>
      </c>
      <c r="C662" s="497" t="s">
        <v>1173</v>
      </c>
      <c r="D662" s="383" t="s">
        <v>980</v>
      </c>
      <c r="E662" s="383" t="s">
        <v>887</v>
      </c>
      <c r="F662" s="383" t="str">
        <f t="shared" si="31"/>
        <v>P200010FNRG Power Marketi</v>
      </c>
      <c r="G662" s="496">
        <v>219000</v>
      </c>
      <c r="H662" s="496">
        <v>-219000</v>
      </c>
      <c r="I662" s="496">
        <f t="shared" si="32"/>
        <v>0</v>
      </c>
      <c r="J662" s="496" t="s">
        <v>869</v>
      </c>
    </row>
    <row r="663" spans="1:10" hidden="1" x14ac:dyDescent="0.25">
      <c r="A663" s="383">
        <f t="shared" si="30"/>
        <v>20</v>
      </c>
      <c r="B663" s="383" t="s">
        <v>263</v>
      </c>
      <c r="C663" s="497" t="s">
        <v>1173</v>
      </c>
      <c r="D663" s="383" t="s">
        <v>1137</v>
      </c>
      <c r="E663" s="383" t="s">
        <v>887</v>
      </c>
      <c r="F663" s="383" t="str">
        <f t="shared" si="31"/>
        <v>P200010FOGE Energy Resour</v>
      </c>
      <c r="G663" s="496">
        <v>1306800</v>
      </c>
      <c r="H663" s="496">
        <v>-1306800</v>
      </c>
      <c r="I663" s="496">
        <f t="shared" si="32"/>
        <v>0</v>
      </c>
      <c r="J663" s="496" t="s">
        <v>869</v>
      </c>
    </row>
    <row r="664" spans="1:10" hidden="1" x14ac:dyDescent="0.25">
      <c r="A664" s="383">
        <f t="shared" si="30"/>
        <v>20</v>
      </c>
      <c r="B664" s="383" t="s">
        <v>263</v>
      </c>
      <c r="C664" s="497" t="s">
        <v>1173</v>
      </c>
      <c r="D664" s="383" t="s">
        <v>1225</v>
      </c>
      <c r="E664" s="383" t="s">
        <v>887</v>
      </c>
      <c r="F664" s="383" t="str">
        <f t="shared" si="31"/>
        <v>P200010FOmaha Public Powe</v>
      </c>
      <c r="G664" s="496">
        <v>87411.82</v>
      </c>
      <c r="H664" s="496">
        <v>-87411.82</v>
      </c>
      <c r="I664" s="496">
        <f t="shared" si="32"/>
        <v>0</v>
      </c>
      <c r="J664" s="496" t="s">
        <v>869</v>
      </c>
    </row>
    <row r="665" spans="1:10" hidden="1" x14ac:dyDescent="0.25">
      <c r="A665" s="383">
        <f t="shared" si="30"/>
        <v>20</v>
      </c>
      <c r="B665" s="383" t="s">
        <v>263</v>
      </c>
      <c r="C665" s="497" t="s">
        <v>1173</v>
      </c>
      <c r="D665" s="383" t="s">
        <v>1152</v>
      </c>
      <c r="E665" s="383" t="s">
        <v>887</v>
      </c>
      <c r="F665" s="383" t="str">
        <f t="shared" si="31"/>
        <v xml:space="preserve">P200010FSouthern Indiana </v>
      </c>
      <c r="G665" s="496">
        <v>816859.5</v>
      </c>
      <c r="H665" s="496">
        <v>-816859.5</v>
      </c>
      <c r="I665" s="496">
        <f t="shared" si="32"/>
        <v>0</v>
      </c>
      <c r="J665" s="496" t="s">
        <v>869</v>
      </c>
    </row>
    <row r="666" spans="1:10" hidden="1" x14ac:dyDescent="0.25">
      <c r="A666" s="383">
        <f t="shared" si="30"/>
        <v>20</v>
      </c>
      <c r="B666" s="383" t="s">
        <v>263</v>
      </c>
      <c r="C666" s="497" t="s">
        <v>1173</v>
      </c>
      <c r="D666" s="383" t="s">
        <v>1226</v>
      </c>
      <c r="E666" s="383" t="s">
        <v>887</v>
      </c>
      <c r="F666" s="383" t="str">
        <f t="shared" si="31"/>
        <v>P200010FTXU Energy Tradin</v>
      </c>
      <c r="G666" s="496">
        <v>3021040</v>
      </c>
      <c r="H666" s="496">
        <v>-3021040</v>
      </c>
      <c r="I666" s="496">
        <f t="shared" si="32"/>
        <v>0</v>
      </c>
      <c r="J666" s="496" t="s">
        <v>869</v>
      </c>
    </row>
    <row r="667" spans="1:10" hidden="1" x14ac:dyDescent="0.25">
      <c r="A667" s="383">
        <f t="shared" si="30"/>
        <v>20</v>
      </c>
      <c r="B667" s="383" t="s">
        <v>263</v>
      </c>
      <c r="C667" s="497" t="s">
        <v>1173</v>
      </c>
      <c r="D667" s="383" t="s">
        <v>1169</v>
      </c>
      <c r="E667" s="383" t="s">
        <v>887</v>
      </c>
      <c r="F667" s="383" t="str">
        <f t="shared" si="31"/>
        <v>P200010FWilliams Energy M</v>
      </c>
      <c r="G667" s="496">
        <v>33600</v>
      </c>
      <c r="H667" s="496">
        <v>-33600</v>
      </c>
      <c r="I667" s="496">
        <f t="shared" si="32"/>
        <v>0</v>
      </c>
      <c r="J667" s="496" t="s">
        <v>869</v>
      </c>
    </row>
    <row r="668" spans="1:10" hidden="1" x14ac:dyDescent="0.25">
      <c r="A668" s="383">
        <f t="shared" si="30"/>
        <v>33</v>
      </c>
      <c r="B668" s="487" t="s">
        <v>265</v>
      </c>
      <c r="C668" s="498" t="s">
        <v>1227</v>
      </c>
      <c r="D668" s="487" t="s">
        <v>1228</v>
      </c>
      <c r="E668" s="487" t="s">
        <v>887</v>
      </c>
      <c r="F668" s="487" t="str">
        <f t="shared" si="31"/>
        <v>S199804FPG&amp;E Energy Tradi</v>
      </c>
      <c r="G668" s="499"/>
      <c r="H668" s="499">
        <f>VLOOKUP(F668,[2]Pivot!$R$20:$S$1359,2,FALSE)</f>
        <v>0</v>
      </c>
      <c r="I668" s="499">
        <f t="shared" si="32"/>
        <v>0</v>
      </c>
      <c r="J668" s="496" t="s">
        <v>869</v>
      </c>
    </row>
    <row r="669" spans="1:10" hidden="1" x14ac:dyDescent="0.25">
      <c r="A669" s="383">
        <f t="shared" si="30"/>
        <v>24</v>
      </c>
      <c r="B669" s="383" t="s">
        <v>265</v>
      </c>
      <c r="C669" s="497" t="s">
        <v>1229</v>
      </c>
      <c r="D669" s="383" t="s">
        <v>1230</v>
      </c>
      <c r="E669" s="383" t="s">
        <v>868</v>
      </c>
      <c r="F669" s="383" t="str">
        <f t="shared" si="31"/>
        <v>S199805DMichigan Public P</v>
      </c>
      <c r="G669" s="496">
        <v>0</v>
      </c>
      <c r="H669" s="496">
        <v>0</v>
      </c>
      <c r="I669" s="496">
        <f t="shared" si="32"/>
        <v>0</v>
      </c>
      <c r="J669" s="496" t="s">
        <v>869</v>
      </c>
    </row>
    <row r="670" spans="1:10" hidden="1" x14ac:dyDescent="0.25">
      <c r="A670" s="383">
        <f t="shared" si="30"/>
        <v>24</v>
      </c>
      <c r="B670" s="383" t="s">
        <v>265</v>
      </c>
      <c r="C670" s="497" t="s">
        <v>866</v>
      </c>
      <c r="D670" s="383" t="s">
        <v>1231</v>
      </c>
      <c r="E670" s="383" t="s">
        <v>868</v>
      </c>
      <c r="F670" s="383" t="str">
        <f t="shared" si="31"/>
        <v>S199806DLouisville Gas An</v>
      </c>
      <c r="G670" s="496">
        <v>0</v>
      </c>
      <c r="H670" s="496">
        <v>0</v>
      </c>
      <c r="I670" s="496">
        <f t="shared" si="32"/>
        <v>0</v>
      </c>
      <c r="J670" s="496" t="s">
        <v>869</v>
      </c>
    </row>
    <row r="671" spans="1:10" hidden="1" x14ac:dyDescent="0.25">
      <c r="A671" s="383">
        <f t="shared" si="30"/>
        <v>24</v>
      </c>
      <c r="B671" s="383" t="s">
        <v>265</v>
      </c>
      <c r="C671" s="497" t="s">
        <v>866</v>
      </c>
      <c r="D671" s="383" t="s">
        <v>1232</v>
      </c>
      <c r="E671" s="383" t="s">
        <v>868</v>
      </c>
      <c r="F671" s="383" t="str">
        <f t="shared" si="31"/>
        <v>S199806DVirginia Electric</v>
      </c>
      <c r="G671" s="496">
        <v>0.02</v>
      </c>
      <c r="H671" s="496">
        <v>-0.02</v>
      </c>
      <c r="I671" s="496">
        <f t="shared" si="32"/>
        <v>0</v>
      </c>
      <c r="J671" s="496" t="s">
        <v>869</v>
      </c>
    </row>
    <row r="672" spans="1:10" hidden="1" x14ac:dyDescent="0.25">
      <c r="A672" s="383">
        <f t="shared" si="30"/>
        <v>24</v>
      </c>
      <c r="B672" s="383" t="s">
        <v>265</v>
      </c>
      <c r="C672" s="497" t="s">
        <v>871</v>
      </c>
      <c r="D672" s="383" t="s">
        <v>1231</v>
      </c>
      <c r="E672" s="383" t="s">
        <v>868</v>
      </c>
      <c r="F672" s="383" t="str">
        <f t="shared" si="31"/>
        <v>S199807DLouisville Gas An</v>
      </c>
      <c r="G672" s="496">
        <v>0</v>
      </c>
      <c r="H672" s="496">
        <v>0</v>
      </c>
      <c r="I672" s="496">
        <f t="shared" si="32"/>
        <v>0</v>
      </c>
      <c r="J672" s="496" t="s">
        <v>869</v>
      </c>
    </row>
    <row r="673" spans="1:10" hidden="1" x14ac:dyDescent="0.25">
      <c r="A673" s="383">
        <f t="shared" si="30"/>
        <v>24</v>
      </c>
      <c r="B673" s="383" t="s">
        <v>265</v>
      </c>
      <c r="C673" s="497" t="s">
        <v>871</v>
      </c>
      <c r="D673" s="383" t="s">
        <v>1233</v>
      </c>
      <c r="E673" s="383" t="s">
        <v>868</v>
      </c>
      <c r="F673" s="383" t="str">
        <f t="shared" si="31"/>
        <v>S199807DPG&amp;E Energy Tradi</v>
      </c>
      <c r="G673" s="496">
        <v>325386.34000000003</v>
      </c>
      <c r="H673" s="496">
        <v>-325386.34000000003</v>
      </c>
      <c r="I673" s="496">
        <f t="shared" si="32"/>
        <v>0</v>
      </c>
      <c r="J673" s="496" t="s">
        <v>869</v>
      </c>
    </row>
    <row r="674" spans="1:10" hidden="1" x14ac:dyDescent="0.25">
      <c r="A674" s="383">
        <f t="shared" si="30"/>
        <v>24</v>
      </c>
      <c r="B674" s="383" t="s">
        <v>265</v>
      </c>
      <c r="C674" s="497" t="s">
        <v>871</v>
      </c>
      <c r="D674" s="383" t="s">
        <v>1232</v>
      </c>
      <c r="E674" s="383" t="s">
        <v>868</v>
      </c>
      <c r="F674" s="383" t="str">
        <f t="shared" si="31"/>
        <v>S199807DVirginia Electric</v>
      </c>
      <c r="G674" s="496">
        <v>266533.02</v>
      </c>
      <c r="H674" s="496">
        <v>-266533.02</v>
      </c>
      <c r="I674" s="496">
        <f t="shared" si="32"/>
        <v>0</v>
      </c>
      <c r="J674" s="496" t="s">
        <v>869</v>
      </c>
    </row>
    <row r="675" spans="1:10" hidden="1" x14ac:dyDescent="0.25">
      <c r="A675" s="383">
        <f t="shared" si="30"/>
        <v>24</v>
      </c>
      <c r="B675" s="383" t="s">
        <v>265</v>
      </c>
      <c r="C675" s="497" t="s">
        <v>873</v>
      </c>
      <c r="D675" s="383" t="s">
        <v>1232</v>
      </c>
      <c r="E675" s="383" t="s">
        <v>868</v>
      </c>
      <c r="F675" s="383" t="str">
        <f t="shared" si="31"/>
        <v>S199808DVirginia Electric</v>
      </c>
      <c r="G675" s="496">
        <v>0.02</v>
      </c>
      <c r="H675" s="496">
        <v>-0.02</v>
      </c>
      <c r="I675" s="496">
        <f t="shared" si="32"/>
        <v>0</v>
      </c>
      <c r="J675" s="496" t="s">
        <v>869</v>
      </c>
    </row>
    <row r="676" spans="1:10" hidden="1" x14ac:dyDescent="0.25">
      <c r="A676" s="383">
        <f t="shared" si="30"/>
        <v>22</v>
      </c>
      <c r="B676" s="383" t="s">
        <v>265</v>
      </c>
      <c r="C676" s="497" t="s">
        <v>1234</v>
      </c>
      <c r="D676" s="383" t="s">
        <v>1004</v>
      </c>
      <c r="E676" s="383" t="s">
        <v>868</v>
      </c>
      <c r="F676" s="383" t="str">
        <f t="shared" si="31"/>
        <v>S199812DCinergy Services,</v>
      </c>
      <c r="G676" s="496">
        <v>0</v>
      </c>
      <c r="H676" s="496">
        <v>0</v>
      </c>
      <c r="I676" s="496">
        <f t="shared" si="32"/>
        <v>0</v>
      </c>
      <c r="J676" s="496" t="s">
        <v>869</v>
      </c>
    </row>
    <row r="677" spans="1:10" hidden="1" x14ac:dyDescent="0.25">
      <c r="A677" s="383">
        <f t="shared" si="30"/>
        <v>19</v>
      </c>
      <c r="B677" s="383" t="s">
        <v>265</v>
      </c>
      <c r="C677" s="497" t="s">
        <v>880</v>
      </c>
      <c r="D677" s="383" t="s">
        <v>1012</v>
      </c>
      <c r="E677" s="383" t="s">
        <v>887</v>
      </c>
      <c r="F677" s="383" t="str">
        <f t="shared" si="31"/>
        <v>S199901FConstellation Pow</v>
      </c>
      <c r="G677" s="496">
        <v>-0.02</v>
      </c>
      <c r="H677" s="496">
        <v>0.02</v>
      </c>
      <c r="I677" s="496">
        <f t="shared" si="32"/>
        <v>0</v>
      </c>
      <c r="J677" s="496" t="s">
        <v>869</v>
      </c>
    </row>
    <row r="678" spans="1:10" hidden="1" x14ac:dyDescent="0.25">
      <c r="A678" s="383">
        <f t="shared" si="30"/>
        <v>23</v>
      </c>
      <c r="B678" s="383" t="s">
        <v>265</v>
      </c>
      <c r="C678" s="497" t="s">
        <v>881</v>
      </c>
      <c r="D678" s="383" t="s">
        <v>1235</v>
      </c>
      <c r="E678" s="383" t="s">
        <v>868</v>
      </c>
      <c r="F678" s="383" t="str">
        <f t="shared" si="31"/>
        <v>S199902DAmerican Electric</v>
      </c>
      <c r="G678" s="496">
        <v>0</v>
      </c>
      <c r="H678" s="496">
        <v>0</v>
      </c>
      <c r="I678" s="496">
        <f t="shared" si="32"/>
        <v>0</v>
      </c>
      <c r="J678" s="496" t="s">
        <v>869</v>
      </c>
    </row>
    <row r="679" spans="1:10" hidden="1" x14ac:dyDescent="0.25">
      <c r="A679" s="383">
        <f t="shared" si="30"/>
        <v>19</v>
      </c>
      <c r="B679" s="383" t="s">
        <v>265</v>
      </c>
      <c r="C679" s="497" t="s">
        <v>881</v>
      </c>
      <c r="D679" s="383" t="s">
        <v>1012</v>
      </c>
      <c r="E679" s="383" t="s">
        <v>887</v>
      </c>
      <c r="F679" s="383" t="str">
        <f t="shared" si="31"/>
        <v>S199902FConstellation Pow</v>
      </c>
      <c r="G679" s="496">
        <v>-0.02</v>
      </c>
      <c r="H679" s="496">
        <v>0.02</v>
      </c>
      <c r="I679" s="496">
        <f t="shared" si="32"/>
        <v>0</v>
      </c>
      <c r="J679" s="496" t="s">
        <v>869</v>
      </c>
    </row>
    <row r="680" spans="1:10" hidden="1" x14ac:dyDescent="0.25">
      <c r="A680" s="383">
        <f t="shared" si="30"/>
        <v>19</v>
      </c>
      <c r="B680" s="383" t="s">
        <v>265</v>
      </c>
      <c r="C680" s="497" t="s">
        <v>883</v>
      </c>
      <c r="D680" s="383" t="s">
        <v>1012</v>
      </c>
      <c r="E680" s="383" t="s">
        <v>887</v>
      </c>
      <c r="F680" s="383" t="str">
        <f t="shared" si="31"/>
        <v>S199905FConstellation Pow</v>
      </c>
      <c r="G680" s="496">
        <v>-0.02</v>
      </c>
      <c r="H680" s="496">
        <v>0.02</v>
      </c>
      <c r="I680" s="496">
        <f t="shared" si="32"/>
        <v>0</v>
      </c>
      <c r="J680" s="496" t="s">
        <v>869</v>
      </c>
    </row>
    <row r="681" spans="1:10" hidden="1" x14ac:dyDescent="0.25">
      <c r="A681" s="383">
        <f t="shared" si="30"/>
        <v>19</v>
      </c>
      <c r="B681" s="383" t="s">
        <v>265</v>
      </c>
      <c r="C681" s="497" t="s">
        <v>883</v>
      </c>
      <c r="D681" s="383" t="s">
        <v>945</v>
      </c>
      <c r="E681" s="383" t="s">
        <v>887</v>
      </c>
      <c r="F681" s="383" t="str">
        <f t="shared" si="31"/>
        <v>S199905FPG&amp;E Energy Tradi</v>
      </c>
      <c r="G681" s="496">
        <v>-0.03</v>
      </c>
      <c r="H681" s="496">
        <v>0.03</v>
      </c>
      <c r="I681" s="496">
        <f t="shared" si="32"/>
        <v>0</v>
      </c>
      <c r="J681" s="496" t="s">
        <v>869</v>
      </c>
    </row>
    <row r="682" spans="1:10" hidden="1" x14ac:dyDescent="0.25">
      <c r="A682" s="383">
        <f t="shared" si="30"/>
        <v>24</v>
      </c>
      <c r="B682" s="383" t="s">
        <v>265</v>
      </c>
      <c r="C682" s="497" t="s">
        <v>885</v>
      </c>
      <c r="D682" s="383" t="s">
        <v>1236</v>
      </c>
      <c r="E682" s="383" t="s">
        <v>868</v>
      </c>
      <c r="F682" s="383" t="str">
        <f t="shared" si="31"/>
        <v>S199906DNorthern States P</v>
      </c>
      <c r="G682" s="496">
        <v>0</v>
      </c>
      <c r="H682" s="496">
        <v>0</v>
      </c>
      <c r="I682" s="496">
        <f t="shared" si="32"/>
        <v>0</v>
      </c>
      <c r="J682" s="496" t="s">
        <v>869</v>
      </c>
    </row>
    <row r="683" spans="1:10" hidden="1" x14ac:dyDescent="0.25">
      <c r="A683" s="383">
        <f t="shared" si="30"/>
        <v>19</v>
      </c>
      <c r="B683" s="383" t="s">
        <v>265</v>
      </c>
      <c r="C683" s="497" t="s">
        <v>885</v>
      </c>
      <c r="D683" s="383" t="s">
        <v>1012</v>
      </c>
      <c r="E683" s="383" t="s">
        <v>887</v>
      </c>
      <c r="F683" s="383" t="str">
        <f t="shared" si="31"/>
        <v>S199906FConstellation Pow</v>
      </c>
      <c r="G683" s="496">
        <v>-0.01</v>
      </c>
      <c r="H683" s="496">
        <v>0.01</v>
      </c>
      <c r="I683" s="496">
        <f t="shared" si="32"/>
        <v>0</v>
      </c>
      <c r="J683" s="496" t="s">
        <v>869</v>
      </c>
    </row>
    <row r="684" spans="1:10" hidden="1" x14ac:dyDescent="0.25">
      <c r="A684" s="383">
        <f t="shared" si="30"/>
        <v>20</v>
      </c>
      <c r="B684" s="487" t="s">
        <v>265</v>
      </c>
      <c r="C684" s="498" t="s">
        <v>885</v>
      </c>
      <c r="D684" s="487" t="s">
        <v>520</v>
      </c>
      <c r="E684" s="487" t="s">
        <v>887</v>
      </c>
      <c r="F684" s="487" t="str">
        <f t="shared" si="31"/>
        <v>S199906FISO New England I</v>
      </c>
      <c r="G684" s="499"/>
      <c r="H684" s="499">
        <f>VLOOKUP(F684,[2]Pivot!$R$20:$S$1359,2,FALSE)</f>
        <v>0</v>
      </c>
      <c r="I684" s="499">
        <f t="shared" si="32"/>
        <v>0</v>
      </c>
      <c r="J684" s="496" t="s">
        <v>869</v>
      </c>
    </row>
    <row r="685" spans="1:10" hidden="1" x14ac:dyDescent="0.25">
      <c r="A685" s="383">
        <f t="shared" si="30"/>
        <v>22</v>
      </c>
      <c r="B685" s="487" t="s">
        <v>265</v>
      </c>
      <c r="C685" s="498" t="s">
        <v>885</v>
      </c>
      <c r="D685" s="487" t="s">
        <v>884</v>
      </c>
      <c r="E685" s="487" t="s">
        <v>887</v>
      </c>
      <c r="F685" s="487" t="str">
        <f t="shared" si="31"/>
        <v>S199906FNew England Power</v>
      </c>
      <c r="G685" s="499"/>
      <c r="H685" s="499">
        <f>VLOOKUP(F685,[2]Pivot!$R$20:$S$1359,2,FALSE)</f>
        <v>0</v>
      </c>
      <c r="I685" s="499">
        <f t="shared" si="32"/>
        <v>0</v>
      </c>
      <c r="J685" s="496" t="s">
        <v>869</v>
      </c>
    </row>
    <row r="686" spans="1:10" hidden="1" x14ac:dyDescent="0.25">
      <c r="A686" s="383">
        <f t="shared" si="30"/>
        <v>19</v>
      </c>
      <c r="B686" s="383" t="s">
        <v>265</v>
      </c>
      <c r="C686" s="497" t="s">
        <v>885</v>
      </c>
      <c r="D686" s="383" t="s">
        <v>945</v>
      </c>
      <c r="E686" s="383" t="s">
        <v>887</v>
      </c>
      <c r="F686" s="383" t="str">
        <f t="shared" si="31"/>
        <v>S199906FPG&amp;E Energy Tradi</v>
      </c>
      <c r="G686" s="496">
        <v>-0.16</v>
      </c>
      <c r="H686" s="496">
        <v>0.16</v>
      </c>
      <c r="I686" s="496">
        <f t="shared" si="32"/>
        <v>0</v>
      </c>
      <c r="J686" s="496" t="s">
        <v>869</v>
      </c>
    </row>
    <row r="687" spans="1:10" hidden="1" x14ac:dyDescent="0.25">
      <c r="A687" s="383">
        <f t="shared" si="30"/>
        <v>24</v>
      </c>
      <c r="B687" s="383" t="s">
        <v>265</v>
      </c>
      <c r="C687" s="497" t="s">
        <v>888</v>
      </c>
      <c r="D687" s="383" t="s">
        <v>1236</v>
      </c>
      <c r="E687" s="383" t="s">
        <v>868</v>
      </c>
      <c r="F687" s="383" t="str">
        <f t="shared" si="31"/>
        <v>S199907DNorthern States P</v>
      </c>
      <c r="G687" s="496">
        <v>2.2204460492503131E-16</v>
      </c>
      <c r="H687" s="496">
        <v>0</v>
      </c>
      <c r="I687" s="496">
        <f t="shared" si="32"/>
        <v>0</v>
      </c>
      <c r="J687" s="496" t="s">
        <v>869</v>
      </c>
    </row>
    <row r="688" spans="1:10" hidden="1" x14ac:dyDescent="0.25">
      <c r="A688" s="383">
        <f t="shared" si="30"/>
        <v>19</v>
      </c>
      <c r="B688" s="383" t="s">
        <v>265</v>
      </c>
      <c r="C688" s="497" t="s">
        <v>888</v>
      </c>
      <c r="D688" s="383" t="s">
        <v>1012</v>
      </c>
      <c r="E688" s="383" t="s">
        <v>887</v>
      </c>
      <c r="F688" s="383" t="str">
        <f t="shared" si="31"/>
        <v>S199907FConstellation Pow</v>
      </c>
      <c r="G688" s="496">
        <v>-0.01</v>
      </c>
      <c r="H688" s="496">
        <v>0.01</v>
      </c>
      <c r="I688" s="496">
        <f t="shared" si="32"/>
        <v>0</v>
      </c>
      <c r="J688" s="496" t="s">
        <v>869</v>
      </c>
    </row>
    <row r="689" spans="1:10" hidden="1" x14ac:dyDescent="0.25">
      <c r="A689" s="383">
        <f t="shared" si="30"/>
        <v>19</v>
      </c>
      <c r="B689" s="383" t="s">
        <v>265</v>
      </c>
      <c r="C689" s="497" t="s">
        <v>888</v>
      </c>
      <c r="D689" s="383" t="s">
        <v>945</v>
      </c>
      <c r="E689" s="383" t="s">
        <v>887</v>
      </c>
      <c r="F689" s="383" t="str">
        <f t="shared" si="31"/>
        <v>S199907FPG&amp;E Energy Tradi</v>
      </c>
      <c r="G689" s="496">
        <v>-0.01</v>
      </c>
      <c r="H689" s="496">
        <v>0.01</v>
      </c>
      <c r="I689" s="496">
        <f t="shared" si="32"/>
        <v>0</v>
      </c>
      <c r="J689" s="496" t="s">
        <v>869</v>
      </c>
    </row>
    <row r="690" spans="1:10" hidden="1" x14ac:dyDescent="0.25">
      <c r="A690" s="383">
        <f t="shared" si="30"/>
        <v>24</v>
      </c>
      <c r="B690" s="383" t="s">
        <v>265</v>
      </c>
      <c r="C690" s="497" t="s">
        <v>894</v>
      </c>
      <c r="D690" s="383" t="s">
        <v>1236</v>
      </c>
      <c r="E690" s="383" t="s">
        <v>868</v>
      </c>
      <c r="F690" s="383" t="str">
        <f t="shared" si="31"/>
        <v>S199908DNorthern States P</v>
      </c>
      <c r="G690" s="496">
        <v>2.2204460492503131E-16</v>
      </c>
      <c r="H690" s="496">
        <v>0</v>
      </c>
      <c r="I690" s="496">
        <f t="shared" si="32"/>
        <v>0</v>
      </c>
      <c r="J690" s="496" t="s">
        <v>869</v>
      </c>
    </row>
    <row r="691" spans="1:10" hidden="1" x14ac:dyDescent="0.25">
      <c r="A691" s="383">
        <f t="shared" si="30"/>
        <v>23</v>
      </c>
      <c r="B691" s="383" t="s">
        <v>265</v>
      </c>
      <c r="C691" s="497" t="s">
        <v>894</v>
      </c>
      <c r="D691" s="383" t="s">
        <v>1237</v>
      </c>
      <c r="E691" s="383" t="s">
        <v>868</v>
      </c>
      <c r="F691" s="383" t="str">
        <f t="shared" si="31"/>
        <v>S199908DStatoil Energy Tr</v>
      </c>
      <c r="G691" s="496">
        <v>0</v>
      </c>
      <c r="H691" s="496">
        <v>0</v>
      </c>
      <c r="I691" s="496">
        <f t="shared" si="32"/>
        <v>0</v>
      </c>
      <c r="J691" s="496" t="s">
        <v>869</v>
      </c>
    </row>
    <row r="692" spans="1:10" hidden="1" x14ac:dyDescent="0.25">
      <c r="A692" s="383">
        <f t="shared" si="30"/>
        <v>20</v>
      </c>
      <c r="B692" s="487" t="s">
        <v>265</v>
      </c>
      <c r="C692" s="498" t="s">
        <v>894</v>
      </c>
      <c r="D692" s="487" t="s">
        <v>520</v>
      </c>
      <c r="E692" s="487" t="s">
        <v>887</v>
      </c>
      <c r="F692" s="487" t="str">
        <f t="shared" si="31"/>
        <v>S199908FISO New England I</v>
      </c>
      <c r="G692" s="499"/>
      <c r="H692" s="499">
        <f>VLOOKUP(F692,[2]Pivot!$R$20:$S$1359,2,FALSE)</f>
        <v>0</v>
      </c>
      <c r="I692" s="499">
        <f t="shared" si="32"/>
        <v>0</v>
      </c>
      <c r="J692" s="496" t="s">
        <v>869</v>
      </c>
    </row>
    <row r="693" spans="1:10" hidden="1" x14ac:dyDescent="0.25">
      <c r="A693" s="383">
        <f t="shared" si="30"/>
        <v>33</v>
      </c>
      <c r="B693" s="487" t="s">
        <v>265</v>
      </c>
      <c r="C693" s="498" t="s">
        <v>894</v>
      </c>
      <c r="D693" s="487" t="s">
        <v>1228</v>
      </c>
      <c r="E693" s="487" t="s">
        <v>887</v>
      </c>
      <c r="F693" s="487" t="str">
        <f t="shared" si="31"/>
        <v>S199908FPG&amp;E Energy Tradi</v>
      </c>
      <c r="G693" s="499"/>
      <c r="H693" s="499">
        <f>VLOOKUP(F693,[2]Pivot!$R$20:$S$1359,2,FALSE)</f>
        <v>0</v>
      </c>
      <c r="I693" s="499">
        <f t="shared" si="32"/>
        <v>0</v>
      </c>
      <c r="J693" s="496" t="s">
        <v>869</v>
      </c>
    </row>
    <row r="694" spans="1:10" hidden="1" x14ac:dyDescent="0.25">
      <c r="A694" s="383">
        <f t="shared" si="30"/>
        <v>24</v>
      </c>
      <c r="B694" s="383" t="s">
        <v>265</v>
      </c>
      <c r="C694" s="497" t="s">
        <v>898</v>
      </c>
      <c r="D694" s="383" t="s">
        <v>1236</v>
      </c>
      <c r="E694" s="383" t="s">
        <v>868</v>
      </c>
      <c r="F694" s="383" t="str">
        <f t="shared" si="31"/>
        <v>S199909DNorthern States P</v>
      </c>
      <c r="G694" s="496">
        <v>0</v>
      </c>
      <c r="H694" s="496">
        <v>0</v>
      </c>
      <c r="I694" s="496">
        <f t="shared" si="32"/>
        <v>0</v>
      </c>
      <c r="J694" s="496" t="s">
        <v>869</v>
      </c>
    </row>
    <row r="695" spans="1:10" hidden="1" x14ac:dyDescent="0.25">
      <c r="A695" s="383">
        <f t="shared" si="30"/>
        <v>20</v>
      </c>
      <c r="B695" s="487" t="s">
        <v>265</v>
      </c>
      <c r="C695" s="498" t="s">
        <v>898</v>
      </c>
      <c r="D695" s="487" t="s">
        <v>520</v>
      </c>
      <c r="E695" s="487" t="s">
        <v>887</v>
      </c>
      <c r="F695" s="487" t="str">
        <f t="shared" si="31"/>
        <v>S199909FISO New England I</v>
      </c>
      <c r="G695" s="499"/>
      <c r="H695" s="499">
        <f>VLOOKUP(F695,[2]Pivot!$R$20:$S$1359,2,FALSE)</f>
        <v>0</v>
      </c>
      <c r="I695" s="499">
        <f t="shared" si="32"/>
        <v>0</v>
      </c>
      <c r="J695" s="496" t="s">
        <v>869</v>
      </c>
    </row>
    <row r="696" spans="1:10" hidden="1" x14ac:dyDescent="0.25">
      <c r="A696" s="383">
        <f t="shared" si="30"/>
        <v>22</v>
      </c>
      <c r="B696" s="487" t="s">
        <v>265</v>
      </c>
      <c r="C696" s="498" t="s">
        <v>898</v>
      </c>
      <c r="D696" s="487" t="s">
        <v>884</v>
      </c>
      <c r="E696" s="487" t="s">
        <v>887</v>
      </c>
      <c r="F696" s="487" t="str">
        <f t="shared" si="31"/>
        <v>S199909FNew England Power</v>
      </c>
      <c r="G696" s="499"/>
      <c r="H696" s="499">
        <f>VLOOKUP(F696,[2]Pivot!$R$20:$S$1359,2,FALSE)</f>
        <v>0</v>
      </c>
      <c r="I696" s="499">
        <f t="shared" si="32"/>
        <v>0</v>
      </c>
      <c r="J696" s="496" t="s">
        <v>869</v>
      </c>
    </row>
    <row r="697" spans="1:10" hidden="1" x14ac:dyDescent="0.25">
      <c r="A697" s="383">
        <f t="shared" si="30"/>
        <v>20</v>
      </c>
      <c r="B697" s="383" t="s">
        <v>265</v>
      </c>
      <c r="C697" s="497" t="s">
        <v>899</v>
      </c>
      <c r="D697" s="383" t="s">
        <v>520</v>
      </c>
      <c r="E697" s="383" t="s">
        <v>868</v>
      </c>
      <c r="F697" s="383" t="str">
        <f t="shared" si="31"/>
        <v>S199910DISO New England I</v>
      </c>
      <c r="G697" s="496">
        <v>-2327.5</v>
      </c>
      <c r="H697" s="496">
        <v>0</v>
      </c>
      <c r="I697" s="496">
        <f t="shared" si="32"/>
        <v>-2327.5</v>
      </c>
      <c r="J697" s="499" t="s">
        <v>890</v>
      </c>
    </row>
    <row r="698" spans="1:10" hidden="1" x14ac:dyDescent="0.25">
      <c r="A698" s="383">
        <f t="shared" si="30"/>
        <v>21</v>
      </c>
      <c r="B698" s="383" t="s">
        <v>265</v>
      </c>
      <c r="C698" s="497" t="s">
        <v>899</v>
      </c>
      <c r="D698" s="383" t="s">
        <v>965</v>
      </c>
      <c r="E698" s="383" t="s">
        <v>868</v>
      </c>
      <c r="F698" s="383" t="str">
        <f t="shared" si="31"/>
        <v xml:space="preserve">S199910DMinnesota Power, </v>
      </c>
      <c r="G698" s="496">
        <v>0</v>
      </c>
      <c r="H698" s="496">
        <v>0</v>
      </c>
      <c r="I698" s="496">
        <f t="shared" si="32"/>
        <v>0</v>
      </c>
      <c r="J698" s="496" t="s">
        <v>869</v>
      </c>
    </row>
    <row r="699" spans="1:10" hidden="1" x14ac:dyDescent="0.25">
      <c r="A699" s="383">
        <f t="shared" si="30"/>
        <v>22</v>
      </c>
      <c r="B699" s="487" t="s">
        <v>265</v>
      </c>
      <c r="C699" s="498" t="s">
        <v>899</v>
      </c>
      <c r="D699" s="487" t="s">
        <v>884</v>
      </c>
      <c r="E699" s="487" t="s">
        <v>868</v>
      </c>
      <c r="F699" s="487" t="str">
        <f t="shared" si="31"/>
        <v>S199910DNew England Power</v>
      </c>
      <c r="G699" s="499"/>
      <c r="H699" s="499">
        <f>VLOOKUP(F699,[2]Pivot!$R$20:$S$1359,2,FALSE)</f>
        <v>2327.5</v>
      </c>
      <c r="I699" s="499">
        <f t="shared" si="32"/>
        <v>2327.5</v>
      </c>
      <c r="J699" s="499" t="s">
        <v>890</v>
      </c>
    </row>
    <row r="700" spans="1:10" hidden="1" x14ac:dyDescent="0.25">
      <c r="A700" s="383">
        <f t="shared" si="30"/>
        <v>24</v>
      </c>
      <c r="B700" s="383" t="s">
        <v>265</v>
      </c>
      <c r="C700" s="497" t="s">
        <v>899</v>
      </c>
      <c r="D700" s="383" t="s">
        <v>1236</v>
      </c>
      <c r="E700" s="383" t="s">
        <v>868</v>
      </c>
      <c r="F700" s="383" t="str">
        <f t="shared" si="31"/>
        <v>S199910DNorthern States P</v>
      </c>
      <c r="G700" s="496">
        <v>0</v>
      </c>
      <c r="H700" s="496">
        <v>0</v>
      </c>
      <c r="I700" s="496">
        <f t="shared" si="32"/>
        <v>0</v>
      </c>
      <c r="J700" s="496" t="s">
        <v>869</v>
      </c>
    </row>
    <row r="701" spans="1:10" hidden="1" x14ac:dyDescent="0.25">
      <c r="A701" s="383">
        <f t="shared" si="30"/>
        <v>20</v>
      </c>
      <c r="B701" s="487" t="s">
        <v>265</v>
      </c>
      <c r="C701" s="498" t="s">
        <v>899</v>
      </c>
      <c r="D701" s="487" t="s">
        <v>520</v>
      </c>
      <c r="E701" s="487" t="s">
        <v>887</v>
      </c>
      <c r="F701" s="487" t="str">
        <f t="shared" si="31"/>
        <v>S199910FISO New England I</v>
      </c>
      <c r="G701" s="499"/>
      <c r="H701" s="499">
        <f>VLOOKUP(F701,[2]Pivot!$R$20:$S$1359,2,FALSE)</f>
        <v>0</v>
      </c>
      <c r="I701" s="499">
        <f t="shared" si="32"/>
        <v>0</v>
      </c>
      <c r="J701" s="496" t="s">
        <v>869</v>
      </c>
    </row>
    <row r="702" spans="1:10" hidden="1" x14ac:dyDescent="0.25">
      <c r="A702" s="383">
        <f t="shared" si="30"/>
        <v>23</v>
      </c>
      <c r="B702" s="383" t="s">
        <v>265</v>
      </c>
      <c r="C702" s="497" t="s">
        <v>903</v>
      </c>
      <c r="D702" s="383" t="s">
        <v>1235</v>
      </c>
      <c r="E702" s="383" t="s">
        <v>868</v>
      </c>
      <c r="F702" s="383" t="str">
        <f t="shared" si="31"/>
        <v>S199911DAmerican Electric</v>
      </c>
      <c r="G702" s="496">
        <v>0</v>
      </c>
      <c r="H702" s="496">
        <v>0</v>
      </c>
      <c r="I702" s="496">
        <f t="shared" si="32"/>
        <v>0</v>
      </c>
      <c r="J702" s="496" t="s">
        <v>869</v>
      </c>
    </row>
    <row r="703" spans="1:10" hidden="1" x14ac:dyDescent="0.25">
      <c r="A703" s="383">
        <f t="shared" si="30"/>
        <v>24</v>
      </c>
      <c r="B703" s="383" t="s">
        <v>265</v>
      </c>
      <c r="C703" s="497" t="s">
        <v>903</v>
      </c>
      <c r="D703" s="383" t="s">
        <v>1238</v>
      </c>
      <c r="E703" s="383" t="s">
        <v>868</v>
      </c>
      <c r="F703" s="383" t="str">
        <f t="shared" si="31"/>
        <v>S199911DPublic Utility Di</v>
      </c>
      <c r="G703" s="496">
        <v>0</v>
      </c>
      <c r="H703" s="496">
        <v>0</v>
      </c>
      <c r="I703" s="496">
        <f t="shared" si="32"/>
        <v>0</v>
      </c>
      <c r="J703" s="496" t="s">
        <v>869</v>
      </c>
    </row>
    <row r="704" spans="1:10" hidden="1" x14ac:dyDescent="0.25">
      <c r="A704" s="383">
        <f t="shared" si="30"/>
        <v>24</v>
      </c>
      <c r="B704" s="383" t="s">
        <v>265</v>
      </c>
      <c r="C704" s="497" t="s">
        <v>908</v>
      </c>
      <c r="D704" s="383" t="s">
        <v>1239</v>
      </c>
      <c r="E704" s="383" t="s">
        <v>868</v>
      </c>
      <c r="F704" s="383" t="str">
        <f t="shared" si="31"/>
        <v>S199912DMorgan Stanley Ca</v>
      </c>
      <c r="G704" s="496">
        <v>36960</v>
      </c>
      <c r="H704" s="496">
        <v>-36960</v>
      </c>
      <c r="I704" s="496">
        <f t="shared" si="32"/>
        <v>0</v>
      </c>
      <c r="J704" s="496" t="s">
        <v>869</v>
      </c>
    </row>
    <row r="705" spans="1:10" x14ac:dyDescent="0.25">
      <c r="A705" s="383">
        <f t="shared" si="30"/>
        <v>22</v>
      </c>
      <c r="B705" s="487" t="s">
        <v>265</v>
      </c>
      <c r="C705" s="500" t="s">
        <v>908</v>
      </c>
      <c r="D705" s="487" t="s">
        <v>884</v>
      </c>
      <c r="E705" s="487" t="s">
        <v>868</v>
      </c>
      <c r="F705" s="487" t="str">
        <f t="shared" si="31"/>
        <v>S199912DNew England Power</v>
      </c>
      <c r="G705" s="499"/>
      <c r="H705" s="499">
        <f>VLOOKUP(F705,[2]Pivot!$R$20:$S$1359,2,FALSE)</f>
        <v>1153</v>
      </c>
      <c r="I705" s="499">
        <f t="shared" si="32"/>
        <v>1153</v>
      </c>
      <c r="J705" s="499"/>
    </row>
    <row r="706" spans="1:10" hidden="1" x14ac:dyDescent="0.25">
      <c r="A706" s="383">
        <f t="shared" si="30"/>
        <v>20</v>
      </c>
      <c r="B706" s="383" t="s">
        <v>265</v>
      </c>
      <c r="C706" s="497" t="s">
        <v>908</v>
      </c>
      <c r="D706" s="383" t="s">
        <v>520</v>
      </c>
      <c r="E706" s="383" t="s">
        <v>887</v>
      </c>
      <c r="F706" s="383" t="str">
        <f t="shared" si="31"/>
        <v>S199912FISO New England I</v>
      </c>
      <c r="G706" s="496">
        <v>1153</v>
      </c>
      <c r="H706" s="496">
        <v>0</v>
      </c>
      <c r="I706" s="496">
        <f t="shared" si="32"/>
        <v>1153</v>
      </c>
      <c r="J706" s="496" t="s">
        <v>890</v>
      </c>
    </row>
    <row r="707" spans="1:10" hidden="1" x14ac:dyDescent="0.25">
      <c r="A707" s="383">
        <f t="shared" si="30"/>
        <v>22</v>
      </c>
      <c r="B707" s="487" t="s">
        <v>265</v>
      </c>
      <c r="C707" s="498" t="s">
        <v>908</v>
      </c>
      <c r="D707" s="487" t="s">
        <v>884</v>
      </c>
      <c r="E707" s="487" t="s">
        <v>887</v>
      </c>
      <c r="F707" s="487" t="str">
        <f t="shared" si="31"/>
        <v>S199912FNew England Power</v>
      </c>
      <c r="G707" s="499"/>
      <c r="H707" s="499">
        <f>VLOOKUP(F707,[2]Pivot!$R$20:$S$1359,2,FALSE)</f>
        <v>-1153</v>
      </c>
      <c r="I707" s="499">
        <f t="shared" si="32"/>
        <v>-1153</v>
      </c>
      <c r="J707" s="499" t="s">
        <v>890</v>
      </c>
    </row>
    <row r="708" spans="1:10" hidden="1" x14ac:dyDescent="0.25">
      <c r="A708" s="383">
        <f t="shared" ref="A708:A771" si="33">LEN(D708)</f>
        <v>24</v>
      </c>
      <c r="B708" s="383" t="s">
        <v>265</v>
      </c>
      <c r="C708" s="497" t="s">
        <v>910</v>
      </c>
      <c r="D708" s="383" t="s">
        <v>1240</v>
      </c>
      <c r="E708" s="383" t="s">
        <v>868</v>
      </c>
      <c r="F708" s="383" t="str">
        <f t="shared" ref="F708:F771" si="34">+B708&amp;C708&amp;E708&amp;LEFT(D708,17)</f>
        <v xml:space="preserve">S200001DEl Paso Electric </v>
      </c>
      <c r="G708" s="496">
        <v>-2.4158453015843406E-13</v>
      </c>
      <c r="H708" s="496">
        <v>0</v>
      </c>
      <c r="I708" s="496">
        <f t="shared" ref="I708:I771" si="35">ROUND(+G708+H708,2)</f>
        <v>0</v>
      </c>
      <c r="J708" s="496" t="s">
        <v>869</v>
      </c>
    </row>
    <row r="709" spans="1:10" hidden="1" x14ac:dyDescent="0.25">
      <c r="A709" s="383">
        <f t="shared" si="33"/>
        <v>20</v>
      </c>
      <c r="B709" s="383" t="s">
        <v>265</v>
      </c>
      <c r="C709" s="497" t="s">
        <v>910</v>
      </c>
      <c r="D709" s="383" t="s">
        <v>520</v>
      </c>
      <c r="E709" s="383" t="s">
        <v>887</v>
      </c>
      <c r="F709" s="383" t="str">
        <f t="shared" si="34"/>
        <v>S200001FISO New England I</v>
      </c>
      <c r="G709" s="496">
        <v>-0.09</v>
      </c>
      <c r="H709" s="496"/>
      <c r="I709" s="496">
        <f t="shared" si="35"/>
        <v>-0.09</v>
      </c>
      <c r="J709" s="499" t="s">
        <v>890</v>
      </c>
    </row>
    <row r="710" spans="1:10" hidden="1" x14ac:dyDescent="0.25">
      <c r="A710" s="383">
        <f t="shared" si="33"/>
        <v>22</v>
      </c>
      <c r="B710" s="487" t="s">
        <v>265</v>
      </c>
      <c r="C710" s="498" t="s">
        <v>910</v>
      </c>
      <c r="D710" s="487" t="s">
        <v>884</v>
      </c>
      <c r="E710" s="487" t="s">
        <v>887</v>
      </c>
      <c r="F710" s="487" t="str">
        <f t="shared" si="34"/>
        <v>S200001FNew England Power</v>
      </c>
      <c r="G710" s="499"/>
      <c r="H710" s="499">
        <f>VLOOKUP(F710,[2]Pivot!$R$20:$S$1359,2,FALSE)</f>
        <v>0.09</v>
      </c>
      <c r="I710" s="499">
        <f t="shared" si="35"/>
        <v>0.09</v>
      </c>
      <c r="J710" s="499" t="s">
        <v>890</v>
      </c>
    </row>
    <row r="711" spans="1:10" hidden="1" x14ac:dyDescent="0.25">
      <c r="A711" s="383">
        <f t="shared" si="33"/>
        <v>23</v>
      </c>
      <c r="B711" s="383" t="s">
        <v>265</v>
      </c>
      <c r="C711" s="497" t="s">
        <v>913</v>
      </c>
      <c r="D711" s="383" t="s">
        <v>1235</v>
      </c>
      <c r="E711" s="383" t="s">
        <v>868</v>
      </c>
      <c r="F711" s="383" t="str">
        <f t="shared" si="34"/>
        <v>S200002DAmerican Electric</v>
      </c>
      <c r="G711" s="496">
        <v>0</v>
      </c>
      <c r="H711" s="496">
        <v>0</v>
      </c>
      <c r="I711" s="496">
        <f t="shared" si="35"/>
        <v>0</v>
      </c>
      <c r="J711" s="496" t="s">
        <v>869</v>
      </c>
    </row>
    <row r="712" spans="1:10" hidden="1" x14ac:dyDescent="0.25">
      <c r="A712" s="383">
        <f t="shared" si="33"/>
        <v>20</v>
      </c>
      <c r="B712" s="383" t="s">
        <v>265</v>
      </c>
      <c r="C712" s="497" t="s">
        <v>913</v>
      </c>
      <c r="D712" s="383" t="s">
        <v>520</v>
      </c>
      <c r="E712" s="383" t="s">
        <v>868</v>
      </c>
      <c r="F712" s="383" t="str">
        <f t="shared" si="34"/>
        <v>S200002DISO New England I</v>
      </c>
      <c r="G712" s="496">
        <v>1034.3699999999999</v>
      </c>
      <c r="H712" s="496"/>
      <c r="I712" s="496">
        <f t="shared" si="35"/>
        <v>1034.3699999999999</v>
      </c>
      <c r="J712" s="499" t="s">
        <v>890</v>
      </c>
    </row>
    <row r="713" spans="1:10" hidden="1" x14ac:dyDescent="0.25">
      <c r="A713" s="383">
        <f t="shared" si="33"/>
        <v>22</v>
      </c>
      <c r="B713" s="487" t="s">
        <v>265</v>
      </c>
      <c r="C713" s="498" t="s">
        <v>913</v>
      </c>
      <c r="D713" s="487" t="s">
        <v>884</v>
      </c>
      <c r="E713" s="487" t="s">
        <v>868</v>
      </c>
      <c r="F713" s="487" t="str">
        <f t="shared" si="34"/>
        <v>S200002DNew England Power</v>
      </c>
      <c r="G713" s="499"/>
      <c r="H713" s="499">
        <f>VLOOKUP(F713,[2]Pivot!$R$20:$S$1359,2,FALSE)</f>
        <v>-1034.3699999999999</v>
      </c>
      <c r="I713" s="499">
        <f t="shared" si="35"/>
        <v>-1034.3699999999999</v>
      </c>
      <c r="J713" s="499" t="s">
        <v>890</v>
      </c>
    </row>
    <row r="714" spans="1:10" hidden="1" x14ac:dyDescent="0.25">
      <c r="A714" s="383">
        <f t="shared" si="33"/>
        <v>24</v>
      </c>
      <c r="B714" s="383" t="s">
        <v>265</v>
      </c>
      <c r="C714" s="497" t="s">
        <v>913</v>
      </c>
      <c r="D714" s="383" t="s">
        <v>1232</v>
      </c>
      <c r="E714" s="383" t="s">
        <v>868</v>
      </c>
      <c r="F714" s="383" t="str">
        <f t="shared" si="34"/>
        <v>S200002DVirginia Electric</v>
      </c>
      <c r="G714" s="496">
        <v>-0.01</v>
      </c>
      <c r="H714" s="496">
        <v>0.01</v>
      </c>
      <c r="I714" s="496">
        <f t="shared" si="35"/>
        <v>0</v>
      </c>
      <c r="J714" s="496" t="s">
        <v>869</v>
      </c>
    </row>
    <row r="715" spans="1:10" hidden="1" x14ac:dyDescent="0.25">
      <c r="A715" s="383">
        <f t="shared" si="33"/>
        <v>24</v>
      </c>
      <c r="B715" s="383" t="s">
        <v>265</v>
      </c>
      <c r="C715" s="497" t="s">
        <v>913</v>
      </c>
      <c r="D715" s="383" t="s">
        <v>1241</v>
      </c>
      <c r="E715" s="383" t="s">
        <v>868</v>
      </c>
      <c r="F715" s="383" t="str">
        <f t="shared" si="34"/>
        <v>S200002DWestern Area Powe</v>
      </c>
      <c r="G715" s="496">
        <v>717.59999999997672</v>
      </c>
      <c r="H715" s="496">
        <v>-717.6</v>
      </c>
      <c r="I715" s="496">
        <f t="shared" si="35"/>
        <v>0</v>
      </c>
      <c r="J715" s="496" t="s">
        <v>869</v>
      </c>
    </row>
    <row r="716" spans="1:10" hidden="1" x14ac:dyDescent="0.25">
      <c r="A716" s="383">
        <f t="shared" si="33"/>
        <v>19</v>
      </c>
      <c r="B716" s="383" t="s">
        <v>265</v>
      </c>
      <c r="C716" s="497" t="s">
        <v>913</v>
      </c>
      <c r="D716" s="383" t="s">
        <v>945</v>
      </c>
      <c r="E716" s="383" t="s">
        <v>887</v>
      </c>
      <c r="F716" s="383" t="str">
        <f t="shared" si="34"/>
        <v>S200002FPG&amp;E Energy Tradi</v>
      </c>
      <c r="G716" s="496">
        <v>-0.02</v>
      </c>
      <c r="H716" s="496">
        <v>0.02</v>
      </c>
      <c r="I716" s="496">
        <f t="shared" si="35"/>
        <v>0</v>
      </c>
      <c r="J716" s="496" t="s">
        <v>869</v>
      </c>
    </row>
    <row r="717" spans="1:10" hidden="1" x14ac:dyDescent="0.25">
      <c r="A717" s="383">
        <f t="shared" si="33"/>
        <v>20</v>
      </c>
      <c r="B717" s="383" t="s">
        <v>265</v>
      </c>
      <c r="C717" s="497" t="s">
        <v>913</v>
      </c>
      <c r="D717" s="383" t="s">
        <v>1164</v>
      </c>
      <c r="E717" s="383" t="s">
        <v>887</v>
      </c>
      <c r="F717" s="383" t="str">
        <f t="shared" si="34"/>
        <v>S200002FWestern Area Powe</v>
      </c>
      <c r="G717" s="496">
        <v>-717.59999999997672</v>
      </c>
      <c r="H717" s="496">
        <v>717.59999999997672</v>
      </c>
      <c r="I717" s="496">
        <f t="shared" si="35"/>
        <v>0</v>
      </c>
      <c r="J717" s="496" t="s">
        <v>869</v>
      </c>
    </row>
    <row r="718" spans="1:10" hidden="1" x14ac:dyDescent="0.25">
      <c r="A718" s="383">
        <f t="shared" si="33"/>
        <v>24</v>
      </c>
      <c r="B718" s="383" t="s">
        <v>265</v>
      </c>
      <c r="C718" s="497" t="s">
        <v>918</v>
      </c>
      <c r="D718" s="383" t="s">
        <v>1242</v>
      </c>
      <c r="E718" s="383" t="s">
        <v>868</v>
      </c>
      <c r="F718" s="383" t="str">
        <f t="shared" si="34"/>
        <v>S200003DMerchant Energy G</v>
      </c>
      <c r="G718" s="496">
        <v>0</v>
      </c>
      <c r="H718" s="496">
        <v>0</v>
      </c>
      <c r="I718" s="496">
        <f t="shared" si="35"/>
        <v>0</v>
      </c>
      <c r="J718" s="496" t="s">
        <v>869</v>
      </c>
    </row>
    <row r="719" spans="1:10" hidden="1" x14ac:dyDescent="0.25">
      <c r="A719" s="383">
        <f t="shared" si="33"/>
        <v>23</v>
      </c>
      <c r="B719" s="383" t="s">
        <v>265</v>
      </c>
      <c r="C719" s="497" t="s">
        <v>918</v>
      </c>
      <c r="D719" s="383" t="s">
        <v>1243</v>
      </c>
      <c r="E719" s="383" t="s">
        <v>868</v>
      </c>
      <c r="F719" s="383" t="str">
        <f t="shared" si="34"/>
        <v>S200003DMontana Power Com</v>
      </c>
      <c r="G719" s="496">
        <v>0</v>
      </c>
      <c r="H719" s="496">
        <v>0</v>
      </c>
      <c r="I719" s="496">
        <f t="shared" si="35"/>
        <v>0</v>
      </c>
      <c r="J719" s="496" t="s">
        <v>869</v>
      </c>
    </row>
    <row r="720" spans="1:10" hidden="1" x14ac:dyDescent="0.25">
      <c r="A720" s="383">
        <f t="shared" si="33"/>
        <v>22</v>
      </c>
      <c r="B720" s="487" t="s">
        <v>265</v>
      </c>
      <c r="C720" s="498" t="s">
        <v>918</v>
      </c>
      <c r="D720" s="487" t="s">
        <v>884</v>
      </c>
      <c r="E720" s="487" t="s">
        <v>887</v>
      </c>
      <c r="F720" s="487" t="str">
        <f t="shared" si="34"/>
        <v>S200003FNew England Power</v>
      </c>
      <c r="G720" s="499"/>
      <c r="H720" s="499">
        <f>VLOOKUP(F720,[2]Pivot!$R$20:$S$1359,2,FALSE)</f>
        <v>0</v>
      </c>
      <c r="I720" s="499">
        <f t="shared" si="35"/>
        <v>0</v>
      </c>
      <c r="J720" s="496" t="s">
        <v>869</v>
      </c>
    </row>
    <row r="721" spans="1:10" hidden="1" x14ac:dyDescent="0.25">
      <c r="A721" s="383">
        <f t="shared" si="33"/>
        <v>19</v>
      </c>
      <c r="B721" s="383" t="s">
        <v>265</v>
      </c>
      <c r="C721" s="497" t="s">
        <v>918</v>
      </c>
      <c r="D721" s="383" t="s">
        <v>945</v>
      </c>
      <c r="E721" s="383" t="s">
        <v>887</v>
      </c>
      <c r="F721" s="383" t="str">
        <f t="shared" si="34"/>
        <v>S200003FPG&amp;E Energy Tradi</v>
      </c>
      <c r="G721" s="496">
        <v>-0.18</v>
      </c>
      <c r="H721" s="496">
        <v>0.18</v>
      </c>
      <c r="I721" s="496">
        <f t="shared" si="35"/>
        <v>0</v>
      </c>
      <c r="J721" s="496" t="s">
        <v>869</v>
      </c>
    </row>
    <row r="722" spans="1:10" hidden="1" x14ac:dyDescent="0.25">
      <c r="A722" s="383">
        <f t="shared" si="33"/>
        <v>20</v>
      </c>
      <c r="B722" s="383" t="s">
        <v>265</v>
      </c>
      <c r="C722" s="497" t="s">
        <v>920</v>
      </c>
      <c r="D722" s="383" t="s">
        <v>520</v>
      </c>
      <c r="E722" s="383" t="s">
        <v>868</v>
      </c>
      <c r="F722" s="383" t="str">
        <f t="shared" si="34"/>
        <v>S200004DISO New England I</v>
      </c>
      <c r="G722" s="496">
        <v>1249.97</v>
      </c>
      <c r="H722" s="496"/>
      <c r="I722" s="496">
        <f t="shared" si="35"/>
        <v>1249.97</v>
      </c>
      <c r="J722" s="499" t="s">
        <v>890</v>
      </c>
    </row>
    <row r="723" spans="1:10" hidden="1" x14ac:dyDescent="0.25">
      <c r="A723" s="383">
        <f t="shared" si="33"/>
        <v>23</v>
      </c>
      <c r="B723" s="383" t="s">
        <v>265</v>
      </c>
      <c r="C723" s="497" t="s">
        <v>920</v>
      </c>
      <c r="D723" s="383" t="s">
        <v>1244</v>
      </c>
      <c r="E723" s="383" t="s">
        <v>868</v>
      </c>
      <c r="F723" s="383" t="str">
        <f t="shared" si="34"/>
        <v>S200004DLas Vegas Cogener</v>
      </c>
      <c r="G723" s="496">
        <v>116734.95</v>
      </c>
      <c r="H723" s="496">
        <v>-116734.95</v>
      </c>
      <c r="I723" s="496">
        <f t="shared" si="35"/>
        <v>0</v>
      </c>
      <c r="J723" s="496" t="s">
        <v>869</v>
      </c>
    </row>
    <row r="724" spans="1:10" hidden="1" x14ac:dyDescent="0.25">
      <c r="A724" s="383">
        <f t="shared" si="33"/>
        <v>22</v>
      </c>
      <c r="B724" s="487" t="s">
        <v>265</v>
      </c>
      <c r="C724" s="498" t="s">
        <v>920</v>
      </c>
      <c r="D724" s="487" t="s">
        <v>884</v>
      </c>
      <c r="E724" s="487" t="s">
        <v>868</v>
      </c>
      <c r="F724" s="487" t="str">
        <f t="shared" si="34"/>
        <v>S200004DNew England Power</v>
      </c>
      <c r="G724" s="499"/>
      <c r="H724" s="499">
        <f>VLOOKUP(F724,[2]Pivot!$R$20:$S$1359,2,FALSE)</f>
        <v>-1249.97</v>
      </c>
      <c r="I724" s="499">
        <f t="shared" si="35"/>
        <v>-1249.97</v>
      </c>
      <c r="J724" s="499" t="s">
        <v>890</v>
      </c>
    </row>
    <row r="725" spans="1:10" hidden="1" x14ac:dyDescent="0.25">
      <c r="A725" s="383">
        <f t="shared" si="33"/>
        <v>20</v>
      </c>
      <c r="B725" s="383" t="s">
        <v>265</v>
      </c>
      <c r="C725" s="497" t="s">
        <v>920</v>
      </c>
      <c r="D725" s="383" t="s">
        <v>925</v>
      </c>
      <c r="E725" s="383" t="s">
        <v>887</v>
      </c>
      <c r="F725" s="383" t="str">
        <f t="shared" si="34"/>
        <v>S200004FAvista Corporatio</v>
      </c>
      <c r="G725" s="496">
        <v>-12936</v>
      </c>
      <c r="H725" s="496">
        <v>12936</v>
      </c>
      <c r="I725" s="496">
        <f t="shared" si="35"/>
        <v>0</v>
      </c>
      <c r="J725" s="496" t="s">
        <v>869</v>
      </c>
    </row>
    <row r="726" spans="1:10" hidden="1" x14ac:dyDescent="0.25">
      <c r="A726" s="383">
        <f t="shared" si="33"/>
        <v>20</v>
      </c>
      <c r="B726" s="383" t="s">
        <v>265</v>
      </c>
      <c r="C726" s="497" t="s">
        <v>920</v>
      </c>
      <c r="D726" s="383" t="s">
        <v>893</v>
      </c>
      <c r="E726" s="383" t="s">
        <v>887</v>
      </c>
      <c r="F726" s="383" t="str">
        <f t="shared" si="34"/>
        <v>S200004FDynegy Power Mark</v>
      </c>
      <c r="G726" s="496">
        <v>12188</v>
      </c>
      <c r="H726" s="496">
        <v>-12188</v>
      </c>
      <c r="I726" s="496">
        <f t="shared" si="35"/>
        <v>0</v>
      </c>
      <c r="J726" s="496" t="s">
        <v>869</v>
      </c>
    </row>
    <row r="727" spans="1:10" hidden="1" x14ac:dyDescent="0.25">
      <c r="A727" s="383">
        <f t="shared" si="33"/>
        <v>20</v>
      </c>
      <c r="B727" s="383" t="s">
        <v>265</v>
      </c>
      <c r="C727" s="497" t="s">
        <v>920</v>
      </c>
      <c r="D727" s="383" t="s">
        <v>926</v>
      </c>
      <c r="E727" s="383" t="s">
        <v>887</v>
      </c>
      <c r="F727" s="383" t="str">
        <f t="shared" si="34"/>
        <v>S200004FLas Vegas Cogener</v>
      </c>
      <c r="G727" s="496">
        <v>-116734.95</v>
      </c>
      <c r="H727" s="496">
        <v>116734.95</v>
      </c>
      <c r="I727" s="496">
        <f t="shared" si="35"/>
        <v>0</v>
      </c>
      <c r="J727" s="496" t="s">
        <v>869</v>
      </c>
    </row>
    <row r="728" spans="1:10" hidden="1" x14ac:dyDescent="0.25">
      <c r="A728" s="383">
        <f t="shared" si="33"/>
        <v>24</v>
      </c>
      <c r="B728" s="383" t="s">
        <v>265</v>
      </c>
      <c r="C728" s="497" t="s">
        <v>928</v>
      </c>
      <c r="D728" s="383" t="s">
        <v>1240</v>
      </c>
      <c r="E728" s="383" t="s">
        <v>868</v>
      </c>
      <c r="F728" s="383" t="str">
        <f t="shared" si="34"/>
        <v xml:space="preserve">S200005DEl Paso Electric </v>
      </c>
      <c r="G728" s="496">
        <v>1.3642420526593924E-12</v>
      </c>
      <c r="H728" s="496">
        <v>0</v>
      </c>
      <c r="I728" s="496">
        <f t="shared" si="35"/>
        <v>0</v>
      </c>
      <c r="J728" s="496" t="s">
        <v>869</v>
      </c>
    </row>
    <row r="729" spans="1:10" hidden="1" x14ac:dyDescent="0.25">
      <c r="A729" s="383">
        <f t="shared" si="33"/>
        <v>23</v>
      </c>
      <c r="B729" s="383" t="s">
        <v>265</v>
      </c>
      <c r="C729" s="497" t="s">
        <v>928</v>
      </c>
      <c r="D729" s="383" t="s">
        <v>1244</v>
      </c>
      <c r="E729" s="383" t="s">
        <v>868</v>
      </c>
      <c r="F729" s="383" t="str">
        <f t="shared" si="34"/>
        <v>S200005DLas Vegas Cogener</v>
      </c>
      <c r="G729" s="496">
        <v>13355.92</v>
      </c>
      <c r="H729" s="496">
        <v>-13355.92</v>
      </c>
      <c r="I729" s="496">
        <f t="shared" si="35"/>
        <v>0</v>
      </c>
      <c r="J729" s="496" t="s">
        <v>869</v>
      </c>
    </row>
    <row r="730" spans="1:10" hidden="1" x14ac:dyDescent="0.25">
      <c r="A730" s="383">
        <f t="shared" si="33"/>
        <v>24</v>
      </c>
      <c r="B730" s="383" t="s">
        <v>265</v>
      </c>
      <c r="C730" s="497" t="s">
        <v>928</v>
      </c>
      <c r="D730" s="383" t="s">
        <v>1245</v>
      </c>
      <c r="E730" s="383" t="s">
        <v>868</v>
      </c>
      <c r="F730" s="383" t="str">
        <f t="shared" si="34"/>
        <v>S200005DNew York Independ</v>
      </c>
      <c r="G730" s="496">
        <v>-11.230000000447035</v>
      </c>
      <c r="H730" s="496">
        <v>11.23</v>
      </c>
      <c r="I730" s="496">
        <f t="shared" si="35"/>
        <v>0</v>
      </c>
      <c r="J730" s="496" t="s">
        <v>869</v>
      </c>
    </row>
    <row r="731" spans="1:10" hidden="1" x14ac:dyDescent="0.25">
      <c r="A731" s="383">
        <f t="shared" si="33"/>
        <v>24</v>
      </c>
      <c r="B731" s="383" t="s">
        <v>265</v>
      </c>
      <c r="C731" s="497" t="s">
        <v>928</v>
      </c>
      <c r="D731" s="383" t="s">
        <v>1232</v>
      </c>
      <c r="E731" s="383" t="s">
        <v>868</v>
      </c>
      <c r="F731" s="383" t="str">
        <f t="shared" si="34"/>
        <v>S200005DVirginia Electric</v>
      </c>
      <c r="G731" s="496">
        <v>-0.03</v>
      </c>
      <c r="H731" s="496">
        <v>0.03</v>
      </c>
      <c r="I731" s="496">
        <f t="shared" si="35"/>
        <v>0</v>
      </c>
      <c r="J731" s="496" t="s">
        <v>869</v>
      </c>
    </row>
    <row r="732" spans="1:10" hidden="1" x14ac:dyDescent="0.25">
      <c r="A732" s="383">
        <f t="shared" si="33"/>
        <v>20</v>
      </c>
      <c r="B732" s="383" t="s">
        <v>265</v>
      </c>
      <c r="C732" s="497" t="s">
        <v>928</v>
      </c>
      <c r="D732" s="383" t="s">
        <v>925</v>
      </c>
      <c r="E732" s="383" t="s">
        <v>887</v>
      </c>
      <c r="F732" s="383" t="str">
        <f t="shared" si="34"/>
        <v>S200005FAvista Corporatio</v>
      </c>
      <c r="G732" s="496">
        <v>300</v>
      </c>
      <c r="H732" s="496">
        <v>-300</v>
      </c>
      <c r="I732" s="496">
        <f t="shared" si="35"/>
        <v>0</v>
      </c>
      <c r="J732" s="496" t="s">
        <v>869</v>
      </c>
    </row>
    <row r="733" spans="1:10" hidden="1" x14ac:dyDescent="0.25">
      <c r="A733" s="383">
        <f t="shared" si="33"/>
        <v>20</v>
      </c>
      <c r="B733" s="383" t="s">
        <v>265</v>
      </c>
      <c r="C733" s="497" t="s">
        <v>928</v>
      </c>
      <c r="D733" s="383" t="s">
        <v>893</v>
      </c>
      <c r="E733" s="383" t="s">
        <v>887</v>
      </c>
      <c r="F733" s="383" t="str">
        <f t="shared" si="34"/>
        <v>S200005FDynegy Power Mark</v>
      </c>
      <c r="G733" s="496">
        <v>-0.02</v>
      </c>
      <c r="H733" s="496">
        <v>0.02</v>
      </c>
      <c r="I733" s="496">
        <f t="shared" si="35"/>
        <v>0</v>
      </c>
      <c r="J733" s="496" t="s">
        <v>869</v>
      </c>
    </row>
    <row r="734" spans="1:10" hidden="1" x14ac:dyDescent="0.25">
      <c r="A734" s="383">
        <f t="shared" si="33"/>
        <v>20</v>
      </c>
      <c r="B734" s="383" t="s">
        <v>265</v>
      </c>
      <c r="C734" s="497" t="s">
        <v>928</v>
      </c>
      <c r="D734" s="383" t="s">
        <v>926</v>
      </c>
      <c r="E734" s="383" t="s">
        <v>887</v>
      </c>
      <c r="F734" s="383" t="str">
        <f t="shared" si="34"/>
        <v>S200005FLas Vegas Cogener</v>
      </c>
      <c r="G734" s="496">
        <v>-30532.79</v>
      </c>
      <c r="H734" s="496">
        <v>30532.79</v>
      </c>
      <c r="I734" s="496">
        <f t="shared" si="35"/>
        <v>0</v>
      </c>
      <c r="J734" s="496" t="s">
        <v>869</v>
      </c>
    </row>
    <row r="735" spans="1:10" hidden="1" x14ac:dyDescent="0.25">
      <c r="A735" s="383">
        <f t="shared" si="33"/>
        <v>20</v>
      </c>
      <c r="B735" s="383" t="s">
        <v>265</v>
      </c>
      <c r="C735" s="497" t="s">
        <v>928</v>
      </c>
      <c r="D735" s="383" t="s">
        <v>1131</v>
      </c>
      <c r="E735" s="383" t="s">
        <v>887</v>
      </c>
      <c r="F735" s="383" t="str">
        <f t="shared" si="34"/>
        <v>S200005FMerrill Lynch Cap</v>
      </c>
      <c r="G735" s="496">
        <v>-7.0000000000000007E-2</v>
      </c>
      <c r="H735" s="496">
        <v>7.0000000000000007E-2</v>
      </c>
      <c r="I735" s="496">
        <f t="shared" si="35"/>
        <v>0</v>
      </c>
      <c r="J735" s="496" t="s">
        <v>869</v>
      </c>
    </row>
    <row r="736" spans="1:10" hidden="1" x14ac:dyDescent="0.25">
      <c r="A736" s="383">
        <f t="shared" si="33"/>
        <v>22</v>
      </c>
      <c r="B736" s="487" t="s">
        <v>265</v>
      </c>
      <c r="C736" s="498" t="s">
        <v>928</v>
      </c>
      <c r="D736" s="487" t="s">
        <v>884</v>
      </c>
      <c r="E736" s="487" t="s">
        <v>887</v>
      </c>
      <c r="F736" s="487" t="str">
        <f t="shared" si="34"/>
        <v>S200005FNew England Power</v>
      </c>
      <c r="G736" s="499"/>
      <c r="H736" s="499">
        <f>VLOOKUP(F736,[2]Pivot!$R$20:$S$1359,2,FALSE)</f>
        <v>0</v>
      </c>
      <c r="I736" s="499">
        <f t="shared" si="35"/>
        <v>0</v>
      </c>
      <c r="J736" s="496" t="s">
        <v>869</v>
      </c>
    </row>
    <row r="737" spans="1:10" hidden="1" x14ac:dyDescent="0.25">
      <c r="A737" s="383">
        <f t="shared" si="33"/>
        <v>19</v>
      </c>
      <c r="B737" s="383" t="s">
        <v>265</v>
      </c>
      <c r="C737" s="497" t="s">
        <v>928</v>
      </c>
      <c r="D737" s="383" t="s">
        <v>941</v>
      </c>
      <c r="E737" s="383" t="s">
        <v>887</v>
      </c>
      <c r="F737" s="383" t="str">
        <f t="shared" si="34"/>
        <v>S200005FPuget Sound Energ</v>
      </c>
      <c r="G737" s="496">
        <v>-0.01</v>
      </c>
      <c r="H737" s="496">
        <v>0.01</v>
      </c>
      <c r="I737" s="496">
        <f t="shared" si="35"/>
        <v>0</v>
      </c>
      <c r="J737" s="496" t="s">
        <v>869</v>
      </c>
    </row>
    <row r="738" spans="1:10" hidden="1" x14ac:dyDescent="0.25">
      <c r="A738" s="383">
        <f t="shared" si="33"/>
        <v>24</v>
      </c>
      <c r="B738" s="383" t="s">
        <v>265</v>
      </c>
      <c r="C738" s="497" t="s">
        <v>933</v>
      </c>
      <c r="D738" s="383" t="s">
        <v>1240</v>
      </c>
      <c r="E738" s="383" t="s">
        <v>868</v>
      </c>
      <c r="F738" s="383" t="str">
        <f t="shared" si="34"/>
        <v xml:space="preserve">S200006DEl Paso Electric </v>
      </c>
      <c r="G738" s="496">
        <v>0</v>
      </c>
      <c r="H738" s="496">
        <v>0</v>
      </c>
      <c r="I738" s="496">
        <f t="shared" si="35"/>
        <v>0</v>
      </c>
      <c r="J738" s="496" t="s">
        <v>869</v>
      </c>
    </row>
    <row r="739" spans="1:10" hidden="1" x14ac:dyDescent="0.25">
      <c r="A739" s="383">
        <f t="shared" si="33"/>
        <v>18</v>
      </c>
      <c r="B739" s="487" t="s">
        <v>265</v>
      </c>
      <c r="C739" s="498" t="s">
        <v>933</v>
      </c>
      <c r="D739" s="487" t="s">
        <v>1246</v>
      </c>
      <c r="E739" s="487" t="s">
        <v>868</v>
      </c>
      <c r="F739" s="487" t="str">
        <f t="shared" si="34"/>
        <v>S200006DEnron Canada Corp</v>
      </c>
      <c r="G739" s="499"/>
      <c r="H739" s="499">
        <f>VLOOKUP(F739,[2]Pivot!$R$20:$S$1359,2,FALSE)</f>
        <v>0</v>
      </c>
      <c r="I739" s="499">
        <f t="shared" si="35"/>
        <v>0</v>
      </c>
      <c r="J739" s="496" t="s">
        <v>869</v>
      </c>
    </row>
    <row r="740" spans="1:10" hidden="1" x14ac:dyDescent="0.25">
      <c r="A740" s="383">
        <f t="shared" si="33"/>
        <v>24</v>
      </c>
      <c r="B740" s="383" t="s">
        <v>265</v>
      </c>
      <c r="C740" s="497" t="s">
        <v>933</v>
      </c>
      <c r="D740" s="383" t="s">
        <v>1247</v>
      </c>
      <c r="E740" s="383" t="s">
        <v>868</v>
      </c>
      <c r="F740" s="383" t="str">
        <f t="shared" si="34"/>
        <v>S200006DJacksonville Elec</v>
      </c>
      <c r="G740" s="496">
        <v>-512500</v>
      </c>
      <c r="H740" s="496">
        <v>512500</v>
      </c>
      <c r="I740" s="496">
        <f t="shared" si="35"/>
        <v>0</v>
      </c>
      <c r="J740" s="496" t="s">
        <v>869</v>
      </c>
    </row>
    <row r="741" spans="1:10" x14ac:dyDescent="0.25">
      <c r="A741" s="383">
        <f t="shared" si="33"/>
        <v>10</v>
      </c>
      <c r="B741" s="383" t="s">
        <v>265</v>
      </c>
      <c r="C741" s="495" t="s">
        <v>933</v>
      </c>
      <c r="D741" s="383" t="s">
        <v>940</v>
      </c>
      <c r="E741" s="383" t="s">
        <v>868</v>
      </c>
      <c r="F741" s="383" t="str">
        <f t="shared" si="34"/>
        <v>S200006DPacificorp</v>
      </c>
      <c r="G741" s="496">
        <v>-16488524</v>
      </c>
      <c r="H741" s="496">
        <v>0</v>
      </c>
      <c r="I741" s="496">
        <f t="shared" si="35"/>
        <v>-16488524</v>
      </c>
      <c r="J741" s="496"/>
    </row>
    <row r="742" spans="1:10" hidden="1" x14ac:dyDescent="0.25">
      <c r="A742" s="383">
        <f t="shared" si="33"/>
        <v>24</v>
      </c>
      <c r="B742" s="383" t="s">
        <v>265</v>
      </c>
      <c r="C742" s="497" t="s">
        <v>933</v>
      </c>
      <c r="D742" s="383" t="s">
        <v>1248</v>
      </c>
      <c r="E742" s="383" t="s">
        <v>868</v>
      </c>
      <c r="F742" s="383" t="str">
        <f t="shared" si="34"/>
        <v>S200006DPJM Interconnecti</v>
      </c>
      <c r="G742" s="496">
        <v>-442537.52</v>
      </c>
      <c r="H742" s="496">
        <v>442537.52</v>
      </c>
      <c r="I742" s="496">
        <f t="shared" si="35"/>
        <v>0</v>
      </c>
      <c r="J742" s="496" t="s">
        <v>869</v>
      </c>
    </row>
    <row r="743" spans="1:10" hidden="1" x14ac:dyDescent="0.25">
      <c r="A743" s="383">
        <f t="shared" si="33"/>
        <v>24</v>
      </c>
      <c r="B743" s="383" t="s">
        <v>265</v>
      </c>
      <c r="C743" s="497" t="s">
        <v>933</v>
      </c>
      <c r="D743" s="383" t="s">
        <v>1249</v>
      </c>
      <c r="E743" s="383" t="s">
        <v>868</v>
      </c>
      <c r="F743" s="383" t="str">
        <f t="shared" si="34"/>
        <v xml:space="preserve">S200006DPortland General </v>
      </c>
      <c r="G743" s="496">
        <v>27679.870000000123</v>
      </c>
      <c r="H743" s="496">
        <v>-27679.87</v>
      </c>
      <c r="I743" s="496">
        <f t="shared" si="35"/>
        <v>0</v>
      </c>
      <c r="J743" s="496" t="s">
        <v>869</v>
      </c>
    </row>
    <row r="744" spans="1:10" x14ac:dyDescent="0.25">
      <c r="A744" s="383">
        <f t="shared" si="33"/>
        <v>24</v>
      </c>
      <c r="B744" s="383" t="s">
        <v>265</v>
      </c>
      <c r="C744" s="495" t="s">
        <v>933</v>
      </c>
      <c r="D744" s="383" t="s">
        <v>953</v>
      </c>
      <c r="E744" s="383" t="s">
        <v>868</v>
      </c>
      <c r="F744" s="383" t="str">
        <f t="shared" si="34"/>
        <v>S200006DPuget Sound Energ</v>
      </c>
      <c r="G744" s="496">
        <v>-8639047.9499999993</v>
      </c>
      <c r="H744" s="496">
        <v>0.06</v>
      </c>
      <c r="I744" s="496">
        <f t="shared" si="35"/>
        <v>-8639047.8900000006</v>
      </c>
      <c r="J744" s="496"/>
    </row>
    <row r="745" spans="1:10" hidden="1" x14ac:dyDescent="0.25">
      <c r="A745" s="383">
        <f t="shared" si="33"/>
        <v>24</v>
      </c>
      <c r="B745" s="383" t="s">
        <v>265</v>
      </c>
      <c r="C745" s="497" t="s">
        <v>933</v>
      </c>
      <c r="D745" s="383" t="s">
        <v>1250</v>
      </c>
      <c r="E745" s="383" t="s">
        <v>868</v>
      </c>
      <c r="F745" s="383" t="str">
        <f t="shared" si="34"/>
        <v xml:space="preserve">S200006DTransAlta Energy </v>
      </c>
      <c r="G745" s="496">
        <v>270400</v>
      </c>
      <c r="H745" s="496">
        <v>-270400</v>
      </c>
      <c r="I745" s="496">
        <f t="shared" si="35"/>
        <v>0</v>
      </c>
      <c r="J745" s="496" t="s">
        <v>869</v>
      </c>
    </row>
    <row r="746" spans="1:10" hidden="1" x14ac:dyDescent="0.25">
      <c r="A746" s="383">
        <f t="shared" si="33"/>
        <v>24</v>
      </c>
      <c r="B746" s="383" t="s">
        <v>265</v>
      </c>
      <c r="C746" s="497" t="s">
        <v>933</v>
      </c>
      <c r="D746" s="383" t="s">
        <v>1241</v>
      </c>
      <c r="E746" s="383" t="s">
        <v>868</v>
      </c>
      <c r="F746" s="383" t="str">
        <f t="shared" si="34"/>
        <v>S200006DWestern Area Powe</v>
      </c>
      <c r="G746" s="496">
        <v>0</v>
      </c>
      <c r="H746" s="496">
        <v>0</v>
      </c>
      <c r="I746" s="496">
        <f t="shared" si="35"/>
        <v>0</v>
      </c>
      <c r="J746" s="496" t="s">
        <v>869</v>
      </c>
    </row>
    <row r="747" spans="1:10" hidden="1" x14ac:dyDescent="0.25">
      <c r="A747" s="383">
        <f t="shared" si="33"/>
        <v>20</v>
      </c>
      <c r="B747" s="383" t="s">
        <v>265</v>
      </c>
      <c r="C747" s="497" t="s">
        <v>933</v>
      </c>
      <c r="D747" s="383" t="s">
        <v>925</v>
      </c>
      <c r="E747" s="383" t="s">
        <v>887</v>
      </c>
      <c r="F747" s="383" t="str">
        <f t="shared" si="34"/>
        <v>S200006FAvista Corporatio</v>
      </c>
      <c r="G747" s="496">
        <v>-3665</v>
      </c>
      <c r="H747" s="496">
        <v>3665</v>
      </c>
      <c r="I747" s="496">
        <f t="shared" si="35"/>
        <v>0</v>
      </c>
      <c r="J747" s="496" t="s">
        <v>869</v>
      </c>
    </row>
    <row r="748" spans="1:10" hidden="1" x14ac:dyDescent="0.25">
      <c r="A748" s="383">
        <f t="shared" si="33"/>
        <v>20</v>
      </c>
      <c r="B748" s="383" t="s">
        <v>265</v>
      </c>
      <c r="C748" s="497" t="s">
        <v>933</v>
      </c>
      <c r="D748" s="383" t="s">
        <v>893</v>
      </c>
      <c r="E748" s="383" t="s">
        <v>887</v>
      </c>
      <c r="F748" s="383" t="str">
        <f t="shared" si="34"/>
        <v>S200006FDynegy Power Mark</v>
      </c>
      <c r="G748" s="496">
        <v>-0.08</v>
      </c>
      <c r="H748" s="496">
        <v>0.08</v>
      </c>
      <c r="I748" s="496">
        <f t="shared" si="35"/>
        <v>0</v>
      </c>
      <c r="J748" s="496" t="s">
        <v>869</v>
      </c>
    </row>
    <row r="749" spans="1:10" hidden="1" x14ac:dyDescent="0.25">
      <c r="A749" s="383">
        <f t="shared" si="33"/>
        <v>20</v>
      </c>
      <c r="B749" s="383" t="s">
        <v>265</v>
      </c>
      <c r="C749" s="497" t="s">
        <v>933</v>
      </c>
      <c r="D749" s="383" t="s">
        <v>1131</v>
      </c>
      <c r="E749" s="383" t="s">
        <v>887</v>
      </c>
      <c r="F749" s="383" t="str">
        <f t="shared" si="34"/>
        <v>S200006FMerrill Lynch Cap</v>
      </c>
      <c r="G749" s="496">
        <v>-0.11</v>
      </c>
      <c r="H749" s="496">
        <v>0.11</v>
      </c>
      <c r="I749" s="496">
        <f t="shared" si="35"/>
        <v>0</v>
      </c>
      <c r="J749" s="496" t="s">
        <v>869</v>
      </c>
    </row>
    <row r="750" spans="1:10" hidden="1" x14ac:dyDescent="0.25">
      <c r="A750" s="383">
        <f t="shared" si="33"/>
        <v>22</v>
      </c>
      <c r="B750" s="487" t="s">
        <v>265</v>
      </c>
      <c r="C750" s="498" t="s">
        <v>933</v>
      </c>
      <c r="D750" s="487" t="s">
        <v>884</v>
      </c>
      <c r="E750" s="487" t="s">
        <v>887</v>
      </c>
      <c r="F750" s="487" t="str">
        <f t="shared" si="34"/>
        <v>S200006FNew England Power</v>
      </c>
      <c r="G750" s="499"/>
      <c r="H750" s="499">
        <f>VLOOKUP(F750,[2]Pivot!$R$20:$S$1359,2,FALSE)</f>
        <v>0</v>
      </c>
      <c r="I750" s="499">
        <f t="shared" si="35"/>
        <v>0</v>
      </c>
      <c r="J750" s="496" t="s">
        <v>869</v>
      </c>
    </row>
    <row r="751" spans="1:10" hidden="1" x14ac:dyDescent="0.25">
      <c r="A751" s="383">
        <f t="shared" si="33"/>
        <v>19</v>
      </c>
      <c r="B751" s="383" t="s">
        <v>265</v>
      </c>
      <c r="C751" s="497" t="s">
        <v>933</v>
      </c>
      <c r="D751" s="383" t="s">
        <v>945</v>
      </c>
      <c r="E751" s="383" t="s">
        <v>887</v>
      </c>
      <c r="F751" s="383" t="str">
        <f t="shared" si="34"/>
        <v>S200006FPG&amp;E Energy Tradi</v>
      </c>
      <c r="G751" s="496">
        <v>-0.28000000000000003</v>
      </c>
      <c r="H751" s="496">
        <v>0.28000000000000003</v>
      </c>
      <c r="I751" s="496">
        <f t="shared" si="35"/>
        <v>0</v>
      </c>
      <c r="J751" s="496" t="s">
        <v>869</v>
      </c>
    </row>
    <row r="752" spans="1:10" hidden="1" x14ac:dyDescent="0.25">
      <c r="A752" s="383">
        <f t="shared" si="33"/>
        <v>20</v>
      </c>
      <c r="B752" s="383" t="s">
        <v>265</v>
      </c>
      <c r="C752" s="497" t="s">
        <v>933</v>
      </c>
      <c r="D752" s="383" t="s">
        <v>1158</v>
      </c>
      <c r="E752" s="383" t="s">
        <v>887</v>
      </c>
      <c r="F752" s="383" t="str">
        <f t="shared" si="34"/>
        <v xml:space="preserve">S200006FTransAlta Energy </v>
      </c>
      <c r="G752" s="496">
        <v>-270400</v>
      </c>
      <c r="H752" s="496">
        <v>270400</v>
      </c>
      <c r="I752" s="496">
        <f t="shared" si="35"/>
        <v>0</v>
      </c>
      <c r="J752" s="496" t="s">
        <v>869</v>
      </c>
    </row>
    <row r="753" spans="1:10" hidden="1" x14ac:dyDescent="0.25">
      <c r="A753" s="383">
        <f t="shared" si="33"/>
        <v>23</v>
      </c>
      <c r="B753" s="383" t="s">
        <v>265</v>
      </c>
      <c r="C753" s="497" t="s">
        <v>947</v>
      </c>
      <c r="D753" s="383" t="s">
        <v>1235</v>
      </c>
      <c r="E753" s="383" t="s">
        <v>868</v>
      </c>
      <c r="F753" s="383" t="str">
        <f t="shared" si="34"/>
        <v>S200007DAmerican Electric</v>
      </c>
      <c r="G753" s="496">
        <v>116600</v>
      </c>
      <c r="H753" s="496">
        <v>-116600</v>
      </c>
      <c r="I753" s="496">
        <f t="shared" si="35"/>
        <v>0</v>
      </c>
      <c r="J753" s="496" t="s">
        <v>869</v>
      </c>
    </row>
    <row r="754" spans="1:10" x14ac:dyDescent="0.25">
      <c r="A754" s="383">
        <f t="shared" si="33"/>
        <v>23</v>
      </c>
      <c r="B754" s="383" t="s">
        <v>265</v>
      </c>
      <c r="C754" s="495" t="s">
        <v>947</v>
      </c>
      <c r="D754" s="383" t="s">
        <v>1251</v>
      </c>
      <c r="E754" s="383" t="s">
        <v>868</v>
      </c>
      <c r="F754" s="383" t="str">
        <f t="shared" si="34"/>
        <v>S200007DCalifornia Supple</v>
      </c>
      <c r="G754" s="496">
        <v>-1194</v>
      </c>
      <c r="H754" s="496">
        <v>0</v>
      </c>
      <c r="I754" s="496">
        <f t="shared" si="35"/>
        <v>-1194</v>
      </c>
      <c r="J754" s="496"/>
    </row>
    <row r="755" spans="1:10" hidden="1" x14ac:dyDescent="0.25">
      <c r="A755" s="383">
        <f t="shared" si="33"/>
        <v>24</v>
      </c>
      <c r="B755" s="383" t="s">
        <v>265</v>
      </c>
      <c r="C755" s="497" t="s">
        <v>947</v>
      </c>
      <c r="D755" s="383" t="s">
        <v>1252</v>
      </c>
      <c r="E755" s="383" t="s">
        <v>868</v>
      </c>
      <c r="F755" s="383" t="str">
        <f t="shared" si="34"/>
        <v>S200007DCity of Tacoma, D</v>
      </c>
      <c r="G755" s="496">
        <v>2097.6</v>
      </c>
      <c r="H755" s="496">
        <v>-2097.6</v>
      </c>
      <c r="I755" s="496">
        <f t="shared" si="35"/>
        <v>0</v>
      </c>
      <c r="J755" s="496" t="s">
        <v>869</v>
      </c>
    </row>
    <row r="756" spans="1:10" hidden="1" x14ac:dyDescent="0.25">
      <c r="A756" s="383">
        <f t="shared" si="33"/>
        <v>24</v>
      </c>
      <c r="B756" s="383" t="s">
        <v>265</v>
      </c>
      <c r="C756" s="497" t="s">
        <v>947</v>
      </c>
      <c r="D756" s="383" t="s">
        <v>1253</v>
      </c>
      <c r="E756" s="383" t="s">
        <v>868</v>
      </c>
      <c r="F756" s="383" t="str">
        <f t="shared" si="34"/>
        <v>S200007DConoco Power Mark</v>
      </c>
      <c r="G756" s="496">
        <v>-1352.4</v>
      </c>
      <c r="H756" s="496">
        <v>1352.4</v>
      </c>
      <c r="I756" s="496">
        <f t="shared" si="35"/>
        <v>0</v>
      </c>
      <c r="J756" s="496" t="s">
        <v>869</v>
      </c>
    </row>
    <row r="757" spans="1:10" hidden="1" x14ac:dyDescent="0.25">
      <c r="A757" s="383">
        <f t="shared" si="33"/>
        <v>24</v>
      </c>
      <c r="B757" s="383" t="s">
        <v>265</v>
      </c>
      <c r="C757" s="497" t="s">
        <v>947</v>
      </c>
      <c r="D757" s="383" t="s">
        <v>1254</v>
      </c>
      <c r="E757" s="383" t="s">
        <v>868</v>
      </c>
      <c r="F757" s="383" t="str">
        <f t="shared" si="34"/>
        <v>S200007DDelano Energy Com</v>
      </c>
      <c r="G757" s="496">
        <v>27855.119999999999</v>
      </c>
      <c r="H757" s="496">
        <v>-27855.119999999999</v>
      </c>
      <c r="I757" s="496">
        <f t="shared" si="35"/>
        <v>0</v>
      </c>
      <c r="J757" s="496" t="s">
        <v>869</v>
      </c>
    </row>
    <row r="758" spans="1:10" hidden="1" x14ac:dyDescent="0.25">
      <c r="A758" s="383">
        <f t="shared" si="33"/>
        <v>23</v>
      </c>
      <c r="B758" s="383" t="s">
        <v>265</v>
      </c>
      <c r="C758" s="497" t="s">
        <v>947</v>
      </c>
      <c r="D758" s="383" t="s">
        <v>1255</v>
      </c>
      <c r="E758" s="383" t="s">
        <v>868</v>
      </c>
      <c r="F758" s="383" t="str">
        <f t="shared" si="34"/>
        <v>S200007DDynegy Power Mark</v>
      </c>
      <c r="G758" s="496">
        <v>42400</v>
      </c>
      <c r="H758" s="496">
        <v>-42400</v>
      </c>
      <c r="I758" s="496">
        <f t="shared" si="35"/>
        <v>0</v>
      </c>
      <c r="J758" s="496" t="s">
        <v>869</v>
      </c>
    </row>
    <row r="759" spans="1:10" hidden="1" x14ac:dyDescent="0.25">
      <c r="A759" s="383">
        <f t="shared" si="33"/>
        <v>20</v>
      </c>
      <c r="B759" s="383" t="s">
        <v>265</v>
      </c>
      <c r="C759" s="497" t="s">
        <v>947</v>
      </c>
      <c r="D759" s="383" t="s">
        <v>1256</v>
      </c>
      <c r="E759" s="383" t="s">
        <v>868</v>
      </c>
      <c r="F759" s="383" t="str">
        <f t="shared" si="34"/>
        <v>S200007DEnron Energy Serv</v>
      </c>
      <c r="G759" s="496">
        <v>2771922.1</v>
      </c>
      <c r="H759" s="496">
        <v>-2771922.1</v>
      </c>
      <c r="I759" s="496">
        <f t="shared" si="35"/>
        <v>0</v>
      </c>
      <c r="J759" s="496" t="s">
        <v>869</v>
      </c>
    </row>
    <row r="760" spans="1:10" hidden="1" x14ac:dyDescent="0.25">
      <c r="A760" s="383">
        <f t="shared" si="33"/>
        <v>18</v>
      </c>
      <c r="B760" s="383" t="s">
        <v>265</v>
      </c>
      <c r="C760" s="497" t="s">
        <v>947</v>
      </c>
      <c r="D760" s="383" t="s">
        <v>1257</v>
      </c>
      <c r="E760" s="383" t="s">
        <v>868</v>
      </c>
      <c r="F760" s="383" t="str">
        <f t="shared" si="34"/>
        <v>S200007DIllinova Power Ma</v>
      </c>
      <c r="G760" s="496">
        <v>0</v>
      </c>
      <c r="H760" s="496"/>
      <c r="I760" s="496">
        <f t="shared" si="35"/>
        <v>0</v>
      </c>
      <c r="J760" s="496" t="s">
        <v>869</v>
      </c>
    </row>
    <row r="761" spans="1:10" hidden="1" x14ac:dyDescent="0.25">
      <c r="A761" s="383">
        <f t="shared" si="33"/>
        <v>24</v>
      </c>
      <c r="B761" s="383" t="s">
        <v>265</v>
      </c>
      <c r="C761" s="497" t="s">
        <v>947</v>
      </c>
      <c r="D761" s="383" t="s">
        <v>1258</v>
      </c>
      <c r="E761" s="383" t="s">
        <v>868</v>
      </c>
      <c r="F761" s="383" t="str">
        <f t="shared" si="34"/>
        <v>S200007DLouisiana-Pacific</v>
      </c>
      <c r="G761" s="496">
        <v>0</v>
      </c>
      <c r="H761" s="496">
        <v>0</v>
      </c>
      <c r="I761" s="496">
        <f t="shared" si="35"/>
        <v>0</v>
      </c>
      <c r="J761" s="496" t="s">
        <v>869</v>
      </c>
    </row>
    <row r="762" spans="1:10" hidden="1" x14ac:dyDescent="0.25">
      <c r="A762" s="383">
        <f t="shared" si="33"/>
        <v>24</v>
      </c>
      <c r="B762" s="383" t="s">
        <v>265</v>
      </c>
      <c r="C762" s="497" t="s">
        <v>947</v>
      </c>
      <c r="D762" s="383" t="s">
        <v>1239</v>
      </c>
      <c r="E762" s="383" t="s">
        <v>868</v>
      </c>
      <c r="F762" s="383" t="str">
        <f t="shared" si="34"/>
        <v>S200007DMorgan Stanley Ca</v>
      </c>
      <c r="G762" s="496">
        <v>-0.01</v>
      </c>
      <c r="H762" s="496">
        <v>0.01</v>
      </c>
      <c r="I762" s="496">
        <f t="shared" si="35"/>
        <v>0</v>
      </c>
      <c r="J762" s="496" t="s">
        <v>869</v>
      </c>
    </row>
    <row r="763" spans="1:10" x14ac:dyDescent="0.25">
      <c r="A763" s="383">
        <f t="shared" si="33"/>
        <v>22</v>
      </c>
      <c r="B763" s="487" t="s">
        <v>265</v>
      </c>
      <c r="C763" s="500" t="s">
        <v>947</v>
      </c>
      <c r="D763" s="487" t="s">
        <v>884</v>
      </c>
      <c r="E763" s="487" t="s">
        <v>868</v>
      </c>
      <c r="F763" s="487" t="str">
        <f t="shared" si="34"/>
        <v>S200007DNew England Power</v>
      </c>
      <c r="G763" s="499"/>
      <c r="H763" s="499">
        <f>VLOOKUP(F763,[2]Pivot!$R$20:$S$1359,2,FALSE)</f>
        <v>-64153931.649999999</v>
      </c>
      <c r="I763" s="499">
        <f t="shared" si="35"/>
        <v>-64153931.649999999</v>
      </c>
      <c r="J763" s="499"/>
    </row>
    <row r="764" spans="1:10" hidden="1" x14ac:dyDescent="0.25">
      <c r="A764" s="383">
        <f t="shared" si="33"/>
        <v>24</v>
      </c>
      <c r="B764" s="383" t="s">
        <v>265</v>
      </c>
      <c r="C764" s="497" t="s">
        <v>947</v>
      </c>
      <c r="D764" s="383" t="s">
        <v>1245</v>
      </c>
      <c r="E764" s="383" t="s">
        <v>868</v>
      </c>
      <c r="F764" s="383" t="str">
        <f t="shared" si="34"/>
        <v>S200007DNew York Independ</v>
      </c>
      <c r="G764" s="496">
        <v>28805719.410000004</v>
      </c>
      <c r="H764" s="496">
        <v>-28805719.41</v>
      </c>
      <c r="I764" s="496">
        <f t="shared" si="35"/>
        <v>0</v>
      </c>
      <c r="J764" s="496" t="s">
        <v>869</v>
      </c>
    </row>
    <row r="765" spans="1:10" x14ac:dyDescent="0.25">
      <c r="A765" s="383">
        <f t="shared" si="33"/>
        <v>10</v>
      </c>
      <c r="B765" s="383" t="s">
        <v>265</v>
      </c>
      <c r="C765" s="495" t="s">
        <v>947</v>
      </c>
      <c r="D765" s="383" t="s">
        <v>940</v>
      </c>
      <c r="E765" s="383" t="s">
        <v>868</v>
      </c>
      <c r="F765" s="383" t="str">
        <f t="shared" si="34"/>
        <v>S200007DPacificorp</v>
      </c>
      <c r="G765" s="496">
        <v>-20871917.460000001</v>
      </c>
      <c r="H765" s="496">
        <v>4481.96</v>
      </c>
      <c r="I765" s="496">
        <f t="shared" si="35"/>
        <v>-20867435.5</v>
      </c>
      <c r="J765" s="496"/>
    </row>
    <row r="766" spans="1:10" x14ac:dyDescent="0.25">
      <c r="A766" s="383">
        <f t="shared" si="33"/>
        <v>24</v>
      </c>
      <c r="B766" s="487" t="s">
        <v>265</v>
      </c>
      <c r="C766" s="500" t="s">
        <v>947</v>
      </c>
      <c r="D766" s="487" t="s">
        <v>953</v>
      </c>
      <c r="E766" s="487" t="s">
        <v>868</v>
      </c>
      <c r="F766" s="487" t="str">
        <f t="shared" si="34"/>
        <v>S200007DPuget Sound Energ</v>
      </c>
      <c r="G766" s="499"/>
      <c r="H766" s="499">
        <f>VLOOKUP(F766,[2]Pivot!$R$20:$S$1359,2,FALSE)</f>
        <v>-31995064.670000002</v>
      </c>
      <c r="I766" s="499">
        <f t="shared" si="35"/>
        <v>-31995064.670000002</v>
      </c>
      <c r="J766" s="499"/>
    </row>
    <row r="767" spans="1:10" hidden="1" x14ac:dyDescent="0.25">
      <c r="A767" s="383">
        <f t="shared" si="33"/>
        <v>24</v>
      </c>
      <c r="B767" s="383" t="s">
        <v>265</v>
      </c>
      <c r="C767" s="497" t="s">
        <v>947</v>
      </c>
      <c r="D767" s="383" t="s">
        <v>1259</v>
      </c>
      <c r="E767" s="383" t="s">
        <v>868</v>
      </c>
      <c r="F767" s="383" t="str">
        <f t="shared" si="34"/>
        <v>S200007DUnited Illuminati</v>
      </c>
      <c r="G767" s="496">
        <v>3216854.8</v>
      </c>
      <c r="H767" s="496">
        <v>-3216854.8</v>
      </c>
      <c r="I767" s="496">
        <f t="shared" si="35"/>
        <v>0</v>
      </c>
      <c r="J767" s="496" t="s">
        <v>869</v>
      </c>
    </row>
    <row r="768" spans="1:10" hidden="1" x14ac:dyDescent="0.25">
      <c r="A768" s="383">
        <f t="shared" si="33"/>
        <v>24</v>
      </c>
      <c r="B768" s="383" t="s">
        <v>265</v>
      </c>
      <c r="C768" s="497" t="s">
        <v>947</v>
      </c>
      <c r="D768" s="383" t="s">
        <v>1232</v>
      </c>
      <c r="E768" s="383" t="s">
        <v>868</v>
      </c>
      <c r="F768" s="383" t="str">
        <f t="shared" si="34"/>
        <v>S200007DVirginia Electric</v>
      </c>
      <c r="G768" s="496">
        <v>-0.04</v>
      </c>
      <c r="H768" s="496">
        <v>0.04</v>
      </c>
      <c r="I768" s="496">
        <f t="shared" si="35"/>
        <v>0</v>
      </c>
      <c r="J768" s="496" t="s">
        <v>869</v>
      </c>
    </row>
    <row r="769" spans="1:10" x14ac:dyDescent="0.25">
      <c r="A769" s="383">
        <f t="shared" si="33"/>
        <v>24</v>
      </c>
      <c r="B769" s="383" t="s">
        <v>265</v>
      </c>
      <c r="C769" s="495" t="s">
        <v>947</v>
      </c>
      <c r="D769" s="383" t="s">
        <v>1260</v>
      </c>
      <c r="E769" s="383" t="s">
        <v>868</v>
      </c>
      <c r="F769" s="383" t="str">
        <f t="shared" si="34"/>
        <v>S200007DWillamette Indust</v>
      </c>
      <c r="G769" s="496">
        <v>-30351.87</v>
      </c>
      <c r="H769" s="496">
        <v>0</v>
      </c>
      <c r="I769" s="496">
        <f t="shared" si="35"/>
        <v>-30351.87</v>
      </c>
      <c r="J769" s="496"/>
    </row>
    <row r="770" spans="1:10" hidden="1" x14ac:dyDescent="0.25">
      <c r="A770" s="383">
        <f t="shared" si="33"/>
        <v>20</v>
      </c>
      <c r="B770" s="383" t="s">
        <v>265</v>
      </c>
      <c r="C770" s="497" t="s">
        <v>947</v>
      </c>
      <c r="D770" s="383" t="s">
        <v>1261</v>
      </c>
      <c r="E770" s="383" t="s">
        <v>887</v>
      </c>
      <c r="F770" s="383" t="str">
        <f t="shared" si="34"/>
        <v>S200007FCitizens Power Sa</v>
      </c>
      <c r="G770" s="496">
        <v>34990200</v>
      </c>
      <c r="H770" s="496">
        <v>0</v>
      </c>
      <c r="I770" s="496">
        <f t="shared" si="35"/>
        <v>34990200</v>
      </c>
      <c r="J770" s="499" t="s">
        <v>890</v>
      </c>
    </row>
    <row r="771" spans="1:10" hidden="1" x14ac:dyDescent="0.25">
      <c r="A771" s="383">
        <f t="shared" si="33"/>
        <v>20</v>
      </c>
      <c r="B771" s="383" t="s">
        <v>265</v>
      </c>
      <c r="C771" s="497" t="s">
        <v>947</v>
      </c>
      <c r="D771" s="383" t="s">
        <v>1262</v>
      </c>
      <c r="E771" s="383" t="s">
        <v>887</v>
      </c>
      <c r="F771" s="383" t="str">
        <f t="shared" si="34"/>
        <v>S200007FConoco Power Mark</v>
      </c>
      <c r="G771" s="496">
        <v>1352.4</v>
      </c>
      <c r="H771" s="496">
        <v>-1352.4</v>
      </c>
      <c r="I771" s="496">
        <f t="shared" si="35"/>
        <v>0</v>
      </c>
      <c r="J771" s="496" t="s">
        <v>869</v>
      </c>
    </row>
    <row r="772" spans="1:10" hidden="1" x14ac:dyDescent="0.25">
      <c r="A772" s="383">
        <f t="shared" ref="A772:A835" si="36">LEN(D772)</f>
        <v>20</v>
      </c>
      <c r="B772" s="383" t="s">
        <v>265</v>
      </c>
      <c r="C772" s="497" t="s">
        <v>947</v>
      </c>
      <c r="D772" s="383" t="s">
        <v>916</v>
      </c>
      <c r="E772" s="383" t="s">
        <v>887</v>
      </c>
      <c r="F772" s="383" t="str">
        <f t="shared" ref="F772:F835" si="37">+B772&amp;C772&amp;E772&amp;LEFT(D772,17)</f>
        <v>S200007FDelano Energy Com</v>
      </c>
      <c r="G772" s="496">
        <v>-27855.119999999999</v>
      </c>
      <c r="H772" s="496">
        <v>27855.119999999999</v>
      </c>
      <c r="I772" s="496">
        <f t="shared" ref="I772:I835" si="38">ROUND(+G772+H772,2)</f>
        <v>0</v>
      </c>
      <c r="J772" s="496" t="s">
        <v>869</v>
      </c>
    </row>
    <row r="773" spans="1:10" hidden="1" x14ac:dyDescent="0.25">
      <c r="A773" s="383">
        <f t="shared" si="36"/>
        <v>20</v>
      </c>
      <c r="B773" s="383" t="s">
        <v>265</v>
      </c>
      <c r="C773" s="497" t="s">
        <v>947</v>
      </c>
      <c r="D773" s="383" t="s">
        <v>893</v>
      </c>
      <c r="E773" s="383" t="s">
        <v>887</v>
      </c>
      <c r="F773" s="383" t="str">
        <f t="shared" si="37"/>
        <v>S200007FDynegy Power Mark</v>
      </c>
      <c r="G773" s="496">
        <v>-0.12</v>
      </c>
      <c r="H773" s="496">
        <v>0.12</v>
      </c>
      <c r="I773" s="496">
        <f t="shared" si="38"/>
        <v>0</v>
      </c>
      <c r="J773" s="496" t="s">
        <v>869</v>
      </c>
    </row>
    <row r="774" spans="1:10" hidden="1" x14ac:dyDescent="0.25">
      <c r="A774" s="383">
        <f t="shared" si="36"/>
        <v>20</v>
      </c>
      <c r="B774" s="383" t="s">
        <v>265</v>
      </c>
      <c r="C774" s="497" t="s">
        <v>947</v>
      </c>
      <c r="D774" s="383" t="s">
        <v>975</v>
      </c>
      <c r="E774" s="383" t="s">
        <v>887</v>
      </c>
      <c r="F774" s="383" t="str">
        <f t="shared" si="37"/>
        <v>S200007FEdison Mission Ma</v>
      </c>
      <c r="G774" s="496">
        <v>-34990200</v>
      </c>
      <c r="H774" s="496">
        <v>0</v>
      </c>
      <c r="I774" s="496">
        <f t="shared" si="38"/>
        <v>-34990200</v>
      </c>
      <c r="J774" s="499" t="s">
        <v>890</v>
      </c>
    </row>
    <row r="775" spans="1:10" hidden="1" x14ac:dyDescent="0.25">
      <c r="A775" s="383">
        <f t="shared" si="36"/>
        <v>20</v>
      </c>
      <c r="B775" s="383" t="s">
        <v>265</v>
      </c>
      <c r="C775" s="497" t="s">
        <v>947</v>
      </c>
      <c r="D775" s="383" t="s">
        <v>1263</v>
      </c>
      <c r="E775" s="383" t="s">
        <v>887</v>
      </c>
      <c r="F775" s="383" t="str">
        <f t="shared" si="37"/>
        <v>S200007FEntergy Services,</v>
      </c>
      <c r="G775" s="496">
        <v>-6747.41</v>
      </c>
      <c r="H775" s="496">
        <v>6747.41</v>
      </c>
      <c r="I775" s="496">
        <f t="shared" si="38"/>
        <v>0</v>
      </c>
      <c r="J775" s="496" t="s">
        <v>869</v>
      </c>
    </row>
    <row r="776" spans="1:10" hidden="1" x14ac:dyDescent="0.25">
      <c r="A776" s="383">
        <f t="shared" si="36"/>
        <v>18</v>
      </c>
      <c r="B776" s="383" t="s">
        <v>265</v>
      </c>
      <c r="C776" s="497" t="s">
        <v>947</v>
      </c>
      <c r="D776" s="383" t="s">
        <v>1257</v>
      </c>
      <c r="E776" s="383" t="s">
        <v>887</v>
      </c>
      <c r="F776" s="383" t="str">
        <f t="shared" si="37"/>
        <v>S200007FIllinova Power Ma</v>
      </c>
      <c r="G776" s="496">
        <v>0</v>
      </c>
      <c r="H776" s="496"/>
      <c r="I776" s="496">
        <f t="shared" si="38"/>
        <v>0</v>
      </c>
      <c r="J776" s="496" t="s">
        <v>869</v>
      </c>
    </row>
    <row r="777" spans="1:10" hidden="1" x14ac:dyDescent="0.25">
      <c r="A777" s="383">
        <f t="shared" si="36"/>
        <v>20</v>
      </c>
      <c r="B777" s="383" t="s">
        <v>265</v>
      </c>
      <c r="C777" s="497" t="s">
        <v>947</v>
      </c>
      <c r="D777" s="383" t="s">
        <v>520</v>
      </c>
      <c r="E777" s="383" t="s">
        <v>887</v>
      </c>
      <c r="F777" s="383" t="str">
        <f t="shared" si="37"/>
        <v>S200007FISO New England I</v>
      </c>
      <c r="G777" s="496">
        <v>-64148625.93</v>
      </c>
      <c r="H777" s="496"/>
      <c r="I777" s="496">
        <f t="shared" si="38"/>
        <v>-64148625.93</v>
      </c>
      <c r="J777" s="499" t="s">
        <v>890</v>
      </c>
    </row>
    <row r="778" spans="1:10" hidden="1" x14ac:dyDescent="0.25">
      <c r="A778" s="383">
        <f t="shared" si="36"/>
        <v>22</v>
      </c>
      <c r="B778" s="487" t="s">
        <v>265</v>
      </c>
      <c r="C778" s="498" t="s">
        <v>947</v>
      </c>
      <c r="D778" s="487" t="s">
        <v>884</v>
      </c>
      <c r="E778" s="487" t="s">
        <v>887</v>
      </c>
      <c r="F778" s="487" t="str">
        <f t="shared" si="37"/>
        <v>S200007FNew England Power</v>
      </c>
      <c r="G778" s="499"/>
      <c r="H778" s="499">
        <f>VLOOKUP(F778,[2]Pivot!$R$20:$S$1359,2,FALSE)</f>
        <v>64148625.93</v>
      </c>
      <c r="I778" s="499">
        <f t="shared" si="38"/>
        <v>64148625.93</v>
      </c>
      <c r="J778" s="499" t="s">
        <v>890</v>
      </c>
    </row>
    <row r="779" spans="1:10" hidden="1" x14ac:dyDescent="0.25">
      <c r="A779" s="383">
        <f t="shared" si="36"/>
        <v>15</v>
      </c>
      <c r="B779" s="383" t="s">
        <v>265</v>
      </c>
      <c r="C779" s="497" t="s">
        <v>947</v>
      </c>
      <c r="D779" s="383" t="s">
        <v>952</v>
      </c>
      <c r="E779" s="383" t="s">
        <v>887</v>
      </c>
      <c r="F779" s="383" t="str">
        <f t="shared" si="37"/>
        <v>S200007FNSTAR Companies</v>
      </c>
      <c r="G779" s="496">
        <v>146980.03</v>
      </c>
      <c r="H779" s="496">
        <v>-146980.03</v>
      </c>
      <c r="I779" s="496">
        <f t="shared" si="38"/>
        <v>0</v>
      </c>
      <c r="J779" s="496" t="s">
        <v>869</v>
      </c>
    </row>
    <row r="780" spans="1:10" hidden="1" x14ac:dyDescent="0.25">
      <c r="A780" s="383">
        <f t="shared" si="36"/>
        <v>19</v>
      </c>
      <c r="B780" s="383" t="s">
        <v>265</v>
      </c>
      <c r="C780" s="497" t="s">
        <v>947</v>
      </c>
      <c r="D780" s="383" t="s">
        <v>945</v>
      </c>
      <c r="E780" s="383" t="s">
        <v>887</v>
      </c>
      <c r="F780" s="383" t="str">
        <f t="shared" si="37"/>
        <v>S200007FPG&amp;E Energy Tradi</v>
      </c>
      <c r="G780" s="496">
        <v>-0.22</v>
      </c>
      <c r="H780" s="496">
        <v>0.22</v>
      </c>
      <c r="I780" s="496">
        <f t="shared" si="38"/>
        <v>0</v>
      </c>
      <c r="J780" s="496" t="s">
        <v>869</v>
      </c>
    </row>
    <row r="781" spans="1:10" hidden="1" x14ac:dyDescent="0.25">
      <c r="A781" s="383">
        <f t="shared" si="36"/>
        <v>19</v>
      </c>
      <c r="B781" s="383" t="s">
        <v>265</v>
      </c>
      <c r="C781" s="497" t="s">
        <v>947</v>
      </c>
      <c r="D781" s="383" t="s">
        <v>941</v>
      </c>
      <c r="E781" s="383" t="s">
        <v>887</v>
      </c>
      <c r="F781" s="383" t="str">
        <f t="shared" si="37"/>
        <v>S200007FPuget Sound Energ</v>
      </c>
      <c r="G781" s="496">
        <v>-31995064.670000002</v>
      </c>
      <c r="H781" s="496">
        <v>31995064.670000002</v>
      </c>
      <c r="I781" s="496">
        <f t="shared" si="38"/>
        <v>0</v>
      </c>
      <c r="J781" s="496" t="s">
        <v>869</v>
      </c>
    </row>
    <row r="782" spans="1:10" hidden="1" x14ac:dyDescent="0.25">
      <c r="A782" s="383">
        <f t="shared" si="36"/>
        <v>24</v>
      </c>
      <c r="B782" s="383" t="s">
        <v>265</v>
      </c>
      <c r="C782" s="497" t="s">
        <v>956</v>
      </c>
      <c r="D782" s="383" t="s">
        <v>1264</v>
      </c>
      <c r="E782" s="383" t="s">
        <v>868</v>
      </c>
      <c r="F782" s="383" t="str">
        <f t="shared" si="37"/>
        <v>S200008DAmerada Hess Corp</v>
      </c>
      <c r="G782" s="496">
        <v>-0.01</v>
      </c>
      <c r="H782" s="496">
        <v>0.01</v>
      </c>
      <c r="I782" s="496">
        <f t="shared" si="38"/>
        <v>0</v>
      </c>
      <c r="J782" s="496" t="s">
        <v>869</v>
      </c>
    </row>
    <row r="783" spans="1:10" hidden="1" x14ac:dyDescent="0.25">
      <c r="A783" s="383">
        <f t="shared" si="36"/>
        <v>24</v>
      </c>
      <c r="B783" s="383" t="s">
        <v>265</v>
      </c>
      <c r="C783" s="497" t="s">
        <v>956</v>
      </c>
      <c r="D783" s="383" t="s">
        <v>1265</v>
      </c>
      <c r="E783" s="383" t="s">
        <v>868</v>
      </c>
      <c r="F783" s="383" t="str">
        <f t="shared" si="37"/>
        <v xml:space="preserve">S200008DBritish Columbia </v>
      </c>
      <c r="G783" s="496">
        <v>3141684.49</v>
      </c>
      <c r="H783" s="496">
        <v>-3141684.49</v>
      </c>
      <c r="I783" s="496">
        <f t="shared" si="38"/>
        <v>0</v>
      </c>
      <c r="J783" s="496" t="s">
        <v>869</v>
      </c>
    </row>
    <row r="784" spans="1:10" hidden="1" x14ac:dyDescent="0.25">
      <c r="A784" s="383">
        <f t="shared" si="36"/>
        <v>24</v>
      </c>
      <c r="B784" s="383" t="s">
        <v>265</v>
      </c>
      <c r="C784" s="497" t="s">
        <v>956</v>
      </c>
      <c r="D784" s="383" t="s">
        <v>1266</v>
      </c>
      <c r="E784" s="383" t="s">
        <v>868</v>
      </c>
      <c r="F784" s="383" t="str">
        <f t="shared" si="37"/>
        <v xml:space="preserve">S200008DCalifornia Power </v>
      </c>
      <c r="G784" s="496">
        <v>-9.3132257461547852E-10</v>
      </c>
      <c r="H784" s="496">
        <v>0</v>
      </c>
      <c r="I784" s="496">
        <f t="shared" si="38"/>
        <v>0</v>
      </c>
      <c r="J784" s="496" t="s">
        <v>869</v>
      </c>
    </row>
    <row r="785" spans="1:10" hidden="1" x14ac:dyDescent="0.25">
      <c r="A785" s="383">
        <f t="shared" si="36"/>
        <v>24</v>
      </c>
      <c r="B785" s="383" t="s">
        <v>265</v>
      </c>
      <c r="C785" s="497" t="s">
        <v>956</v>
      </c>
      <c r="D785" s="383" t="s">
        <v>1252</v>
      </c>
      <c r="E785" s="383" t="s">
        <v>868</v>
      </c>
      <c r="F785" s="383" t="str">
        <f t="shared" si="37"/>
        <v>S200008DCity of Tacoma, D</v>
      </c>
      <c r="G785" s="496">
        <v>0</v>
      </c>
      <c r="H785" s="496">
        <v>0</v>
      </c>
      <c r="I785" s="496">
        <f t="shared" si="38"/>
        <v>0</v>
      </c>
      <c r="J785" s="496" t="s">
        <v>869</v>
      </c>
    </row>
    <row r="786" spans="1:10" hidden="1" x14ac:dyDescent="0.25">
      <c r="A786" s="383">
        <f t="shared" si="36"/>
        <v>20</v>
      </c>
      <c r="B786" s="383" t="s">
        <v>265</v>
      </c>
      <c r="C786" s="497" t="s">
        <v>956</v>
      </c>
      <c r="D786" s="383" t="s">
        <v>1256</v>
      </c>
      <c r="E786" s="383" t="s">
        <v>868</v>
      </c>
      <c r="F786" s="383" t="str">
        <f t="shared" si="37"/>
        <v>S200008DEnron Energy Serv</v>
      </c>
      <c r="G786" s="496">
        <v>-131968818.95</v>
      </c>
      <c r="H786" s="496">
        <v>-1874244.62</v>
      </c>
      <c r="I786" s="496">
        <f t="shared" si="38"/>
        <v>-133843063.56999999</v>
      </c>
      <c r="J786" s="496" t="s">
        <v>951</v>
      </c>
    </row>
    <row r="787" spans="1:10" hidden="1" x14ac:dyDescent="0.25">
      <c r="A787" s="383">
        <f t="shared" si="36"/>
        <v>23</v>
      </c>
      <c r="B787" s="383" t="s">
        <v>265</v>
      </c>
      <c r="C787" s="497" t="s">
        <v>956</v>
      </c>
      <c r="D787" s="383" t="s">
        <v>1267</v>
      </c>
      <c r="E787" s="383" t="s">
        <v>868</v>
      </c>
      <c r="F787" s="383" t="str">
        <f t="shared" si="37"/>
        <v>S200008DEntergy Power Mar</v>
      </c>
      <c r="G787" s="496">
        <v>0</v>
      </c>
      <c r="H787" s="496">
        <v>0</v>
      </c>
      <c r="I787" s="496">
        <f t="shared" si="38"/>
        <v>0</v>
      </c>
      <c r="J787" s="496" t="s">
        <v>869</v>
      </c>
    </row>
    <row r="788" spans="1:10" hidden="1" x14ac:dyDescent="0.25">
      <c r="A788" s="383">
        <f t="shared" si="36"/>
        <v>18</v>
      </c>
      <c r="B788" s="383" t="s">
        <v>265</v>
      </c>
      <c r="C788" s="497" t="s">
        <v>956</v>
      </c>
      <c r="D788" s="383" t="s">
        <v>1257</v>
      </c>
      <c r="E788" s="383" t="s">
        <v>868</v>
      </c>
      <c r="F788" s="383" t="str">
        <f t="shared" si="37"/>
        <v>S200008DIllinova Power Ma</v>
      </c>
      <c r="G788" s="496">
        <v>0</v>
      </c>
      <c r="H788" s="496"/>
      <c r="I788" s="496">
        <f t="shared" si="38"/>
        <v>0</v>
      </c>
      <c r="J788" s="496" t="s">
        <v>869</v>
      </c>
    </row>
    <row r="789" spans="1:10" hidden="1" x14ac:dyDescent="0.25">
      <c r="A789" s="383">
        <f t="shared" si="36"/>
        <v>23</v>
      </c>
      <c r="B789" s="383" t="s">
        <v>265</v>
      </c>
      <c r="C789" s="497" t="s">
        <v>956</v>
      </c>
      <c r="D789" s="383" t="s">
        <v>1244</v>
      </c>
      <c r="E789" s="383" t="s">
        <v>868</v>
      </c>
      <c r="F789" s="383" t="str">
        <f t="shared" si="37"/>
        <v>S200008DLas Vegas Cogener</v>
      </c>
      <c r="G789" s="496">
        <v>0</v>
      </c>
      <c r="H789" s="496">
        <v>0</v>
      </c>
      <c r="I789" s="496">
        <f t="shared" si="38"/>
        <v>0</v>
      </c>
      <c r="J789" s="496" t="s">
        <v>869</v>
      </c>
    </row>
    <row r="790" spans="1:10" hidden="1" x14ac:dyDescent="0.25">
      <c r="A790" s="383">
        <f t="shared" si="36"/>
        <v>24</v>
      </c>
      <c r="B790" s="383" t="s">
        <v>265</v>
      </c>
      <c r="C790" s="497" t="s">
        <v>956</v>
      </c>
      <c r="D790" s="383" t="s">
        <v>1268</v>
      </c>
      <c r="E790" s="383" t="s">
        <v>868</v>
      </c>
      <c r="F790" s="383" t="str">
        <f t="shared" si="37"/>
        <v>S200008DMichigan Electric</v>
      </c>
      <c r="G790" s="496">
        <v>65440</v>
      </c>
      <c r="H790" s="496">
        <v>-65440</v>
      </c>
      <c r="I790" s="496">
        <f t="shared" si="38"/>
        <v>0</v>
      </c>
      <c r="J790" s="496" t="s">
        <v>869</v>
      </c>
    </row>
    <row r="791" spans="1:10" hidden="1" x14ac:dyDescent="0.25">
      <c r="A791" s="383">
        <f t="shared" si="36"/>
        <v>24</v>
      </c>
      <c r="B791" s="383" t="s">
        <v>265</v>
      </c>
      <c r="C791" s="497" t="s">
        <v>956</v>
      </c>
      <c r="D791" s="383" t="s">
        <v>1239</v>
      </c>
      <c r="E791" s="383" t="s">
        <v>868</v>
      </c>
      <c r="F791" s="383" t="str">
        <f t="shared" si="37"/>
        <v>S200008DMorgan Stanley Ca</v>
      </c>
      <c r="G791" s="496">
        <v>-532972.16</v>
      </c>
      <c r="H791" s="496">
        <v>532972.16</v>
      </c>
      <c r="I791" s="496">
        <f t="shared" si="38"/>
        <v>0</v>
      </c>
      <c r="J791" s="496" t="s">
        <v>869</v>
      </c>
    </row>
    <row r="792" spans="1:10" x14ac:dyDescent="0.25">
      <c r="A792" s="383">
        <f t="shared" si="36"/>
        <v>22</v>
      </c>
      <c r="B792" s="487" t="s">
        <v>265</v>
      </c>
      <c r="C792" s="500" t="s">
        <v>956</v>
      </c>
      <c r="D792" s="487" t="s">
        <v>884</v>
      </c>
      <c r="E792" s="487" t="s">
        <v>868</v>
      </c>
      <c r="F792" s="487" t="str">
        <f t="shared" si="37"/>
        <v>S200008DNew England Power</v>
      </c>
      <c r="G792" s="499"/>
      <c r="H792" s="499">
        <f>VLOOKUP(F792,[2]Pivot!$R$20:$S$1359,2,FALSE)</f>
        <v>-81307862.719999999</v>
      </c>
      <c r="I792" s="499">
        <f t="shared" si="38"/>
        <v>-81307862.719999999</v>
      </c>
      <c r="J792" s="499"/>
    </row>
    <row r="793" spans="1:10" hidden="1" x14ac:dyDescent="0.25">
      <c r="A793" s="383">
        <f t="shared" si="36"/>
        <v>24</v>
      </c>
      <c r="B793" s="383" t="s">
        <v>265</v>
      </c>
      <c r="C793" s="497" t="s">
        <v>956</v>
      </c>
      <c r="D793" s="383" t="s">
        <v>1245</v>
      </c>
      <c r="E793" s="383" t="s">
        <v>868</v>
      </c>
      <c r="F793" s="383" t="str">
        <f t="shared" si="37"/>
        <v>S200008DNew York Independ</v>
      </c>
      <c r="G793" s="496">
        <v>-2.2351741811588166E-10</v>
      </c>
      <c r="H793" s="496">
        <v>0</v>
      </c>
      <c r="I793" s="496">
        <f t="shared" si="38"/>
        <v>0</v>
      </c>
      <c r="J793" s="496" t="s">
        <v>869</v>
      </c>
    </row>
    <row r="794" spans="1:10" x14ac:dyDescent="0.25">
      <c r="A794" s="383">
        <f t="shared" si="36"/>
        <v>13</v>
      </c>
      <c r="B794" s="487" t="s">
        <v>265</v>
      </c>
      <c r="C794" s="500" t="s">
        <v>956</v>
      </c>
      <c r="D794" s="487" t="s">
        <v>969</v>
      </c>
      <c r="E794" s="487" t="s">
        <v>868</v>
      </c>
      <c r="F794" s="487" t="str">
        <f t="shared" si="37"/>
        <v>S200008DOxy Vinyls LP</v>
      </c>
      <c r="G794" s="499"/>
      <c r="H794" s="499">
        <f>VLOOKUP(F794,[2]Pivot!$R$20:$S$1359,2,FALSE)</f>
        <v>-7565.6</v>
      </c>
      <c r="I794" s="499">
        <f t="shared" si="38"/>
        <v>-7565.6</v>
      </c>
      <c r="J794" s="499"/>
    </row>
    <row r="795" spans="1:10" x14ac:dyDescent="0.25">
      <c r="A795" s="383">
        <f t="shared" si="36"/>
        <v>10</v>
      </c>
      <c r="B795" s="383" t="s">
        <v>265</v>
      </c>
      <c r="C795" s="495" t="s">
        <v>956</v>
      </c>
      <c r="D795" s="383" t="s">
        <v>940</v>
      </c>
      <c r="E795" s="383" t="s">
        <v>868</v>
      </c>
      <c r="F795" s="383" t="str">
        <f t="shared" si="37"/>
        <v>S200008DPacificorp</v>
      </c>
      <c r="G795" s="496">
        <v>-41179433</v>
      </c>
      <c r="H795" s="496">
        <v>0</v>
      </c>
      <c r="I795" s="496">
        <f t="shared" si="38"/>
        <v>-41179433</v>
      </c>
      <c r="J795" s="496"/>
    </row>
    <row r="796" spans="1:10" hidden="1" x14ac:dyDescent="0.25">
      <c r="A796" s="383">
        <f t="shared" si="36"/>
        <v>24</v>
      </c>
      <c r="B796" s="383" t="s">
        <v>265</v>
      </c>
      <c r="C796" s="497" t="s">
        <v>956</v>
      </c>
      <c r="D796" s="383" t="s">
        <v>1233</v>
      </c>
      <c r="E796" s="383" t="s">
        <v>868</v>
      </c>
      <c r="F796" s="383" t="str">
        <f t="shared" si="37"/>
        <v>S200008DPG&amp;E Energy Tradi</v>
      </c>
      <c r="G796" s="496">
        <v>1169600</v>
      </c>
      <c r="H796" s="496">
        <v>-1169600</v>
      </c>
      <c r="I796" s="496">
        <f t="shared" si="38"/>
        <v>0</v>
      </c>
      <c r="J796" s="496" t="s">
        <v>869</v>
      </c>
    </row>
    <row r="797" spans="1:10" hidden="1" x14ac:dyDescent="0.25">
      <c r="A797" s="383">
        <f t="shared" si="36"/>
        <v>24</v>
      </c>
      <c r="B797" s="383" t="s">
        <v>265</v>
      </c>
      <c r="C797" s="497" t="s">
        <v>956</v>
      </c>
      <c r="D797" s="383" t="s">
        <v>1248</v>
      </c>
      <c r="E797" s="383" t="s">
        <v>868</v>
      </c>
      <c r="F797" s="383" t="str">
        <f t="shared" si="37"/>
        <v>S200008DPJM Interconnecti</v>
      </c>
      <c r="G797" s="496">
        <v>-2656576.7200000002</v>
      </c>
      <c r="H797" s="496">
        <v>2656576.7200000002</v>
      </c>
      <c r="I797" s="496">
        <f t="shared" si="38"/>
        <v>0</v>
      </c>
      <c r="J797" s="496" t="s">
        <v>869</v>
      </c>
    </row>
    <row r="798" spans="1:10" hidden="1" x14ac:dyDescent="0.25">
      <c r="A798" s="383">
        <f t="shared" si="36"/>
        <v>24</v>
      </c>
      <c r="B798" s="383" t="s">
        <v>265</v>
      </c>
      <c r="C798" s="497" t="s">
        <v>956</v>
      </c>
      <c r="D798" s="383" t="s">
        <v>1249</v>
      </c>
      <c r="E798" s="383" t="s">
        <v>868</v>
      </c>
      <c r="F798" s="383" t="str">
        <f t="shared" si="37"/>
        <v xml:space="preserve">S200008DPortland General </v>
      </c>
      <c r="G798" s="496">
        <v>0</v>
      </c>
      <c r="H798" s="496">
        <v>0</v>
      </c>
      <c r="I798" s="496">
        <f t="shared" si="38"/>
        <v>0</v>
      </c>
      <c r="J798" s="496" t="s">
        <v>869</v>
      </c>
    </row>
    <row r="799" spans="1:10" hidden="1" x14ac:dyDescent="0.25">
      <c r="A799" s="383">
        <f t="shared" si="36"/>
        <v>13</v>
      </c>
      <c r="B799" s="383" t="s">
        <v>265</v>
      </c>
      <c r="C799" s="497" t="s">
        <v>956</v>
      </c>
      <c r="D799" s="383" t="s">
        <v>902</v>
      </c>
      <c r="E799" s="383" t="s">
        <v>868</v>
      </c>
      <c r="F799" s="383" t="str">
        <f t="shared" si="37"/>
        <v>S200008DPowerex Corp.</v>
      </c>
      <c r="G799" s="496">
        <v>-3143874.49</v>
      </c>
      <c r="H799" s="496">
        <v>3143874.49</v>
      </c>
      <c r="I799" s="496">
        <f t="shared" si="38"/>
        <v>0</v>
      </c>
      <c r="J799" s="496" t="s">
        <v>869</v>
      </c>
    </row>
    <row r="800" spans="1:10" hidden="1" x14ac:dyDescent="0.25">
      <c r="A800" s="383">
        <f t="shared" si="36"/>
        <v>23</v>
      </c>
      <c r="B800" s="383" t="s">
        <v>265</v>
      </c>
      <c r="C800" s="497" t="s">
        <v>956</v>
      </c>
      <c r="D800" s="383" t="s">
        <v>1269</v>
      </c>
      <c r="E800" s="383" t="s">
        <v>868</v>
      </c>
      <c r="F800" s="383" t="str">
        <f t="shared" si="37"/>
        <v>S200008DPowerex, Power Ex</v>
      </c>
      <c r="G800" s="496">
        <v>1350</v>
      </c>
      <c r="H800" s="496">
        <v>-1350</v>
      </c>
      <c r="I800" s="496">
        <f t="shared" si="38"/>
        <v>0</v>
      </c>
      <c r="J800" s="496" t="s">
        <v>869</v>
      </c>
    </row>
    <row r="801" spans="1:10" hidden="1" x14ac:dyDescent="0.25">
      <c r="A801" s="383">
        <f t="shared" si="36"/>
        <v>24</v>
      </c>
      <c r="B801" s="383" t="s">
        <v>265</v>
      </c>
      <c r="C801" s="497" t="s">
        <v>956</v>
      </c>
      <c r="D801" s="383" t="s">
        <v>1270</v>
      </c>
      <c r="E801" s="383" t="s">
        <v>868</v>
      </c>
      <c r="F801" s="383" t="str">
        <f t="shared" si="37"/>
        <v>S200008DPublic Service Co</v>
      </c>
      <c r="G801" s="496">
        <v>15426108.6</v>
      </c>
      <c r="H801" s="496">
        <v>-15426108.6</v>
      </c>
      <c r="I801" s="496">
        <f t="shared" si="38"/>
        <v>0</v>
      </c>
      <c r="J801" s="496" t="s">
        <v>869</v>
      </c>
    </row>
    <row r="802" spans="1:10" x14ac:dyDescent="0.25">
      <c r="A802" s="383">
        <f t="shared" si="36"/>
        <v>24</v>
      </c>
      <c r="B802" s="383" t="s">
        <v>265</v>
      </c>
      <c r="C802" s="495" t="s">
        <v>956</v>
      </c>
      <c r="D802" s="383" t="s">
        <v>953</v>
      </c>
      <c r="E802" s="383" t="s">
        <v>868</v>
      </c>
      <c r="F802" s="383" t="str">
        <f t="shared" si="37"/>
        <v>S200008DPuget Sound Energ</v>
      </c>
      <c r="G802" s="496">
        <v>-34609132.890000001</v>
      </c>
      <c r="H802" s="496">
        <v>-222299.99</v>
      </c>
      <c r="I802" s="496">
        <f t="shared" si="38"/>
        <v>-34831432.880000003</v>
      </c>
      <c r="J802" s="496"/>
    </row>
    <row r="803" spans="1:10" x14ac:dyDescent="0.25">
      <c r="A803" s="383">
        <f t="shared" si="36"/>
        <v>22</v>
      </c>
      <c r="B803" s="487" t="s">
        <v>265</v>
      </c>
      <c r="C803" s="500" t="s">
        <v>956</v>
      </c>
      <c r="D803" s="487" t="s">
        <v>1072</v>
      </c>
      <c r="E803" s="487" t="s">
        <v>868</v>
      </c>
      <c r="F803" s="487" t="str">
        <f t="shared" si="37"/>
        <v>S200008DSplit Rock Energy</v>
      </c>
      <c r="G803" s="499"/>
      <c r="H803" s="499">
        <f>VLOOKUP(F803,[2]Pivot!$R$20:$S$1359,2,FALSE)</f>
        <v>-181043</v>
      </c>
      <c r="I803" s="499">
        <f t="shared" si="38"/>
        <v>-181043</v>
      </c>
      <c r="J803" s="499"/>
    </row>
    <row r="804" spans="1:10" x14ac:dyDescent="0.25">
      <c r="A804" s="383">
        <f t="shared" si="36"/>
        <v>24</v>
      </c>
      <c r="B804" s="383" t="s">
        <v>265</v>
      </c>
      <c r="C804" s="495" t="s">
        <v>956</v>
      </c>
      <c r="D804" s="383" t="s">
        <v>1271</v>
      </c>
      <c r="E804" s="383" t="s">
        <v>868</v>
      </c>
      <c r="F804" s="383" t="str">
        <f t="shared" si="37"/>
        <v>S200008DUnited Power Asso</v>
      </c>
      <c r="G804" s="496">
        <v>1340277</v>
      </c>
      <c r="H804" s="496">
        <v>-2175602</v>
      </c>
      <c r="I804" s="496">
        <f t="shared" si="38"/>
        <v>-835325</v>
      </c>
      <c r="J804" s="496"/>
    </row>
    <row r="805" spans="1:10" hidden="1" x14ac:dyDescent="0.25">
      <c r="A805" s="383">
        <f t="shared" si="36"/>
        <v>24</v>
      </c>
      <c r="B805" s="383" t="s">
        <v>265</v>
      </c>
      <c r="C805" s="497" t="s">
        <v>956</v>
      </c>
      <c r="D805" s="383" t="s">
        <v>1232</v>
      </c>
      <c r="E805" s="383" t="s">
        <v>868</v>
      </c>
      <c r="F805" s="383" t="str">
        <f t="shared" si="37"/>
        <v>S200008DVirginia Electric</v>
      </c>
      <c r="G805" s="496">
        <v>-0.09</v>
      </c>
      <c r="H805" s="496">
        <v>0.09</v>
      </c>
      <c r="I805" s="496">
        <f t="shared" si="38"/>
        <v>0</v>
      </c>
      <c r="J805" s="496" t="s">
        <v>869</v>
      </c>
    </row>
    <row r="806" spans="1:10" x14ac:dyDescent="0.25">
      <c r="A806" s="383">
        <f t="shared" si="36"/>
        <v>24</v>
      </c>
      <c r="B806" s="383" t="s">
        <v>265</v>
      </c>
      <c r="C806" s="495" t="s">
        <v>956</v>
      </c>
      <c r="D806" s="383" t="s">
        <v>1260</v>
      </c>
      <c r="E806" s="383" t="s">
        <v>868</v>
      </c>
      <c r="F806" s="383" t="str">
        <f t="shared" si="37"/>
        <v>S200008DWillamette Indust</v>
      </c>
      <c r="G806" s="496">
        <v>-3579.36</v>
      </c>
      <c r="H806" s="496">
        <v>0</v>
      </c>
      <c r="I806" s="496">
        <f t="shared" si="38"/>
        <v>-3579.36</v>
      </c>
      <c r="J806" s="496"/>
    </row>
    <row r="807" spans="1:10" hidden="1" x14ac:dyDescent="0.25">
      <c r="A807" s="383">
        <f t="shared" si="36"/>
        <v>20</v>
      </c>
      <c r="B807" s="383" t="s">
        <v>265</v>
      </c>
      <c r="C807" s="497" t="s">
        <v>956</v>
      </c>
      <c r="D807" s="383" t="s">
        <v>1261</v>
      </c>
      <c r="E807" s="383" t="s">
        <v>887</v>
      </c>
      <c r="F807" s="383" t="str">
        <f t="shared" si="37"/>
        <v>S200008FCitizens Power Sa</v>
      </c>
      <c r="G807" s="496">
        <v>37921680</v>
      </c>
      <c r="H807" s="496">
        <v>0</v>
      </c>
      <c r="I807" s="496">
        <f t="shared" si="38"/>
        <v>37921680</v>
      </c>
      <c r="J807" s="499" t="s">
        <v>890</v>
      </c>
    </row>
    <row r="808" spans="1:10" hidden="1" x14ac:dyDescent="0.25">
      <c r="A808" s="383">
        <f t="shared" si="36"/>
        <v>19</v>
      </c>
      <c r="B808" s="383" t="s">
        <v>265</v>
      </c>
      <c r="C808" s="497" t="s">
        <v>956</v>
      </c>
      <c r="D808" s="383" t="s">
        <v>1012</v>
      </c>
      <c r="E808" s="383" t="s">
        <v>887</v>
      </c>
      <c r="F808" s="383" t="str">
        <f t="shared" si="37"/>
        <v>S200008FConstellation Pow</v>
      </c>
      <c r="G808" s="496">
        <v>3.84</v>
      </c>
      <c r="H808" s="496">
        <v>-3.84</v>
      </c>
      <c r="I808" s="496">
        <f t="shared" si="38"/>
        <v>0</v>
      </c>
      <c r="J808" s="496" t="s">
        <v>869</v>
      </c>
    </row>
    <row r="809" spans="1:10" hidden="1" x14ac:dyDescent="0.25">
      <c r="A809" s="383">
        <f t="shared" si="36"/>
        <v>20</v>
      </c>
      <c r="B809" s="383" t="s">
        <v>265</v>
      </c>
      <c r="C809" s="497" t="s">
        <v>956</v>
      </c>
      <c r="D809" s="383" t="s">
        <v>893</v>
      </c>
      <c r="E809" s="383" t="s">
        <v>887</v>
      </c>
      <c r="F809" s="383" t="str">
        <f t="shared" si="37"/>
        <v>S200008FDynegy Power Mark</v>
      </c>
      <c r="G809" s="496">
        <v>-0.08</v>
      </c>
      <c r="H809" s="496">
        <v>0.08</v>
      </c>
      <c r="I809" s="496">
        <f t="shared" si="38"/>
        <v>0</v>
      </c>
      <c r="J809" s="496" t="s">
        <v>869</v>
      </c>
    </row>
    <row r="810" spans="1:10" hidden="1" x14ac:dyDescent="0.25">
      <c r="A810" s="383">
        <f t="shared" si="36"/>
        <v>20</v>
      </c>
      <c r="B810" s="383" t="s">
        <v>265</v>
      </c>
      <c r="C810" s="497" t="s">
        <v>956</v>
      </c>
      <c r="D810" s="383" t="s">
        <v>975</v>
      </c>
      <c r="E810" s="383" t="s">
        <v>887</v>
      </c>
      <c r="F810" s="383" t="str">
        <f t="shared" si="37"/>
        <v>S200008FEdison Mission Ma</v>
      </c>
      <c r="G810" s="496">
        <v>-37921680</v>
      </c>
      <c r="H810" s="496">
        <v>0</v>
      </c>
      <c r="I810" s="496">
        <f t="shared" si="38"/>
        <v>-37921680</v>
      </c>
      <c r="J810" s="499" t="s">
        <v>890</v>
      </c>
    </row>
    <row r="811" spans="1:10" hidden="1" x14ac:dyDescent="0.25">
      <c r="A811" s="383">
        <f t="shared" si="36"/>
        <v>18</v>
      </c>
      <c r="B811" s="383" t="s">
        <v>265</v>
      </c>
      <c r="C811" s="497" t="s">
        <v>956</v>
      </c>
      <c r="D811" s="383" t="s">
        <v>1272</v>
      </c>
      <c r="E811" s="383" t="s">
        <v>887</v>
      </c>
      <c r="F811" s="383" t="str">
        <f t="shared" si="37"/>
        <v>S200008FGreat River Energ</v>
      </c>
      <c r="G811" s="496">
        <v>-2337742.1</v>
      </c>
      <c r="H811" s="496"/>
      <c r="I811" s="496">
        <f t="shared" si="38"/>
        <v>-2337742.1</v>
      </c>
      <c r="J811" s="499" t="s">
        <v>890</v>
      </c>
    </row>
    <row r="812" spans="1:10" hidden="1" x14ac:dyDescent="0.25">
      <c r="A812" s="383">
        <f t="shared" si="36"/>
        <v>20</v>
      </c>
      <c r="B812" s="383" t="s">
        <v>265</v>
      </c>
      <c r="C812" s="497" t="s">
        <v>956</v>
      </c>
      <c r="D812" s="383" t="s">
        <v>520</v>
      </c>
      <c r="E812" s="383" t="s">
        <v>887</v>
      </c>
      <c r="F812" s="383" t="str">
        <f t="shared" si="37"/>
        <v>S200008FISO New England I</v>
      </c>
      <c r="G812" s="496">
        <v>-81223454.849999994</v>
      </c>
      <c r="H812" s="496"/>
      <c r="I812" s="496">
        <f t="shared" si="38"/>
        <v>-81223454.849999994</v>
      </c>
      <c r="J812" s="499" t="s">
        <v>890</v>
      </c>
    </row>
    <row r="813" spans="1:10" hidden="1" x14ac:dyDescent="0.25">
      <c r="A813" s="383">
        <f t="shared" si="36"/>
        <v>20</v>
      </c>
      <c r="B813" s="383" t="s">
        <v>265</v>
      </c>
      <c r="C813" s="497" t="s">
        <v>956</v>
      </c>
      <c r="D813" s="383" t="s">
        <v>1273</v>
      </c>
      <c r="E813" s="383" t="s">
        <v>887</v>
      </c>
      <c r="F813" s="383" t="str">
        <f t="shared" si="37"/>
        <v>S200008FLouisville Gas An</v>
      </c>
      <c r="G813" s="496">
        <v>-10625</v>
      </c>
      <c r="H813" s="496">
        <v>10625</v>
      </c>
      <c r="I813" s="496">
        <f t="shared" si="38"/>
        <v>0</v>
      </c>
      <c r="J813" s="496" t="s">
        <v>869</v>
      </c>
    </row>
    <row r="814" spans="1:10" hidden="1" x14ac:dyDescent="0.25">
      <c r="A814" s="383">
        <f t="shared" si="36"/>
        <v>20</v>
      </c>
      <c r="B814" s="383" t="s">
        <v>265</v>
      </c>
      <c r="C814" s="497" t="s">
        <v>956</v>
      </c>
      <c r="D814" s="383" t="s">
        <v>977</v>
      </c>
      <c r="E814" s="383" t="s">
        <v>887</v>
      </c>
      <c r="F814" s="383" t="str">
        <f t="shared" si="37"/>
        <v>S200008FMichigan Electric</v>
      </c>
      <c r="G814" s="496">
        <v>-65440</v>
      </c>
      <c r="H814" s="496">
        <v>65440</v>
      </c>
      <c r="I814" s="496">
        <f t="shared" si="38"/>
        <v>0</v>
      </c>
      <c r="J814" s="496" t="s">
        <v>869</v>
      </c>
    </row>
    <row r="815" spans="1:10" hidden="1" x14ac:dyDescent="0.25">
      <c r="A815" s="383">
        <f t="shared" si="36"/>
        <v>22</v>
      </c>
      <c r="B815" s="487" t="s">
        <v>265</v>
      </c>
      <c r="C815" s="498" t="s">
        <v>956</v>
      </c>
      <c r="D815" s="487" t="s">
        <v>884</v>
      </c>
      <c r="E815" s="487" t="s">
        <v>887</v>
      </c>
      <c r="F815" s="487" t="str">
        <f t="shared" si="37"/>
        <v>S200008FNew England Power</v>
      </c>
      <c r="G815" s="499"/>
      <c r="H815" s="499">
        <f>VLOOKUP(F815,[2]Pivot!$R$20:$S$1359,2,FALSE)</f>
        <v>81223454.849999994</v>
      </c>
      <c r="I815" s="499">
        <f t="shared" si="38"/>
        <v>81223454.849999994</v>
      </c>
      <c r="J815" s="499" t="s">
        <v>890</v>
      </c>
    </row>
    <row r="816" spans="1:10" hidden="1" x14ac:dyDescent="0.25">
      <c r="A816" s="383">
        <f t="shared" si="36"/>
        <v>15</v>
      </c>
      <c r="B816" s="383" t="s">
        <v>265</v>
      </c>
      <c r="C816" s="497" t="s">
        <v>956</v>
      </c>
      <c r="D816" s="383" t="s">
        <v>952</v>
      </c>
      <c r="E816" s="383" t="s">
        <v>887</v>
      </c>
      <c r="F816" s="383" t="str">
        <f t="shared" si="37"/>
        <v>S200008FNSTAR Companies</v>
      </c>
      <c r="G816" s="496">
        <v>155693.51999999999</v>
      </c>
      <c r="H816" s="496">
        <v>-155693.51999999999</v>
      </c>
      <c r="I816" s="496">
        <f t="shared" si="38"/>
        <v>0</v>
      </c>
      <c r="J816" s="496" t="s">
        <v>869</v>
      </c>
    </row>
    <row r="817" spans="1:10" hidden="1" x14ac:dyDescent="0.25">
      <c r="A817" s="383">
        <f t="shared" si="36"/>
        <v>13</v>
      </c>
      <c r="B817" s="383" t="s">
        <v>265</v>
      </c>
      <c r="C817" s="497" t="s">
        <v>956</v>
      </c>
      <c r="D817" s="383" t="s">
        <v>969</v>
      </c>
      <c r="E817" s="383" t="s">
        <v>887</v>
      </c>
      <c r="F817" s="383" t="str">
        <f t="shared" si="37"/>
        <v>S200008FOxy Vinyls LP</v>
      </c>
      <c r="G817" s="496">
        <v>-7565.6</v>
      </c>
      <c r="H817" s="496">
        <v>7565.6</v>
      </c>
      <c r="I817" s="496">
        <f t="shared" si="38"/>
        <v>0</v>
      </c>
      <c r="J817" s="496" t="s">
        <v>869</v>
      </c>
    </row>
    <row r="818" spans="1:10" hidden="1" x14ac:dyDescent="0.25">
      <c r="A818" s="383">
        <f t="shared" si="36"/>
        <v>19</v>
      </c>
      <c r="B818" s="383" t="s">
        <v>265</v>
      </c>
      <c r="C818" s="497" t="s">
        <v>956</v>
      </c>
      <c r="D818" s="383" t="s">
        <v>945</v>
      </c>
      <c r="E818" s="383" t="s">
        <v>887</v>
      </c>
      <c r="F818" s="383" t="str">
        <f t="shared" si="37"/>
        <v>S200008FPG&amp;E Energy Tradi</v>
      </c>
      <c r="G818" s="496">
        <v>-0.17</v>
      </c>
      <c r="H818" s="496">
        <v>0.17</v>
      </c>
      <c r="I818" s="496">
        <f t="shared" si="38"/>
        <v>0</v>
      </c>
      <c r="J818" s="496" t="s">
        <v>869</v>
      </c>
    </row>
    <row r="819" spans="1:10" hidden="1" x14ac:dyDescent="0.25">
      <c r="A819" s="383">
        <f t="shared" si="36"/>
        <v>20</v>
      </c>
      <c r="B819" s="383" t="s">
        <v>265</v>
      </c>
      <c r="C819" s="497" t="s">
        <v>956</v>
      </c>
      <c r="D819" s="383" t="s">
        <v>984</v>
      </c>
      <c r="E819" s="383" t="s">
        <v>887</v>
      </c>
      <c r="F819" s="383" t="str">
        <f t="shared" si="37"/>
        <v>S200008FPublic Service Co</v>
      </c>
      <c r="G819" s="496">
        <v>-15426108.6</v>
      </c>
      <c r="H819" s="496">
        <v>15426108.6</v>
      </c>
      <c r="I819" s="496">
        <f t="shared" si="38"/>
        <v>0</v>
      </c>
      <c r="J819" s="496" t="s">
        <v>869</v>
      </c>
    </row>
    <row r="820" spans="1:10" hidden="1" x14ac:dyDescent="0.25">
      <c r="A820" s="383">
        <f t="shared" si="36"/>
        <v>20</v>
      </c>
      <c r="B820" s="383" t="s">
        <v>265</v>
      </c>
      <c r="C820" s="497" t="s">
        <v>956</v>
      </c>
      <c r="D820" s="383" t="s">
        <v>985</v>
      </c>
      <c r="E820" s="383" t="s">
        <v>887</v>
      </c>
      <c r="F820" s="383" t="str">
        <f t="shared" si="37"/>
        <v>S200008FSaguaro Power Com</v>
      </c>
      <c r="G820" s="496">
        <v>-81400</v>
      </c>
      <c r="H820" s="496">
        <v>81400</v>
      </c>
      <c r="I820" s="496">
        <f t="shared" si="38"/>
        <v>0</v>
      </c>
      <c r="J820" s="496" t="s">
        <v>869</v>
      </c>
    </row>
    <row r="821" spans="1:10" hidden="1" x14ac:dyDescent="0.25">
      <c r="A821" s="383">
        <f t="shared" si="36"/>
        <v>20</v>
      </c>
      <c r="B821" s="383" t="s">
        <v>265</v>
      </c>
      <c r="C821" s="497" t="s">
        <v>956</v>
      </c>
      <c r="D821" s="383" t="s">
        <v>986</v>
      </c>
      <c r="E821" s="383" t="s">
        <v>887</v>
      </c>
      <c r="F821" s="383" t="str">
        <f t="shared" si="37"/>
        <v>S200008FSplit Rock Energy</v>
      </c>
      <c r="G821" s="496">
        <v>-14737</v>
      </c>
      <c r="H821" s="496">
        <v>14737</v>
      </c>
      <c r="I821" s="496">
        <f t="shared" si="38"/>
        <v>0</v>
      </c>
      <c r="J821" s="496" t="s">
        <v>869</v>
      </c>
    </row>
    <row r="822" spans="1:10" hidden="1" x14ac:dyDescent="0.25">
      <c r="A822" s="383">
        <f t="shared" si="36"/>
        <v>24</v>
      </c>
      <c r="B822" s="487" t="s">
        <v>265</v>
      </c>
      <c r="C822" s="498" t="s">
        <v>956</v>
      </c>
      <c r="D822" s="487" t="s">
        <v>1271</v>
      </c>
      <c r="E822" s="487" t="s">
        <v>887</v>
      </c>
      <c r="F822" s="487" t="str">
        <f t="shared" si="37"/>
        <v>S200008FUnited Power Asso</v>
      </c>
      <c r="G822" s="499"/>
      <c r="H822" s="499">
        <f>VLOOKUP(F822,[2]Pivot!$R$20:$S$1359,2,FALSE)</f>
        <v>2337742.1</v>
      </c>
      <c r="I822" s="499">
        <f t="shared" si="38"/>
        <v>2337742.1</v>
      </c>
      <c r="J822" s="499" t="s">
        <v>890</v>
      </c>
    </row>
    <row r="823" spans="1:10" hidden="1" x14ac:dyDescent="0.25">
      <c r="A823" s="383">
        <f t="shared" si="36"/>
        <v>23</v>
      </c>
      <c r="B823" s="383" t="s">
        <v>265</v>
      </c>
      <c r="C823" s="497" t="s">
        <v>987</v>
      </c>
      <c r="D823" s="383" t="s">
        <v>1274</v>
      </c>
      <c r="E823" s="383" t="s">
        <v>868</v>
      </c>
      <c r="F823" s="383" t="str">
        <f t="shared" si="37"/>
        <v xml:space="preserve">S200009DAllegheny Energy </v>
      </c>
      <c r="G823" s="496">
        <v>22732848</v>
      </c>
      <c r="H823" s="496">
        <v>-22732848</v>
      </c>
      <c r="I823" s="496">
        <f t="shared" si="38"/>
        <v>0</v>
      </c>
      <c r="J823" s="496" t="s">
        <v>869</v>
      </c>
    </row>
    <row r="824" spans="1:10" hidden="1" x14ac:dyDescent="0.25">
      <c r="A824" s="383">
        <f t="shared" si="36"/>
        <v>24</v>
      </c>
      <c r="B824" s="383" t="s">
        <v>265</v>
      </c>
      <c r="C824" s="497" t="s">
        <v>987</v>
      </c>
      <c r="D824" s="383" t="s">
        <v>990</v>
      </c>
      <c r="E824" s="383" t="s">
        <v>868</v>
      </c>
      <c r="F824" s="383" t="str">
        <f t="shared" si="37"/>
        <v xml:space="preserve">S200009DAlliant Services </v>
      </c>
      <c r="G824" s="496">
        <v>977550</v>
      </c>
      <c r="H824" s="496">
        <v>-977550</v>
      </c>
      <c r="I824" s="496">
        <f t="shared" si="38"/>
        <v>0</v>
      </c>
      <c r="J824" s="496" t="s">
        <v>869</v>
      </c>
    </row>
    <row r="825" spans="1:10" x14ac:dyDescent="0.25">
      <c r="A825" s="383">
        <f t="shared" si="36"/>
        <v>28</v>
      </c>
      <c r="B825" s="487" t="s">
        <v>265</v>
      </c>
      <c r="C825" s="500" t="s">
        <v>987</v>
      </c>
      <c r="D825" s="487" t="s">
        <v>991</v>
      </c>
      <c r="E825" s="487" t="s">
        <v>868</v>
      </c>
      <c r="F825" s="487" t="str">
        <f t="shared" si="37"/>
        <v>S200009DAlternate Power S</v>
      </c>
      <c r="G825" s="499"/>
      <c r="H825" s="499">
        <f>VLOOKUP(F825,[2]Pivot!$R$20:$S$1359,2,FALSE)</f>
        <v>-16980</v>
      </c>
      <c r="I825" s="499">
        <f t="shared" si="38"/>
        <v>-16980</v>
      </c>
      <c r="J825" s="499"/>
    </row>
    <row r="826" spans="1:10" hidden="1" x14ac:dyDescent="0.25">
      <c r="A826" s="383">
        <f t="shared" si="36"/>
        <v>24</v>
      </c>
      <c r="B826" s="383" t="s">
        <v>265</v>
      </c>
      <c r="C826" s="497" t="s">
        <v>987</v>
      </c>
      <c r="D826" s="383" t="s">
        <v>1264</v>
      </c>
      <c r="E826" s="383" t="s">
        <v>868</v>
      </c>
      <c r="F826" s="383" t="str">
        <f t="shared" si="37"/>
        <v>S200009DAmerada Hess Corp</v>
      </c>
      <c r="G826" s="496">
        <v>18663</v>
      </c>
      <c r="H826" s="496">
        <v>-18663</v>
      </c>
      <c r="I826" s="496">
        <f t="shared" si="38"/>
        <v>0</v>
      </c>
      <c r="J826" s="496" t="s">
        <v>869</v>
      </c>
    </row>
    <row r="827" spans="1:10" hidden="1" x14ac:dyDescent="0.25">
      <c r="A827" s="383">
        <f t="shared" si="36"/>
        <v>23</v>
      </c>
      <c r="B827" s="383" t="s">
        <v>265</v>
      </c>
      <c r="C827" s="497" t="s">
        <v>987</v>
      </c>
      <c r="D827" s="383" t="s">
        <v>1275</v>
      </c>
      <c r="E827" s="383" t="s">
        <v>868</v>
      </c>
      <c r="F827" s="383" t="str">
        <f t="shared" si="37"/>
        <v>S200009DAmeren Energy, In</v>
      </c>
      <c r="G827" s="496">
        <v>6119600</v>
      </c>
      <c r="H827" s="496">
        <v>-6119600</v>
      </c>
      <c r="I827" s="496">
        <f t="shared" si="38"/>
        <v>0</v>
      </c>
      <c r="J827" s="496" t="s">
        <v>869</v>
      </c>
    </row>
    <row r="828" spans="1:10" hidden="1" x14ac:dyDescent="0.25">
      <c r="A828" s="383">
        <f t="shared" si="36"/>
        <v>23</v>
      </c>
      <c r="B828" s="383" t="s">
        <v>265</v>
      </c>
      <c r="C828" s="497" t="s">
        <v>987</v>
      </c>
      <c r="D828" s="383" t="s">
        <v>1235</v>
      </c>
      <c r="E828" s="383" t="s">
        <v>868</v>
      </c>
      <c r="F828" s="383" t="str">
        <f t="shared" si="37"/>
        <v>S200009DAmerican Electric</v>
      </c>
      <c r="G828" s="496">
        <v>349219582.10000002</v>
      </c>
      <c r="H828" s="496">
        <v>-349219582.10000002</v>
      </c>
      <c r="I828" s="496">
        <f t="shared" si="38"/>
        <v>0</v>
      </c>
      <c r="J828" s="496" t="s">
        <v>869</v>
      </c>
    </row>
    <row r="829" spans="1:10" hidden="1" x14ac:dyDescent="0.25">
      <c r="A829" s="383">
        <f t="shared" si="36"/>
        <v>23</v>
      </c>
      <c r="B829" s="383" t="s">
        <v>265</v>
      </c>
      <c r="C829" s="497" t="s">
        <v>987</v>
      </c>
      <c r="D829" s="383" t="s">
        <v>1276</v>
      </c>
      <c r="E829" s="383" t="s">
        <v>868</v>
      </c>
      <c r="F829" s="383" t="str">
        <f t="shared" si="37"/>
        <v>S200009DAquila Energy Mar</v>
      </c>
      <c r="G829" s="496">
        <v>255776395.03</v>
      </c>
      <c r="H829" s="496">
        <v>-255776395.03</v>
      </c>
      <c r="I829" s="496">
        <f t="shared" si="38"/>
        <v>0</v>
      </c>
      <c r="J829" s="496" t="s">
        <v>869</v>
      </c>
    </row>
    <row r="830" spans="1:10" hidden="1" x14ac:dyDescent="0.25">
      <c r="A830" s="383">
        <f t="shared" si="36"/>
        <v>24</v>
      </c>
      <c r="B830" s="383" t="s">
        <v>265</v>
      </c>
      <c r="C830" s="497" t="s">
        <v>987</v>
      </c>
      <c r="D830" s="383" t="s">
        <v>1277</v>
      </c>
      <c r="E830" s="383" t="s">
        <v>868</v>
      </c>
      <c r="F830" s="383" t="str">
        <f t="shared" si="37"/>
        <v>S200009DAvista Corporatio</v>
      </c>
      <c r="G830" s="496">
        <v>-30769</v>
      </c>
      <c r="H830" s="496">
        <v>30769</v>
      </c>
      <c r="I830" s="496">
        <f t="shared" si="38"/>
        <v>0</v>
      </c>
      <c r="J830" s="496" t="s">
        <v>869</v>
      </c>
    </row>
    <row r="831" spans="1:10" x14ac:dyDescent="0.25">
      <c r="A831" s="383">
        <f t="shared" si="36"/>
        <v>19</v>
      </c>
      <c r="B831" s="383" t="s">
        <v>265</v>
      </c>
      <c r="C831" s="495" t="s">
        <v>987</v>
      </c>
      <c r="D831" s="383" t="s">
        <v>999</v>
      </c>
      <c r="E831" s="383" t="s">
        <v>868</v>
      </c>
      <c r="F831" s="383" t="str">
        <f t="shared" si="37"/>
        <v>S200009DAvista Energy, In</v>
      </c>
      <c r="G831" s="496">
        <v>-122598360</v>
      </c>
      <c r="H831" s="496">
        <v>12780</v>
      </c>
      <c r="I831" s="496">
        <f t="shared" si="38"/>
        <v>-122585580</v>
      </c>
      <c r="J831" s="496"/>
    </row>
    <row r="832" spans="1:10" x14ac:dyDescent="0.25">
      <c r="A832" s="383">
        <f t="shared" si="36"/>
        <v>31</v>
      </c>
      <c r="B832" s="487" t="s">
        <v>265</v>
      </c>
      <c r="C832" s="500" t="s">
        <v>987</v>
      </c>
      <c r="D832" s="487" t="s">
        <v>957</v>
      </c>
      <c r="E832" s="487" t="s">
        <v>868</v>
      </c>
      <c r="F832" s="487" t="str">
        <f t="shared" si="37"/>
        <v xml:space="preserve">S200009DBonneville Power </v>
      </c>
      <c r="G832" s="499"/>
      <c r="H832" s="499">
        <f>VLOOKUP(F832,[2]Pivot!$R$20:$S$1359,2,FALSE)</f>
        <v>-45429000</v>
      </c>
      <c r="I832" s="499">
        <f t="shared" si="38"/>
        <v>-45429000</v>
      </c>
      <c r="J832" s="499"/>
    </row>
    <row r="833" spans="1:10" x14ac:dyDescent="0.25">
      <c r="A833" s="383">
        <f t="shared" si="36"/>
        <v>17</v>
      </c>
      <c r="B833" s="487" t="s">
        <v>265</v>
      </c>
      <c r="C833" s="500" t="s">
        <v>987</v>
      </c>
      <c r="D833" s="487" t="s">
        <v>1000</v>
      </c>
      <c r="E833" s="487" t="s">
        <v>868</v>
      </c>
      <c r="F833" s="487" t="str">
        <f t="shared" si="37"/>
        <v>S200009DBP Energy Company</v>
      </c>
      <c r="G833" s="499"/>
      <c r="H833" s="499">
        <f>VLOOKUP(F833,[2]Pivot!$R$20:$S$1359,2,FALSE)</f>
        <v>-32663900</v>
      </c>
      <c r="I833" s="499">
        <f t="shared" si="38"/>
        <v>-32663900</v>
      </c>
      <c r="J833" s="499"/>
    </row>
    <row r="834" spans="1:10" hidden="1" x14ac:dyDescent="0.25">
      <c r="A834" s="383">
        <f t="shared" si="36"/>
        <v>24</v>
      </c>
      <c r="B834" s="383" t="s">
        <v>265</v>
      </c>
      <c r="C834" s="497" t="s">
        <v>987</v>
      </c>
      <c r="D834" s="383" t="s">
        <v>1265</v>
      </c>
      <c r="E834" s="383" t="s">
        <v>868</v>
      </c>
      <c r="F834" s="383" t="str">
        <f t="shared" si="37"/>
        <v xml:space="preserve">S200009DBritish Columbia </v>
      </c>
      <c r="G834" s="496">
        <v>25856671.77</v>
      </c>
      <c r="H834" s="496">
        <v>-25856671.77</v>
      </c>
      <c r="I834" s="496">
        <f t="shared" si="38"/>
        <v>0</v>
      </c>
      <c r="J834" s="496" t="s">
        <v>869</v>
      </c>
    </row>
    <row r="835" spans="1:10" hidden="1" x14ac:dyDescent="0.25">
      <c r="A835" s="383">
        <f t="shared" si="36"/>
        <v>24</v>
      </c>
      <c r="B835" s="383" t="s">
        <v>265</v>
      </c>
      <c r="C835" s="497" t="s">
        <v>987</v>
      </c>
      <c r="D835" s="383" t="s">
        <v>1266</v>
      </c>
      <c r="E835" s="383" t="s">
        <v>868</v>
      </c>
      <c r="F835" s="383" t="str">
        <f t="shared" si="37"/>
        <v xml:space="preserve">S200009DCalifornia Power </v>
      </c>
      <c r="G835" s="496">
        <v>-546747.5700000017</v>
      </c>
      <c r="H835" s="496">
        <v>546747.5700000017</v>
      </c>
      <c r="I835" s="496">
        <f t="shared" si="38"/>
        <v>0</v>
      </c>
      <c r="J835" s="496" t="s">
        <v>869</v>
      </c>
    </row>
    <row r="836" spans="1:10" hidden="1" x14ac:dyDescent="0.25">
      <c r="A836" s="383">
        <f t="shared" ref="A836:A899" si="39">LEN(D836)</f>
        <v>24</v>
      </c>
      <c r="B836" s="383" t="s">
        <v>265</v>
      </c>
      <c r="C836" s="497" t="s">
        <v>987</v>
      </c>
      <c r="D836" s="383" t="s">
        <v>1278</v>
      </c>
      <c r="E836" s="383" t="s">
        <v>868</v>
      </c>
      <c r="F836" s="383" t="str">
        <f t="shared" ref="F836:F899" si="40">+B836&amp;C836&amp;E836&amp;LEFT(D836,17)</f>
        <v>S200009DCalpine Power Ser</v>
      </c>
      <c r="G836" s="496">
        <v>6358213.75</v>
      </c>
      <c r="H836" s="496">
        <v>-6358213.75</v>
      </c>
      <c r="I836" s="496">
        <f t="shared" ref="I836:I899" si="41">ROUND(+G836+H836,2)</f>
        <v>0</v>
      </c>
      <c r="J836" s="496" t="s">
        <v>869</v>
      </c>
    </row>
    <row r="837" spans="1:10" x14ac:dyDescent="0.25">
      <c r="A837" s="383">
        <f t="shared" si="39"/>
        <v>20</v>
      </c>
      <c r="B837" s="487" t="s">
        <v>265</v>
      </c>
      <c r="C837" s="500" t="s">
        <v>987</v>
      </c>
      <c r="D837" s="487" t="s">
        <v>1002</v>
      </c>
      <c r="E837" s="487" t="s">
        <v>868</v>
      </c>
      <c r="F837" s="487" t="str">
        <f t="shared" si="40"/>
        <v xml:space="preserve">S200009DCargill-Alliant, </v>
      </c>
      <c r="G837" s="499"/>
      <c r="H837" s="499">
        <f>VLOOKUP(F837,[2]Pivot!$R$20:$S$1359,2,FALSE)</f>
        <v>-3832790</v>
      </c>
      <c r="I837" s="499">
        <f t="shared" si="41"/>
        <v>-3832790</v>
      </c>
      <c r="J837" s="499"/>
    </row>
    <row r="838" spans="1:10" hidden="1" x14ac:dyDescent="0.25">
      <c r="A838" s="383">
        <f t="shared" si="39"/>
        <v>24</v>
      </c>
      <c r="B838" s="383" t="s">
        <v>265</v>
      </c>
      <c r="C838" s="497" t="s">
        <v>987</v>
      </c>
      <c r="D838" s="383" t="s">
        <v>1279</v>
      </c>
      <c r="E838" s="383" t="s">
        <v>868</v>
      </c>
      <c r="F838" s="383" t="str">
        <f t="shared" si="40"/>
        <v xml:space="preserve">S200009DCarolina Power &amp; </v>
      </c>
      <c r="G838" s="496">
        <v>743800</v>
      </c>
      <c r="H838" s="496">
        <v>-743800</v>
      </c>
      <c r="I838" s="496">
        <f t="shared" si="41"/>
        <v>0</v>
      </c>
      <c r="J838" s="496" t="s">
        <v>869</v>
      </c>
    </row>
    <row r="839" spans="1:10" hidden="1" x14ac:dyDescent="0.25">
      <c r="A839" s="383">
        <f t="shared" si="39"/>
        <v>24</v>
      </c>
      <c r="B839" s="383" t="s">
        <v>265</v>
      </c>
      <c r="C839" s="497" t="s">
        <v>987</v>
      </c>
      <c r="D839" s="383" t="s">
        <v>1280</v>
      </c>
      <c r="E839" s="383" t="s">
        <v>868</v>
      </c>
      <c r="F839" s="383" t="str">
        <f t="shared" si="40"/>
        <v>S200009DCentral and South</v>
      </c>
      <c r="G839" s="496">
        <v>147740</v>
      </c>
      <c r="H839" s="496">
        <v>-147740</v>
      </c>
      <c r="I839" s="496">
        <f t="shared" si="41"/>
        <v>0</v>
      </c>
      <c r="J839" s="496" t="s">
        <v>869</v>
      </c>
    </row>
    <row r="840" spans="1:10" hidden="1" x14ac:dyDescent="0.25">
      <c r="A840" s="383">
        <f t="shared" si="39"/>
        <v>24</v>
      </c>
      <c r="B840" s="383" t="s">
        <v>265</v>
      </c>
      <c r="C840" s="497" t="s">
        <v>987</v>
      </c>
      <c r="D840" s="383" t="s">
        <v>1281</v>
      </c>
      <c r="E840" s="383" t="s">
        <v>868</v>
      </c>
      <c r="F840" s="383" t="str">
        <f t="shared" si="40"/>
        <v xml:space="preserve">S200009DCentral Illinois </v>
      </c>
      <c r="G840" s="496">
        <v>550168</v>
      </c>
      <c r="H840" s="496">
        <v>-550168</v>
      </c>
      <c r="I840" s="496">
        <f t="shared" si="41"/>
        <v>0</v>
      </c>
      <c r="J840" s="496" t="s">
        <v>869</v>
      </c>
    </row>
    <row r="841" spans="1:10" x14ac:dyDescent="0.25">
      <c r="A841" s="383">
        <f t="shared" si="39"/>
        <v>22</v>
      </c>
      <c r="B841" s="487" t="s">
        <v>265</v>
      </c>
      <c r="C841" s="500" t="s">
        <v>987</v>
      </c>
      <c r="D841" s="487" t="s">
        <v>1004</v>
      </c>
      <c r="E841" s="487" t="s">
        <v>868</v>
      </c>
      <c r="F841" s="487" t="str">
        <f t="shared" si="40"/>
        <v>S200009DCinergy Services,</v>
      </c>
      <c r="G841" s="499"/>
      <c r="H841" s="499">
        <f>VLOOKUP(F841,[2]Pivot!$R$20:$S$1359,2,FALSE)</f>
        <v>-37814171.380000003</v>
      </c>
      <c r="I841" s="499">
        <f t="shared" si="41"/>
        <v>-37814171.380000003</v>
      </c>
      <c r="J841" s="499"/>
    </row>
    <row r="842" spans="1:10" hidden="1" x14ac:dyDescent="0.25">
      <c r="A842" s="383">
        <f t="shared" si="39"/>
        <v>24</v>
      </c>
      <c r="B842" s="383" t="s">
        <v>265</v>
      </c>
      <c r="C842" s="497" t="s">
        <v>987</v>
      </c>
      <c r="D842" s="383" t="s">
        <v>1282</v>
      </c>
      <c r="E842" s="383" t="s">
        <v>868</v>
      </c>
      <c r="F842" s="383" t="str">
        <f t="shared" si="40"/>
        <v>S200009DCity of McMinnvil</v>
      </c>
      <c r="G842" s="496">
        <v>85320</v>
      </c>
      <c r="H842" s="496">
        <v>-85320</v>
      </c>
      <c r="I842" s="496">
        <f t="shared" si="41"/>
        <v>0</v>
      </c>
      <c r="J842" s="496" t="s">
        <v>869</v>
      </c>
    </row>
    <row r="843" spans="1:10" x14ac:dyDescent="0.25">
      <c r="A843" s="383">
        <f t="shared" si="39"/>
        <v>15</v>
      </c>
      <c r="B843" s="383" t="s">
        <v>265</v>
      </c>
      <c r="C843" s="495" t="s">
        <v>987</v>
      </c>
      <c r="D843" s="383" t="s">
        <v>911</v>
      </c>
      <c r="E843" s="383" t="s">
        <v>868</v>
      </c>
      <c r="F843" s="383" t="str">
        <f t="shared" si="40"/>
        <v>S200009DCity of Redding</v>
      </c>
      <c r="G843" s="496">
        <v>-92000</v>
      </c>
      <c r="H843" s="496">
        <v>-337440</v>
      </c>
      <c r="I843" s="496">
        <f t="shared" si="41"/>
        <v>-429440</v>
      </c>
      <c r="J843" s="496"/>
    </row>
    <row r="844" spans="1:10" x14ac:dyDescent="0.25">
      <c r="A844" s="383">
        <f t="shared" si="39"/>
        <v>17</v>
      </c>
      <c r="B844" s="487" t="s">
        <v>265</v>
      </c>
      <c r="C844" s="500" t="s">
        <v>987</v>
      </c>
      <c r="D844" s="487" t="s">
        <v>1186</v>
      </c>
      <c r="E844" s="487" t="s">
        <v>868</v>
      </c>
      <c r="F844" s="487" t="str">
        <f t="shared" si="40"/>
        <v>S200009DCity of Roseville</v>
      </c>
      <c r="G844" s="499"/>
      <c r="H844" s="499">
        <f>VLOOKUP(F844,[2]Pivot!$R$20:$S$1359,2,FALSE)</f>
        <v>-1764000</v>
      </c>
      <c r="I844" s="499">
        <f t="shared" si="41"/>
        <v>-1764000</v>
      </c>
      <c r="J844" s="499"/>
    </row>
    <row r="845" spans="1:10" hidden="1" x14ac:dyDescent="0.25">
      <c r="A845" s="383">
        <f t="shared" si="39"/>
        <v>24</v>
      </c>
      <c r="B845" s="383" t="s">
        <v>265</v>
      </c>
      <c r="C845" s="497" t="s">
        <v>987</v>
      </c>
      <c r="D845" s="383" t="s">
        <v>1252</v>
      </c>
      <c r="E845" s="383" t="s">
        <v>868</v>
      </c>
      <c r="F845" s="383" t="str">
        <f t="shared" si="40"/>
        <v>S200009DCity of Tacoma, D</v>
      </c>
      <c r="G845" s="496">
        <v>-8347.2000000006519</v>
      </c>
      <c r="H845" s="496">
        <v>8347.2000000000007</v>
      </c>
      <c r="I845" s="496">
        <f t="shared" si="41"/>
        <v>0</v>
      </c>
      <c r="J845" s="496" t="s">
        <v>869</v>
      </c>
    </row>
    <row r="846" spans="1:10" x14ac:dyDescent="0.25">
      <c r="A846" s="383">
        <f t="shared" si="39"/>
        <v>17</v>
      </c>
      <c r="B846" s="487" t="s">
        <v>265</v>
      </c>
      <c r="C846" s="500" t="s">
        <v>987</v>
      </c>
      <c r="D846" s="487" t="s">
        <v>1005</v>
      </c>
      <c r="E846" s="487" t="s">
        <v>868</v>
      </c>
      <c r="F846" s="487" t="str">
        <f t="shared" si="40"/>
        <v>S200009DCLECO Corporation</v>
      </c>
      <c r="G846" s="499"/>
      <c r="H846" s="499">
        <f>VLOOKUP(F846,[2]Pivot!$R$20:$S$1359,2,FALSE)</f>
        <v>-127800</v>
      </c>
      <c r="I846" s="499">
        <f t="shared" si="41"/>
        <v>-127800</v>
      </c>
      <c r="J846" s="499"/>
    </row>
    <row r="847" spans="1:10" hidden="1" x14ac:dyDescent="0.25">
      <c r="A847" s="383">
        <f t="shared" si="39"/>
        <v>24</v>
      </c>
      <c r="B847" s="383" t="s">
        <v>265</v>
      </c>
      <c r="C847" s="497" t="s">
        <v>987</v>
      </c>
      <c r="D847" s="383" t="s">
        <v>1283</v>
      </c>
      <c r="E847" s="383" t="s">
        <v>868</v>
      </c>
      <c r="F847" s="383" t="str">
        <f t="shared" si="40"/>
        <v>S200009DCLECO Marketing a</v>
      </c>
      <c r="G847" s="496">
        <v>1396400</v>
      </c>
      <c r="H847" s="496">
        <v>-1396400</v>
      </c>
      <c r="I847" s="496">
        <f t="shared" si="41"/>
        <v>0</v>
      </c>
      <c r="J847" s="496" t="s">
        <v>869</v>
      </c>
    </row>
    <row r="848" spans="1:10" hidden="1" x14ac:dyDescent="0.25">
      <c r="A848" s="383">
        <f t="shared" si="39"/>
        <v>25</v>
      </c>
      <c r="B848" s="383" t="s">
        <v>265</v>
      </c>
      <c r="C848" s="497" t="s">
        <v>987</v>
      </c>
      <c r="D848" s="383" t="s">
        <v>1284</v>
      </c>
      <c r="E848" s="383" t="s">
        <v>868</v>
      </c>
      <c r="F848" s="383" t="str">
        <f t="shared" si="40"/>
        <v>S200009DCleco Utility Gro</v>
      </c>
      <c r="G848" s="496">
        <v>30400</v>
      </c>
      <c r="H848" s="496">
        <v>-30400</v>
      </c>
      <c r="I848" s="496">
        <f t="shared" si="41"/>
        <v>0</v>
      </c>
      <c r="J848" s="496" t="s">
        <v>869</v>
      </c>
    </row>
    <row r="849" spans="1:10" hidden="1" x14ac:dyDescent="0.25">
      <c r="A849" s="383">
        <f t="shared" si="39"/>
        <v>23</v>
      </c>
      <c r="B849" s="383" t="s">
        <v>265</v>
      </c>
      <c r="C849" s="497" t="s">
        <v>987</v>
      </c>
      <c r="D849" s="383" t="s">
        <v>1285</v>
      </c>
      <c r="E849" s="383" t="s">
        <v>868</v>
      </c>
      <c r="F849" s="383" t="str">
        <f t="shared" si="40"/>
        <v>S200009DCMS Marketing, Se</v>
      </c>
      <c r="G849" s="496">
        <v>4375586.38</v>
      </c>
      <c r="H849" s="496">
        <v>-4375586.38</v>
      </c>
      <c r="I849" s="496">
        <f t="shared" si="41"/>
        <v>0</v>
      </c>
      <c r="J849" s="496" t="s">
        <v>869</v>
      </c>
    </row>
    <row r="850" spans="1:10" hidden="1" x14ac:dyDescent="0.25">
      <c r="A850" s="383">
        <f t="shared" si="39"/>
        <v>24</v>
      </c>
      <c r="B850" s="383" t="s">
        <v>265</v>
      </c>
      <c r="C850" s="497" t="s">
        <v>987</v>
      </c>
      <c r="D850" s="383" t="s">
        <v>1286</v>
      </c>
      <c r="E850" s="383" t="s">
        <v>868</v>
      </c>
      <c r="F850" s="383" t="str">
        <f t="shared" si="40"/>
        <v xml:space="preserve">S200009DCoastal Merchant </v>
      </c>
      <c r="G850" s="496">
        <v>540800</v>
      </c>
      <c r="H850" s="496">
        <v>-540800</v>
      </c>
      <c r="I850" s="496">
        <f t="shared" si="41"/>
        <v>0</v>
      </c>
      <c r="J850" s="496" t="s">
        <v>869</v>
      </c>
    </row>
    <row r="851" spans="1:10" x14ac:dyDescent="0.25">
      <c r="A851" s="383">
        <f t="shared" si="39"/>
        <v>25</v>
      </c>
      <c r="B851" s="383" t="s">
        <v>265</v>
      </c>
      <c r="C851" s="495" t="s">
        <v>987</v>
      </c>
      <c r="D851" s="383" t="s">
        <v>1287</v>
      </c>
      <c r="E851" s="383" t="s">
        <v>868</v>
      </c>
      <c r="F851" s="383" t="str">
        <f t="shared" si="40"/>
        <v>S200009DColorado River Co</v>
      </c>
      <c r="G851" s="496">
        <v>-2530989.98</v>
      </c>
      <c r="H851" s="496">
        <v>0</v>
      </c>
      <c r="I851" s="496">
        <f t="shared" si="41"/>
        <v>-2530989.98</v>
      </c>
      <c r="J851" s="496"/>
    </row>
    <row r="852" spans="1:10" x14ac:dyDescent="0.25">
      <c r="A852" s="383">
        <f t="shared" si="39"/>
        <v>28</v>
      </c>
      <c r="B852" s="487" t="s">
        <v>265</v>
      </c>
      <c r="C852" s="500" t="s">
        <v>987</v>
      </c>
      <c r="D852" s="487" t="s">
        <v>1010</v>
      </c>
      <c r="E852" s="487" t="s">
        <v>868</v>
      </c>
      <c r="F852" s="487" t="str">
        <f t="shared" si="40"/>
        <v>S200009DConectiv Energy S</v>
      </c>
      <c r="G852" s="499"/>
      <c r="H852" s="499">
        <f>VLOOKUP(F852,[2]Pivot!$R$20:$S$1359,2,FALSE)</f>
        <v>-4358800</v>
      </c>
      <c r="I852" s="499">
        <f t="shared" si="41"/>
        <v>-4358800</v>
      </c>
      <c r="J852" s="499"/>
    </row>
    <row r="853" spans="1:10" hidden="1" x14ac:dyDescent="0.25">
      <c r="A853" s="383">
        <f t="shared" si="39"/>
        <v>24</v>
      </c>
      <c r="B853" s="383" t="s">
        <v>265</v>
      </c>
      <c r="C853" s="497" t="s">
        <v>987</v>
      </c>
      <c r="D853" s="383" t="s">
        <v>1288</v>
      </c>
      <c r="E853" s="383" t="s">
        <v>868</v>
      </c>
      <c r="F853" s="383" t="str">
        <f t="shared" si="40"/>
        <v>S200009DConnecticut Munic</v>
      </c>
      <c r="G853" s="496">
        <v>324900</v>
      </c>
      <c r="H853" s="496">
        <v>-324900</v>
      </c>
      <c r="I853" s="496">
        <f t="shared" si="41"/>
        <v>0</v>
      </c>
      <c r="J853" s="496" t="s">
        <v>869</v>
      </c>
    </row>
    <row r="854" spans="1:10" hidden="1" x14ac:dyDescent="0.25">
      <c r="A854" s="383">
        <f t="shared" si="39"/>
        <v>24</v>
      </c>
      <c r="B854" s="383" t="s">
        <v>265</v>
      </c>
      <c r="C854" s="497" t="s">
        <v>987</v>
      </c>
      <c r="D854" s="383" t="s">
        <v>1253</v>
      </c>
      <c r="E854" s="383" t="s">
        <v>868</v>
      </c>
      <c r="F854" s="383" t="str">
        <f t="shared" si="40"/>
        <v>S200009DConoco Power Mark</v>
      </c>
      <c r="G854" s="496">
        <v>4200791.04</v>
      </c>
      <c r="H854" s="496">
        <v>-4200791.04</v>
      </c>
      <c r="I854" s="496">
        <f t="shared" si="41"/>
        <v>0</v>
      </c>
      <c r="J854" s="496" t="s">
        <v>869</v>
      </c>
    </row>
    <row r="855" spans="1:10" hidden="1" x14ac:dyDescent="0.25">
      <c r="A855" s="383">
        <f t="shared" si="39"/>
        <v>24</v>
      </c>
      <c r="B855" s="383" t="s">
        <v>265</v>
      </c>
      <c r="C855" s="497" t="s">
        <v>987</v>
      </c>
      <c r="D855" s="383" t="s">
        <v>1289</v>
      </c>
      <c r="E855" s="383" t="s">
        <v>868</v>
      </c>
      <c r="F855" s="383" t="str">
        <f t="shared" si="40"/>
        <v>S200009DConstellation Pow</v>
      </c>
      <c r="G855" s="496">
        <v>177321610.31</v>
      </c>
      <c r="H855" s="496">
        <v>-177321610.31</v>
      </c>
      <c r="I855" s="496">
        <f t="shared" si="41"/>
        <v>0</v>
      </c>
      <c r="J855" s="496" t="s">
        <v>869</v>
      </c>
    </row>
    <row r="856" spans="1:10" hidden="1" x14ac:dyDescent="0.25">
      <c r="A856" s="383">
        <f t="shared" si="39"/>
        <v>24</v>
      </c>
      <c r="B856" s="383" t="s">
        <v>265</v>
      </c>
      <c r="C856" s="497" t="s">
        <v>987</v>
      </c>
      <c r="D856" s="383" t="s">
        <v>1290</v>
      </c>
      <c r="E856" s="383" t="s">
        <v>868</v>
      </c>
      <c r="F856" s="383" t="str">
        <f t="shared" si="40"/>
        <v xml:space="preserve">S200009DDayton Power and </v>
      </c>
      <c r="G856" s="496">
        <v>237666</v>
      </c>
      <c r="H856" s="496">
        <v>-237666</v>
      </c>
      <c r="I856" s="496">
        <f t="shared" si="41"/>
        <v>0</v>
      </c>
      <c r="J856" s="496" t="s">
        <v>869</v>
      </c>
    </row>
    <row r="857" spans="1:10" hidden="1" x14ac:dyDescent="0.25">
      <c r="A857" s="383">
        <f t="shared" si="39"/>
        <v>18</v>
      </c>
      <c r="B857" s="383" t="s">
        <v>265</v>
      </c>
      <c r="C857" s="497" t="s">
        <v>987</v>
      </c>
      <c r="D857" s="383" t="s">
        <v>1291</v>
      </c>
      <c r="E857" s="383" t="s">
        <v>868</v>
      </c>
      <c r="F857" s="383" t="str">
        <f t="shared" si="40"/>
        <v>S200009DDelano Energy Com</v>
      </c>
      <c r="G857" s="496">
        <v>0</v>
      </c>
      <c r="H857" s="496"/>
      <c r="I857" s="496">
        <f t="shared" si="41"/>
        <v>0</v>
      </c>
      <c r="J857" s="496" t="s">
        <v>869</v>
      </c>
    </row>
    <row r="858" spans="1:10" hidden="1" x14ac:dyDescent="0.25">
      <c r="A858" s="383">
        <f t="shared" si="39"/>
        <v>24</v>
      </c>
      <c r="B858" s="383" t="s">
        <v>265</v>
      </c>
      <c r="C858" s="497" t="s">
        <v>987</v>
      </c>
      <c r="D858" s="383" t="s">
        <v>1016</v>
      </c>
      <c r="E858" s="383" t="s">
        <v>868</v>
      </c>
      <c r="F858" s="383" t="str">
        <f t="shared" si="40"/>
        <v>S200009DDTE Energy Tradin</v>
      </c>
      <c r="G858" s="496">
        <v>7034800</v>
      </c>
      <c r="H858" s="496">
        <v>-7034800</v>
      </c>
      <c r="I858" s="496">
        <f t="shared" si="41"/>
        <v>0</v>
      </c>
      <c r="J858" s="496" t="s">
        <v>869</v>
      </c>
    </row>
    <row r="859" spans="1:10" hidden="1" x14ac:dyDescent="0.25">
      <c r="A859" s="383">
        <f t="shared" si="39"/>
        <v>23</v>
      </c>
      <c r="B859" s="383" t="s">
        <v>265</v>
      </c>
      <c r="C859" s="497" t="s">
        <v>987</v>
      </c>
      <c r="D859" s="383" t="s">
        <v>1292</v>
      </c>
      <c r="E859" s="383" t="s">
        <v>868</v>
      </c>
      <c r="F859" s="383" t="str">
        <f t="shared" si="40"/>
        <v>S200009DDuke Energy Tradi</v>
      </c>
      <c r="G859" s="496">
        <v>275275200</v>
      </c>
      <c r="H859" s="496">
        <v>-275275200</v>
      </c>
      <c r="I859" s="496">
        <f t="shared" si="41"/>
        <v>0</v>
      </c>
      <c r="J859" s="496" t="s">
        <v>869</v>
      </c>
    </row>
    <row r="860" spans="1:10" hidden="1" x14ac:dyDescent="0.25">
      <c r="A860" s="383">
        <f t="shared" si="39"/>
        <v>24</v>
      </c>
      <c r="B860" s="383" t="s">
        <v>265</v>
      </c>
      <c r="C860" s="497" t="s">
        <v>987</v>
      </c>
      <c r="D860" s="383" t="s">
        <v>1293</v>
      </c>
      <c r="E860" s="383" t="s">
        <v>868</v>
      </c>
      <c r="F860" s="383" t="str">
        <f t="shared" si="40"/>
        <v>S200009DDuke Power, a div</v>
      </c>
      <c r="G860" s="496">
        <v>9310</v>
      </c>
      <c r="H860" s="496">
        <v>-9310</v>
      </c>
      <c r="I860" s="496">
        <f t="shared" si="41"/>
        <v>0</v>
      </c>
      <c r="J860" s="496" t="s">
        <v>869</v>
      </c>
    </row>
    <row r="861" spans="1:10" hidden="1" x14ac:dyDescent="0.25">
      <c r="A861" s="383">
        <f t="shared" si="39"/>
        <v>23</v>
      </c>
      <c r="B861" s="383" t="s">
        <v>265</v>
      </c>
      <c r="C861" s="497" t="s">
        <v>987</v>
      </c>
      <c r="D861" s="383" t="s">
        <v>1255</v>
      </c>
      <c r="E861" s="383" t="s">
        <v>868</v>
      </c>
      <c r="F861" s="383" t="str">
        <f t="shared" si="40"/>
        <v>S200009DDynegy Power Mark</v>
      </c>
      <c r="G861" s="496">
        <v>63397396.980000004</v>
      </c>
      <c r="H861" s="496">
        <v>-63397396.979999997</v>
      </c>
      <c r="I861" s="496">
        <f t="shared" si="41"/>
        <v>0</v>
      </c>
      <c r="J861" s="496" t="s">
        <v>869</v>
      </c>
    </row>
    <row r="862" spans="1:10" hidden="1" x14ac:dyDescent="0.25">
      <c r="A862" s="383">
        <f t="shared" si="39"/>
        <v>24</v>
      </c>
      <c r="B862" s="383" t="s">
        <v>265</v>
      </c>
      <c r="C862" s="497" t="s">
        <v>987</v>
      </c>
      <c r="D862" s="383" t="s">
        <v>1294</v>
      </c>
      <c r="E862" s="383" t="s">
        <v>868</v>
      </c>
      <c r="F862" s="383" t="str">
        <f t="shared" si="40"/>
        <v>S200009DEdison Mission Ma</v>
      </c>
      <c r="G862" s="496">
        <v>158234564.72</v>
      </c>
      <c r="H862" s="496">
        <v>-158234564.72</v>
      </c>
      <c r="I862" s="496">
        <f t="shared" si="41"/>
        <v>0</v>
      </c>
      <c r="J862" s="496" t="s">
        <v>869</v>
      </c>
    </row>
    <row r="863" spans="1:10" hidden="1" x14ac:dyDescent="0.25">
      <c r="A863" s="383">
        <f t="shared" si="39"/>
        <v>24</v>
      </c>
      <c r="B863" s="383" t="s">
        <v>265</v>
      </c>
      <c r="C863" s="497" t="s">
        <v>987</v>
      </c>
      <c r="D863" s="383" t="s">
        <v>1240</v>
      </c>
      <c r="E863" s="383" t="s">
        <v>868</v>
      </c>
      <c r="F863" s="383" t="str">
        <f t="shared" si="40"/>
        <v xml:space="preserve">S200009DEl Paso Electric </v>
      </c>
      <c r="G863" s="496">
        <v>-40119.839999999997</v>
      </c>
      <c r="H863" s="496">
        <v>40119.839999999997</v>
      </c>
      <c r="I863" s="496">
        <f t="shared" si="41"/>
        <v>0</v>
      </c>
      <c r="J863" s="496" t="s">
        <v>869</v>
      </c>
    </row>
    <row r="864" spans="1:10" hidden="1" x14ac:dyDescent="0.25">
      <c r="A864" s="383">
        <f t="shared" si="39"/>
        <v>24</v>
      </c>
      <c r="B864" s="383" t="s">
        <v>265</v>
      </c>
      <c r="C864" s="497" t="s">
        <v>987</v>
      </c>
      <c r="D864" s="383" t="s">
        <v>1295</v>
      </c>
      <c r="E864" s="383" t="s">
        <v>868</v>
      </c>
      <c r="F864" s="383" t="str">
        <f t="shared" si="40"/>
        <v xml:space="preserve">S200009DEl Paso Merchant </v>
      </c>
      <c r="G864" s="496">
        <v>220246612</v>
      </c>
      <c r="H864" s="496">
        <v>-220246612</v>
      </c>
      <c r="I864" s="496">
        <f t="shared" si="41"/>
        <v>0</v>
      </c>
      <c r="J864" s="496" t="s">
        <v>869</v>
      </c>
    </row>
    <row r="865" spans="1:10" hidden="1" x14ac:dyDescent="0.25">
      <c r="A865" s="383">
        <f t="shared" si="39"/>
        <v>24</v>
      </c>
      <c r="B865" s="383" t="s">
        <v>265</v>
      </c>
      <c r="C865" s="497" t="s">
        <v>987</v>
      </c>
      <c r="D865" s="383" t="s">
        <v>1296</v>
      </c>
      <c r="E865" s="383" t="s">
        <v>868</v>
      </c>
      <c r="F865" s="383" t="str">
        <f t="shared" si="40"/>
        <v xml:space="preserve">S200009DEmerald People's </v>
      </c>
      <c r="G865" s="496">
        <v>112428</v>
      </c>
      <c r="H865" s="496">
        <v>-112428</v>
      </c>
      <c r="I865" s="496">
        <f t="shared" si="41"/>
        <v>0</v>
      </c>
      <c r="J865" s="496" t="s">
        <v>869</v>
      </c>
    </row>
    <row r="866" spans="1:10" hidden="1" x14ac:dyDescent="0.25">
      <c r="A866" s="383">
        <f t="shared" si="39"/>
        <v>24</v>
      </c>
      <c r="B866" s="383" t="s">
        <v>265</v>
      </c>
      <c r="C866" s="497" t="s">
        <v>987</v>
      </c>
      <c r="D866" s="383" t="s">
        <v>1297</v>
      </c>
      <c r="E866" s="383" t="s">
        <v>868</v>
      </c>
      <c r="F866" s="383" t="str">
        <f t="shared" si="40"/>
        <v>S200009DEnergy New Englan</v>
      </c>
      <c r="G866" s="496">
        <v>58200</v>
      </c>
      <c r="H866" s="496">
        <v>-58200</v>
      </c>
      <c r="I866" s="496">
        <f t="shared" si="41"/>
        <v>0</v>
      </c>
      <c r="J866" s="496" t="s">
        <v>869</v>
      </c>
    </row>
    <row r="867" spans="1:10" hidden="1" x14ac:dyDescent="0.25">
      <c r="A867" s="383">
        <f t="shared" si="39"/>
        <v>39</v>
      </c>
      <c r="B867" s="487" t="s">
        <v>265</v>
      </c>
      <c r="C867" s="498" t="s">
        <v>987</v>
      </c>
      <c r="D867" s="487" t="s">
        <v>1298</v>
      </c>
      <c r="E867" s="487" t="s">
        <v>868</v>
      </c>
      <c r="F867" s="487" t="str">
        <f t="shared" si="40"/>
        <v>S200009DEnron Energy Mark</v>
      </c>
      <c r="G867" s="499"/>
      <c r="H867" s="499">
        <f>VLOOKUP(F867,[2]Pivot!$R$20:$S$1359,2,FALSE)</f>
        <v>-92278.32</v>
      </c>
      <c r="I867" s="499">
        <f t="shared" si="41"/>
        <v>-92278.32</v>
      </c>
      <c r="J867" s="499" t="s">
        <v>951</v>
      </c>
    </row>
    <row r="868" spans="1:10" hidden="1" x14ac:dyDescent="0.25">
      <c r="A868" s="383">
        <f t="shared" si="39"/>
        <v>20</v>
      </c>
      <c r="B868" s="383" t="s">
        <v>265</v>
      </c>
      <c r="C868" s="497" t="s">
        <v>987</v>
      </c>
      <c r="D868" s="383" t="s">
        <v>1256</v>
      </c>
      <c r="E868" s="383" t="s">
        <v>868</v>
      </c>
      <c r="F868" s="383" t="str">
        <f t="shared" si="40"/>
        <v>S200009DEnron Energy Serv</v>
      </c>
      <c r="G868" s="496">
        <v>-104361376.45</v>
      </c>
      <c r="H868" s="496">
        <v>162803.28</v>
      </c>
      <c r="I868" s="496">
        <f t="shared" si="41"/>
        <v>-104198573.17</v>
      </c>
      <c r="J868" s="496" t="s">
        <v>951</v>
      </c>
    </row>
    <row r="869" spans="1:10" hidden="1" x14ac:dyDescent="0.25">
      <c r="A869" s="383">
        <f t="shared" si="39"/>
        <v>19</v>
      </c>
      <c r="B869" s="383" t="s">
        <v>265</v>
      </c>
      <c r="C869" s="497" t="s">
        <v>987</v>
      </c>
      <c r="D869" s="383" t="s">
        <v>1299</v>
      </c>
      <c r="E869" s="383" t="s">
        <v>868</v>
      </c>
      <c r="F869" s="383" t="str">
        <f t="shared" si="40"/>
        <v>S200009DEnron North Ameri</v>
      </c>
      <c r="G869" s="496">
        <v>1.1641532182693481E-10</v>
      </c>
      <c r="H869" s="496"/>
      <c r="I869" s="496">
        <f t="shared" si="41"/>
        <v>0</v>
      </c>
      <c r="J869" s="496" t="s">
        <v>869</v>
      </c>
    </row>
    <row r="870" spans="1:10" hidden="1" x14ac:dyDescent="0.25">
      <c r="A870" s="383">
        <f t="shared" si="39"/>
        <v>23</v>
      </c>
      <c r="B870" s="383" t="s">
        <v>265</v>
      </c>
      <c r="C870" s="497" t="s">
        <v>987</v>
      </c>
      <c r="D870" s="383" t="s">
        <v>1267</v>
      </c>
      <c r="E870" s="383" t="s">
        <v>868</v>
      </c>
      <c r="F870" s="383" t="str">
        <f t="shared" si="40"/>
        <v>S200009DEntergy Power Mar</v>
      </c>
      <c r="G870" s="496">
        <v>7826527</v>
      </c>
      <c r="H870" s="496">
        <v>-7826527</v>
      </c>
      <c r="I870" s="496">
        <f t="shared" si="41"/>
        <v>0</v>
      </c>
      <c r="J870" s="496" t="s">
        <v>869</v>
      </c>
    </row>
    <row r="871" spans="1:10" hidden="1" x14ac:dyDescent="0.25">
      <c r="A871" s="383">
        <f t="shared" si="39"/>
        <v>23</v>
      </c>
      <c r="B871" s="383" t="s">
        <v>265</v>
      </c>
      <c r="C871" s="497" t="s">
        <v>987</v>
      </c>
      <c r="D871" s="383" t="s">
        <v>1300</v>
      </c>
      <c r="E871" s="383" t="s">
        <v>868</v>
      </c>
      <c r="F871" s="383" t="str">
        <f t="shared" si="40"/>
        <v>S200009DEugene Water &amp; El</v>
      </c>
      <c r="G871" s="496">
        <v>576000</v>
      </c>
      <c r="H871" s="496">
        <v>-576000</v>
      </c>
      <c r="I871" s="496">
        <f t="shared" si="41"/>
        <v>0</v>
      </c>
      <c r="J871" s="496" t="s">
        <v>869</v>
      </c>
    </row>
    <row r="872" spans="1:10" x14ac:dyDescent="0.25">
      <c r="A872" s="383">
        <f t="shared" si="39"/>
        <v>29</v>
      </c>
      <c r="B872" s="487" t="s">
        <v>265</v>
      </c>
      <c r="C872" s="500" t="s">
        <v>987</v>
      </c>
      <c r="D872" s="487" t="s">
        <v>1024</v>
      </c>
      <c r="E872" s="487" t="s">
        <v>868</v>
      </c>
      <c r="F872" s="487" t="str">
        <f t="shared" si="40"/>
        <v>S200009DFlorida Power &amp; L</v>
      </c>
      <c r="G872" s="499"/>
      <c r="H872" s="499">
        <f>VLOOKUP(F872,[2]Pivot!$R$20:$S$1359,2,FALSE)</f>
        <v>-28587</v>
      </c>
      <c r="I872" s="499">
        <f t="shared" si="41"/>
        <v>-28587</v>
      </c>
      <c r="J872" s="499"/>
    </row>
    <row r="873" spans="1:10" hidden="1" x14ac:dyDescent="0.25">
      <c r="A873" s="383">
        <f t="shared" si="39"/>
        <v>25</v>
      </c>
      <c r="B873" s="383" t="s">
        <v>265</v>
      </c>
      <c r="C873" s="497" t="s">
        <v>987</v>
      </c>
      <c r="D873" s="383" t="s">
        <v>1025</v>
      </c>
      <c r="E873" s="383" t="s">
        <v>868</v>
      </c>
      <c r="F873" s="383" t="str">
        <f t="shared" si="40"/>
        <v>S200009DFlorida Power Cor</v>
      </c>
      <c r="G873" s="496">
        <v>1301759</v>
      </c>
      <c r="H873" s="496">
        <v>-1301759</v>
      </c>
      <c r="I873" s="496">
        <f t="shared" si="41"/>
        <v>0</v>
      </c>
      <c r="J873" s="496" t="s">
        <v>869</v>
      </c>
    </row>
    <row r="874" spans="1:10" hidden="1" x14ac:dyDescent="0.25">
      <c r="A874" s="383">
        <f t="shared" si="39"/>
        <v>24</v>
      </c>
      <c r="B874" s="383" t="s">
        <v>265</v>
      </c>
      <c r="C874" s="497" t="s">
        <v>987</v>
      </c>
      <c r="D874" s="383" t="s">
        <v>1301</v>
      </c>
      <c r="E874" s="383" t="s">
        <v>868</v>
      </c>
      <c r="F874" s="383" t="str">
        <f t="shared" si="40"/>
        <v xml:space="preserve">S200009DFPL Energy Power </v>
      </c>
      <c r="G874" s="496">
        <v>70400</v>
      </c>
      <c r="H874" s="496">
        <v>-70400</v>
      </c>
      <c r="I874" s="496">
        <f t="shared" si="41"/>
        <v>0</v>
      </c>
      <c r="J874" s="496" t="s">
        <v>869</v>
      </c>
    </row>
    <row r="875" spans="1:10" hidden="1" x14ac:dyDescent="0.25">
      <c r="A875" s="383">
        <f t="shared" si="39"/>
        <v>24</v>
      </c>
      <c r="B875" s="383" t="s">
        <v>265</v>
      </c>
      <c r="C875" s="497" t="s">
        <v>987</v>
      </c>
      <c r="D875" s="383" t="s">
        <v>1302</v>
      </c>
      <c r="E875" s="383" t="s">
        <v>868</v>
      </c>
      <c r="F875" s="383" t="str">
        <f t="shared" si="40"/>
        <v>S200009DHQ Energy Service</v>
      </c>
      <c r="G875" s="496">
        <v>8256600</v>
      </c>
      <c r="H875" s="496">
        <v>-8256600</v>
      </c>
      <c r="I875" s="496">
        <f t="shared" si="41"/>
        <v>0</v>
      </c>
      <c r="J875" s="496" t="s">
        <v>869</v>
      </c>
    </row>
    <row r="876" spans="1:10" hidden="1" x14ac:dyDescent="0.25">
      <c r="A876" s="383">
        <f t="shared" si="39"/>
        <v>24</v>
      </c>
      <c r="B876" s="383" t="s">
        <v>265</v>
      </c>
      <c r="C876" s="497" t="s">
        <v>987</v>
      </c>
      <c r="D876" s="383" t="s">
        <v>1303</v>
      </c>
      <c r="E876" s="383" t="s">
        <v>868</v>
      </c>
      <c r="F876" s="383" t="str">
        <f t="shared" si="40"/>
        <v>S200009DIdaho Power Compa</v>
      </c>
      <c r="G876" s="496">
        <v>-36825</v>
      </c>
      <c r="H876" s="496">
        <v>36825</v>
      </c>
      <c r="I876" s="496">
        <f t="shared" si="41"/>
        <v>0</v>
      </c>
      <c r="J876" s="496" t="s">
        <v>869</v>
      </c>
    </row>
    <row r="877" spans="1:10" hidden="1" x14ac:dyDescent="0.25">
      <c r="A877" s="383">
        <f t="shared" si="39"/>
        <v>24</v>
      </c>
      <c r="B877" s="383" t="s">
        <v>265</v>
      </c>
      <c r="C877" s="497" t="s">
        <v>987</v>
      </c>
      <c r="D877" s="383" t="s">
        <v>1304</v>
      </c>
      <c r="E877" s="383" t="s">
        <v>868</v>
      </c>
      <c r="F877" s="383" t="str">
        <f t="shared" si="40"/>
        <v>S200009DIllinova Energy P</v>
      </c>
      <c r="G877" s="496">
        <v>546000</v>
      </c>
      <c r="H877" s="496">
        <v>-546000</v>
      </c>
      <c r="I877" s="496">
        <f t="shared" si="41"/>
        <v>0</v>
      </c>
      <c r="J877" s="496" t="s">
        <v>869</v>
      </c>
    </row>
    <row r="878" spans="1:10" hidden="1" x14ac:dyDescent="0.25">
      <c r="A878" s="383">
        <f t="shared" si="39"/>
        <v>23</v>
      </c>
      <c r="B878" s="383" t="s">
        <v>265</v>
      </c>
      <c r="C878" s="497" t="s">
        <v>987</v>
      </c>
      <c r="D878" s="383" t="s">
        <v>1305</v>
      </c>
      <c r="E878" s="383" t="s">
        <v>868</v>
      </c>
      <c r="F878" s="383" t="str">
        <f t="shared" si="40"/>
        <v>S200009DIndiana Municipal</v>
      </c>
      <c r="G878" s="496">
        <v>45200</v>
      </c>
      <c r="H878" s="496">
        <v>-45200</v>
      </c>
      <c r="I878" s="496">
        <f t="shared" si="41"/>
        <v>0</v>
      </c>
      <c r="J878" s="496" t="s">
        <v>869</v>
      </c>
    </row>
    <row r="879" spans="1:10" hidden="1" x14ac:dyDescent="0.25">
      <c r="A879" s="383">
        <f t="shared" si="39"/>
        <v>24</v>
      </c>
      <c r="B879" s="383" t="s">
        <v>265</v>
      </c>
      <c r="C879" s="497" t="s">
        <v>987</v>
      </c>
      <c r="D879" s="383" t="s">
        <v>1306</v>
      </c>
      <c r="E879" s="383" t="s">
        <v>868</v>
      </c>
      <c r="F879" s="383" t="str">
        <f t="shared" si="40"/>
        <v>S200009DIndianapolis Powe</v>
      </c>
      <c r="G879" s="496">
        <v>7650</v>
      </c>
      <c r="H879" s="496">
        <v>-7650</v>
      </c>
      <c r="I879" s="496">
        <f t="shared" si="41"/>
        <v>0</v>
      </c>
      <c r="J879" s="496" t="s">
        <v>869</v>
      </c>
    </row>
    <row r="880" spans="1:10" hidden="1" x14ac:dyDescent="0.25">
      <c r="A880" s="383">
        <f t="shared" si="39"/>
        <v>24</v>
      </c>
      <c r="B880" s="383" t="s">
        <v>265</v>
      </c>
      <c r="C880" s="497" t="s">
        <v>987</v>
      </c>
      <c r="D880" s="383" t="s">
        <v>1247</v>
      </c>
      <c r="E880" s="383" t="s">
        <v>868</v>
      </c>
      <c r="F880" s="383" t="str">
        <f t="shared" si="40"/>
        <v>S200009DJacksonville Elec</v>
      </c>
      <c r="G880" s="496">
        <v>1099050.44</v>
      </c>
      <c r="H880" s="496">
        <v>-1099050.44</v>
      </c>
      <c r="I880" s="496">
        <f t="shared" si="41"/>
        <v>0</v>
      </c>
      <c r="J880" s="496" t="s">
        <v>869</v>
      </c>
    </row>
    <row r="881" spans="1:10" hidden="1" x14ac:dyDescent="0.25">
      <c r="A881" s="383">
        <f t="shared" si="39"/>
        <v>24</v>
      </c>
      <c r="B881" s="383" t="s">
        <v>265</v>
      </c>
      <c r="C881" s="497" t="s">
        <v>987</v>
      </c>
      <c r="D881" s="383" t="s">
        <v>1307</v>
      </c>
      <c r="E881" s="383" t="s">
        <v>868</v>
      </c>
      <c r="F881" s="383" t="str">
        <f t="shared" si="40"/>
        <v>S200009DKansas City Power</v>
      </c>
      <c r="G881" s="496">
        <v>43280</v>
      </c>
      <c r="H881" s="496">
        <v>-43280</v>
      </c>
      <c r="I881" s="496">
        <f t="shared" si="41"/>
        <v>0</v>
      </c>
      <c r="J881" s="496" t="s">
        <v>869</v>
      </c>
    </row>
    <row r="882" spans="1:10" x14ac:dyDescent="0.25">
      <c r="A882" s="383">
        <f t="shared" si="39"/>
        <v>29</v>
      </c>
      <c r="B882" s="487" t="s">
        <v>265</v>
      </c>
      <c r="C882" s="500" t="s">
        <v>987</v>
      </c>
      <c r="D882" s="487" t="s">
        <v>1308</v>
      </c>
      <c r="E882" s="487" t="s">
        <v>868</v>
      </c>
      <c r="F882" s="487" t="str">
        <f t="shared" si="40"/>
        <v>S200009DKCS Medallion Res</v>
      </c>
      <c r="G882" s="499"/>
      <c r="H882" s="499">
        <f>VLOOKUP(F882,[2]Pivot!$R$20:$S$1359,2,FALSE)</f>
        <v>-20000</v>
      </c>
      <c r="I882" s="499">
        <f t="shared" si="41"/>
        <v>-20000</v>
      </c>
      <c r="J882" s="499"/>
    </row>
    <row r="883" spans="1:10" hidden="1" x14ac:dyDescent="0.25">
      <c r="A883" s="383">
        <f t="shared" si="39"/>
        <v>25</v>
      </c>
      <c r="B883" s="383" t="s">
        <v>265</v>
      </c>
      <c r="C883" s="497" t="s">
        <v>987</v>
      </c>
      <c r="D883" s="383" t="s">
        <v>1309</v>
      </c>
      <c r="E883" s="383" t="s">
        <v>868</v>
      </c>
      <c r="F883" s="383" t="str">
        <f t="shared" si="40"/>
        <v>S200009DKoch Energy Tradi</v>
      </c>
      <c r="G883" s="496">
        <v>53444700</v>
      </c>
      <c r="H883" s="496">
        <v>-53444700</v>
      </c>
      <c r="I883" s="496">
        <f t="shared" si="41"/>
        <v>0</v>
      </c>
      <c r="J883" s="496" t="s">
        <v>869</v>
      </c>
    </row>
    <row r="884" spans="1:10" hidden="1" x14ac:dyDescent="0.25">
      <c r="A884" s="383">
        <f t="shared" si="39"/>
        <v>24</v>
      </c>
      <c r="B884" s="383" t="s">
        <v>265</v>
      </c>
      <c r="C884" s="497" t="s">
        <v>987</v>
      </c>
      <c r="D884" s="383" t="s">
        <v>1310</v>
      </c>
      <c r="E884" s="383" t="s">
        <v>868</v>
      </c>
      <c r="F884" s="383" t="str">
        <f t="shared" si="40"/>
        <v>S200009DLG&amp;E Energy Marke</v>
      </c>
      <c r="G884" s="496">
        <v>5321600</v>
      </c>
      <c r="H884" s="496">
        <v>-5321600</v>
      </c>
      <c r="I884" s="496">
        <f t="shared" si="41"/>
        <v>0</v>
      </c>
      <c r="J884" s="496" t="s">
        <v>869</v>
      </c>
    </row>
    <row r="885" spans="1:10" hidden="1" x14ac:dyDescent="0.25">
      <c r="A885" s="383">
        <f t="shared" si="39"/>
        <v>24</v>
      </c>
      <c r="B885" s="383" t="s">
        <v>265</v>
      </c>
      <c r="C885" s="497" t="s">
        <v>987</v>
      </c>
      <c r="D885" s="383" t="s">
        <v>1311</v>
      </c>
      <c r="E885" s="383" t="s">
        <v>868</v>
      </c>
      <c r="F885" s="383" t="str">
        <f t="shared" si="40"/>
        <v>S200009DLos Angeles Dept.</v>
      </c>
      <c r="G885" s="496">
        <v>1645623.85</v>
      </c>
      <c r="H885" s="496">
        <v>-1645623.85</v>
      </c>
      <c r="I885" s="496">
        <f t="shared" si="41"/>
        <v>0</v>
      </c>
      <c r="J885" s="496" t="s">
        <v>869</v>
      </c>
    </row>
    <row r="886" spans="1:10" hidden="1" x14ac:dyDescent="0.25">
      <c r="A886" s="383">
        <f t="shared" si="39"/>
        <v>24</v>
      </c>
      <c r="B886" s="383" t="s">
        <v>265</v>
      </c>
      <c r="C886" s="497" t="s">
        <v>987</v>
      </c>
      <c r="D886" s="383" t="s">
        <v>1258</v>
      </c>
      <c r="E886" s="383" t="s">
        <v>868</v>
      </c>
      <c r="F886" s="383" t="str">
        <f t="shared" si="40"/>
        <v>S200009DLouisiana-Pacific</v>
      </c>
      <c r="G886" s="496">
        <v>616227.92000000004</v>
      </c>
      <c r="H886" s="496">
        <v>-616227.92000000004</v>
      </c>
      <c r="I886" s="496">
        <f t="shared" si="41"/>
        <v>0</v>
      </c>
      <c r="J886" s="496" t="s">
        <v>869</v>
      </c>
    </row>
    <row r="887" spans="1:10" hidden="1" x14ac:dyDescent="0.25">
      <c r="A887" s="383">
        <f t="shared" si="39"/>
        <v>24</v>
      </c>
      <c r="B887" s="383" t="s">
        <v>265</v>
      </c>
      <c r="C887" s="497" t="s">
        <v>987</v>
      </c>
      <c r="D887" s="383" t="s">
        <v>1312</v>
      </c>
      <c r="E887" s="383" t="s">
        <v>868</v>
      </c>
      <c r="F887" s="383" t="str">
        <f t="shared" si="40"/>
        <v>S200009DLower Colorado Ri</v>
      </c>
      <c r="G887" s="496">
        <v>0</v>
      </c>
      <c r="H887" s="496">
        <v>0</v>
      </c>
      <c r="I887" s="496">
        <f t="shared" si="41"/>
        <v>0</v>
      </c>
      <c r="J887" s="496" t="s">
        <v>869</v>
      </c>
    </row>
    <row r="888" spans="1:10" hidden="1" x14ac:dyDescent="0.25">
      <c r="A888" s="383">
        <f t="shared" si="39"/>
        <v>24</v>
      </c>
      <c r="B888" s="383" t="s">
        <v>265</v>
      </c>
      <c r="C888" s="497" t="s">
        <v>987</v>
      </c>
      <c r="D888" s="383" t="s">
        <v>1242</v>
      </c>
      <c r="E888" s="383" t="s">
        <v>868</v>
      </c>
      <c r="F888" s="383" t="str">
        <f t="shared" si="40"/>
        <v>S200009DMerchant Energy G</v>
      </c>
      <c r="G888" s="496">
        <v>18760500</v>
      </c>
      <c r="H888" s="496">
        <v>-18760500</v>
      </c>
      <c r="I888" s="496">
        <f t="shared" si="41"/>
        <v>0</v>
      </c>
      <c r="J888" s="496" t="s">
        <v>869</v>
      </c>
    </row>
    <row r="889" spans="1:10" hidden="1" x14ac:dyDescent="0.25">
      <c r="A889" s="383">
        <f t="shared" si="39"/>
        <v>24</v>
      </c>
      <c r="B889" s="383" t="s">
        <v>265</v>
      </c>
      <c r="C889" s="497" t="s">
        <v>987</v>
      </c>
      <c r="D889" s="383" t="s">
        <v>1313</v>
      </c>
      <c r="E889" s="383" t="s">
        <v>868</v>
      </c>
      <c r="F889" s="383" t="str">
        <f t="shared" si="40"/>
        <v>S200009DMerrill Lynch Cap</v>
      </c>
      <c r="G889" s="496">
        <v>52987900</v>
      </c>
      <c r="H889" s="496">
        <v>-52987900</v>
      </c>
      <c r="I889" s="496">
        <f t="shared" si="41"/>
        <v>0</v>
      </c>
      <c r="J889" s="496" t="s">
        <v>869</v>
      </c>
    </row>
    <row r="890" spans="1:10" hidden="1" x14ac:dyDescent="0.25">
      <c r="A890" s="383">
        <f t="shared" si="39"/>
        <v>24</v>
      </c>
      <c r="B890" s="383" t="s">
        <v>265</v>
      </c>
      <c r="C890" s="497" t="s">
        <v>987</v>
      </c>
      <c r="D890" s="383" t="s">
        <v>1268</v>
      </c>
      <c r="E890" s="383" t="s">
        <v>868</v>
      </c>
      <c r="F890" s="383" t="str">
        <f t="shared" si="40"/>
        <v>S200009DMichigan Electric</v>
      </c>
      <c r="G890" s="496">
        <v>1174273</v>
      </c>
      <c r="H890" s="496">
        <v>-1174273</v>
      </c>
      <c r="I890" s="496">
        <f t="shared" si="41"/>
        <v>0</v>
      </c>
      <c r="J890" s="496" t="s">
        <v>869</v>
      </c>
    </row>
    <row r="891" spans="1:10" hidden="1" x14ac:dyDescent="0.25">
      <c r="A891" s="383">
        <f t="shared" si="39"/>
        <v>24</v>
      </c>
      <c r="B891" s="383" t="s">
        <v>265</v>
      </c>
      <c r="C891" s="497" t="s">
        <v>987</v>
      </c>
      <c r="D891" s="383" t="s">
        <v>1314</v>
      </c>
      <c r="E891" s="383" t="s">
        <v>868</v>
      </c>
      <c r="F891" s="383" t="str">
        <f t="shared" si="40"/>
        <v>S200009DMidAmerican Energ</v>
      </c>
      <c r="G891" s="496">
        <v>24835</v>
      </c>
      <c r="H891" s="496">
        <v>-24835</v>
      </c>
      <c r="I891" s="496">
        <f t="shared" si="41"/>
        <v>0</v>
      </c>
      <c r="J891" s="496" t="s">
        <v>869</v>
      </c>
    </row>
    <row r="892" spans="1:10" x14ac:dyDescent="0.25">
      <c r="A892" s="383">
        <f t="shared" si="39"/>
        <v>10</v>
      </c>
      <c r="B892" s="487" t="s">
        <v>265</v>
      </c>
      <c r="C892" s="500" t="s">
        <v>987</v>
      </c>
      <c r="D892" s="487" t="s">
        <v>909</v>
      </c>
      <c r="E892" s="487" t="s">
        <v>868</v>
      </c>
      <c r="F892" s="487" t="str">
        <f t="shared" si="40"/>
        <v>S200009DMieco Inc.</v>
      </c>
      <c r="G892" s="499"/>
      <c r="H892" s="499">
        <f>VLOOKUP(F892,[2]Pivot!$R$20:$S$1359,2,FALSE)</f>
        <v>-42660600</v>
      </c>
      <c r="I892" s="499">
        <f t="shared" si="41"/>
        <v>-42660600</v>
      </c>
      <c r="J892" s="499"/>
    </row>
    <row r="893" spans="1:10" hidden="1" x14ac:dyDescent="0.25">
      <c r="A893" s="383">
        <f t="shared" si="39"/>
        <v>24</v>
      </c>
      <c r="B893" s="383" t="s">
        <v>265</v>
      </c>
      <c r="C893" s="497" t="s">
        <v>987</v>
      </c>
      <c r="D893" s="383" t="s">
        <v>1315</v>
      </c>
      <c r="E893" s="383" t="s">
        <v>868</v>
      </c>
      <c r="F893" s="383" t="str">
        <f t="shared" si="40"/>
        <v>S200009DMinnesota Municip</v>
      </c>
      <c r="G893" s="496">
        <v>106955</v>
      </c>
      <c r="H893" s="496">
        <v>-106955</v>
      </c>
      <c r="I893" s="496">
        <f t="shared" si="41"/>
        <v>0</v>
      </c>
      <c r="J893" s="496" t="s">
        <v>869</v>
      </c>
    </row>
    <row r="894" spans="1:10" hidden="1" x14ac:dyDescent="0.25">
      <c r="A894" s="383">
        <f t="shared" si="39"/>
        <v>24</v>
      </c>
      <c r="B894" s="383" t="s">
        <v>265</v>
      </c>
      <c r="C894" s="497" t="s">
        <v>987</v>
      </c>
      <c r="D894" s="383" t="s">
        <v>1316</v>
      </c>
      <c r="E894" s="383" t="s">
        <v>868</v>
      </c>
      <c r="F894" s="383" t="str">
        <f t="shared" si="40"/>
        <v>S200009DMissoula Electric</v>
      </c>
      <c r="G894" s="496">
        <v>3168</v>
      </c>
      <c r="H894" s="496">
        <v>-3168</v>
      </c>
      <c r="I894" s="496">
        <f t="shared" si="41"/>
        <v>0</v>
      </c>
      <c r="J894" s="496" t="s">
        <v>869</v>
      </c>
    </row>
    <row r="895" spans="1:10" hidden="1" x14ac:dyDescent="0.25">
      <c r="A895" s="383">
        <f t="shared" si="39"/>
        <v>23</v>
      </c>
      <c r="B895" s="383" t="s">
        <v>265</v>
      </c>
      <c r="C895" s="497" t="s">
        <v>987</v>
      </c>
      <c r="D895" s="383" t="s">
        <v>1243</v>
      </c>
      <c r="E895" s="383" t="s">
        <v>868</v>
      </c>
      <c r="F895" s="383" t="str">
        <f t="shared" si="40"/>
        <v>S200009DMontana Power Com</v>
      </c>
      <c r="G895" s="496">
        <v>2620</v>
      </c>
      <c r="H895" s="496">
        <v>-2620</v>
      </c>
      <c r="I895" s="496">
        <f t="shared" si="41"/>
        <v>0</v>
      </c>
      <c r="J895" s="496" t="s">
        <v>869</v>
      </c>
    </row>
    <row r="896" spans="1:10" hidden="1" x14ac:dyDescent="0.25">
      <c r="A896" s="383">
        <f t="shared" si="39"/>
        <v>24</v>
      </c>
      <c r="B896" s="383" t="s">
        <v>265</v>
      </c>
      <c r="C896" s="497" t="s">
        <v>987</v>
      </c>
      <c r="D896" s="383" t="s">
        <v>1239</v>
      </c>
      <c r="E896" s="383" t="s">
        <v>868</v>
      </c>
      <c r="F896" s="383" t="str">
        <f t="shared" si="40"/>
        <v>S200009DMorgan Stanley Ca</v>
      </c>
      <c r="G896" s="496">
        <v>14067850</v>
      </c>
      <c r="H896" s="496">
        <v>-14067850</v>
      </c>
      <c r="I896" s="496">
        <f t="shared" si="41"/>
        <v>0</v>
      </c>
      <c r="J896" s="496" t="s">
        <v>869</v>
      </c>
    </row>
    <row r="897" spans="1:10" x14ac:dyDescent="0.25">
      <c r="A897" s="383">
        <f t="shared" si="39"/>
        <v>20</v>
      </c>
      <c r="B897" s="487" t="s">
        <v>265</v>
      </c>
      <c r="C897" s="500" t="s">
        <v>987</v>
      </c>
      <c r="D897" s="487" t="s">
        <v>979</v>
      </c>
      <c r="E897" s="487" t="s">
        <v>868</v>
      </c>
      <c r="F897" s="487" t="str">
        <f t="shared" si="40"/>
        <v>S200009DNevada Power Comp</v>
      </c>
      <c r="G897" s="499"/>
      <c r="H897" s="499">
        <f>VLOOKUP(F897,[2]Pivot!$R$20:$S$1359,2,FALSE)</f>
        <v>-10169500</v>
      </c>
      <c r="I897" s="499">
        <f t="shared" si="41"/>
        <v>-10169500</v>
      </c>
      <c r="J897" s="499"/>
    </row>
    <row r="898" spans="1:10" x14ac:dyDescent="0.25">
      <c r="A898" s="383">
        <f t="shared" si="39"/>
        <v>22</v>
      </c>
      <c r="B898" s="487" t="s">
        <v>265</v>
      </c>
      <c r="C898" s="500" t="s">
        <v>987</v>
      </c>
      <c r="D898" s="487" t="s">
        <v>884</v>
      </c>
      <c r="E898" s="487" t="s">
        <v>868</v>
      </c>
      <c r="F898" s="487" t="str">
        <f t="shared" si="40"/>
        <v>S200009DNew England Power</v>
      </c>
      <c r="G898" s="499"/>
      <c r="H898" s="499">
        <f>VLOOKUP(F898,[2]Pivot!$R$20:$S$1359,2,FALSE)</f>
        <v>-52907790.329999998</v>
      </c>
      <c r="I898" s="499">
        <f t="shared" si="41"/>
        <v>-52907790.329999998</v>
      </c>
      <c r="J898" s="499"/>
    </row>
    <row r="899" spans="1:10" hidden="1" x14ac:dyDescent="0.25">
      <c r="A899" s="383">
        <f t="shared" si="39"/>
        <v>24</v>
      </c>
      <c r="B899" s="383" t="s">
        <v>265</v>
      </c>
      <c r="C899" s="497" t="s">
        <v>987</v>
      </c>
      <c r="D899" s="383" t="s">
        <v>1245</v>
      </c>
      <c r="E899" s="383" t="s">
        <v>868</v>
      </c>
      <c r="F899" s="383" t="str">
        <f t="shared" si="40"/>
        <v>S200009DNew York Independ</v>
      </c>
      <c r="G899" s="496">
        <v>-8256456.8300000001</v>
      </c>
      <c r="H899" s="496">
        <v>8256456.8300000001</v>
      </c>
      <c r="I899" s="496">
        <f t="shared" si="41"/>
        <v>0</v>
      </c>
      <c r="J899" s="496" t="s">
        <v>869</v>
      </c>
    </row>
    <row r="900" spans="1:10" hidden="1" x14ac:dyDescent="0.25">
      <c r="A900" s="383">
        <f t="shared" ref="A900:A963" si="42">LEN(D900)</f>
        <v>24</v>
      </c>
      <c r="B900" s="383" t="s">
        <v>265</v>
      </c>
      <c r="C900" s="497" t="s">
        <v>987</v>
      </c>
      <c r="D900" s="383" t="s">
        <v>1317</v>
      </c>
      <c r="E900" s="383" t="s">
        <v>868</v>
      </c>
      <c r="F900" s="383" t="str">
        <f t="shared" ref="F900:F963" si="43">+B900&amp;C900&amp;E900&amp;LEFT(D900,17)</f>
        <v>S200009DNortheast Utiliti</v>
      </c>
      <c r="G900" s="496">
        <v>1460440</v>
      </c>
      <c r="H900" s="496">
        <v>-1460440</v>
      </c>
      <c r="I900" s="496">
        <f t="shared" ref="I900:I963" si="44">ROUND(+G900+H900,2)</f>
        <v>0</v>
      </c>
      <c r="J900" s="496" t="s">
        <v>869</v>
      </c>
    </row>
    <row r="901" spans="1:10" hidden="1" x14ac:dyDescent="0.25">
      <c r="A901" s="383">
        <f t="shared" si="42"/>
        <v>24</v>
      </c>
      <c r="B901" s="383" t="s">
        <v>265</v>
      </c>
      <c r="C901" s="497" t="s">
        <v>987</v>
      </c>
      <c r="D901" s="383" t="s">
        <v>1236</v>
      </c>
      <c r="E901" s="383" t="s">
        <v>868</v>
      </c>
      <c r="F901" s="383" t="str">
        <f t="shared" si="43"/>
        <v>S200009DNorthern States P</v>
      </c>
      <c r="G901" s="496">
        <v>1581425</v>
      </c>
      <c r="H901" s="496">
        <v>-1581425</v>
      </c>
      <c r="I901" s="496">
        <f t="shared" si="44"/>
        <v>0</v>
      </c>
      <c r="J901" s="496" t="s">
        <v>869</v>
      </c>
    </row>
    <row r="902" spans="1:10" hidden="1" x14ac:dyDescent="0.25">
      <c r="A902" s="383">
        <f t="shared" si="42"/>
        <v>24</v>
      </c>
      <c r="B902" s="383" t="s">
        <v>265</v>
      </c>
      <c r="C902" s="497" t="s">
        <v>987</v>
      </c>
      <c r="D902" s="383" t="s">
        <v>1050</v>
      </c>
      <c r="E902" s="383" t="s">
        <v>868</v>
      </c>
      <c r="F902" s="383" t="str">
        <f t="shared" si="43"/>
        <v>S200009DNRG Power Marketi</v>
      </c>
      <c r="G902" s="496">
        <v>2083400</v>
      </c>
      <c r="H902" s="496">
        <v>-2083400</v>
      </c>
      <c r="I902" s="496">
        <f t="shared" si="44"/>
        <v>0</v>
      </c>
      <c r="J902" s="496" t="s">
        <v>869</v>
      </c>
    </row>
    <row r="903" spans="1:10" x14ac:dyDescent="0.25">
      <c r="A903" s="383">
        <f t="shared" si="42"/>
        <v>15</v>
      </c>
      <c r="B903" s="487" t="s">
        <v>265</v>
      </c>
      <c r="C903" s="500" t="s">
        <v>987</v>
      </c>
      <c r="D903" s="487" t="s">
        <v>952</v>
      </c>
      <c r="E903" s="487" t="s">
        <v>868</v>
      </c>
      <c r="F903" s="487" t="str">
        <f t="shared" si="43"/>
        <v>S200009DNSTAR Companies</v>
      </c>
      <c r="G903" s="499"/>
      <c r="H903" s="499">
        <f>VLOOKUP(F903,[2]Pivot!$R$20:$S$1359,2,FALSE)</f>
        <v>-15210052.939999999</v>
      </c>
      <c r="I903" s="499">
        <f t="shared" si="44"/>
        <v>-15210052.939999999</v>
      </c>
      <c r="J903" s="499"/>
    </row>
    <row r="904" spans="1:10" hidden="1" x14ac:dyDescent="0.25">
      <c r="A904" s="383">
        <f t="shared" si="42"/>
        <v>24</v>
      </c>
      <c r="B904" s="383" t="s">
        <v>265</v>
      </c>
      <c r="C904" s="497" t="s">
        <v>987</v>
      </c>
      <c r="D904" s="383" t="s">
        <v>1318</v>
      </c>
      <c r="E904" s="383" t="s">
        <v>868</v>
      </c>
      <c r="F904" s="383" t="str">
        <f t="shared" si="43"/>
        <v>S200009DOGE Energy Resour</v>
      </c>
      <c r="G904" s="496">
        <v>5072000</v>
      </c>
      <c r="H904" s="496">
        <v>-5072000</v>
      </c>
      <c r="I904" s="496">
        <f t="shared" si="44"/>
        <v>0</v>
      </c>
      <c r="J904" s="496" t="s">
        <v>869</v>
      </c>
    </row>
    <row r="905" spans="1:10" hidden="1" x14ac:dyDescent="0.25">
      <c r="A905" s="383">
        <f t="shared" si="42"/>
        <v>24</v>
      </c>
      <c r="B905" s="383" t="s">
        <v>265</v>
      </c>
      <c r="C905" s="497" t="s">
        <v>987</v>
      </c>
      <c r="D905" s="383" t="s">
        <v>968</v>
      </c>
      <c r="E905" s="383" t="s">
        <v>868</v>
      </c>
      <c r="F905" s="383" t="str">
        <f t="shared" si="43"/>
        <v xml:space="preserve">S200009DOtter Tail Power </v>
      </c>
      <c r="G905" s="496">
        <v>148130</v>
      </c>
      <c r="H905" s="496">
        <v>-148130</v>
      </c>
      <c r="I905" s="496">
        <f t="shared" si="44"/>
        <v>0</v>
      </c>
      <c r="J905" s="496" t="s">
        <v>869</v>
      </c>
    </row>
    <row r="906" spans="1:10" hidden="1" x14ac:dyDescent="0.25">
      <c r="A906" s="383">
        <f t="shared" si="42"/>
        <v>24</v>
      </c>
      <c r="B906" s="383" t="s">
        <v>265</v>
      </c>
      <c r="C906" s="497" t="s">
        <v>987</v>
      </c>
      <c r="D906" s="383" t="s">
        <v>1319</v>
      </c>
      <c r="E906" s="383" t="s">
        <v>868</v>
      </c>
      <c r="F906" s="383" t="str">
        <f t="shared" si="43"/>
        <v>S200009DPacific Northwest</v>
      </c>
      <c r="G906" s="496">
        <v>1355400</v>
      </c>
      <c r="H906" s="496">
        <v>-1355400</v>
      </c>
      <c r="I906" s="496">
        <f t="shared" si="44"/>
        <v>0</v>
      </c>
      <c r="J906" s="496" t="s">
        <v>869</v>
      </c>
    </row>
    <row r="907" spans="1:10" x14ac:dyDescent="0.25">
      <c r="A907" s="383">
        <f t="shared" si="42"/>
        <v>10</v>
      </c>
      <c r="B907" s="383" t="s">
        <v>265</v>
      </c>
      <c r="C907" s="495" t="s">
        <v>987</v>
      </c>
      <c r="D907" s="383" t="s">
        <v>940</v>
      </c>
      <c r="E907" s="383" t="s">
        <v>868</v>
      </c>
      <c r="F907" s="383" t="str">
        <f t="shared" si="43"/>
        <v>S200009DPacificorp</v>
      </c>
      <c r="G907" s="496">
        <v>-35611114</v>
      </c>
      <c r="H907" s="496">
        <v>-2100</v>
      </c>
      <c r="I907" s="496">
        <f t="shared" si="44"/>
        <v>-35613214</v>
      </c>
      <c r="J907" s="496"/>
    </row>
    <row r="908" spans="1:10" hidden="1" x14ac:dyDescent="0.25">
      <c r="A908" s="383">
        <f t="shared" si="42"/>
        <v>24</v>
      </c>
      <c r="B908" s="383" t="s">
        <v>265</v>
      </c>
      <c r="C908" s="497" t="s">
        <v>987</v>
      </c>
      <c r="D908" s="383" t="s">
        <v>1320</v>
      </c>
      <c r="E908" s="383" t="s">
        <v>868</v>
      </c>
      <c r="F908" s="383" t="str">
        <f t="shared" si="43"/>
        <v xml:space="preserve">S200009DPacifiCorp Power </v>
      </c>
      <c r="G908" s="496">
        <v>11458000</v>
      </c>
      <c r="H908" s="496">
        <v>-11458000</v>
      </c>
      <c r="I908" s="496">
        <f t="shared" si="44"/>
        <v>0</v>
      </c>
      <c r="J908" s="496" t="s">
        <v>869</v>
      </c>
    </row>
    <row r="909" spans="1:10" hidden="1" x14ac:dyDescent="0.25">
      <c r="A909" s="383">
        <f t="shared" si="42"/>
        <v>24</v>
      </c>
      <c r="B909" s="383" t="s">
        <v>265</v>
      </c>
      <c r="C909" s="497" t="s">
        <v>987</v>
      </c>
      <c r="D909" s="383" t="s">
        <v>1233</v>
      </c>
      <c r="E909" s="383" t="s">
        <v>868</v>
      </c>
      <c r="F909" s="383" t="str">
        <f t="shared" si="43"/>
        <v>S200009DPG&amp;E Energy Tradi</v>
      </c>
      <c r="G909" s="496">
        <v>89110068.689999998</v>
      </c>
      <c r="H909" s="496">
        <v>-89110068.689999998</v>
      </c>
      <c r="I909" s="496">
        <f t="shared" si="44"/>
        <v>0</v>
      </c>
      <c r="J909" s="496" t="s">
        <v>869</v>
      </c>
    </row>
    <row r="910" spans="1:10" hidden="1" x14ac:dyDescent="0.25">
      <c r="A910" s="383">
        <f t="shared" si="42"/>
        <v>24</v>
      </c>
      <c r="B910" s="383" t="s">
        <v>265</v>
      </c>
      <c r="C910" s="497" t="s">
        <v>987</v>
      </c>
      <c r="D910" s="383" t="s">
        <v>1248</v>
      </c>
      <c r="E910" s="383" t="s">
        <v>868</v>
      </c>
      <c r="F910" s="383" t="str">
        <f t="shared" si="43"/>
        <v>S200009DPJM Interconnecti</v>
      </c>
      <c r="G910" s="496">
        <v>-450854.55999999639</v>
      </c>
      <c r="H910" s="496">
        <v>450854.56</v>
      </c>
      <c r="I910" s="496">
        <f t="shared" si="44"/>
        <v>0</v>
      </c>
      <c r="J910" s="496" t="s">
        <v>869</v>
      </c>
    </row>
    <row r="911" spans="1:10" hidden="1" x14ac:dyDescent="0.25">
      <c r="A911" s="383">
        <f t="shared" si="42"/>
        <v>24</v>
      </c>
      <c r="B911" s="383" t="s">
        <v>265</v>
      </c>
      <c r="C911" s="497" t="s">
        <v>987</v>
      </c>
      <c r="D911" s="383" t="s">
        <v>1249</v>
      </c>
      <c r="E911" s="383" t="s">
        <v>868</v>
      </c>
      <c r="F911" s="383" t="str">
        <f t="shared" si="43"/>
        <v xml:space="preserve">S200009DPortland General </v>
      </c>
      <c r="G911" s="496">
        <v>-57881.049999998882</v>
      </c>
      <c r="H911" s="496">
        <v>57881.05</v>
      </c>
      <c r="I911" s="496">
        <f t="shared" si="44"/>
        <v>0</v>
      </c>
      <c r="J911" s="496" t="s">
        <v>869</v>
      </c>
    </row>
    <row r="912" spans="1:10" x14ac:dyDescent="0.25">
      <c r="A912" s="383">
        <f t="shared" si="42"/>
        <v>19</v>
      </c>
      <c r="B912" s="487" t="s">
        <v>265</v>
      </c>
      <c r="C912" s="500" t="s">
        <v>987</v>
      </c>
      <c r="D912" s="487" t="s">
        <v>1056</v>
      </c>
      <c r="E912" s="487" t="s">
        <v>868</v>
      </c>
      <c r="F912" s="487" t="str">
        <f t="shared" si="43"/>
        <v>S200009DPPL EnergyPlus, L</v>
      </c>
      <c r="G912" s="499"/>
      <c r="H912" s="499">
        <f>VLOOKUP(F912,[2]Pivot!$R$20:$S$1359,2,FALSE)</f>
        <v>-4912700</v>
      </c>
      <c r="I912" s="499">
        <f t="shared" si="44"/>
        <v>-4912700</v>
      </c>
      <c r="J912" s="499"/>
    </row>
    <row r="913" spans="1:10" hidden="1" x14ac:dyDescent="0.25">
      <c r="A913" s="383">
        <f t="shared" si="42"/>
        <v>24</v>
      </c>
      <c r="B913" s="383" t="s">
        <v>265</v>
      </c>
      <c r="C913" s="497" t="s">
        <v>987</v>
      </c>
      <c r="D913" s="383" t="s">
        <v>1270</v>
      </c>
      <c r="E913" s="383" t="s">
        <v>868</v>
      </c>
      <c r="F913" s="383" t="str">
        <f t="shared" si="43"/>
        <v>S200009DPublic Service Co</v>
      </c>
      <c r="G913" s="496">
        <v>44813581.5</v>
      </c>
      <c r="H913" s="496">
        <v>-44813581.5</v>
      </c>
      <c r="I913" s="496">
        <f t="shared" si="44"/>
        <v>0</v>
      </c>
      <c r="J913" s="496" t="s">
        <v>869</v>
      </c>
    </row>
    <row r="914" spans="1:10" hidden="1" x14ac:dyDescent="0.25">
      <c r="A914" s="383">
        <f t="shared" si="42"/>
        <v>23</v>
      </c>
      <c r="B914" s="383" t="s">
        <v>265</v>
      </c>
      <c r="C914" s="497" t="s">
        <v>987</v>
      </c>
      <c r="D914" s="383" t="s">
        <v>1321</v>
      </c>
      <c r="E914" s="383" t="s">
        <v>868</v>
      </c>
      <c r="F914" s="383" t="str">
        <f t="shared" si="43"/>
        <v>S200009DPublic Service El</v>
      </c>
      <c r="G914" s="496">
        <v>29923700</v>
      </c>
      <c r="H914" s="496">
        <v>-29923700</v>
      </c>
      <c r="I914" s="496">
        <f t="shared" si="44"/>
        <v>0</v>
      </c>
      <c r="J914" s="496" t="s">
        <v>869</v>
      </c>
    </row>
    <row r="915" spans="1:10" hidden="1" x14ac:dyDescent="0.25">
      <c r="A915" s="383">
        <f t="shared" si="42"/>
        <v>24</v>
      </c>
      <c r="B915" s="383" t="s">
        <v>265</v>
      </c>
      <c r="C915" s="497" t="s">
        <v>987</v>
      </c>
      <c r="D915" s="383" t="s">
        <v>1238</v>
      </c>
      <c r="E915" s="383" t="s">
        <v>868</v>
      </c>
      <c r="F915" s="383" t="str">
        <f t="shared" si="43"/>
        <v>S200009DPublic Utility Di</v>
      </c>
      <c r="G915" s="496">
        <v>2162200</v>
      </c>
      <c r="H915" s="496">
        <v>-2162200</v>
      </c>
      <c r="I915" s="496">
        <f t="shared" si="44"/>
        <v>0</v>
      </c>
      <c r="J915" s="496" t="s">
        <v>869</v>
      </c>
    </row>
    <row r="916" spans="1:10" hidden="1" x14ac:dyDescent="0.25">
      <c r="A916" s="383">
        <f t="shared" si="42"/>
        <v>23</v>
      </c>
      <c r="B916" s="383" t="s">
        <v>265</v>
      </c>
      <c r="C916" s="497" t="s">
        <v>987</v>
      </c>
      <c r="D916" s="383" t="s">
        <v>1322</v>
      </c>
      <c r="E916" s="383" t="s">
        <v>868</v>
      </c>
      <c r="F916" s="383" t="str">
        <f t="shared" si="43"/>
        <v>S200009DPublic Utility Di</v>
      </c>
      <c r="G916" s="496">
        <v>0</v>
      </c>
      <c r="H916" s="496">
        <v>0</v>
      </c>
      <c r="I916" s="496">
        <f t="shared" si="44"/>
        <v>0</v>
      </c>
      <c r="J916" s="496" t="s">
        <v>869</v>
      </c>
    </row>
    <row r="917" spans="1:10" x14ac:dyDescent="0.25">
      <c r="A917" s="383">
        <f t="shared" si="42"/>
        <v>24</v>
      </c>
      <c r="B917" s="383" t="s">
        <v>265</v>
      </c>
      <c r="C917" s="495" t="s">
        <v>987</v>
      </c>
      <c r="D917" s="383" t="s">
        <v>953</v>
      </c>
      <c r="E917" s="383" t="s">
        <v>868</v>
      </c>
      <c r="F917" s="383" t="str">
        <f t="shared" si="43"/>
        <v>S200009DPuget Sound Energ</v>
      </c>
      <c r="G917" s="496">
        <v>-23589273.43</v>
      </c>
      <c r="H917" s="496">
        <v>0</v>
      </c>
      <c r="I917" s="496">
        <f t="shared" si="44"/>
        <v>-23589273.43</v>
      </c>
      <c r="J917" s="496"/>
    </row>
    <row r="918" spans="1:10" hidden="1" x14ac:dyDescent="0.25">
      <c r="A918" s="383">
        <f t="shared" si="42"/>
        <v>24</v>
      </c>
      <c r="B918" s="383" t="s">
        <v>265</v>
      </c>
      <c r="C918" s="497" t="s">
        <v>987</v>
      </c>
      <c r="D918" s="383" t="s">
        <v>0</v>
      </c>
      <c r="E918" s="383" t="s">
        <v>868</v>
      </c>
      <c r="F918" s="383" t="str">
        <f t="shared" si="43"/>
        <v>S200009DRainbow Energy Ma</v>
      </c>
      <c r="G918" s="496">
        <v>446400</v>
      </c>
      <c r="H918" s="496">
        <v>-446400</v>
      </c>
      <c r="I918" s="496">
        <f t="shared" si="44"/>
        <v>0</v>
      </c>
      <c r="J918" s="496" t="s">
        <v>869</v>
      </c>
    </row>
    <row r="919" spans="1:10" x14ac:dyDescent="0.25">
      <c r="A919" s="383">
        <f t="shared" si="42"/>
        <v>19</v>
      </c>
      <c r="B919" s="487" t="s">
        <v>265</v>
      </c>
      <c r="C919" s="500" t="s">
        <v>987</v>
      </c>
      <c r="D919" s="487" t="s">
        <v>1207</v>
      </c>
      <c r="E919" s="487" t="s">
        <v>868</v>
      </c>
      <c r="F919" s="487" t="str">
        <f t="shared" si="43"/>
        <v>S200009DReliant Energy HL</v>
      </c>
      <c r="G919" s="499"/>
      <c r="H919" s="499">
        <f>VLOOKUP(F919,[2]Pivot!$R$20:$S$1359,2,FALSE)</f>
        <v>-1717520</v>
      </c>
      <c r="I919" s="499">
        <f t="shared" si="44"/>
        <v>-1717520</v>
      </c>
      <c r="J919" s="499"/>
    </row>
    <row r="920" spans="1:10" hidden="1" x14ac:dyDescent="0.25">
      <c r="A920" s="383">
        <f t="shared" si="42"/>
        <v>24</v>
      </c>
      <c r="B920" s="383" t="s">
        <v>265</v>
      </c>
      <c r="C920" s="497" t="s">
        <v>987</v>
      </c>
      <c r="D920" s="383" t="s">
        <v>1</v>
      </c>
      <c r="E920" s="383" t="s">
        <v>868</v>
      </c>
      <c r="F920" s="383" t="str">
        <f t="shared" si="43"/>
        <v>S200009DReliant Energy Se</v>
      </c>
      <c r="G920" s="496">
        <v>128917748.66</v>
      </c>
      <c r="H920" s="496">
        <v>-128917748.66</v>
      </c>
      <c r="I920" s="496">
        <f t="shared" si="44"/>
        <v>0</v>
      </c>
      <c r="J920" s="496" t="s">
        <v>869</v>
      </c>
    </row>
    <row r="921" spans="1:10" hidden="1" x14ac:dyDescent="0.25">
      <c r="A921" s="383">
        <f t="shared" si="42"/>
        <v>24</v>
      </c>
      <c r="B921" s="383" t="s">
        <v>265</v>
      </c>
      <c r="C921" s="497" t="s">
        <v>987</v>
      </c>
      <c r="D921" s="383" t="s">
        <v>2</v>
      </c>
      <c r="E921" s="383" t="s">
        <v>868</v>
      </c>
      <c r="F921" s="383" t="str">
        <f t="shared" si="43"/>
        <v>S200009DSacramento Munici</v>
      </c>
      <c r="G921" s="496">
        <v>4311700</v>
      </c>
      <c r="H921" s="496">
        <v>-4311700</v>
      </c>
      <c r="I921" s="496">
        <f t="shared" si="44"/>
        <v>0</v>
      </c>
      <c r="J921" s="496" t="s">
        <v>869</v>
      </c>
    </row>
    <row r="922" spans="1:10" hidden="1" x14ac:dyDescent="0.25">
      <c r="A922" s="383">
        <f t="shared" si="42"/>
        <v>24</v>
      </c>
      <c r="B922" s="383" t="s">
        <v>265</v>
      </c>
      <c r="C922" s="497" t="s">
        <v>987</v>
      </c>
      <c r="D922" s="383" t="s">
        <v>3</v>
      </c>
      <c r="E922" s="383" t="s">
        <v>868</v>
      </c>
      <c r="F922" s="383" t="str">
        <f t="shared" si="43"/>
        <v>S200009DSalt River Projec</v>
      </c>
      <c r="G922" s="496">
        <v>3478672.5</v>
      </c>
      <c r="H922" s="496">
        <v>-3478672.5</v>
      </c>
      <c r="I922" s="496">
        <f t="shared" si="44"/>
        <v>0</v>
      </c>
      <c r="J922" s="496" t="s">
        <v>869</v>
      </c>
    </row>
    <row r="923" spans="1:10" hidden="1" x14ac:dyDescent="0.25">
      <c r="A923" s="383">
        <f t="shared" si="42"/>
        <v>24</v>
      </c>
      <c r="B923" s="383" t="s">
        <v>265</v>
      </c>
      <c r="C923" s="497" t="s">
        <v>987</v>
      </c>
      <c r="D923" s="383" t="s">
        <v>4</v>
      </c>
      <c r="E923" s="383" t="s">
        <v>868</v>
      </c>
      <c r="F923" s="383" t="str">
        <f t="shared" si="43"/>
        <v>S200009DSaskatchewan Powe</v>
      </c>
      <c r="G923" s="496">
        <v>66565</v>
      </c>
      <c r="H923" s="496">
        <v>-66565</v>
      </c>
      <c r="I923" s="496">
        <f t="shared" si="44"/>
        <v>0</v>
      </c>
      <c r="J923" s="496" t="s">
        <v>869</v>
      </c>
    </row>
    <row r="924" spans="1:10" x14ac:dyDescent="0.25">
      <c r="A924" s="383">
        <f t="shared" si="42"/>
        <v>18</v>
      </c>
      <c r="B924" s="487" t="s">
        <v>265</v>
      </c>
      <c r="C924" s="500" t="s">
        <v>987</v>
      </c>
      <c r="D924" s="487" t="s">
        <v>324</v>
      </c>
      <c r="E924" s="487" t="s">
        <v>868</v>
      </c>
      <c r="F924" s="487" t="str">
        <f t="shared" si="43"/>
        <v>S200009DSeattle City Ligh</v>
      </c>
      <c r="G924" s="499"/>
      <c r="H924" s="499">
        <f>VLOOKUP(F924,[2]Pivot!$R$20:$S$1359,2,FALSE)</f>
        <v>-1543550</v>
      </c>
      <c r="I924" s="499">
        <f t="shared" si="44"/>
        <v>-1543550</v>
      </c>
      <c r="J924" s="499"/>
    </row>
    <row r="925" spans="1:10" x14ac:dyDescent="0.25">
      <c r="A925" s="383">
        <f t="shared" si="42"/>
        <v>24</v>
      </c>
      <c r="B925" s="383" t="s">
        <v>265</v>
      </c>
      <c r="C925" s="495" t="s">
        <v>987</v>
      </c>
      <c r="D925" s="383" t="s">
        <v>5</v>
      </c>
      <c r="E925" s="383" t="s">
        <v>868</v>
      </c>
      <c r="F925" s="383" t="str">
        <f t="shared" si="43"/>
        <v>S200009DSempra Energy Tra</v>
      </c>
      <c r="G925" s="496">
        <v>44885080</v>
      </c>
      <c r="H925" s="496">
        <v>-132849180</v>
      </c>
      <c r="I925" s="496">
        <f t="shared" si="44"/>
        <v>-87964100</v>
      </c>
      <c r="J925" s="496"/>
    </row>
    <row r="926" spans="1:10" hidden="1" x14ac:dyDescent="0.25">
      <c r="A926" s="383">
        <f t="shared" si="42"/>
        <v>24</v>
      </c>
      <c r="B926" s="383" t="s">
        <v>265</v>
      </c>
      <c r="C926" s="497" t="s">
        <v>987</v>
      </c>
      <c r="D926" s="383" t="s">
        <v>6</v>
      </c>
      <c r="E926" s="383" t="s">
        <v>868</v>
      </c>
      <c r="F926" s="383" t="str">
        <f t="shared" si="43"/>
        <v>S200009DSierra Pacific Po</v>
      </c>
      <c r="G926" s="496">
        <v>9268000</v>
      </c>
      <c r="H926" s="496">
        <v>-9268000</v>
      </c>
      <c r="I926" s="496">
        <f t="shared" si="44"/>
        <v>0</v>
      </c>
      <c r="J926" s="496" t="s">
        <v>869</v>
      </c>
    </row>
    <row r="927" spans="1:10" hidden="1" x14ac:dyDescent="0.25">
      <c r="A927" s="383">
        <f t="shared" si="42"/>
        <v>23</v>
      </c>
      <c r="B927" s="383" t="s">
        <v>265</v>
      </c>
      <c r="C927" s="497" t="s">
        <v>987</v>
      </c>
      <c r="D927" s="383" t="s">
        <v>7</v>
      </c>
      <c r="E927" s="383" t="s">
        <v>868</v>
      </c>
      <c r="F927" s="383" t="str">
        <f t="shared" si="43"/>
        <v>S200009DSmurfit-Stone Con</v>
      </c>
      <c r="G927" s="496">
        <v>2397225.84</v>
      </c>
      <c r="H927" s="496">
        <v>-2397225.84</v>
      </c>
      <c r="I927" s="496">
        <f t="shared" si="44"/>
        <v>0</v>
      </c>
      <c r="J927" s="496" t="s">
        <v>869</v>
      </c>
    </row>
    <row r="928" spans="1:10" hidden="1" x14ac:dyDescent="0.25">
      <c r="A928" s="383">
        <f t="shared" si="42"/>
        <v>23</v>
      </c>
      <c r="B928" s="383" t="s">
        <v>265</v>
      </c>
      <c r="C928" s="497" t="s">
        <v>987</v>
      </c>
      <c r="D928" s="383" t="s">
        <v>8</v>
      </c>
      <c r="E928" s="383" t="s">
        <v>868</v>
      </c>
      <c r="F928" s="383" t="str">
        <f t="shared" si="43"/>
        <v>S200009DSouth Carolina El</v>
      </c>
      <c r="G928" s="496">
        <v>80938.2</v>
      </c>
      <c r="H928" s="496">
        <v>-80938.2</v>
      </c>
      <c r="I928" s="496">
        <f t="shared" si="44"/>
        <v>0</v>
      </c>
      <c r="J928" s="496" t="s">
        <v>869</v>
      </c>
    </row>
    <row r="929" spans="1:10" hidden="1" x14ac:dyDescent="0.25">
      <c r="A929" s="383">
        <f t="shared" si="42"/>
        <v>23</v>
      </c>
      <c r="B929" s="383" t="s">
        <v>265</v>
      </c>
      <c r="C929" s="497" t="s">
        <v>987</v>
      </c>
      <c r="D929" s="383" t="s">
        <v>9</v>
      </c>
      <c r="E929" s="383" t="s">
        <v>868</v>
      </c>
      <c r="F929" s="383" t="str">
        <f t="shared" si="43"/>
        <v xml:space="preserve">S200009DSouthern Company </v>
      </c>
      <c r="G929" s="496">
        <v>194602422.75</v>
      </c>
      <c r="H929" s="496">
        <v>-194602422.75</v>
      </c>
      <c r="I929" s="496">
        <f t="shared" si="44"/>
        <v>0</v>
      </c>
      <c r="J929" s="496" t="s">
        <v>869</v>
      </c>
    </row>
    <row r="930" spans="1:10" hidden="1" x14ac:dyDescent="0.25">
      <c r="A930" s="383">
        <f t="shared" si="42"/>
        <v>24</v>
      </c>
      <c r="B930" s="383" t="s">
        <v>265</v>
      </c>
      <c r="C930" s="497" t="s">
        <v>987</v>
      </c>
      <c r="D930" s="383" t="s">
        <v>10</v>
      </c>
      <c r="E930" s="383" t="s">
        <v>868</v>
      </c>
      <c r="F930" s="383" t="str">
        <f t="shared" si="43"/>
        <v xml:space="preserve">S200009DSouthern Company </v>
      </c>
      <c r="G930" s="496">
        <v>1436743</v>
      </c>
      <c r="H930" s="496">
        <v>-1436743</v>
      </c>
      <c r="I930" s="496">
        <f t="shared" si="44"/>
        <v>0</v>
      </c>
      <c r="J930" s="496" t="s">
        <v>869</v>
      </c>
    </row>
    <row r="931" spans="1:10" x14ac:dyDescent="0.25">
      <c r="A931" s="383">
        <f t="shared" si="42"/>
        <v>22</v>
      </c>
      <c r="B931" s="487" t="s">
        <v>265</v>
      </c>
      <c r="C931" s="500" t="s">
        <v>987</v>
      </c>
      <c r="D931" s="487" t="s">
        <v>1072</v>
      </c>
      <c r="E931" s="487" t="s">
        <v>868</v>
      </c>
      <c r="F931" s="487" t="str">
        <f t="shared" si="43"/>
        <v>S200009DSplit Rock Energy</v>
      </c>
      <c r="G931" s="499"/>
      <c r="H931" s="499">
        <f>VLOOKUP(F931,[2]Pivot!$R$20:$S$1359,2,FALSE)</f>
        <v>-216836</v>
      </c>
      <c r="I931" s="499">
        <f t="shared" si="44"/>
        <v>-216836</v>
      </c>
      <c r="J931" s="499"/>
    </row>
    <row r="932" spans="1:10" x14ac:dyDescent="0.25">
      <c r="A932" s="383">
        <f t="shared" si="42"/>
        <v>22</v>
      </c>
      <c r="B932" s="487" t="s">
        <v>265</v>
      </c>
      <c r="C932" s="500" t="s">
        <v>987</v>
      </c>
      <c r="D932" s="487" t="s">
        <v>11</v>
      </c>
      <c r="E932" s="487" t="s">
        <v>868</v>
      </c>
      <c r="F932" s="487" t="str">
        <f t="shared" si="43"/>
        <v>S200009DTampa Electric Co</v>
      </c>
      <c r="G932" s="499"/>
      <c r="H932" s="499">
        <f>VLOOKUP(F932,[2]Pivot!$R$20:$S$1359,2,FALSE)</f>
        <v>-120012.4</v>
      </c>
      <c r="I932" s="499">
        <f t="shared" si="44"/>
        <v>-120012.4</v>
      </c>
      <c r="J932" s="499"/>
    </row>
    <row r="933" spans="1:10" hidden="1" x14ac:dyDescent="0.25">
      <c r="A933" s="383">
        <f t="shared" si="42"/>
        <v>24</v>
      </c>
      <c r="B933" s="383" t="s">
        <v>265</v>
      </c>
      <c r="C933" s="497" t="s">
        <v>987</v>
      </c>
      <c r="D933" s="383" t="s">
        <v>12</v>
      </c>
      <c r="E933" s="383" t="s">
        <v>868</v>
      </c>
      <c r="F933" s="383" t="str">
        <f t="shared" si="43"/>
        <v>S200009DTenaska Power Ser</v>
      </c>
      <c r="G933" s="496">
        <v>16400</v>
      </c>
      <c r="H933" s="496">
        <v>-16400</v>
      </c>
      <c r="I933" s="496">
        <f t="shared" si="44"/>
        <v>0</v>
      </c>
      <c r="J933" s="496" t="s">
        <v>869</v>
      </c>
    </row>
    <row r="934" spans="1:10" hidden="1" x14ac:dyDescent="0.25">
      <c r="A934" s="383">
        <f t="shared" si="42"/>
        <v>24</v>
      </c>
      <c r="B934" s="383" t="s">
        <v>265</v>
      </c>
      <c r="C934" s="497" t="s">
        <v>987</v>
      </c>
      <c r="D934" s="383" t="s">
        <v>13</v>
      </c>
      <c r="E934" s="383" t="s">
        <v>868</v>
      </c>
      <c r="F934" s="383" t="str">
        <f t="shared" si="43"/>
        <v xml:space="preserve">S200009DTexas-New Mexico </v>
      </c>
      <c r="G934" s="496">
        <v>0</v>
      </c>
      <c r="H934" s="496">
        <v>0</v>
      </c>
      <c r="I934" s="496">
        <f t="shared" si="44"/>
        <v>0</v>
      </c>
      <c r="J934" s="496" t="s">
        <v>869</v>
      </c>
    </row>
    <row r="935" spans="1:10" x14ac:dyDescent="0.25">
      <c r="A935" s="383">
        <f t="shared" si="42"/>
        <v>17</v>
      </c>
      <c r="B935" s="383" t="s">
        <v>265</v>
      </c>
      <c r="C935" s="495" t="s">
        <v>987</v>
      </c>
      <c r="D935" s="383" t="s">
        <v>1075</v>
      </c>
      <c r="E935" s="383" t="s">
        <v>868</v>
      </c>
      <c r="F935" s="383" t="str">
        <f t="shared" si="43"/>
        <v>S200009DThe City of Azusa</v>
      </c>
      <c r="G935" s="496">
        <v>-2202456</v>
      </c>
      <c r="H935" s="496">
        <v>0</v>
      </c>
      <c r="I935" s="496">
        <f t="shared" si="44"/>
        <v>-2202456</v>
      </c>
      <c r="J935" s="496"/>
    </row>
    <row r="936" spans="1:10" hidden="1" x14ac:dyDescent="0.25">
      <c r="A936" s="383">
        <f t="shared" si="42"/>
        <v>24</v>
      </c>
      <c r="B936" s="383" t="s">
        <v>265</v>
      </c>
      <c r="C936" s="497" t="s">
        <v>987</v>
      </c>
      <c r="D936" s="383" t="s">
        <v>14</v>
      </c>
      <c r="E936" s="383" t="s">
        <v>868</v>
      </c>
      <c r="F936" s="383" t="str">
        <f t="shared" si="43"/>
        <v xml:space="preserve">S200009DTractebel Energy </v>
      </c>
      <c r="G936" s="496">
        <v>63082200</v>
      </c>
      <c r="H936" s="496">
        <v>-63082200</v>
      </c>
      <c r="I936" s="496">
        <f t="shared" si="44"/>
        <v>0</v>
      </c>
      <c r="J936" s="496" t="s">
        <v>869</v>
      </c>
    </row>
    <row r="937" spans="1:10" hidden="1" x14ac:dyDescent="0.25">
      <c r="A937" s="383">
        <f t="shared" si="42"/>
        <v>24</v>
      </c>
      <c r="B937" s="383" t="s">
        <v>265</v>
      </c>
      <c r="C937" s="497" t="s">
        <v>987</v>
      </c>
      <c r="D937" s="383" t="s">
        <v>1250</v>
      </c>
      <c r="E937" s="383" t="s">
        <v>868</v>
      </c>
      <c r="F937" s="383" t="str">
        <f t="shared" si="43"/>
        <v xml:space="preserve">S200009DTransAlta Energy </v>
      </c>
      <c r="G937" s="496">
        <v>23004300</v>
      </c>
      <c r="H937" s="496">
        <v>-23004300</v>
      </c>
      <c r="I937" s="496">
        <f t="shared" si="44"/>
        <v>0</v>
      </c>
      <c r="J937" s="496" t="s">
        <v>869</v>
      </c>
    </row>
    <row r="938" spans="1:10" hidden="1" x14ac:dyDescent="0.25">
      <c r="A938" s="383">
        <f t="shared" si="42"/>
        <v>24</v>
      </c>
      <c r="B938" s="383" t="s">
        <v>265</v>
      </c>
      <c r="C938" s="497" t="s">
        <v>987</v>
      </c>
      <c r="D938" s="383" t="s">
        <v>15</v>
      </c>
      <c r="E938" s="383" t="s">
        <v>868</v>
      </c>
      <c r="F938" s="383" t="str">
        <f t="shared" si="43"/>
        <v>S200009DTurlock Irrigatio</v>
      </c>
      <c r="G938" s="496">
        <v>2129000</v>
      </c>
      <c r="H938" s="496">
        <v>-2129000</v>
      </c>
      <c r="I938" s="496">
        <f t="shared" si="44"/>
        <v>0</v>
      </c>
      <c r="J938" s="496" t="s">
        <v>869</v>
      </c>
    </row>
    <row r="939" spans="1:10" hidden="1" x14ac:dyDescent="0.25">
      <c r="A939" s="383">
        <f t="shared" si="42"/>
        <v>24</v>
      </c>
      <c r="B939" s="383" t="s">
        <v>265</v>
      </c>
      <c r="C939" s="497" t="s">
        <v>987</v>
      </c>
      <c r="D939" s="383" t="s">
        <v>1259</v>
      </c>
      <c r="E939" s="383" t="s">
        <v>868</v>
      </c>
      <c r="F939" s="383" t="str">
        <f t="shared" si="43"/>
        <v>S200009DUnited Illuminati</v>
      </c>
      <c r="G939" s="496">
        <v>1.8626167275215266E-10</v>
      </c>
      <c r="H939" s="496">
        <v>0</v>
      </c>
      <c r="I939" s="496">
        <f t="shared" si="44"/>
        <v>0</v>
      </c>
      <c r="J939" s="496" t="s">
        <v>869</v>
      </c>
    </row>
    <row r="940" spans="1:10" x14ac:dyDescent="0.25">
      <c r="A940" s="383">
        <f t="shared" si="42"/>
        <v>24</v>
      </c>
      <c r="B940" s="383" t="s">
        <v>265</v>
      </c>
      <c r="C940" s="495" t="s">
        <v>987</v>
      </c>
      <c r="D940" s="383" t="s">
        <v>1271</v>
      </c>
      <c r="E940" s="383" t="s">
        <v>868</v>
      </c>
      <c r="F940" s="383" t="str">
        <f t="shared" si="43"/>
        <v>S200009DUnited Power Asso</v>
      </c>
      <c r="G940" s="496">
        <v>850740</v>
      </c>
      <c r="H940" s="496">
        <v>-1686740</v>
      </c>
      <c r="I940" s="496">
        <f t="shared" si="44"/>
        <v>-836000</v>
      </c>
      <c r="J940" s="496"/>
    </row>
    <row r="941" spans="1:10" hidden="1" x14ac:dyDescent="0.25">
      <c r="A941" s="383">
        <f t="shared" si="42"/>
        <v>24</v>
      </c>
      <c r="B941" s="383" t="s">
        <v>265</v>
      </c>
      <c r="C941" s="497" t="s">
        <v>987</v>
      </c>
      <c r="D941" s="383" t="s">
        <v>16</v>
      </c>
      <c r="E941" s="383" t="s">
        <v>868</v>
      </c>
      <c r="F941" s="383" t="str">
        <f t="shared" si="43"/>
        <v>S200009DValley Electric A</v>
      </c>
      <c r="G941" s="496">
        <v>1213657.3</v>
      </c>
      <c r="H941" s="496">
        <v>-1213657.3</v>
      </c>
      <c r="I941" s="496">
        <f t="shared" si="44"/>
        <v>0</v>
      </c>
      <c r="J941" s="496" t="s">
        <v>869</v>
      </c>
    </row>
    <row r="942" spans="1:10" hidden="1" x14ac:dyDescent="0.25">
      <c r="A942" s="383">
        <f t="shared" si="42"/>
        <v>24</v>
      </c>
      <c r="B942" s="383" t="s">
        <v>265</v>
      </c>
      <c r="C942" s="497" t="s">
        <v>987</v>
      </c>
      <c r="D942" s="383" t="s">
        <v>17</v>
      </c>
      <c r="E942" s="383" t="s">
        <v>868</v>
      </c>
      <c r="F942" s="383" t="str">
        <f t="shared" si="43"/>
        <v>S200009DVermont Public Po</v>
      </c>
      <c r="G942" s="496">
        <v>192417.5</v>
      </c>
      <c r="H942" s="496">
        <v>-192417.5</v>
      </c>
      <c r="I942" s="496">
        <f t="shared" si="44"/>
        <v>0</v>
      </c>
      <c r="J942" s="496" t="s">
        <v>869</v>
      </c>
    </row>
    <row r="943" spans="1:10" x14ac:dyDescent="0.25">
      <c r="A943" s="383">
        <f t="shared" si="42"/>
        <v>15</v>
      </c>
      <c r="B943" s="487" t="s">
        <v>265</v>
      </c>
      <c r="C943" s="500" t="s">
        <v>987</v>
      </c>
      <c r="D943" s="487" t="s">
        <v>18</v>
      </c>
      <c r="E943" s="487" t="s">
        <v>868</v>
      </c>
      <c r="F943" s="487" t="str">
        <f t="shared" si="43"/>
        <v>S200009DVernon, City of</v>
      </c>
      <c r="G943" s="499"/>
      <c r="H943" s="499">
        <f>VLOOKUP(F943,[2]Pivot!$R$20:$S$1359,2,FALSE)</f>
        <v>-1109000</v>
      </c>
      <c r="I943" s="499">
        <f t="shared" si="44"/>
        <v>-1109000</v>
      </c>
      <c r="J943" s="499"/>
    </row>
    <row r="944" spans="1:10" hidden="1" x14ac:dyDescent="0.25">
      <c r="A944" s="383">
        <f t="shared" si="42"/>
        <v>24</v>
      </c>
      <c r="B944" s="383" t="s">
        <v>265</v>
      </c>
      <c r="C944" s="497" t="s">
        <v>987</v>
      </c>
      <c r="D944" s="383" t="s">
        <v>1232</v>
      </c>
      <c r="E944" s="383" t="s">
        <v>868</v>
      </c>
      <c r="F944" s="383" t="str">
        <f t="shared" si="43"/>
        <v>S200009DVirginia Electric</v>
      </c>
      <c r="G944" s="496">
        <v>21872350.039999999</v>
      </c>
      <c r="H944" s="496">
        <v>-21872350.039999999</v>
      </c>
      <c r="I944" s="496">
        <f t="shared" si="44"/>
        <v>0</v>
      </c>
      <c r="J944" s="496" t="s">
        <v>869</v>
      </c>
    </row>
    <row r="945" spans="1:10" hidden="1" x14ac:dyDescent="0.25">
      <c r="A945" s="383">
        <f t="shared" si="42"/>
        <v>24</v>
      </c>
      <c r="B945" s="383" t="s">
        <v>265</v>
      </c>
      <c r="C945" s="497" t="s">
        <v>987</v>
      </c>
      <c r="D945" s="383" t="s">
        <v>1241</v>
      </c>
      <c r="E945" s="383" t="s">
        <v>868</v>
      </c>
      <c r="F945" s="383" t="str">
        <f t="shared" si="43"/>
        <v>S200009DWestern Area Powe</v>
      </c>
      <c r="G945" s="496">
        <v>4252633.5999999996</v>
      </c>
      <c r="H945" s="496">
        <v>-4252633.5999999996</v>
      </c>
      <c r="I945" s="496">
        <f t="shared" si="44"/>
        <v>0</v>
      </c>
      <c r="J945" s="496" t="s">
        <v>869</v>
      </c>
    </row>
    <row r="946" spans="1:10" x14ac:dyDescent="0.25">
      <c r="A946" s="383">
        <f t="shared" si="42"/>
        <v>22</v>
      </c>
      <c r="B946" s="487" t="s">
        <v>265</v>
      </c>
      <c r="C946" s="500" t="s">
        <v>987</v>
      </c>
      <c r="D946" s="487" t="s">
        <v>1085</v>
      </c>
      <c r="E946" s="487" t="s">
        <v>868</v>
      </c>
      <c r="F946" s="487" t="str">
        <f t="shared" si="43"/>
        <v>S200009DWestern Resources</v>
      </c>
      <c r="G946" s="499"/>
      <c r="H946" s="499">
        <f>VLOOKUP(F946,[2]Pivot!$R$20:$S$1359,2,FALSE)</f>
        <v>-7909190</v>
      </c>
      <c r="I946" s="499">
        <f t="shared" si="44"/>
        <v>-7909190</v>
      </c>
      <c r="J946" s="499"/>
    </row>
    <row r="947" spans="1:10" hidden="1" x14ac:dyDescent="0.25">
      <c r="A947" s="383">
        <f t="shared" si="42"/>
        <v>24</v>
      </c>
      <c r="B947" s="383" t="s">
        <v>265</v>
      </c>
      <c r="C947" s="497" t="s">
        <v>987</v>
      </c>
      <c r="D947" s="383" t="s">
        <v>19</v>
      </c>
      <c r="E947" s="383" t="s">
        <v>868</v>
      </c>
      <c r="F947" s="383" t="str">
        <f t="shared" si="43"/>
        <v>S200009DWilliams Energy M</v>
      </c>
      <c r="G947" s="496">
        <v>76721762.409999996</v>
      </c>
      <c r="H947" s="496">
        <v>-76721762.409999996</v>
      </c>
      <c r="I947" s="496">
        <f t="shared" si="44"/>
        <v>0</v>
      </c>
      <c r="J947" s="496" t="s">
        <v>869</v>
      </c>
    </row>
    <row r="948" spans="1:10" hidden="1" x14ac:dyDescent="0.25">
      <c r="A948" s="383">
        <f t="shared" si="42"/>
        <v>20</v>
      </c>
      <c r="B948" s="383" t="s">
        <v>265</v>
      </c>
      <c r="C948" s="497" t="s">
        <v>987</v>
      </c>
      <c r="D948" s="383" t="s">
        <v>1092</v>
      </c>
      <c r="E948" s="383" t="s">
        <v>887</v>
      </c>
      <c r="F948" s="383" t="str">
        <f t="shared" si="43"/>
        <v xml:space="preserve">S200009FAllegheny Energy </v>
      </c>
      <c r="G948" s="496">
        <v>-22742690.289999999</v>
      </c>
      <c r="H948" s="496">
        <v>22742690.289999999</v>
      </c>
      <c r="I948" s="496">
        <f t="shared" si="44"/>
        <v>0</v>
      </c>
      <c r="J948" s="496" t="s">
        <v>869</v>
      </c>
    </row>
    <row r="949" spans="1:10" hidden="1" x14ac:dyDescent="0.25">
      <c r="A949" s="383">
        <f t="shared" si="42"/>
        <v>39</v>
      </c>
      <c r="B949" s="487" t="s">
        <v>265</v>
      </c>
      <c r="C949" s="498" t="s">
        <v>987</v>
      </c>
      <c r="D949" s="487" t="s">
        <v>1093</v>
      </c>
      <c r="E949" s="487" t="s">
        <v>887</v>
      </c>
      <c r="F949" s="487" t="str">
        <f t="shared" si="43"/>
        <v>S200009FAlliant Energy Co</v>
      </c>
      <c r="G949" s="499"/>
      <c r="H949" s="499">
        <f>VLOOKUP(F949,[2]Pivot!$R$20:$S$1359,2,FALSE)</f>
        <v>977550</v>
      </c>
      <c r="I949" s="499">
        <f t="shared" si="44"/>
        <v>977550</v>
      </c>
      <c r="J949" s="499" t="s">
        <v>890</v>
      </c>
    </row>
    <row r="950" spans="1:10" hidden="1" x14ac:dyDescent="0.25">
      <c r="A950" s="383">
        <f t="shared" si="42"/>
        <v>20</v>
      </c>
      <c r="B950" s="383" t="s">
        <v>265</v>
      </c>
      <c r="C950" s="497" t="s">
        <v>987</v>
      </c>
      <c r="D950" s="383" t="s">
        <v>1094</v>
      </c>
      <c r="E950" s="383" t="s">
        <v>887</v>
      </c>
      <c r="F950" s="383" t="str">
        <f t="shared" si="43"/>
        <v xml:space="preserve">S200009FAlliant Services </v>
      </c>
      <c r="G950" s="496">
        <v>-977550</v>
      </c>
      <c r="H950" s="496"/>
      <c r="I950" s="496">
        <f t="shared" si="44"/>
        <v>-977550</v>
      </c>
      <c r="J950" s="499" t="s">
        <v>890</v>
      </c>
    </row>
    <row r="951" spans="1:10" hidden="1" x14ac:dyDescent="0.25">
      <c r="A951" s="383">
        <f t="shared" si="42"/>
        <v>20</v>
      </c>
      <c r="B951" s="383" t="s">
        <v>265</v>
      </c>
      <c r="C951" s="497" t="s">
        <v>987</v>
      </c>
      <c r="D951" s="383" t="s">
        <v>1095</v>
      </c>
      <c r="E951" s="383" t="s">
        <v>887</v>
      </c>
      <c r="F951" s="383" t="str">
        <f t="shared" si="43"/>
        <v>S200009FAlternate Power S</v>
      </c>
      <c r="G951" s="496">
        <v>-16980</v>
      </c>
      <c r="H951" s="496">
        <v>16980</v>
      </c>
      <c r="I951" s="496">
        <f t="shared" si="44"/>
        <v>0</v>
      </c>
      <c r="J951" s="496" t="s">
        <v>869</v>
      </c>
    </row>
    <row r="952" spans="1:10" hidden="1" x14ac:dyDescent="0.25">
      <c r="A952" s="383">
        <f t="shared" si="42"/>
        <v>20</v>
      </c>
      <c r="B952" s="383" t="s">
        <v>265</v>
      </c>
      <c r="C952" s="497" t="s">
        <v>987</v>
      </c>
      <c r="D952" s="383" t="s">
        <v>1096</v>
      </c>
      <c r="E952" s="383" t="s">
        <v>887</v>
      </c>
      <c r="F952" s="383" t="str">
        <f t="shared" si="43"/>
        <v>S200009FAmerada Hess Corp</v>
      </c>
      <c r="G952" s="496">
        <v>-18662.75</v>
      </c>
      <c r="H952" s="496">
        <v>18662.75</v>
      </c>
      <c r="I952" s="496">
        <f t="shared" si="44"/>
        <v>0</v>
      </c>
      <c r="J952" s="496" t="s">
        <v>869</v>
      </c>
    </row>
    <row r="953" spans="1:10" hidden="1" x14ac:dyDescent="0.25">
      <c r="A953" s="383">
        <f t="shared" si="42"/>
        <v>20</v>
      </c>
      <c r="B953" s="383" t="s">
        <v>265</v>
      </c>
      <c r="C953" s="497" t="s">
        <v>987</v>
      </c>
      <c r="D953" s="383" t="s">
        <v>1097</v>
      </c>
      <c r="E953" s="383" t="s">
        <v>887</v>
      </c>
      <c r="F953" s="383" t="str">
        <f t="shared" si="43"/>
        <v>S200009FAmeren Energy, In</v>
      </c>
      <c r="G953" s="496">
        <v>-6119600</v>
      </c>
      <c r="H953" s="496">
        <v>6119600</v>
      </c>
      <c r="I953" s="496">
        <f t="shared" si="44"/>
        <v>0</v>
      </c>
      <c r="J953" s="496" t="s">
        <v>869</v>
      </c>
    </row>
    <row r="954" spans="1:10" hidden="1" x14ac:dyDescent="0.25">
      <c r="A954" s="383">
        <f t="shared" si="42"/>
        <v>20</v>
      </c>
      <c r="B954" s="383" t="s">
        <v>265</v>
      </c>
      <c r="C954" s="497" t="s">
        <v>987</v>
      </c>
      <c r="D954" s="383" t="s">
        <v>886</v>
      </c>
      <c r="E954" s="383" t="s">
        <v>887</v>
      </c>
      <c r="F954" s="383" t="str">
        <f t="shared" si="43"/>
        <v>S200009FAmerican Electric</v>
      </c>
      <c r="G954" s="496">
        <v>-349233479.38</v>
      </c>
      <c r="H954" s="496">
        <v>349233479.38</v>
      </c>
      <c r="I954" s="496">
        <f t="shared" si="44"/>
        <v>0</v>
      </c>
      <c r="J954" s="496" t="s">
        <v>869</v>
      </c>
    </row>
    <row r="955" spans="1:10" hidden="1" x14ac:dyDescent="0.25">
      <c r="A955" s="383">
        <f t="shared" si="42"/>
        <v>20</v>
      </c>
      <c r="B955" s="383" t="s">
        <v>265</v>
      </c>
      <c r="C955" s="497" t="s">
        <v>987</v>
      </c>
      <c r="D955" s="383" t="s">
        <v>943</v>
      </c>
      <c r="E955" s="383" t="s">
        <v>887</v>
      </c>
      <c r="F955" s="383" t="str">
        <f t="shared" si="43"/>
        <v>S200009FAquila Energy Mar</v>
      </c>
      <c r="G955" s="496">
        <v>-255808950.12</v>
      </c>
      <c r="H955" s="496">
        <v>255808950.12</v>
      </c>
      <c r="I955" s="496">
        <f t="shared" si="44"/>
        <v>0</v>
      </c>
      <c r="J955" s="496" t="s">
        <v>869</v>
      </c>
    </row>
    <row r="956" spans="1:10" hidden="1" x14ac:dyDescent="0.25">
      <c r="A956" s="383">
        <f t="shared" si="42"/>
        <v>20</v>
      </c>
      <c r="B956" s="383" t="s">
        <v>265</v>
      </c>
      <c r="C956" s="497" t="s">
        <v>987</v>
      </c>
      <c r="D956" s="383" t="s">
        <v>973</v>
      </c>
      <c r="E956" s="383" t="s">
        <v>887</v>
      </c>
      <c r="F956" s="383" t="str">
        <f t="shared" si="43"/>
        <v xml:space="preserve">S200009FBonneville Power </v>
      </c>
      <c r="G956" s="496">
        <v>-45429000</v>
      </c>
      <c r="H956" s="496">
        <v>45429000</v>
      </c>
      <c r="I956" s="496">
        <f t="shared" si="44"/>
        <v>0</v>
      </c>
      <c r="J956" s="496" t="s">
        <v>869</v>
      </c>
    </row>
    <row r="957" spans="1:10" hidden="1" x14ac:dyDescent="0.25">
      <c r="A957" s="383">
        <f t="shared" si="42"/>
        <v>17</v>
      </c>
      <c r="B957" s="383" t="s">
        <v>265</v>
      </c>
      <c r="C957" s="497" t="s">
        <v>987</v>
      </c>
      <c r="D957" s="383" t="s">
        <v>1000</v>
      </c>
      <c r="E957" s="383" t="s">
        <v>887</v>
      </c>
      <c r="F957" s="383" t="str">
        <f t="shared" si="43"/>
        <v>S200009FBP Energy Company</v>
      </c>
      <c r="G957" s="496">
        <v>-32663900</v>
      </c>
      <c r="H957" s="496">
        <v>32663900</v>
      </c>
      <c r="I957" s="496">
        <f t="shared" si="44"/>
        <v>0</v>
      </c>
      <c r="J957" s="496" t="s">
        <v>869</v>
      </c>
    </row>
    <row r="958" spans="1:10" hidden="1" x14ac:dyDescent="0.25">
      <c r="A958" s="383">
        <f t="shared" si="42"/>
        <v>18</v>
      </c>
      <c r="B958" s="383" t="s">
        <v>265</v>
      </c>
      <c r="C958" s="497" t="s">
        <v>987</v>
      </c>
      <c r="D958" s="383" t="s">
        <v>959</v>
      </c>
      <c r="E958" s="383" t="s">
        <v>887</v>
      </c>
      <c r="F958" s="383" t="str">
        <f t="shared" si="43"/>
        <v>S200009FCalifornia Supple</v>
      </c>
      <c r="G958" s="496">
        <v>0</v>
      </c>
      <c r="H958" s="496"/>
      <c r="I958" s="496">
        <f t="shared" si="44"/>
        <v>0</v>
      </c>
      <c r="J958" s="496" t="s">
        <v>869</v>
      </c>
    </row>
    <row r="959" spans="1:10" hidden="1" x14ac:dyDescent="0.25">
      <c r="A959" s="383">
        <f t="shared" si="42"/>
        <v>20</v>
      </c>
      <c r="B959" s="383" t="s">
        <v>265</v>
      </c>
      <c r="C959" s="497" t="s">
        <v>987</v>
      </c>
      <c r="D959" s="383" t="s">
        <v>1101</v>
      </c>
      <c r="E959" s="383" t="s">
        <v>887</v>
      </c>
      <c r="F959" s="383" t="str">
        <f t="shared" si="43"/>
        <v>S200009FCalpine Power Ser</v>
      </c>
      <c r="G959" s="496">
        <v>-6361042.1900000004</v>
      </c>
      <c r="H959" s="496">
        <v>6361042.1900000004</v>
      </c>
      <c r="I959" s="496">
        <f t="shared" si="44"/>
        <v>0</v>
      </c>
      <c r="J959" s="496" t="s">
        <v>869</v>
      </c>
    </row>
    <row r="960" spans="1:10" hidden="1" x14ac:dyDescent="0.25">
      <c r="A960" s="383">
        <f t="shared" si="42"/>
        <v>20</v>
      </c>
      <c r="B960" s="383" t="s">
        <v>265</v>
      </c>
      <c r="C960" s="497" t="s">
        <v>987</v>
      </c>
      <c r="D960" s="383" t="s">
        <v>1002</v>
      </c>
      <c r="E960" s="383" t="s">
        <v>887</v>
      </c>
      <c r="F960" s="383" t="str">
        <f t="shared" si="43"/>
        <v xml:space="preserve">S200009FCargill-Alliant, </v>
      </c>
      <c r="G960" s="496">
        <v>-3832790</v>
      </c>
      <c r="H960" s="496">
        <v>3832790</v>
      </c>
      <c r="I960" s="496">
        <f t="shared" si="44"/>
        <v>0</v>
      </c>
      <c r="J960" s="496" t="s">
        <v>869</v>
      </c>
    </row>
    <row r="961" spans="1:10" hidden="1" x14ac:dyDescent="0.25">
      <c r="A961" s="383">
        <f t="shared" si="42"/>
        <v>20</v>
      </c>
      <c r="B961" s="383" t="s">
        <v>265</v>
      </c>
      <c r="C961" s="497" t="s">
        <v>987</v>
      </c>
      <c r="D961" s="383" t="s">
        <v>1102</v>
      </c>
      <c r="E961" s="383" t="s">
        <v>887</v>
      </c>
      <c r="F961" s="383" t="str">
        <f t="shared" si="43"/>
        <v xml:space="preserve">S200009FCarolina Power &amp; </v>
      </c>
      <c r="G961" s="496">
        <v>-743800</v>
      </c>
      <c r="H961" s="496">
        <v>743800</v>
      </c>
      <c r="I961" s="496">
        <f t="shared" si="44"/>
        <v>0</v>
      </c>
      <c r="J961" s="496" t="s">
        <v>869</v>
      </c>
    </row>
    <row r="962" spans="1:10" hidden="1" x14ac:dyDescent="0.25">
      <c r="A962" s="383">
        <f t="shared" si="42"/>
        <v>20</v>
      </c>
      <c r="B962" s="383" t="s">
        <v>265</v>
      </c>
      <c r="C962" s="497" t="s">
        <v>987</v>
      </c>
      <c r="D962" s="383" t="s">
        <v>20</v>
      </c>
      <c r="E962" s="383" t="s">
        <v>887</v>
      </c>
      <c r="F962" s="383" t="str">
        <f t="shared" si="43"/>
        <v>S200009FCentral and South</v>
      </c>
      <c r="G962" s="496">
        <v>-147740</v>
      </c>
      <c r="H962" s="496">
        <v>147740</v>
      </c>
      <c r="I962" s="496">
        <f t="shared" si="44"/>
        <v>0</v>
      </c>
      <c r="J962" s="496" t="s">
        <v>869</v>
      </c>
    </row>
    <row r="963" spans="1:10" hidden="1" x14ac:dyDescent="0.25">
      <c r="A963" s="383">
        <f t="shared" si="42"/>
        <v>20</v>
      </c>
      <c r="B963" s="383" t="s">
        <v>265</v>
      </c>
      <c r="C963" s="497" t="s">
        <v>987</v>
      </c>
      <c r="D963" s="383" t="s">
        <v>1103</v>
      </c>
      <c r="E963" s="383" t="s">
        <v>887</v>
      </c>
      <c r="F963" s="383" t="str">
        <f t="shared" si="43"/>
        <v xml:space="preserve">S200009FCentral Illinois </v>
      </c>
      <c r="G963" s="496">
        <v>-552800</v>
      </c>
      <c r="H963" s="496">
        <v>552800</v>
      </c>
      <c r="I963" s="496">
        <f t="shared" si="44"/>
        <v>0</v>
      </c>
      <c r="J963" s="496" t="s">
        <v>869</v>
      </c>
    </row>
    <row r="964" spans="1:10" hidden="1" x14ac:dyDescent="0.25">
      <c r="A964" s="383">
        <f t="shared" ref="A964:A1027" si="45">LEN(D964)</f>
        <v>20</v>
      </c>
      <c r="B964" s="383" t="s">
        <v>265</v>
      </c>
      <c r="C964" s="497" t="s">
        <v>987</v>
      </c>
      <c r="D964" s="383" t="s">
        <v>1104</v>
      </c>
      <c r="E964" s="383" t="s">
        <v>887</v>
      </c>
      <c r="F964" s="383" t="str">
        <f t="shared" ref="F964:F1027" si="46">+B964&amp;C964&amp;E964&amp;LEFT(D964,17)</f>
        <v>S200009FCinergy Services,</v>
      </c>
      <c r="G964" s="496">
        <v>-37814171.380000003</v>
      </c>
      <c r="H964" s="496">
        <v>37814171.380000003</v>
      </c>
      <c r="I964" s="496">
        <f t="shared" ref="I964:I1027" si="47">ROUND(+G964+H964,2)</f>
        <v>0</v>
      </c>
      <c r="J964" s="496" t="s">
        <v>869</v>
      </c>
    </row>
    <row r="965" spans="1:10" hidden="1" x14ac:dyDescent="0.25">
      <c r="A965" s="383">
        <f t="shared" si="45"/>
        <v>19</v>
      </c>
      <c r="B965" s="383" t="s">
        <v>265</v>
      </c>
      <c r="C965" s="497" t="s">
        <v>987</v>
      </c>
      <c r="D965" s="383" t="s">
        <v>21</v>
      </c>
      <c r="E965" s="383" t="s">
        <v>887</v>
      </c>
      <c r="F965" s="383" t="str">
        <f t="shared" si="46"/>
        <v>S200009FCity of McMinnvil</v>
      </c>
      <c r="G965" s="496">
        <v>-85320</v>
      </c>
      <c r="H965" s="496">
        <v>85320</v>
      </c>
      <c r="I965" s="496">
        <f t="shared" si="47"/>
        <v>0</v>
      </c>
      <c r="J965" s="496" t="s">
        <v>869</v>
      </c>
    </row>
    <row r="966" spans="1:10" hidden="1" x14ac:dyDescent="0.25">
      <c r="A966" s="383">
        <f t="shared" si="45"/>
        <v>15</v>
      </c>
      <c r="B966" s="383" t="s">
        <v>265</v>
      </c>
      <c r="C966" s="497" t="s">
        <v>987</v>
      </c>
      <c r="D966" s="383" t="s">
        <v>911</v>
      </c>
      <c r="E966" s="383" t="s">
        <v>887</v>
      </c>
      <c r="F966" s="383" t="str">
        <f t="shared" si="46"/>
        <v>S200009FCity of Redding</v>
      </c>
      <c r="G966" s="496">
        <v>-337440</v>
      </c>
      <c r="H966" s="496">
        <v>337440</v>
      </c>
      <c r="I966" s="496">
        <f t="shared" si="47"/>
        <v>0</v>
      </c>
      <c r="J966" s="496" t="s">
        <v>869</v>
      </c>
    </row>
    <row r="967" spans="1:10" hidden="1" x14ac:dyDescent="0.25">
      <c r="A967" s="383">
        <f t="shared" si="45"/>
        <v>17</v>
      </c>
      <c r="B967" s="383" t="s">
        <v>265</v>
      </c>
      <c r="C967" s="497" t="s">
        <v>987</v>
      </c>
      <c r="D967" s="383" t="s">
        <v>1186</v>
      </c>
      <c r="E967" s="383" t="s">
        <v>887</v>
      </c>
      <c r="F967" s="383" t="str">
        <f t="shared" si="46"/>
        <v>S200009FCity of Roseville</v>
      </c>
      <c r="G967" s="496">
        <v>-1764000</v>
      </c>
      <c r="H967" s="496">
        <v>1764000</v>
      </c>
      <c r="I967" s="496">
        <f t="shared" si="47"/>
        <v>0</v>
      </c>
      <c r="J967" s="496" t="s">
        <v>869</v>
      </c>
    </row>
    <row r="968" spans="1:10" hidden="1" x14ac:dyDescent="0.25">
      <c r="A968" s="383">
        <f t="shared" si="45"/>
        <v>17</v>
      </c>
      <c r="B968" s="383" t="s">
        <v>265</v>
      </c>
      <c r="C968" s="497" t="s">
        <v>987</v>
      </c>
      <c r="D968" s="383" t="s">
        <v>1005</v>
      </c>
      <c r="E968" s="383" t="s">
        <v>887</v>
      </c>
      <c r="F968" s="383" t="str">
        <f t="shared" si="46"/>
        <v>S200009FCLECO Corporation</v>
      </c>
      <c r="G968" s="496">
        <v>-127800</v>
      </c>
      <c r="H968" s="496">
        <v>127800</v>
      </c>
      <c r="I968" s="496">
        <f t="shared" si="47"/>
        <v>0</v>
      </c>
      <c r="J968" s="496" t="s">
        <v>869</v>
      </c>
    </row>
    <row r="969" spans="1:10" hidden="1" x14ac:dyDescent="0.25">
      <c r="A969" s="383">
        <f t="shared" si="45"/>
        <v>19</v>
      </c>
      <c r="B969" s="383" t="s">
        <v>265</v>
      </c>
      <c r="C969" s="497" t="s">
        <v>987</v>
      </c>
      <c r="D969" s="383" t="s">
        <v>1106</v>
      </c>
      <c r="E969" s="383" t="s">
        <v>887</v>
      </c>
      <c r="F969" s="383" t="str">
        <f t="shared" si="46"/>
        <v>S200009FCLECO Marketing a</v>
      </c>
      <c r="G969" s="496">
        <v>-1396400</v>
      </c>
      <c r="H969" s="496">
        <v>1396400</v>
      </c>
      <c r="I969" s="496">
        <f t="shared" si="47"/>
        <v>0</v>
      </c>
      <c r="J969" s="496" t="s">
        <v>869</v>
      </c>
    </row>
    <row r="970" spans="1:10" hidden="1" x14ac:dyDescent="0.25">
      <c r="A970" s="383">
        <f t="shared" si="45"/>
        <v>20</v>
      </c>
      <c r="B970" s="383" t="s">
        <v>265</v>
      </c>
      <c r="C970" s="497" t="s">
        <v>987</v>
      </c>
      <c r="D970" s="383" t="s">
        <v>22</v>
      </c>
      <c r="E970" s="383" t="s">
        <v>887</v>
      </c>
      <c r="F970" s="383" t="str">
        <f t="shared" si="46"/>
        <v>S200009FCleco Utility Gro</v>
      </c>
      <c r="G970" s="496">
        <v>-30400</v>
      </c>
      <c r="H970" s="496">
        <v>30400</v>
      </c>
      <c r="I970" s="496">
        <f t="shared" si="47"/>
        <v>0</v>
      </c>
      <c r="J970" s="496" t="s">
        <v>869</v>
      </c>
    </row>
    <row r="971" spans="1:10" hidden="1" x14ac:dyDescent="0.25">
      <c r="A971" s="383">
        <f t="shared" si="45"/>
        <v>20</v>
      </c>
      <c r="B971" s="383" t="s">
        <v>265</v>
      </c>
      <c r="C971" s="497" t="s">
        <v>987</v>
      </c>
      <c r="D971" s="383" t="s">
        <v>1107</v>
      </c>
      <c r="E971" s="383" t="s">
        <v>887</v>
      </c>
      <c r="F971" s="383" t="str">
        <f t="shared" si="46"/>
        <v>S200009FCMS Marketing, Se</v>
      </c>
      <c r="G971" s="496">
        <v>-4375586.38</v>
      </c>
      <c r="H971" s="496">
        <v>4375586.38</v>
      </c>
      <c r="I971" s="496">
        <f t="shared" si="47"/>
        <v>0</v>
      </c>
      <c r="J971" s="496" t="s">
        <v>869</v>
      </c>
    </row>
    <row r="972" spans="1:10" hidden="1" x14ac:dyDescent="0.25">
      <c r="A972" s="383">
        <f t="shared" si="45"/>
        <v>20</v>
      </c>
      <c r="B972" s="383" t="s">
        <v>265</v>
      </c>
      <c r="C972" s="497" t="s">
        <v>987</v>
      </c>
      <c r="D972" s="383" t="s">
        <v>1108</v>
      </c>
      <c r="E972" s="383" t="s">
        <v>887</v>
      </c>
      <c r="F972" s="383" t="str">
        <f t="shared" si="46"/>
        <v xml:space="preserve">S200009FCoastal Merchant </v>
      </c>
      <c r="G972" s="496">
        <v>-540800</v>
      </c>
      <c r="H972" s="496">
        <v>540800</v>
      </c>
      <c r="I972" s="496">
        <f t="shared" si="47"/>
        <v>0</v>
      </c>
      <c r="J972" s="496" t="s">
        <v>869</v>
      </c>
    </row>
    <row r="973" spans="1:10" hidden="1" x14ac:dyDescent="0.25">
      <c r="A973" s="383">
        <f t="shared" si="45"/>
        <v>20</v>
      </c>
      <c r="B973" s="383" t="s">
        <v>265</v>
      </c>
      <c r="C973" s="497" t="s">
        <v>987</v>
      </c>
      <c r="D973" s="383" t="s">
        <v>1109</v>
      </c>
      <c r="E973" s="383" t="s">
        <v>887</v>
      </c>
      <c r="F973" s="383" t="str">
        <f t="shared" si="46"/>
        <v>S200009FConectiv Energy S</v>
      </c>
      <c r="G973" s="496">
        <v>-4358800</v>
      </c>
      <c r="H973" s="496">
        <v>4358800</v>
      </c>
      <c r="I973" s="496">
        <f t="shared" si="47"/>
        <v>0</v>
      </c>
      <c r="J973" s="496" t="s">
        <v>869</v>
      </c>
    </row>
    <row r="974" spans="1:10" hidden="1" x14ac:dyDescent="0.25">
      <c r="A974" s="383">
        <f t="shared" si="45"/>
        <v>20</v>
      </c>
      <c r="B974" s="383" t="s">
        <v>265</v>
      </c>
      <c r="C974" s="497" t="s">
        <v>987</v>
      </c>
      <c r="D974" s="383" t="s">
        <v>1110</v>
      </c>
      <c r="E974" s="383" t="s">
        <v>887</v>
      </c>
      <c r="F974" s="383" t="str">
        <f t="shared" si="46"/>
        <v>S200009FConnecticut Munic</v>
      </c>
      <c r="G974" s="496">
        <v>-324900</v>
      </c>
      <c r="H974" s="496">
        <v>324900</v>
      </c>
      <c r="I974" s="496">
        <f t="shared" si="47"/>
        <v>0</v>
      </c>
      <c r="J974" s="496" t="s">
        <v>869</v>
      </c>
    </row>
    <row r="975" spans="1:10" hidden="1" x14ac:dyDescent="0.25">
      <c r="A975" s="383">
        <f t="shared" si="45"/>
        <v>20</v>
      </c>
      <c r="B975" s="383" t="s">
        <v>265</v>
      </c>
      <c r="C975" s="497" t="s">
        <v>987</v>
      </c>
      <c r="D975" s="383" t="s">
        <v>1262</v>
      </c>
      <c r="E975" s="383" t="s">
        <v>887</v>
      </c>
      <c r="F975" s="383" t="str">
        <f t="shared" si="46"/>
        <v>S200009FConoco Power Mark</v>
      </c>
      <c r="G975" s="496">
        <v>-4215266.88</v>
      </c>
      <c r="H975" s="496">
        <v>4215266.88</v>
      </c>
      <c r="I975" s="496">
        <f t="shared" si="47"/>
        <v>0</v>
      </c>
      <c r="J975" s="496" t="s">
        <v>869</v>
      </c>
    </row>
    <row r="976" spans="1:10" hidden="1" x14ac:dyDescent="0.25">
      <c r="A976" s="383">
        <f t="shared" si="45"/>
        <v>19</v>
      </c>
      <c r="B976" s="383" t="s">
        <v>265</v>
      </c>
      <c r="C976" s="497" t="s">
        <v>987</v>
      </c>
      <c r="D976" s="383" t="s">
        <v>1012</v>
      </c>
      <c r="E976" s="383" t="s">
        <v>887</v>
      </c>
      <c r="F976" s="383" t="str">
        <f t="shared" si="46"/>
        <v>S200009FConstellation Pow</v>
      </c>
      <c r="G976" s="496">
        <v>-177348666.48000002</v>
      </c>
      <c r="H976" s="496">
        <v>177348666.48000002</v>
      </c>
      <c r="I976" s="496">
        <f t="shared" si="47"/>
        <v>0</v>
      </c>
      <c r="J976" s="496" t="s">
        <v>869</v>
      </c>
    </row>
    <row r="977" spans="1:10" hidden="1" x14ac:dyDescent="0.25">
      <c r="A977" s="383">
        <f t="shared" si="45"/>
        <v>20</v>
      </c>
      <c r="B977" s="383" t="s">
        <v>265</v>
      </c>
      <c r="C977" s="497" t="s">
        <v>987</v>
      </c>
      <c r="D977" s="383" t="s">
        <v>1112</v>
      </c>
      <c r="E977" s="383" t="s">
        <v>887</v>
      </c>
      <c r="F977" s="383" t="str">
        <f t="shared" si="46"/>
        <v xml:space="preserve">S200009FDayton Power and </v>
      </c>
      <c r="G977" s="496">
        <v>-237666</v>
      </c>
      <c r="H977" s="496">
        <v>237666</v>
      </c>
      <c r="I977" s="496">
        <f t="shared" si="47"/>
        <v>0</v>
      </c>
      <c r="J977" s="496" t="s">
        <v>869</v>
      </c>
    </row>
    <row r="978" spans="1:10" hidden="1" x14ac:dyDescent="0.25">
      <c r="A978" s="383">
        <f t="shared" si="45"/>
        <v>18</v>
      </c>
      <c r="B978" s="383" t="s">
        <v>265</v>
      </c>
      <c r="C978" s="497" t="s">
        <v>987</v>
      </c>
      <c r="D978" s="383" t="s">
        <v>1291</v>
      </c>
      <c r="E978" s="383" t="s">
        <v>887</v>
      </c>
      <c r="F978" s="383" t="str">
        <f t="shared" si="46"/>
        <v>S200009FDelano Energy Com</v>
      </c>
      <c r="G978" s="496">
        <v>0</v>
      </c>
      <c r="H978" s="496"/>
      <c r="I978" s="496">
        <f t="shared" si="47"/>
        <v>0</v>
      </c>
      <c r="J978" s="496" t="s">
        <v>869</v>
      </c>
    </row>
    <row r="979" spans="1:10" hidden="1" x14ac:dyDescent="0.25">
      <c r="A979" s="383">
        <f t="shared" si="45"/>
        <v>19</v>
      </c>
      <c r="B979" s="383" t="s">
        <v>265</v>
      </c>
      <c r="C979" s="497" t="s">
        <v>987</v>
      </c>
      <c r="D979" s="383" t="s">
        <v>1114</v>
      </c>
      <c r="E979" s="383" t="s">
        <v>887</v>
      </c>
      <c r="F979" s="383" t="str">
        <f t="shared" si="46"/>
        <v>S200009FDTE Energy Tradin</v>
      </c>
      <c r="G979" s="496">
        <v>-7034800</v>
      </c>
      <c r="H979" s="496">
        <v>7034800</v>
      </c>
      <c r="I979" s="496">
        <f t="shared" si="47"/>
        <v>0</v>
      </c>
      <c r="J979" s="496" t="s">
        <v>869</v>
      </c>
    </row>
    <row r="980" spans="1:10" hidden="1" x14ac:dyDescent="0.25">
      <c r="A980" s="383">
        <f t="shared" si="45"/>
        <v>19</v>
      </c>
      <c r="B980" s="383" t="s">
        <v>265</v>
      </c>
      <c r="C980" s="497" t="s">
        <v>987</v>
      </c>
      <c r="D980" s="383" t="s">
        <v>1017</v>
      </c>
      <c r="E980" s="383" t="s">
        <v>887</v>
      </c>
      <c r="F980" s="383" t="str">
        <f t="shared" si="46"/>
        <v>S200009FDuke Energy Tradi</v>
      </c>
      <c r="G980" s="496">
        <v>-275275200</v>
      </c>
      <c r="H980" s="496">
        <v>275275200</v>
      </c>
      <c r="I980" s="496">
        <f t="shared" si="47"/>
        <v>0</v>
      </c>
      <c r="J980" s="496" t="s">
        <v>869</v>
      </c>
    </row>
    <row r="981" spans="1:10" hidden="1" x14ac:dyDescent="0.25">
      <c r="A981" s="383">
        <f t="shared" si="45"/>
        <v>20</v>
      </c>
      <c r="B981" s="383" t="s">
        <v>265</v>
      </c>
      <c r="C981" s="497" t="s">
        <v>987</v>
      </c>
      <c r="D981" s="383" t="s">
        <v>1115</v>
      </c>
      <c r="E981" s="383" t="s">
        <v>887</v>
      </c>
      <c r="F981" s="383" t="str">
        <f t="shared" si="46"/>
        <v>S200009FDuke Power, a div</v>
      </c>
      <c r="G981" s="496">
        <v>-6510</v>
      </c>
      <c r="H981" s="496">
        <v>6510</v>
      </c>
      <c r="I981" s="496">
        <f t="shared" si="47"/>
        <v>0</v>
      </c>
      <c r="J981" s="496" t="s">
        <v>869</v>
      </c>
    </row>
    <row r="982" spans="1:10" hidden="1" x14ac:dyDescent="0.25">
      <c r="A982" s="383">
        <f t="shared" si="45"/>
        <v>20</v>
      </c>
      <c r="B982" s="383" t="s">
        <v>265</v>
      </c>
      <c r="C982" s="497" t="s">
        <v>987</v>
      </c>
      <c r="D982" s="383" t="s">
        <v>893</v>
      </c>
      <c r="E982" s="383" t="s">
        <v>887</v>
      </c>
      <c r="F982" s="383" t="str">
        <f t="shared" si="46"/>
        <v>S200009FDynegy Power Mark</v>
      </c>
      <c r="G982" s="496">
        <v>-63402448.020000003</v>
      </c>
      <c r="H982" s="496">
        <v>63402448.020000003</v>
      </c>
      <c r="I982" s="496">
        <f t="shared" si="47"/>
        <v>0</v>
      </c>
      <c r="J982" s="496" t="s">
        <v>869</v>
      </c>
    </row>
    <row r="983" spans="1:10" hidden="1" x14ac:dyDescent="0.25">
      <c r="A983" s="383">
        <f t="shared" si="45"/>
        <v>20</v>
      </c>
      <c r="B983" s="383" t="s">
        <v>265</v>
      </c>
      <c r="C983" s="497" t="s">
        <v>987</v>
      </c>
      <c r="D983" s="383" t="s">
        <v>975</v>
      </c>
      <c r="E983" s="383" t="s">
        <v>887</v>
      </c>
      <c r="F983" s="383" t="str">
        <f t="shared" si="46"/>
        <v>S200009FEdison Mission Ma</v>
      </c>
      <c r="G983" s="496">
        <v>-158234564.25999999</v>
      </c>
      <c r="H983" s="496">
        <v>158234564.25999999</v>
      </c>
      <c r="I983" s="496">
        <f t="shared" si="47"/>
        <v>0</v>
      </c>
      <c r="J983" s="496" t="s">
        <v>869</v>
      </c>
    </row>
    <row r="984" spans="1:10" hidden="1" x14ac:dyDescent="0.25">
      <c r="A984" s="383">
        <f t="shared" si="45"/>
        <v>20</v>
      </c>
      <c r="B984" s="383" t="s">
        <v>265</v>
      </c>
      <c r="C984" s="497" t="s">
        <v>987</v>
      </c>
      <c r="D984" s="383" t="s">
        <v>1116</v>
      </c>
      <c r="E984" s="383" t="s">
        <v>887</v>
      </c>
      <c r="F984" s="383" t="str">
        <f t="shared" si="46"/>
        <v xml:space="preserve">S200009FEl Paso Merchant </v>
      </c>
      <c r="G984" s="496">
        <v>-220251112</v>
      </c>
      <c r="H984" s="496">
        <v>220251112</v>
      </c>
      <c r="I984" s="496">
        <f t="shared" si="47"/>
        <v>0</v>
      </c>
      <c r="J984" s="496" t="s">
        <v>869</v>
      </c>
    </row>
    <row r="985" spans="1:10" hidden="1" x14ac:dyDescent="0.25">
      <c r="A985" s="383">
        <f t="shared" si="45"/>
        <v>20</v>
      </c>
      <c r="B985" s="383" t="s">
        <v>265</v>
      </c>
      <c r="C985" s="497" t="s">
        <v>987</v>
      </c>
      <c r="D985" s="383" t="s">
        <v>23</v>
      </c>
      <c r="E985" s="383" t="s">
        <v>887</v>
      </c>
      <c r="F985" s="383" t="str">
        <f t="shared" si="46"/>
        <v xml:space="preserve">S200009FEmerald People's </v>
      </c>
      <c r="G985" s="496">
        <v>-112428</v>
      </c>
      <c r="H985" s="496">
        <v>112428</v>
      </c>
      <c r="I985" s="496">
        <f t="shared" si="47"/>
        <v>0</v>
      </c>
      <c r="J985" s="496" t="s">
        <v>869</v>
      </c>
    </row>
    <row r="986" spans="1:10" hidden="1" x14ac:dyDescent="0.25">
      <c r="A986" s="383">
        <f t="shared" si="45"/>
        <v>19</v>
      </c>
      <c r="B986" s="383" t="s">
        <v>265</v>
      </c>
      <c r="C986" s="497" t="s">
        <v>987</v>
      </c>
      <c r="D986" s="383" t="s">
        <v>24</v>
      </c>
      <c r="E986" s="383" t="s">
        <v>887</v>
      </c>
      <c r="F986" s="383" t="str">
        <f t="shared" si="46"/>
        <v>S200009FEnergy New Englan</v>
      </c>
      <c r="G986" s="496">
        <v>-58200</v>
      </c>
      <c r="H986" s="496">
        <v>58200</v>
      </c>
      <c r="I986" s="496">
        <f t="shared" si="47"/>
        <v>0</v>
      </c>
      <c r="J986" s="496" t="s">
        <v>869</v>
      </c>
    </row>
    <row r="987" spans="1:10" hidden="1" x14ac:dyDescent="0.25">
      <c r="A987" s="383">
        <f t="shared" si="45"/>
        <v>20</v>
      </c>
      <c r="B987" s="383" t="s">
        <v>265</v>
      </c>
      <c r="C987" s="497" t="s">
        <v>987</v>
      </c>
      <c r="D987" s="383" t="s">
        <v>1117</v>
      </c>
      <c r="E987" s="383" t="s">
        <v>887</v>
      </c>
      <c r="F987" s="383" t="str">
        <f t="shared" si="46"/>
        <v>S200009FEntergy Power Mar</v>
      </c>
      <c r="G987" s="496">
        <v>-7826527</v>
      </c>
      <c r="H987" s="496">
        <v>7826527</v>
      </c>
      <c r="I987" s="496">
        <f t="shared" si="47"/>
        <v>0</v>
      </c>
      <c r="J987" s="496" t="s">
        <v>869</v>
      </c>
    </row>
    <row r="988" spans="1:10" hidden="1" x14ac:dyDescent="0.25">
      <c r="A988" s="383">
        <f t="shared" si="45"/>
        <v>20</v>
      </c>
      <c r="B988" s="383" t="s">
        <v>265</v>
      </c>
      <c r="C988" s="497" t="s">
        <v>987</v>
      </c>
      <c r="D988" s="383" t="s">
        <v>1118</v>
      </c>
      <c r="E988" s="383" t="s">
        <v>887</v>
      </c>
      <c r="F988" s="383" t="str">
        <f t="shared" si="46"/>
        <v>S200009FEugene Water &amp; El</v>
      </c>
      <c r="G988" s="496">
        <v>-576000</v>
      </c>
      <c r="H988" s="496">
        <v>576000</v>
      </c>
      <c r="I988" s="496">
        <f t="shared" si="47"/>
        <v>0</v>
      </c>
      <c r="J988" s="496" t="s">
        <v>869</v>
      </c>
    </row>
    <row r="989" spans="1:10" hidden="1" x14ac:dyDescent="0.25">
      <c r="A989" s="383">
        <f t="shared" si="45"/>
        <v>20</v>
      </c>
      <c r="B989" s="383" t="s">
        <v>265</v>
      </c>
      <c r="C989" s="497" t="s">
        <v>987</v>
      </c>
      <c r="D989" s="383" t="s">
        <v>1119</v>
      </c>
      <c r="E989" s="383" t="s">
        <v>887</v>
      </c>
      <c r="F989" s="383" t="str">
        <f t="shared" si="46"/>
        <v>S200009FFlorida Power &amp; L</v>
      </c>
      <c r="G989" s="496">
        <v>-28587</v>
      </c>
      <c r="H989" s="496">
        <v>28587</v>
      </c>
      <c r="I989" s="496">
        <f t="shared" si="47"/>
        <v>0</v>
      </c>
      <c r="J989" s="496" t="s">
        <v>869</v>
      </c>
    </row>
    <row r="990" spans="1:10" hidden="1" x14ac:dyDescent="0.25">
      <c r="A990" s="383">
        <f t="shared" si="45"/>
        <v>20</v>
      </c>
      <c r="B990" s="383" t="s">
        <v>265</v>
      </c>
      <c r="C990" s="497" t="s">
        <v>987</v>
      </c>
      <c r="D990" s="383" t="s">
        <v>1120</v>
      </c>
      <c r="E990" s="383" t="s">
        <v>887</v>
      </c>
      <c r="F990" s="383" t="str">
        <f t="shared" si="46"/>
        <v>S200009FFlorida Power Cor</v>
      </c>
      <c r="G990" s="496">
        <v>-1314802</v>
      </c>
      <c r="H990" s="496">
        <v>1314802</v>
      </c>
      <c r="I990" s="496">
        <f t="shared" si="47"/>
        <v>0</v>
      </c>
      <c r="J990" s="496" t="s">
        <v>869</v>
      </c>
    </row>
    <row r="991" spans="1:10" hidden="1" x14ac:dyDescent="0.25">
      <c r="A991" s="383">
        <f t="shared" si="45"/>
        <v>20</v>
      </c>
      <c r="B991" s="383" t="s">
        <v>265</v>
      </c>
      <c r="C991" s="497" t="s">
        <v>987</v>
      </c>
      <c r="D991" s="383" t="s">
        <v>1121</v>
      </c>
      <c r="E991" s="383" t="s">
        <v>887</v>
      </c>
      <c r="F991" s="383" t="str">
        <f t="shared" si="46"/>
        <v xml:space="preserve">S200009FFPL Energy Power </v>
      </c>
      <c r="G991" s="496">
        <v>-70400</v>
      </c>
      <c r="H991" s="496">
        <v>70400</v>
      </c>
      <c r="I991" s="496">
        <f t="shared" si="47"/>
        <v>0</v>
      </c>
      <c r="J991" s="496" t="s">
        <v>869</v>
      </c>
    </row>
    <row r="992" spans="1:10" hidden="1" x14ac:dyDescent="0.25">
      <c r="A992" s="383">
        <f t="shared" si="45"/>
        <v>18</v>
      </c>
      <c r="B992" s="383" t="s">
        <v>265</v>
      </c>
      <c r="C992" s="497" t="s">
        <v>987</v>
      </c>
      <c r="D992" s="383" t="s">
        <v>1272</v>
      </c>
      <c r="E992" s="383" t="s">
        <v>887</v>
      </c>
      <c r="F992" s="383" t="str">
        <f t="shared" si="46"/>
        <v>S200009FGreat River Energ</v>
      </c>
      <c r="G992" s="496">
        <v>-1823888</v>
      </c>
      <c r="H992" s="496"/>
      <c r="I992" s="496">
        <f t="shared" si="47"/>
        <v>-1823888</v>
      </c>
      <c r="J992" s="496" t="s">
        <v>890</v>
      </c>
    </row>
    <row r="993" spans="1:10" hidden="1" x14ac:dyDescent="0.25">
      <c r="A993" s="383">
        <f t="shared" si="45"/>
        <v>19</v>
      </c>
      <c r="B993" s="383" t="s">
        <v>265</v>
      </c>
      <c r="C993" s="497" t="s">
        <v>987</v>
      </c>
      <c r="D993" s="383" t="s">
        <v>646</v>
      </c>
      <c r="E993" s="383" t="s">
        <v>887</v>
      </c>
      <c r="F993" s="383" t="str">
        <f t="shared" si="46"/>
        <v>S200009FHarbor Cogenerati</v>
      </c>
      <c r="G993" s="496">
        <v>-1859931.5</v>
      </c>
      <c r="H993" s="496">
        <v>1859931.5</v>
      </c>
      <c r="I993" s="496">
        <f t="shared" si="47"/>
        <v>0</v>
      </c>
      <c r="J993" s="496" t="s">
        <v>869</v>
      </c>
    </row>
    <row r="994" spans="1:10" hidden="1" x14ac:dyDescent="0.25">
      <c r="A994" s="383">
        <f t="shared" si="45"/>
        <v>20</v>
      </c>
      <c r="B994" s="383" t="s">
        <v>265</v>
      </c>
      <c r="C994" s="497" t="s">
        <v>987</v>
      </c>
      <c r="D994" s="383" t="s">
        <v>1124</v>
      </c>
      <c r="E994" s="383" t="s">
        <v>887</v>
      </c>
      <c r="F994" s="383" t="str">
        <f t="shared" si="46"/>
        <v>S200009FHQ Energy Service</v>
      </c>
      <c r="G994" s="496">
        <v>-8256600</v>
      </c>
      <c r="H994" s="496">
        <v>8256600</v>
      </c>
      <c r="I994" s="496">
        <f t="shared" si="47"/>
        <v>0</v>
      </c>
      <c r="J994" s="496" t="s">
        <v>869</v>
      </c>
    </row>
    <row r="995" spans="1:10" hidden="1" x14ac:dyDescent="0.25">
      <c r="A995" s="383">
        <f t="shared" si="45"/>
        <v>20</v>
      </c>
      <c r="B995" s="383" t="s">
        <v>265</v>
      </c>
      <c r="C995" s="497" t="s">
        <v>987</v>
      </c>
      <c r="D995" s="383" t="s">
        <v>25</v>
      </c>
      <c r="E995" s="383" t="s">
        <v>887</v>
      </c>
      <c r="F995" s="383" t="str">
        <f t="shared" si="46"/>
        <v>S200009FIllinova Energy P</v>
      </c>
      <c r="G995" s="496">
        <v>-546000</v>
      </c>
      <c r="H995" s="496">
        <v>546000</v>
      </c>
      <c r="I995" s="496">
        <f t="shared" si="47"/>
        <v>0</v>
      </c>
      <c r="J995" s="496" t="s">
        <v>869</v>
      </c>
    </row>
    <row r="996" spans="1:10" hidden="1" x14ac:dyDescent="0.25">
      <c r="A996" s="383">
        <f t="shared" si="45"/>
        <v>20</v>
      </c>
      <c r="B996" s="383" t="s">
        <v>265</v>
      </c>
      <c r="C996" s="497" t="s">
        <v>987</v>
      </c>
      <c r="D996" s="383" t="s">
        <v>1125</v>
      </c>
      <c r="E996" s="383" t="s">
        <v>887</v>
      </c>
      <c r="F996" s="383" t="str">
        <f t="shared" si="46"/>
        <v>S200009FIndiana Municipal</v>
      </c>
      <c r="G996" s="496">
        <v>-45200</v>
      </c>
      <c r="H996" s="496">
        <v>45200</v>
      </c>
      <c r="I996" s="496">
        <f t="shared" si="47"/>
        <v>0</v>
      </c>
      <c r="J996" s="496" t="s">
        <v>869</v>
      </c>
    </row>
    <row r="997" spans="1:10" hidden="1" x14ac:dyDescent="0.25">
      <c r="A997" s="383">
        <f t="shared" si="45"/>
        <v>20</v>
      </c>
      <c r="B997" s="383" t="s">
        <v>265</v>
      </c>
      <c r="C997" s="497" t="s">
        <v>987</v>
      </c>
      <c r="D997" s="383" t="s">
        <v>1126</v>
      </c>
      <c r="E997" s="383" t="s">
        <v>887</v>
      </c>
      <c r="F997" s="383" t="str">
        <f t="shared" si="46"/>
        <v>S200009FIndianapolis Powe</v>
      </c>
      <c r="G997" s="496">
        <v>-7650</v>
      </c>
      <c r="H997" s="496">
        <v>7650</v>
      </c>
      <c r="I997" s="496">
        <f t="shared" si="47"/>
        <v>0</v>
      </c>
      <c r="J997" s="496" t="s">
        <v>869</v>
      </c>
    </row>
    <row r="998" spans="1:10" hidden="1" x14ac:dyDescent="0.25">
      <c r="A998" s="383">
        <f t="shared" si="45"/>
        <v>20</v>
      </c>
      <c r="B998" s="383" t="s">
        <v>265</v>
      </c>
      <c r="C998" s="497" t="s">
        <v>987</v>
      </c>
      <c r="D998" s="383" t="s">
        <v>520</v>
      </c>
      <c r="E998" s="383" t="s">
        <v>887</v>
      </c>
      <c r="F998" s="383" t="str">
        <f t="shared" si="46"/>
        <v>S200009FISO New England I</v>
      </c>
      <c r="G998" s="496">
        <v>-55985712.659999996</v>
      </c>
      <c r="H998" s="496"/>
      <c r="I998" s="496">
        <f t="shared" si="47"/>
        <v>-55985712.659999996</v>
      </c>
      <c r="J998" s="499" t="s">
        <v>890</v>
      </c>
    </row>
    <row r="999" spans="1:10" hidden="1" x14ac:dyDescent="0.25">
      <c r="A999" s="383">
        <f t="shared" si="45"/>
        <v>20</v>
      </c>
      <c r="B999" s="383" t="s">
        <v>265</v>
      </c>
      <c r="C999" s="497" t="s">
        <v>987</v>
      </c>
      <c r="D999" s="383" t="s">
        <v>1127</v>
      </c>
      <c r="E999" s="383" t="s">
        <v>887</v>
      </c>
      <c r="F999" s="383" t="str">
        <f t="shared" si="46"/>
        <v>S200009FJacksonville Elec</v>
      </c>
      <c r="G999" s="496">
        <v>-1096447.82</v>
      </c>
      <c r="H999" s="496">
        <v>1096447.82</v>
      </c>
      <c r="I999" s="496">
        <f t="shared" si="47"/>
        <v>0</v>
      </c>
      <c r="J999" s="496" t="s">
        <v>869</v>
      </c>
    </row>
    <row r="1000" spans="1:10" hidden="1" x14ac:dyDescent="0.25">
      <c r="A1000" s="383">
        <f t="shared" si="45"/>
        <v>19</v>
      </c>
      <c r="B1000" s="383" t="s">
        <v>265</v>
      </c>
      <c r="C1000" s="497" t="s">
        <v>987</v>
      </c>
      <c r="D1000" s="383" t="s">
        <v>1036</v>
      </c>
      <c r="E1000" s="383" t="s">
        <v>887</v>
      </c>
      <c r="F1000" s="383" t="str">
        <f t="shared" si="46"/>
        <v>S200009FKansas City Power</v>
      </c>
      <c r="G1000" s="496">
        <v>-63280</v>
      </c>
      <c r="H1000" s="496">
        <v>63280</v>
      </c>
      <c r="I1000" s="496">
        <f t="shared" si="47"/>
        <v>0</v>
      </c>
      <c r="J1000" s="496" t="s">
        <v>869</v>
      </c>
    </row>
    <row r="1001" spans="1:10" hidden="1" x14ac:dyDescent="0.25">
      <c r="A1001" s="383">
        <f t="shared" si="45"/>
        <v>20</v>
      </c>
      <c r="B1001" s="383" t="s">
        <v>265</v>
      </c>
      <c r="C1001" s="497" t="s">
        <v>987</v>
      </c>
      <c r="D1001" s="383" t="s">
        <v>1128</v>
      </c>
      <c r="E1001" s="383" t="s">
        <v>887</v>
      </c>
      <c r="F1001" s="383" t="str">
        <f t="shared" si="46"/>
        <v>S200009FKoch Energy Tradi</v>
      </c>
      <c r="G1001" s="496">
        <v>-53444700</v>
      </c>
      <c r="H1001" s="496">
        <v>53444700</v>
      </c>
      <c r="I1001" s="496">
        <f t="shared" si="47"/>
        <v>0</v>
      </c>
      <c r="J1001" s="496" t="s">
        <v>869</v>
      </c>
    </row>
    <row r="1002" spans="1:10" hidden="1" x14ac:dyDescent="0.25">
      <c r="A1002" s="383">
        <f t="shared" si="45"/>
        <v>20</v>
      </c>
      <c r="B1002" s="383" t="s">
        <v>265</v>
      </c>
      <c r="C1002" s="497" t="s">
        <v>987</v>
      </c>
      <c r="D1002" s="383" t="s">
        <v>926</v>
      </c>
      <c r="E1002" s="383" t="s">
        <v>887</v>
      </c>
      <c r="F1002" s="383" t="str">
        <f t="shared" si="46"/>
        <v>S200009FLas Vegas Cogener</v>
      </c>
      <c r="G1002" s="496">
        <v>-172518.16</v>
      </c>
      <c r="H1002" s="496">
        <v>172518.16</v>
      </c>
      <c r="I1002" s="496">
        <f t="shared" si="47"/>
        <v>0</v>
      </c>
      <c r="J1002" s="496" t="s">
        <v>869</v>
      </c>
    </row>
    <row r="1003" spans="1:10" hidden="1" x14ac:dyDescent="0.25">
      <c r="A1003" s="383">
        <f t="shared" si="45"/>
        <v>20</v>
      </c>
      <c r="B1003" s="383" t="s">
        <v>265</v>
      </c>
      <c r="C1003" s="497" t="s">
        <v>987</v>
      </c>
      <c r="D1003" s="383" t="s">
        <v>1129</v>
      </c>
      <c r="E1003" s="383" t="s">
        <v>887</v>
      </c>
      <c r="F1003" s="383" t="str">
        <f t="shared" si="46"/>
        <v>S200009FLG&amp;E Energy Marke</v>
      </c>
      <c r="G1003" s="496">
        <v>-5321600</v>
      </c>
      <c r="H1003" s="496">
        <v>5321600</v>
      </c>
      <c r="I1003" s="496">
        <f t="shared" si="47"/>
        <v>0</v>
      </c>
      <c r="J1003" s="496" t="s">
        <v>869</v>
      </c>
    </row>
    <row r="1004" spans="1:10" hidden="1" x14ac:dyDescent="0.25">
      <c r="A1004" s="383">
        <f t="shared" si="45"/>
        <v>20</v>
      </c>
      <c r="B1004" s="383" t="s">
        <v>265</v>
      </c>
      <c r="C1004" s="497" t="s">
        <v>987</v>
      </c>
      <c r="D1004" s="383" t="s">
        <v>927</v>
      </c>
      <c r="E1004" s="383" t="s">
        <v>887</v>
      </c>
      <c r="F1004" s="383" t="str">
        <f t="shared" si="46"/>
        <v>S200009FLos Angeles Dept.</v>
      </c>
      <c r="G1004" s="496">
        <v>-1654373.85</v>
      </c>
      <c r="H1004" s="496">
        <v>1654373.85</v>
      </c>
      <c r="I1004" s="496">
        <f t="shared" si="47"/>
        <v>0</v>
      </c>
      <c r="J1004" s="496" t="s">
        <v>869</v>
      </c>
    </row>
    <row r="1005" spans="1:10" hidden="1" x14ac:dyDescent="0.25">
      <c r="A1005" s="383">
        <f t="shared" si="45"/>
        <v>20</v>
      </c>
      <c r="B1005" s="383" t="s">
        <v>265</v>
      </c>
      <c r="C1005" s="497" t="s">
        <v>987</v>
      </c>
      <c r="D1005" s="383" t="s">
        <v>26</v>
      </c>
      <c r="E1005" s="383" t="s">
        <v>887</v>
      </c>
      <c r="F1005" s="383" t="str">
        <f t="shared" si="46"/>
        <v>S200009FLouisiana-Pacific</v>
      </c>
      <c r="G1005" s="496">
        <v>-618214.80000000005</v>
      </c>
      <c r="H1005" s="496">
        <v>618214.80000000005</v>
      </c>
      <c r="I1005" s="496">
        <f t="shared" si="47"/>
        <v>0</v>
      </c>
      <c r="J1005" s="496" t="s">
        <v>869</v>
      </c>
    </row>
    <row r="1006" spans="1:10" hidden="1" x14ac:dyDescent="0.25">
      <c r="A1006" s="383">
        <f t="shared" si="45"/>
        <v>20</v>
      </c>
      <c r="B1006" s="383" t="s">
        <v>265</v>
      </c>
      <c r="C1006" s="497" t="s">
        <v>987</v>
      </c>
      <c r="D1006" s="383" t="s">
        <v>1130</v>
      </c>
      <c r="E1006" s="383" t="s">
        <v>887</v>
      </c>
      <c r="F1006" s="383" t="str">
        <f t="shared" si="46"/>
        <v>S200009FMerchant Energy G</v>
      </c>
      <c r="G1006" s="496">
        <v>-18760500</v>
      </c>
      <c r="H1006" s="496">
        <v>18760500</v>
      </c>
      <c r="I1006" s="496">
        <f t="shared" si="47"/>
        <v>0</v>
      </c>
      <c r="J1006" s="496" t="s">
        <v>869</v>
      </c>
    </row>
    <row r="1007" spans="1:10" hidden="1" x14ac:dyDescent="0.25">
      <c r="A1007" s="383">
        <f t="shared" si="45"/>
        <v>20</v>
      </c>
      <c r="B1007" s="383" t="s">
        <v>265</v>
      </c>
      <c r="C1007" s="497" t="s">
        <v>987</v>
      </c>
      <c r="D1007" s="383" t="s">
        <v>1131</v>
      </c>
      <c r="E1007" s="383" t="s">
        <v>887</v>
      </c>
      <c r="F1007" s="383" t="str">
        <f t="shared" si="46"/>
        <v>S200009FMerrill Lynch Cap</v>
      </c>
      <c r="G1007" s="496">
        <v>-52987900</v>
      </c>
      <c r="H1007" s="496">
        <v>52987900</v>
      </c>
      <c r="I1007" s="496">
        <f t="shared" si="47"/>
        <v>0</v>
      </c>
      <c r="J1007" s="496" t="s">
        <v>869</v>
      </c>
    </row>
    <row r="1008" spans="1:10" hidden="1" x14ac:dyDescent="0.25">
      <c r="A1008" s="383">
        <f t="shared" si="45"/>
        <v>20</v>
      </c>
      <c r="B1008" s="383" t="s">
        <v>265</v>
      </c>
      <c r="C1008" s="497" t="s">
        <v>987</v>
      </c>
      <c r="D1008" s="383" t="s">
        <v>977</v>
      </c>
      <c r="E1008" s="383" t="s">
        <v>887</v>
      </c>
      <c r="F1008" s="383" t="str">
        <f t="shared" si="46"/>
        <v>S200009FMichigan Electric</v>
      </c>
      <c r="G1008" s="496">
        <v>-1174273</v>
      </c>
      <c r="H1008" s="496">
        <v>1174273</v>
      </c>
      <c r="I1008" s="496">
        <f t="shared" si="47"/>
        <v>0</v>
      </c>
      <c r="J1008" s="496" t="s">
        <v>869</v>
      </c>
    </row>
    <row r="1009" spans="1:10" hidden="1" x14ac:dyDescent="0.25">
      <c r="A1009" s="383">
        <f t="shared" si="45"/>
        <v>20</v>
      </c>
      <c r="B1009" s="383" t="s">
        <v>265</v>
      </c>
      <c r="C1009" s="497" t="s">
        <v>987</v>
      </c>
      <c r="D1009" s="383" t="s">
        <v>1132</v>
      </c>
      <c r="E1009" s="383" t="s">
        <v>887</v>
      </c>
      <c r="F1009" s="383" t="str">
        <f t="shared" si="46"/>
        <v>S200009FMidAmerican Energ</v>
      </c>
      <c r="G1009" s="496">
        <v>-24835</v>
      </c>
      <c r="H1009" s="496">
        <v>24835</v>
      </c>
      <c r="I1009" s="496">
        <f t="shared" si="47"/>
        <v>0</v>
      </c>
      <c r="J1009" s="496" t="s">
        <v>869</v>
      </c>
    </row>
    <row r="1010" spans="1:10" hidden="1" x14ac:dyDescent="0.25">
      <c r="A1010" s="383">
        <f t="shared" si="45"/>
        <v>10</v>
      </c>
      <c r="B1010" s="383" t="s">
        <v>265</v>
      </c>
      <c r="C1010" s="497" t="s">
        <v>987</v>
      </c>
      <c r="D1010" s="383" t="s">
        <v>909</v>
      </c>
      <c r="E1010" s="383" t="s">
        <v>887</v>
      </c>
      <c r="F1010" s="383" t="str">
        <f t="shared" si="46"/>
        <v>S200009FMieco Inc.</v>
      </c>
      <c r="G1010" s="496">
        <v>-42660600</v>
      </c>
      <c r="H1010" s="496">
        <v>42660600</v>
      </c>
      <c r="I1010" s="496">
        <f t="shared" si="47"/>
        <v>0</v>
      </c>
      <c r="J1010" s="496" t="s">
        <v>869</v>
      </c>
    </row>
    <row r="1011" spans="1:10" hidden="1" x14ac:dyDescent="0.25">
      <c r="A1011" s="383">
        <f t="shared" si="45"/>
        <v>19</v>
      </c>
      <c r="B1011" s="383" t="s">
        <v>265</v>
      </c>
      <c r="C1011" s="497" t="s">
        <v>987</v>
      </c>
      <c r="D1011" s="383" t="s">
        <v>1044</v>
      </c>
      <c r="E1011" s="383" t="s">
        <v>887</v>
      </c>
      <c r="F1011" s="383" t="str">
        <f t="shared" si="46"/>
        <v>S200009FMinnesota Municip</v>
      </c>
      <c r="G1011" s="496">
        <v>-106955</v>
      </c>
      <c r="H1011" s="496">
        <v>106955</v>
      </c>
      <c r="I1011" s="496">
        <f t="shared" si="47"/>
        <v>0</v>
      </c>
      <c r="J1011" s="496" t="s">
        <v>869</v>
      </c>
    </row>
    <row r="1012" spans="1:10" hidden="1" x14ac:dyDescent="0.25">
      <c r="A1012" s="383">
        <f t="shared" si="45"/>
        <v>20</v>
      </c>
      <c r="B1012" s="383" t="s">
        <v>265</v>
      </c>
      <c r="C1012" s="497" t="s">
        <v>987</v>
      </c>
      <c r="D1012" s="383" t="s">
        <v>27</v>
      </c>
      <c r="E1012" s="383" t="s">
        <v>887</v>
      </c>
      <c r="F1012" s="383" t="str">
        <f t="shared" si="46"/>
        <v xml:space="preserve">S200009FMinnesota Power, </v>
      </c>
      <c r="G1012" s="496">
        <v>-84000</v>
      </c>
      <c r="H1012" s="496">
        <v>84000</v>
      </c>
      <c r="I1012" s="496">
        <f t="shared" si="47"/>
        <v>0</v>
      </c>
      <c r="J1012" s="496" t="s">
        <v>869</v>
      </c>
    </row>
    <row r="1013" spans="1:10" hidden="1" x14ac:dyDescent="0.25">
      <c r="A1013" s="383">
        <f t="shared" si="45"/>
        <v>20</v>
      </c>
      <c r="B1013" s="383" t="s">
        <v>265</v>
      </c>
      <c r="C1013" s="497" t="s">
        <v>987</v>
      </c>
      <c r="D1013" s="383" t="s">
        <v>28</v>
      </c>
      <c r="E1013" s="383" t="s">
        <v>887</v>
      </c>
      <c r="F1013" s="383" t="str">
        <f t="shared" si="46"/>
        <v>S200009FMissoula Electric</v>
      </c>
      <c r="G1013" s="496">
        <v>-3168</v>
      </c>
      <c r="H1013" s="496">
        <v>3168</v>
      </c>
      <c r="I1013" s="496">
        <f t="shared" si="47"/>
        <v>0</v>
      </c>
      <c r="J1013" s="496" t="s">
        <v>869</v>
      </c>
    </row>
    <row r="1014" spans="1:10" hidden="1" x14ac:dyDescent="0.25">
      <c r="A1014" s="383">
        <f t="shared" si="45"/>
        <v>18</v>
      </c>
      <c r="B1014" s="383" t="s">
        <v>265</v>
      </c>
      <c r="C1014" s="497" t="s">
        <v>987</v>
      </c>
      <c r="D1014" s="383" t="s">
        <v>29</v>
      </c>
      <c r="E1014" s="383" t="s">
        <v>887</v>
      </c>
      <c r="F1014" s="383" t="str">
        <f t="shared" si="46"/>
        <v>S200009FMissouri Joint Mu</v>
      </c>
      <c r="G1014" s="496">
        <v>0</v>
      </c>
      <c r="H1014" s="496"/>
      <c r="I1014" s="496">
        <f t="shared" si="47"/>
        <v>0</v>
      </c>
      <c r="J1014" s="496" t="s">
        <v>869</v>
      </c>
    </row>
    <row r="1015" spans="1:10" hidden="1" x14ac:dyDescent="0.25">
      <c r="A1015" s="383">
        <f t="shared" si="45"/>
        <v>20</v>
      </c>
      <c r="B1015" s="383" t="s">
        <v>265</v>
      </c>
      <c r="C1015" s="497" t="s">
        <v>987</v>
      </c>
      <c r="D1015" s="383" t="s">
        <v>1133</v>
      </c>
      <c r="E1015" s="383" t="s">
        <v>887</v>
      </c>
      <c r="F1015" s="383" t="str">
        <f t="shared" si="46"/>
        <v>S200009FMontana Power Com</v>
      </c>
      <c r="G1015" s="496">
        <v>-2620</v>
      </c>
      <c r="H1015" s="496">
        <v>2620</v>
      </c>
      <c r="I1015" s="496">
        <f t="shared" si="47"/>
        <v>0</v>
      </c>
      <c r="J1015" s="496" t="s">
        <v>869</v>
      </c>
    </row>
    <row r="1016" spans="1:10" hidden="1" x14ac:dyDescent="0.25">
      <c r="A1016" s="383">
        <f t="shared" si="45"/>
        <v>20</v>
      </c>
      <c r="B1016" s="383" t="s">
        <v>265</v>
      </c>
      <c r="C1016" s="497" t="s">
        <v>987</v>
      </c>
      <c r="D1016" s="383" t="s">
        <v>1134</v>
      </c>
      <c r="E1016" s="383" t="s">
        <v>887</v>
      </c>
      <c r="F1016" s="383" t="str">
        <f t="shared" si="46"/>
        <v>S200009FMorgan Stanley Ca</v>
      </c>
      <c r="G1016" s="496">
        <v>-14067850</v>
      </c>
      <c r="H1016" s="496">
        <v>14067850</v>
      </c>
      <c r="I1016" s="496">
        <f t="shared" si="47"/>
        <v>0</v>
      </c>
      <c r="J1016" s="496" t="s">
        <v>869</v>
      </c>
    </row>
    <row r="1017" spans="1:10" hidden="1" x14ac:dyDescent="0.25">
      <c r="A1017" s="383">
        <f t="shared" si="45"/>
        <v>20</v>
      </c>
      <c r="B1017" s="383" t="s">
        <v>265</v>
      </c>
      <c r="C1017" s="497" t="s">
        <v>987</v>
      </c>
      <c r="D1017" s="383" t="s">
        <v>979</v>
      </c>
      <c r="E1017" s="383" t="s">
        <v>887</v>
      </c>
      <c r="F1017" s="383" t="str">
        <f t="shared" si="46"/>
        <v>S200009FNevada Power Comp</v>
      </c>
      <c r="G1017" s="496">
        <v>-10169500</v>
      </c>
      <c r="H1017" s="496">
        <v>10169500</v>
      </c>
      <c r="I1017" s="496">
        <f t="shared" si="47"/>
        <v>0</v>
      </c>
      <c r="J1017" s="496" t="s">
        <v>869</v>
      </c>
    </row>
    <row r="1018" spans="1:10" hidden="1" x14ac:dyDescent="0.25">
      <c r="A1018" s="383">
        <f t="shared" si="45"/>
        <v>22</v>
      </c>
      <c r="B1018" s="487" t="s">
        <v>265</v>
      </c>
      <c r="C1018" s="498" t="s">
        <v>987</v>
      </c>
      <c r="D1018" s="487" t="s">
        <v>884</v>
      </c>
      <c r="E1018" s="487" t="s">
        <v>887</v>
      </c>
      <c r="F1018" s="487" t="str">
        <f t="shared" si="46"/>
        <v>S200009FNew England Power</v>
      </c>
      <c r="G1018" s="499"/>
      <c r="H1018" s="499">
        <f>VLOOKUP(F1018,[2]Pivot!$R$20:$S$1359,2,FALSE)</f>
        <v>55985712.659999996</v>
      </c>
      <c r="I1018" s="499">
        <f t="shared" si="47"/>
        <v>55985712.659999996</v>
      </c>
      <c r="J1018" s="499" t="s">
        <v>890</v>
      </c>
    </row>
    <row r="1019" spans="1:10" hidden="1" x14ac:dyDescent="0.25">
      <c r="A1019" s="383">
        <f t="shared" si="45"/>
        <v>19</v>
      </c>
      <c r="B1019" s="383" t="s">
        <v>265</v>
      </c>
      <c r="C1019" s="497" t="s">
        <v>987</v>
      </c>
      <c r="D1019" s="383" t="s">
        <v>1048</v>
      </c>
      <c r="E1019" s="383" t="s">
        <v>887</v>
      </c>
      <c r="F1019" s="383" t="str">
        <f t="shared" si="46"/>
        <v>S200009FNortheast Utiliti</v>
      </c>
      <c r="G1019" s="496">
        <v>-1460440</v>
      </c>
      <c r="H1019" s="496">
        <v>1460440</v>
      </c>
      <c r="I1019" s="496">
        <f t="shared" si="47"/>
        <v>0</v>
      </c>
      <c r="J1019" s="496" t="s">
        <v>869</v>
      </c>
    </row>
    <row r="1020" spans="1:10" hidden="1" x14ac:dyDescent="0.25">
      <c r="A1020" s="383">
        <f t="shared" si="45"/>
        <v>20</v>
      </c>
      <c r="B1020" s="383" t="s">
        <v>265</v>
      </c>
      <c r="C1020" s="497" t="s">
        <v>987</v>
      </c>
      <c r="D1020" s="383" t="s">
        <v>1136</v>
      </c>
      <c r="E1020" s="383" t="s">
        <v>887</v>
      </c>
      <c r="F1020" s="383" t="str">
        <f t="shared" si="46"/>
        <v>S200009FNorthern States P</v>
      </c>
      <c r="G1020" s="496">
        <v>-1581854</v>
      </c>
      <c r="H1020" s="496">
        <v>1581854</v>
      </c>
      <c r="I1020" s="496">
        <f t="shared" si="47"/>
        <v>0</v>
      </c>
      <c r="J1020" s="496" t="s">
        <v>869</v>
      </c>
    </row>
    <row r="1021" spans="1:10" hidden="1" x14ac:dyDescent="0.25">
      <c r="A1021" s="383">
        <f t="shared" si="45"/>
        <v>19</v>
      </c>
      <c r="B1021" s="383" t="s">
        <v>265</v>
      </c>
      <c r="C1021" s="497" t="s">
        <v>987</v>
      </c>
      <c r="D1021" s="383" t="s">
        <v>980</v>
      </c>
      <c r="E1021" s="383" t="s">
        <v>887</v>
      </c>
      <c r="F1021" s="383" t="str">
        <f t="shared" si="46"/>
        <v>S200009FNRG Power Marketi</v>
      </c>
      <c r="G1021" s="496">
        <v>-2083400</v>
      </c>
      <c r="H1021" s="496">
        <v>2083400</v>
      </c>
      <c r="I1021" s="496">
        <f t="shared" si="47"/>
        <v>0</v>
      </c>
      <c r="J1021" s="496" t="s">
        <v>869</v>
      </c>
    </row>
    <row r="1022" spans="1:10" hidden="1" x14ac:dyDescent="0.25">
      <c r="A1022" s="383">
        <f t="shared" si="45"/>
        <v>15</v>
      </c>
      <c r="B1022" s="383" t="s">
        <v>265</v>
      </c>
      <c r="C1022" s="497" t="s">
        <v>987</v>
      </c>
      <c r="D1022" s="383" t="s">
        <v>952</v>
      </c>
      <c r="E1022" s="383" t="s">
        <v>887</v>
      </c>
      <c r="F1022" s="383" t="str">
        <f t="shared" si="46"/>
        <v>S200009FNSTAR Companies</v>
      </c>
      <c r="G1022" s="496">
        <v>-15160414.93</v>
      </c>
      <c r="H1022" s="496">
        <v>15160414.93</v>
      </c>
      <c r="I1022" s="496">
        <f t="shared" si="47"/>
        <v>0</v>
      </c>
      <c r="J1022" s="496" t="s">
        <v>869</v>
      </c>
    </row>
    <row r="1023" spans="1:10" hidden="1" x14ac:dyDescent="0.25">
      <c r="A1023" s="383">
        <f t="shared" si="45"/>
        <v>20</v>
      </c>
      <c r="B1023" s="383" t="s">
        <v>265</v>
      </c>
      <c r="C1023" s="497" t="s">
        <v>987</v>
      </c>
      <c r="D1023" s="383" t="s">
        <v>1137</v>
      </c>
      <c r="E1023" s="383" t="s">
        <v>887</v>
      </c>
      <c r="F1023" s="383" t="str">
        <f t="shared" si="46"/>
        <v>S200009FOGE Energy Resour</v>
      </c>
      <c r="G1023" s="496">
        <v>-5072000</v>
      </c>
      <c r="H1023" s="496">
        <v>5072000</v>
      </c>
      <c r="I1023" s="496">
        <f t="shared" si="47"/>
        <v>0</v>
      </c>
      <c r="J1023" s="496" t="s">
        <v>869</v>
      </c>
    </row>
    <row r="1024" spans="1:10" hidden="1" x14ac:dyDescent="0.25">
      <c r="A1024" s="383">
        <f t="shared" si="45"/>
        <v>20</v>
      </c>
      <c r="B1024" s="383" t="s">
        <v>265</v>
      </c>
      <c r="C1024" s="497" t="s">
        <v>987</v>
      </c>
      <c r="D1024" s="383" t="s">
        <v>982</v>
      </c>
      <c r="E1024" s="383" t="s">
        <v>887</v>
      </c>
      <c r="F1024" s="383" t="str">
        <f t="shared" si="46"/>
        <v xml:space="preserve">S200009FOtter Tail Power </v>
      </c>
      <c r="G1024" s="496">
        <v>-145205</v>
      </c>
      <c r="H1024" s="496">
        <v>145205</v>
      </c>
      <c r="I1024" s="496">
        <f t="shared" si="47"/>
        <v>0</v>
      </c>
      <c r="J1024" s="496" t="s">
        <v>869</v>
      </c>
    </row>
    <row r="1025" spans="1:10" hidden="1" x14ac:dyDescent="0.25">
      <c r="A1025" s="383">
        <f t="shared" si="45"/>
        <v>20</v>
      </c>
      <c r="B1025" s="383" t="s">
        <v>265</v>
      </c>
      <c r="C1025" s="497" t="s">
        <v>987</v>
      </c>
      <c r="D1025" s="383" t="s">
        <v>30</v>
      </c>
      <c r="E1025" s="383" t="s">
        <v>887</v>
      </c>
      <c r="F1025" s="383" t="str">
        <f t="shared" si="46"/>
        <v>S200009FPacific Northwest</v>
      </c>
      <c r="G1025" s="496">
        <v>-1355400</v>
      </c>
      <c r="H1025" s="496">
        <v>1355400</v>
      </c>
      <c r="I1025" s="496">
        <f t="shared" si="47"/>
        <v>0</v>
      </c>
      <c r="J1025" s="496" t="s">
        <v>869</v>
      </c>
    </row>
    <row r="1026" spans="1:10" hidden="1" x14ac:dyDescent="0.25">
      <c r="A1026" s="383">
        <f t="shared" si="45"/>
        <v>20</v>
      </c>
      <c r="B1026" s="383" t="s">
        <v>265</v>
      </c>
      <c r="C1026" s="497" t="s">
        <v>987</v>
      </c>
      <c r="D1026" s="383" t="s">
        <v>1138</v>
      </c>
      <c r="E1026" s="383" t="s">
        <v>887</v>
      </c>
      <c r="F1026" s="383" t="str">
        <f t="shared" si="46"/>
        <v xml:space="preserve">S200009FPacifiCorp Power </v>
      </c>
      <c r="G1026" s="496">
        <v>-11458000</v>
      </c>
      <c r="H1026" s="496">
        <v>11458000</v>
      </c>
      <c r="I1026" s="496">
        <f t="shared" si="47"/>
        <v>0</v>
      </c>
      <c r="J1026" s="496" t="s">
        <v>869</v>
      </c>
    </row>
    <row r="1027" spans="1:10" hidden="1" x14ac:dyDescent="0.25">
      <c r="A1027" s="383">
        <f t="shared" si="45"/>
        <v>19</v>
      </c>
      <c r="B1027" s="383" t="s">
        <v>265</v>
      </c>
      <c r="C1027" s="497" t="s">
        <v>987</v>
      </c>
      <c r="D1027" s="383" t="s">
        <v>945</v>
      </c>
      <c r="E1027" s="383" t="s">
        <v>887</v>
      </c>
      <c r="F1027" s="383" t="str">
        <f t="shared" si="46"/>
        <v>S200009FPG&amp;E Energy Tradi</v>
      </c>
      <c r="G1027" s="496">
        <v>-89111174.340000004</v>
      </c>
      <c r="H1027" s="496">
        <v>89111174.339999989</v>
      </c>
      <c r="I1027" s="496">
        <f t="shared" si="47"/>
        <v>0</v>
      </c>
      <c r="J1027" s="496" t="s">
        <v>869</v>
      </c>
    </row>
    <row r="1028" spans="1:10" hidden="1" x14ac:dyDescent="0.25">
      <c r="A1028" s="383">
        <f t="shared" ref="A1028:A1091" si="48">LEN(D1028)</f>
        <v>13</v>
      </c>
      <c r="B1028" s="383" t="s">
        <v>265</v>
      </c>
      <c r="C1028" s="497" t="s">
        <v>987</v>
      </c>
      <c r="D1028" s="383" t="s">
        <v>902</v>
      </c>
      <c r="E1028" s="383" t="s">
        <v>887</v>
      </c>
      <c r="F1028" s="383" t="str">
        <f t="shared" ref="F1028:F1091" si="49">+B1028&amp;C1028&amp;E1028&amp;LEFT(D1028,17)</f>
        <v>S200009FPowerex Corp.</v>
      </c>
      <c r="G1028" s="496">
        <v>-25856671.77</v>
      </c>
      <c r="H1028" s="496">
        <v>25856671.77</v>
      </c>
      <c r="I1028" s="496">
        <f t="shared" ref="I1028:I1091" si="50">ROUND(+G1028+H1028,2)</f>
        <v>0</v>
      </c>
      <c r="J1028" s="496" t="s">
        <v>869</v>
      </c>
    </row>
    <row r="1029" spans="1:10" hidden="1" x14ac:dyDescent="0.25">
      <c r="A1029" s="383">
        <f t="shared" si="48"/>
        <v>19</v>
      </c>
      <c r="B1029" s="383" t="s">
        <v>265</v>
      </c>
      <c r="C1029" s="497" t="s">
        <v>987</v>
      </c>
      <c r="D1029" s="383" t="s">
        <v>1056</v>
      </c>
      <c r="E1029" s="383" t="s">
        <v>887</v>
      </c>
      <c r="F1029" s="383" t="str">
        <f t="shared" si="49"/>
        <v>S200009FPPL EnergyPlus, L</v>
      </c>
      <c r="G1029" s="496">
        <v>-4912700</v>
      </c>
      <c r="H1029" s="496">
        <v>4912700</v>
      </c>
      <c r="I1029" s="496">
        <f t="shared" si="50"/>
        <v>0</v>
      </c>
      <c r="J1029" s="496" t="s">
        <v>869</v>
      </c>
    </row>
    <row r="1030" spans="1:10" hidden="1" x14ac:dyDescent="0.25">
      <c r="A1030" s="383">
        <f t="shared" si="48"/>
        <v>20</v>
      </c>
      <c r="B1030" s="383" t="s">
        <v>265</v>
      </c>
      <c r="C1030" s="497" t="s">
        <v>987</v>
      </c>
      <c r="D1030" s="383" t="s">
        <v>1139</v>
      </c>
      <c r="E1030" s="383" t="s">
        <v>887</v>
      </c>
      <c r="F1030" s="383" t="str">
        <f t="shared" si="49"/>
        <v>S200009FPSEG Energy Resou</v>
      </c>
      <c r="G1030" s="496">
        <v>-1944000</v>
      </c>
      <c r="H1030" s="496">
        <v>1944000</v>
      </c>
      <c r="I1030" s="496">
        <f t="shared" si="50"/>
        <v>0</v>
      </c>
      <c r="J1030" s="496" t="s">
        <v>869</v>
      </c>
    </row>
    <row r="1031" spans="1:10" hidden="1" x14ac:dyDescent="0.25">
      <c r="A1031" s="383">
        <f t="shared" si="48"/>
        <v>20</v>
      </c>
      <c r="B1031" s="383" t="s">
        <v>265</v>
      </c>
      <c r="C1031" s="497" t="s">
        <v>987</v>
      </c>
      <c r="D1031" s="383" t="s">
        <v>984</v>
      </c>
      <c r="E1031" s="383" t="s">
        <v>887</v>
      </c>
      <c r="F1031" s="383" t="str">
        <f t="shared" si="49"/>
        <v>S200009FPublic Service Co</v>
      </c>
      <c r="G1031" s="496">
        <v>-44814831.5</v>
      </c>
      <c r="H1031" s="496">
        <v>44814831.5</v>
      </c>
      <c r="I1031" s="496">
        <f t="shared" si="50"/>
        <v>0</v>
      </c>
      <c r="J1031" s="496" t="s">
        <v>869</v>
      </c>
    </row>
    <row r="1032" spans="1:10" hidden="1" x14ac:dyDescent="0.25">
      <c r="A1032" s="383">
        <f t="shared" si="48"/>
        <v>20</v>
      </c>
      <c r="B1032" s="383" t="s">
        <v>265</v>
      </c>
      <c r="C1032" s="497" t="s">
        <v>987</v>
      </c>
      <c r="D1032" s="383" t="s">
        <v>1140</v>
      </c>
      <c r="E1032" s="383" t="s">
        <v>887</v>
      </c>
      <c r="F1032" s="383" t="str">
        <f t="shared" si="49"/>
        <v>S200009FPublic Service El</v>
      </c>
      <c r="G1032" s="496">
        <v>-27979700</v>
      </c>
      <c r="H1032" s="496">
        <v>27979700</v>
      </c>
      <c r="I1032" s="496">
        <f t="shared" si="50"/>
        <v>0</v>
      </c>
      <c r="J1032" s="496" t="s">
        <v>869</v>
      </c>
    </row>
    <row r="1033" spans="1:10" hidden="1" x14ac:dyDescent="0.25">
      <c r="A1033" s="383">
        <f t="shared" si="48"/>
        <v>20</v>
      </c>
      <c r="B1033" s="383" t="s">
        <v>265</v>
      </c>
      <c r="C1033" s="497" t="s">
        <v>987</v>
      </c>
      <c r="D1033" s="383" t="s">
        <v>1141</v>
      </c>
      <c r="E1033" s="383" t="s">
        <v>887</v>
      </c>
      <c r="F1033" s="383" t="str">
        <f t="shared" si="49"/>
        <v>S200009FPublic Utility Di</v>
      </c>
      <c r="G1033" s="496">
        <v>-2162200</v>
      </c>
      <c r="H1033" s="496">
        <v>2162200</v>
      </c>
      <c r="I1033" s="496">
        <f t="shared" si="50"/>
        <v>0</v>
      </c>
      <c r="J1033" s="496" t="s">
        <v>869</v>
      </c>
    </row>
    <row r="1034" spans="1:10" hidden="1" x14ac:dyDescent="0.25">
      <c r="A1034" s="383">
        <f t="shared" si="48"/>
        <v>20</v>
      </c>
      <c r="B1034" s="383" t="s">
        <v>265</v>
      </c>
      <c r="C1034" s="497" t="s">
        <v>987</v>
      </c>
      <c r="D1034" s="383" t="s">
        <v>1143</v>
      </c>
      <c r="E1034" s="383" t="s">
        <v>887</v>
      </c>
      <c r="F1034" s="383" t="str">
        <f t="shared" si="49"/>
        <v>S200009FRainbow Energy Ma</v>
      </c>
      <c r="G1034" s="496">
        <v>-446238</v>
      </c>
      <c r="H1034" s="496">
        <v>446238</v>
      </c>
      <c r="I1034" s="496">
        <f t="shared" si="50"/>
        <v>0</v>
      </c>
      <c r="J1034" s="496" t="s">
        <v>869</v>
      </c>
    </row>
    <row r="1035" spans="1:10" hidden="1" x14ac:dyDescent="0.25">
      <c r="A1035" s="383">
        <f t="shared" si="48"/>
        <v>19</v>
      </c>
      <c r="B1035" s="383" t="s">
        <v>265</v>
      </c>
      <c r="C1035" s="497" t="s">
        <v>987</v>
      </c>
      <c r="D1035" s="383" t="s">
        <v>1207</v>
      </c>
      <c r="E1035" s="383" t="s">
        <v>887</v>
      </c>
      <c r="F1035" s="383" t="str">
        <f t="shared" si="49"/>
        <v>S200009FReliant Energy HL</v>
      </c>
      <c r="G1035" s="496">
        <v>-1753165</v>
      </c>
      <c r="H1035" s="496">
        <v>1753165</v>
      </c>
      <c r="I1035" s="496">
        <f t="shared" si="50"/>
        <v>0</v>
      </c>
      <c r="J1035" s="496" t="s">
        <v>869</v>
      </c>
    </row>
    <row r="1036" spans="1:10" hidden="1" x14ac:dyDescent="0.25">
      <c r="A1036" s="383">
        <f t="shared" si="48"/>
        <v>20</v>
      </c>
      <c r="B1036" s="383" t="s">
        <v>265</v>
      </c>
      <c r="C1036" s="497" t="s">
        <v>987</v>
      </c>
      <c r="D1036" s="383" t="s">
        <v>1144</v>
      </c>
      <c r="E1036" s="383" t="s">
        <v>887</v>
      </c>
      <c r="F1036" s="383" t="str">
        <f t="shared" si="49"/>
        <v>S200009FReliant Energy Se</v>
      </c>
      <c r="G1036" s="496">
        <v>-128887573.66</v>
      </c>
      <c r="H1036" s="496">
        <v>128887573.66</v>
      </c>
      <c r="I1036" s="496">
        <f t="shared" si="50"/>
        <v>0</v>
      </c>
      <c r="J1036" s="496" t="s">
        <v>869</v>
      </c>
    </row>
    <row r="1037" spans="1:10" hidden="1" x14ac:dyDescent="0.25">
      <c r="A1037" s="383">
        <f t="shared" si="48"/>
        <v>20</v>
      </c>
      <c r="B1037" s="383" t="s">
        <v>265</v>
      </c>
      <c r="C1037" s="497" t="s">
        <v>987</v>
      </c>
      <c r="D1037" s="383" t="s">
        <v>1145</v>
      </c>
      <c r="E1037" s="383" t="s">
        <v>887</v>
      </c>
      <c r="F1037" s="383" t="str">
        <f t="shared" si="49"/>
        <v>S200009FSacramento Munici</v>
      </c>
      <c r="G1037" s="496">
        <v>-4311700</v>
      </c>
      <c r="H1037" s="496">
        <v>4311700</v>
      </c>
      <c r="I1037" s="496">
        <f t="shared" si="50"/>
        <v>0</v>
      </c>
      <c r="J1037" s="496" t="s">
        <v>869</v>
      </c>
    </row>
    <row r="1038" spans="1:10" hidden="1" x14ac:dyDescent="0.25">
      <c r="A1038" s="383">
        <f t="shared" si="48"/>
        <v>20</v>
      </c>
      <c r="B1038" s="383" t="s">
        <v>265</v>
      </c>
      <c r="C1038" s="497" t="s">
        <v>987</v>
      </c>
      <c r="D1038" s="383" t="s">
        <v>985</v>
      </c>
      <c r="E1038" s="383" t="s">
        <v>887</v>
      </c>
      <c r="F1038" s="383" t="str">
        <f t="shared" si="49"/>
        <v>S200009FSaguaro Power Com</v>
      </c>
      <c r="G1038" s="496">
        <v>-53518.94</v>
      </c>
      <c r="H1038" s="496">
        <v>53518.94</v>
      </c>
      <c r="I1038" s="496">
        <f t="shared" si="50"/>
        <v>0</v>
      </c>
      <c r="J1038" s="496" t="s">
        <v>869</v>
      </c>
    </row>
    <row r="1039" spans="1:10" hidden="1" x14ac:dyDescent="0.25">
      <c r="A1039" s="383">
        <f t="shared" si="48"/>
        <v>20</v>
      </c>
      <c r="B1039" s="383" t="s">
        <v>265</v>
      </c>
      <c r="C1039" s="497" t="s">
        <v>987</v>
      </c>
      <c r="D1039" s="383" t="s">
        <v>1146</v>
      </c>
      <c r="E1039" s="383" t="s">
        <v>887</v>
      </c>
      <c r="F1039" s="383" t="str">
        <f t="shared" si="49"/>
        <v>S200009FSalt River Projec</v>
      </c>
      <c r="G1039" s="496">
        <v>-3489096.5</v>
      </c>
      <c r="H1039" s="496">
        <v>3489096.5</v>
      </c>
      <c r="I1039" s="496">
        <f t="shared" si="50"/>
        <v>0</v>
      </c>
      <c r="J1039" s="496" t="s">
        <v>869</v>
      </c>
    </row>
    <row r="1040" spans="1:10" hidden="1" x14ac:dyDescent="0.25">
      <c r="A1040" s="383">
        <f t="shared" si="48"/>
        <v>20</v>
      </c>
      <c r="B1040" s="383" t="s">
        <v>265</v>
      </c>
      <c r="C1040" s="497" t="s">
        <v>987</v>
      </c>
      <c r="D1040" s="383" t="s">
        <v>1147</v>
      </c>
      <c r="E1040" s="383" t="s">
        <v>887</v>
      </c>
      <c r="F1040" s="383" t="str">
        <f t="shared" si="49"/>
        <v>S200009FSaskatchewan Powe</v>
      </c>
      <c r="G1040" s="496">
        <v>-65365</v>
      </c>
      <c r="H1040" s="496">
        <v>65365</v>
      </c>
      <c r="I1040" s="496">
        <f t="shared" si="50"/>
        <v>0</v>
      </c>
      <c r="J1040" s="496" t="s">
        <v>869</v>
      </c>
    </row>
    <row r="1041" spans="1:10" hidden="1" x14ac:dyDescent="0.25">
      <c r="A1041" s="383">
        <f t="shared" si="48"/>
        <v>18</v>
      </c>
      <c r="B1041" s="383" t="s">
        <v>265</v>
      </c>
      <c r="C1041" s="497" t="s">
        <v>987</v>
      </c>
      <c r="D1041" s="383" t="s">
        <v>324</v>
      </c>
      <c r="E1041" s="383" t="s">
        <v>887</v>
      </c>
      <c r="F1041" s="383" t="str">
        <f t="shared" si="49"/>
        <v>S200009FSeattle City Ligh</v>
      </c>
      <c r="G1041" s="496">
        <v>-1549950</v>
      </c>
      <c r="H1041" s="496">
        <v>1549950</v>
      </c>
      <c r="I1041" s="496">
        <f t="shared" si="50"/>
        <v>0</v>
      </c>
      <c r="J1041" s="496" t="s">
        <v>869</v>
      </c>
    </row>
    <row r="1042" spans="1:10" hidden="1" x14ac:dyDescent="0.25">
      <c r="A1042" s="383">
        <f t="shared" si="48"/>
        <v>20</v>
      </c>
      <c r="B1042" s="383" t="s">
        <v>265</v>
      </c>
      <c r="C1042" s="497" t="s">
        <v>987</v>
      </c>
      <c r="D1042" s="383" t="s">
        <v>946</v>
      </c>
      <c r="E1042" s="383" t="s">
        <v>887</v>
      </c>
      <c r="F1042" s="383" t="str">
        <f t="shared" si="49"/>
        <v>S200009FSempra Energy Tra</v>
      </c>
      <c r="G1042" s="496">
        <v>-133355580</v>
      </c>
      <c r="H1042" s="496">
        <v>133355580</v>
      </c>
      <c r="I1042" s="496">
        <f t="shared" si="50"/>
        <v>0</v>
      </c>
      <c r="J1042" s="496" t="s">
        <v>869</v>
      </c>
    </row>
    <row r="1043" spans="1:10" hidden="1" x14ac:dyDescent="0.25">
      <c r="A1043" s="383">
        <f t="shared" si="48"/>
        <v>20</v>
      </c>
      <c r="B1043" s="383" t="s">
        <v>265</v>
      </c>
      <c r="C1043" s="497" t="s">
        <v>987</v>
      </c>
      <c r="D1043" s="383" t="s">
        <v>1148</v>
      </c>
      <c r="E1043" s="383" t="s">
        <v>887</v>
      </c>
      <c r="F1043" s="383" t="str">
        <f t="shared" si="49"/>
        <v>S200009FSierra Pacific Po</v>
      </c>
      <c r="G1043" s="496">
        <v>-9268000</v>
      </c>
      <c r="H1043" s="496">
        <v>9268000</v>
      </c>
      <c r="I1043" s="496">
        <f t="shared" si="50"/>
        <v>0</v>
      </c>
      <c r="J1043" s="496" t="s">
        <v>869</v>
      </c>
    </row>
    <row r="1044" spans="1:10" hidden="1" x14ac:dyDescent="0.25">
      <c r="A1044" s="383">
        <f t="shared" si="48"/>
        <v>20</v>
      </c>
      <c r="B1044" s="383" t="s">
        <v>265</v>
      </c>
      <c r="C1044" s="497" t="s">
        <v>987</v>
      </c>
      <c r="D1044" s="383" t="s">
        <v>31</v>
      </c>
      <c r="E1044" s="383" t="s">
        <v>887</v>
      </c>
      <c r="F1044" s="383" t="str">
        <f t="shared" si="49"/>
        <v>S200009FSmurfit-Stone Con</v>
      </c>
      <c r="G1044" s="496">
        <v>-2401767.2799999998</v>
      </c>
      <c r="H1044" s="496">
        <v>2401767.2799999998</v>
      </c>
      <c r="I1044" s="496">
        <f t="shared" si="50"/>
        <v>0</v>
      </c>
      <c r="J1044" s="496" t="s">
        <v>869</v>
      </c>
    </row>
    <row r="1045" spans="1:10" hidden="1" x14ac:dyDescent="0.25">
      <c r="A1045" s="383">
        <f t="shared" si="48"/>
        <v>20</v>
      </c>
      <c r="B1045" s="383" t="s">
        <v>265</v>
      </c>
      <c r="C1045" s="497" t="s">
        <v>987</v>
      </c>
      <c r="D1045" s="383" t="s">
        <v>1149</v>
      </c>
      <c r="E1045" s="383" t="s">
        <v>887</v>
      </c>
      <c r="F1045" s="383" t="str">
        <f t="shared" si="49"/>
        <v>S200009FSouth Carolina El</v>
      </c>
      <c r="G1045" s="496">
        <v>-80937</v>
      </c>
      <c r="H1045" s="496">
        <v>80937</v>
      </c>
      <c r="I1045" s="496">
        <f t="shared" si="50"/>
        <v>0</v>
      </c>
      <c r="J1045" s="496" t="s">
        <v>869</v>
      </c>
    </row>
    <row r="1046" spans="1:10" hidden="1" x14ac:dyDescent="0.25">
      <c r="A1046" s="383">
        <f t="shared" si="48"/>
        <v>20</v>
      </c>
      <c r="B1046" s="383" t="s">
        <v>265</v>
      </c>
      <c r="C1046" s="497" t="s">
        <v>987</v>
      </c>
      <c r="D1046" s="383" t="s">
        <v>1150</v>
      </c>
      <c r="E1046" s="383" t="s">
        <v>887</v>
      </c>
      <c r="F1046" s="383" t="str">
        <f t="shared" si="49"/>
        <v xml:space="preserve">S200009FSouthern Company </v>
      </c>
      <c r="G1046" s="496">
        <v>-194602422.75</v>
      </c>
      <c r="H1046" s="496">
        <v>194602422.75</v>
      </c>
      <c r="I1046" s="496">
        <f t="shared" si="50"/>
        <v>0</v>
      </c>
      <c r="J1046" s="496" t="s">
        <v>869</v>
      </c>
    </row>
    <row r="1047" spans="1:10" hidden="1" x14ac:dyDescent="0.25">
      <c r="A1047" s="383">
        <f t="shared" si="48"/>
        <v>20</v>
      </c>
      <c r="B1047" s="383" t="s">
        <v>265</v>
      </c>
      <c r="C1047" s="497" t="s">
        <v>987</v>
      </c>
      <c r="D1047" s="383" t="s">
        <v>1151</v>
      </c>
      <c r="E1047" s="383" t="s">
        <v>887</v>
      </c>
      <c r="F1047" s="383" t="str">
        <f t="shared" si="49"/>
        <v xml:space="preserve">S200009FSouthern Company </v>
      </c>
      <c r="G1047" s="496">
        <v>-1436743</v>
      </c>
      <c r="H1047" s="496">
        <v>1436743</v>
      </c>
      <c r="I1047" s="496">
        <f t="shared" si="50"/>
        <v>0</v>
      </c>
      <c r="J1047" s="496" t="s">
        <v>869</v>
      </c>
    </row>
    <row r="1048" spans="1:10" hidden="1" x14ac:dyDescent="0.25">
      <c r="A1048" s="383">
        <f t="shared" si="48"/>
        <v>20</v>
      </c>
      <c r="B1048" s="383" t="s">
        <v>265</v>
      </c>
      <c r="C1048" s="497" t="s">
        <v>987</v>
      </c>
      <c r="D1048" s="383" t="s">
        <v>986</v>
      </c>
      <c r="E1048" s="383" t="s">
        <v>887</v>
      </c>
      <c r="F1048" s="383" t="str">
        <f t="shared" si="49"/>
        <v>S200009FSplit Rock Energy</v>
      </c>
      <c r="G1048" s="496">
        <v>-71776</v>
      </c>
      <c r="H1048" s="496">
        <v>71776</v>
      </c>
      <c r="I1048" s="496">
        <f t="shared" si="50"/>
        <v>0</v>
      </c>
      <c r="J1048" s="496" t="s">
        <v>869</v>
      </c>
    </row>
    <row r="1049" spans="1:10" hidden="1" x14ac:dyDescent="0.25">
      <c r="A1049" s="383">
        <f t="shared" si="48"/>
        <v>20</v>
      </c>
      <c r="B1049" s="383" t="s">
        <v>265</v>
      </c>
      <c r="C1049" s="497" t="s">
        <v>987</v>
      </c>
      <c r="D1049" s="383" t="s">
        <v>32</v>
      </c>
      <c r="E1049" s="383" t="s">
        <v>887</v>
      </c>
      <c r="F1049" s="383" t="str">
        <f t="shared" si="49"/>
        <v>S200009FTampa Electric Co</v>
      </c>
      <c r="G1049" s="496">
        <v>-130392.4</v>
      </c>
      <c r="H1049" s="496">
        <v>130392.4</v>
      </c>
      <c r="I1049" s="496">
        <f t="shared" si="50"/>
        <v>0</v>
      </c>
      <c r="J1049" s="496" t="s">
        <v>869</v>
      </c>
    </row>
    <row r="1050" spans="1:10" hidden="1" x14ac:dyDescent="0.25">
      <c r="A1050" s="383">
        <f t="shared" si="48"/>
        <v>20</v>
      </c>
      <c r="B1050" s="383" t="s">
        <v>265</v>
      </c>
      <c r="C1050" s="497" t="s">
        <v>987</v>
      </c>
      <c r="D1050" s="383" t="s">
        <v>1153</v>
      </c>
      <c r="E1050" s="383" t="s">
        <v>887</v>
      </c>
      <c r="F1050" s="383" t="str">
        <f t="shared" si="49"/>
        <v>S200009FTenaska Power Ser</v>
      </c>
      <c r="G1050" s="496">
        <v>-16400</v>
      </c>
      <c r="H1050" s="496">
        <v>16400</v>
      </c>
      <c r="I1050" s="496">
        <f t="shared" si="50"/>
        <v>0</v>
      </c>
      <c r="J1050" s="496" t="s">
        <v>869</v>
      </c>
    </row>
    <row r="1051" spans="1:10" hidden="1" x14ac:dyDescent="0.25">
      <c r="A1051" s="383">
        <f t="shared" si="48"/>
        <v>20</v>
      </c>
      <c r="B1051" s="383" t="s">
        <v>265</v>
      </c>
      <c r="C1051" s="497" t="s">
        <v>987</v>
      </c>
      <c r="D1051" s="383" t="s">
        <v>1157</v>
      </c>
      <c r="E1051" s="383" t="s">
        <v>887</v>
      </c>
      <c r="F1051" s="383" t="str">
        <f t="shared" si="49"/>
        <v xml:space="preserve">S200009FTractebel Energy </v>
      </c>
      <c r="G1051" s="496">
        <v>-63082200</v>
      </c>
      <c r="H1051" s="496">
        <v>63082200</v>
      </c>
      <c r="I1051" s="496">
        <f t="shared" si="50"/>
        <v>0</v>
      </c>
      <c r="J1051" s="496" t="s">
        <v>869</v>
      </c>
    </row>
    <row r="1052" spans="1:10" hidden="1" x14ac:dyDescent="0.25">
      <c r="A1052" s="383">
        <f t="shared" si="48"/>
        <v>20</v>
      </c>
      <c r="B1052" s="383" t="s">
        <v>265</v>
      </c>
      <c r="C1052" s="497" t="s">
        <v>987</v>
      </c>
      <c r="D1052" s="383" t="s">
        <v>1158</v>
      </c>
      <c r="E1052" s="383" t="s">
        <v>887</v>
      </c>
      <c r="F1052" s="383" t="str">
        <f t="shared" si="49"/>
        <v xml:space="preserve">S200009FTransAlta Energy </v>
      </c>
      <c r="G1052" s="496">
        <v>-23384700</v>
      </c>
      <c r="H1052" s="496">
        <v>23384700</v>
      </c>
      <c r="I1052" s="496">
        <f t="shared" si="50"/>
        <v>0</v>
      </c>
      <c r="J1052" s="496" t="s">
        <v>869</v>
      </c>
    </row>
    <row r="1053" spans="1:10" hidden="1" x14ac:dyDescent="0.25">
      <c r="A1053" s="383">
        <f t="shared" si="48"/>
        <v>20</v>
      </c>
      <c r="B1053" s="383" t="s">
        <v>265</v>
      </c>
      <c r="C1053" s="497" t="s">
        <v>987</v>
      </c>
      <c r="D1053" s="383" t="s">
        <v>33</v>
      </c>
      <c r="E1053" s="383" t="s">
        <v>887</v>
      </c>
      <c r="F1053" s="383" t="str">
        <f t="shared" si="49"/>
        <v>S200009FTurlock Irrigatio</v>
      </c>
      <c r="G1053" s="496">
        <v>-2129000</v>
      </c>
      <c r="H1053" s="496">
        <v>2129000</v>
      </c>
      <c r="I1053" s="496">
        <f t="shared" si="50"/>
        <v>0</v>
      </c>
      <c r="J1053" s="496" t="s">
        <v>869</v>
      </c>
    </row>
    <row r="1054" spans="1:10" hidden="1" x14ac:dyDescent="0.25">
      <c r="A1054" s="383">
        <f t="shared" si="48"/>
        <v>24</v>
      </c>
      <c r="B1054" s="487" t="s">
        <v>265</v>
      </c>
      <c r="C1054" s="498" t="s">
        <v>987</v>
      </c>
      <c r="D1054" s="487" t="s">
        <v>1271</v>
      </c>
      <c r="E1054" s="487" t="s">
        <v>887</v>
      </c>
      <c r="F1054" s="487" t="str">
        <f t="shared" si="49"/>
        <v>S200009FUnited Power Asso</v>
      </c>
      <c r="G1054" s="499"/>
      <c r="H1054" s="499">
        <f>VLOOKUP(F1054,[2]Pivot!$R$20:$S$1359,2,FALSE)</f>
        <v>1823888</v>
      </c>
      <c r="I1054" s="499">
        <f t="shared" si="50"/>
        <v>1823888</v>
      </c>
      <c r="J1054" s="496" t="s">
        <v>890</v>
      </c>
    </row>
    <row r="1055" spans="1:10" hidden="1" x14ac:dyDescent="0.25">
      <c r="A1055" s="383">
        <f t="shared" si="48"/>
        <v>20</v>
      </c>
      <c r="B1055" s="383" t="s">
        <v>265</v>
      </c>
      <c r="C1055" s="497" t="s">
        <v>987</v>
      </c>
      <c r="D1055" s="383" t="s">
        <v>1162</v>
      </c>
      <c r="E1055" s="383" t="s">
        <v>887</v>
      </c>
      <c r="F1055" s="383" t="str">
        <f t="shared" si="49"/>
        <v>S200009FValley Electric A</v>
      </c>
      <c r="G1055" s="496">
        <v>-1509997.29</v>
      </c>
      <c r="H1055" s="496">
        <v>1509997.29</v>
      </c>
      <c r="I1055" s="496">
        <f t="shared" si="50"/>
        <v>0</v>
      </c>
      <c r="J1055" s="496" t="s">
        <v>869</v>
      </c>
    </row>
    <row r="1056" spans="1:10" hidden="1" x14ac:dyDescent="0.25">
      <c r="A1056" s="383">
        <f t="shared" si="48"/>
        <v>20</v>
      </c>
      <c r="B1056" s="383" t="s">
        <v>265</v>
      </c>
      <c r="C1056" s="497" t="s">
        <v>987</v>
      </c>
      <c r="D1056" s="383" t="s">
        <v>34</v>
      </c>
      <c r="E1056" s="383" t="s">
        <v>887</v>
      </c>
      <c r="F1056" s="383" t="str">
        <f t="shared" si="49"/>
        <v>S200009FVermont Public Po</v>
      </c>
      <c r="G1056" s="496">
        <v>-192417.5</v>
      </c>
      <c r="H1056" s="496">
        <v>192417.5</v>
      </c>
      <c r="I1056" s="496">
        <f t="shared" si="50"/>
        <v>0</v>
      </c>
      <c r="J1056" s="496" t="s">
        <v>869</v>
      </c>
    </row>
    <row r="1057" spans="1:10" hidden="1" x14ac:dyDescent="0.25">
      <c r="A1057" s="383">
        <f t="shared" si="48"/>
        <v>15</v>
      </c>
      <c r="B1057" s="383" t="s">
        <v>265</v>
      </c>
      <c r="C1057" s="497" t="s">
        <v>987</v>
      </c>
      <c r="D1057" s="383" t="s">
        <v>18</v>
      </c>
      <c r="E1057" s="383" t="s">
        <v>887</v>
      </c>
      <c r="F1057" s="383" t="str">
        <f t="shared" si="49"/>
        <v>S200009FVernon, City of</v>
      </c>
      <c r="G1057" s="496">
        <v>-1109000</v>
      </c>
      <c r="H1057" s="496">
        <v>1109000</v>
      </c>
      <c r="I1057" s="496">
        <f t="shared" si="50"/>
        <v>0</v>
      </c>
      <c r="J1057" s="496" t="s">
        <v>869</v>
      </c>
    </row>
    <row r="1058" spans="1:10" hidden="1" x14ac:dyDescent="0.25">
      <c r="A1058" s="383">
        <f t="shared" si="48"/>
        <v>20</v>
      </c>
      <c r="B1058" s="383" t="s">
        <v>265</v>
      </c>
      <c r="C1058" s="497" t="s">
        <v>987</v>
      </c>
      <c r="D1058" s="383" t="s">
        <v>1163</v>
      </c>
      <c r="E1058" s="383" t="s">
        <v>887</v>
      </c>
      <c r="F1058" s="383" t="str">
        <f t="shared" si="49"/>
        <v>S200009FVirginia Electric</v>
      </c>
      <c r="G1058" s="496">
        <v>-21874410.059999999</v>
      </c>
      <c r="H1058" s="496">
        <v>21874410.059999999</v>
      </c>
      <c r="I1058" s="496">
        <f t="shared" si="50"/>
        <v>0</v>
      </c>
      <c r="J1058" s="496" t="s">
        <v>869</v>
      </c>
    </row>
    <row r="1059" spans="1:10" hidden="1" x14ac:dyDescent="0.25">
      <c r="A1059" s="383">
        <f t="shared" si="48"/>
        <v>20</v>
      </c>
      <c r="B1059" s="383" t="s">
        <v>265</v>
      </c>
      <c r="C1059" s="497" t="s">
        <v>987</v>
      </c>
      <c r="D1059" s="383" t="s">
        <v>1164</v>
      </c>
      <c r="E1059" s="383" t="s">
        <v>887</v>
      </c>
      <c r="F1059" s="383" t="str">
        <f t="shared" si="49"/>
        <v>S200009FWestern Area Powe</v>
      </c>
      <c r="G1059" s="496">
        <v>-4252706.4000000004</v>
      </c>
      <c r="H1059" s="496">
        <v>4252706.4000000004</v>
      </c>
      <c r="I1059" s="496">
        <f t="shared" si="50"/>
        <v>0</v>
      </c>
      <c r="J1059" s="496" t="s">
        <v>869</v>
      </c>
    </row>
    <row r="1060" spans="1:10" hidden="1" x14ac:dyDescent="0.25">
      <c r="A1060" s="383">
        <f t="shared" si="48"/>
        <v>20</v>
      </c>
      <c r="B1060" s="383" t="s">
        <v>265</v>
      </c>
      <c r="C1060" s="497" t="s">
        <v>987</v>
      </c>
      <c r="D1060" s="383" t="s">
        <v>1166</v>
      </c>
      <c r="E1060" s="383" t="s">
        <v>887</v>
      </c>
      <c r="F1060" s="383" t="str">
        <f t="shared" si="49"/>
        <v>S200009FWestern Resources</v>
      </c>
      <c r="G1060" s="496">
        <v>-7910390</v>
      </c>
      <c r="H1060" s="496">
        <v>7910390</v>
      </c>
      <c r="I1060" s="496">
        <f t="shared" si="50"/>
        <v>0</v>
      </c>
      <c r="J1060" s="496" t="s">
        <v>869</v>
      </c>
    </row>
    <row r="1061" spans="1:10" hidden="1" x14ac:dyDescent="0.25">
      <c r="A1061" s="383">
        <f t="shared" si="48"/>
        <v>20</v>
      </c>
      <c r="B1061" s="383" t="s">
        <v>265</v>
      </c>
      <c r="C1061" s="497" t="s">
        <v>987</v>
      </c>
      <c r="D1061" s="383" t="s">
        <v>1168</v>
      </c>
      <c r="E1061" s="383" t="s">
        <v>887</v>
      </c>
      <c r="F1061" s="383" t="str">
        <f t="shared" si="49"/>
        <v>S200009FWillamette Indust</v>
      </c>
      <c r="G1061" s="496">
        <v>-143087.18</v>
      </c>
      <c r="H1061" s="496">
        <v>143087.18</v>
      </c>
      <c r="I1061" s="496">
        <f t="shared" si="50"/>
        <v>0</v>
      </c>
      <c r="J1061" s="496" t="s">
        <v>869</v>
      </c>
    </row>
    <row r="1062" spans="1:10" hidden="1" x14ac:dyDescent="0.25">
      <c r="A1062" s="383">
        <f t="shared" si="48"/>
        <v>20</v>
      </c>
      <c r="B1062" s="383" t="s">
        <v>265</v>
      </c>
      <c r="C1062" s="497" t="s">
        <v>987</v>
      </c>
      <c r="D1062" s="383" t="s">
        <v>1169</v>
      </c>
      <c r="E1062" s="383" t="s">
        <v>887</v>
      </c>
      <c r="F1062" s="383" t="str">
        <f t="shared" si="49"/>
        <v>S200009FWilliams Energy M</v>
      </c>
      <c r="G1062" s="496">
        <v>-76721762.409999996</v>
      </c>
      <c r="H1062" s="496">
        <v>76721762.409999996</v>
      </c>
      <c r="I1062" s="496">
        <f t="shared" si="50"/>
        <v>0</v>
      </c>
      <c r="J1062" s="496" t="s">
        <v>869</v>
      </c>
    </row>
    <row r="1063" spans="1:10" hidden="1" x14ac:dyDescent="0.25">
      <c r="A1063" s="383">
        <f t="shared" si="48"/>
        <v>24</v>
      </c>
      <c r="B1063" s="383" t="s">
        <v>265</v>
      </c>
      <c r="C1063" s="497" t="s">
        <v>1173</v>
      </c>
      <c r="D1063" s="383" t="s">
        <v>35</v>
      </c>
      <c r="E1063" s="383" t="s">
        <v>868</v>
      </c>
      <c r="F1063" s="383" t="str">
        <f t="shared" si="49"/>
        <v>S200010DAlliant Energy Co</v>
      </c>
      <c r="G1063" s="496">
        <v>-607200</v>
      </c>
      <c r="H1063" s="496">
        <v>607200</v>
      </c>
      <c r="I1063" s="496">
        <f t="shared" si="50"/>
        <v>0</v>
      </c>
      <c r="J1063" s="496" t="s">
        <v>869</v>
      </c>
    </row>
    <row r="1064" spans="1:10" hidden="1" x14ac:dyDescent="0.25">
      <c r="A1064" s="383">
        <f t="shared" si="48"/>
        <v>24</v>
      </c>
      <c r="B1064" s="383" t="s">
        <v>265</v>
      </c>
      <c r="C1064" s="497" t="s">
        <v>1173</v>
      </c>
      <c r="D1064" s="383" t="s">
        <v>1264</v>
      </c>
      <c r="E1064" s="383" t="s">
        <v>868</v>
      </c>
      <c r="F1064" s="383" t="str">
        <f t="shared" si="49"/>
        <v>S200010DAmerada Hess Corp</v>
      </c>
      <c r="G1064" s="496">
        <v>-10850</v>
      </c>
      <c r="H1064" s="496">
        <v>10850</v>
      </c>
      <c r="I1064" s="496">
        <f t="shared" si="50"/>
        <v>0</v>
      </c>
      <c r="J1064" s="496" t="s">
        <v>869</v>
      </c>
    </row>
    <row r="1065" spans="1:10" hidden="1" x14ac:dyDescent="0.25">
      <c r="A1065" s="383">
        <f t="shared" si="48"/>
        <v>23</v>
      </c>
      <c r="B1065" s="383" t="s">
        <v>265</v>
      </c>
      <c r="C1065" s="497" t="s">
        <v>1173</v>
      </c>
      <c r="D1065" s="383" t="s">
        <v>1275</v>
      </c>
      <c r="E1065" s="383" t="s">
        <v>868</v>
      </c>
      <c r="F1065" s="383" t="str">
        <f t="shared" si="49"/>
        <v>S200010DAmeren Energy, In</v>
      </c>
      <c r="G1065" s="496">
        <v>-1951290</v>
      </c>
      <c r="H1065" s="496">
        <v>1951290</v>
      </c>
      <c r="I1065" s="496">
        <f t="shared" si="50"/>
        <v>0</v>
      </c>
      <c r="J1065" s="496" t="s">
        <v>869</v>
      </c>
    </row>
    <row r="1066" spans="1:10" hidden="1" x14ac:dyDescent="0.25">
      <c r="A1066" s="383">
        <f t="shared" si="48"/>
        <v>23</v>
      </c>
      <c r="B1066" s="383" t="s">
        <v>265</v>
      </c>
      <c r="C1066" s="497" t="s">
        <v>1173</v>
      </c>
      <c r="D1066" s="383" t="s">
        <v>1235</v>
      </c>
      <c r="E1066" s="383" t="s">
        <v>868</v>
      </c>
      <c r="F1066" s="383" t="str">
        <f t="shared" si="49"/>
        <v>S200010DAmerican Electric</v>
      </c>
      <c r="G1066" s="496">
        <v>-252570199.25</v>
      </c>
      <c r="H1066" s="496">
        <v>252570199.25</v>
      </c>
      <c r="I1066" s="496">
        <f t="shared" si="50"/>
        <v>0</v>
      </c>
      <c r="J1066" s="496" t="s">
        <v>869</v>
      </c>
    </row>
    <row r="1067" spans="1:10" hidden="1" x14ac:dyDescent="0.25">
      <c r="A1067" s="383">
        <f t="shared" si="48"/>
        <v>23</v>
      </c>
      <c r="B1067" s="383" t="s">
        <v>265</v>
      </c>
      <c r="C1067" s="497" t="s">
        <v>1173</v>
      </c>
      <c r="D1067" s="383" t="s">
        <v>1276</v>
      </c>
      <c r="E1067" s="383" t="s">
        <v>868</v>
      </c>
      <c r="F1067" s="383" t="str">
        <f t="shared" si="49"/>
        <v>S200010DAquila Energy Mar</v>
      </c>
      <c r="G1067" s="496">
        <v>-275092617.34000003</v>
      </c>
      <c r="H1067" s="496">
        <v>275092617.33999997</v>
      </c>
      <c r="I1067" s="496">
        <f t="shared" si="50"/>
        <v>0</v>
      </c>
      <c r="J1067" s="496" t="s">
        <v>869</v>
      </c>
    </row>
    <row r="1068" spans="1:10" hidden="1" x14ac:dyDescent="0.25">
      <c r="A1068" s="383">
        <f t="shared" si="48"/>
        <v>24</v>
      </c>
      <c r="B1068" s="383" t="s">
        <v>265</v>
      </c>
      <c r="C1068" s="497" t="s">
        <v>1173</v>
      </c>
      <c r="D1068" s="383" t="s">
        <v>36</v>
      </c>
      <c r="E1068" s="383" t="s">
        <v>868</v>
      </c>
      <c r="F1068" s="383" t="str">
        <f t="shared" si="49"/>
        <v>S200010DArizona Public Se</v>
      </c>
      <c r="G1068" s="496">
        <v>-10706617.75</v>
      </c>
      <c r="H1068" s="496">
        <v>10706617.75</v>
      </c>
      <c r="I1068" s="496">
        <f t="shared" si="50"/>
        <v>0</v>
      </c>
      <c r="J1068" s="496" t="s">
        <v>869</v>
      </c>
    </row>
    <row r="1069" spans="1:10" hidden="1" x14ac:dyDescent="0.25">
      <c r="A1069" s="383">
        <f t="shared" si="48"/>
        <v>24</v>
      </c>
      <c r="B1069" s="383" t="s">
        <v>265</v>
      </c>
      <c r="C1069" s="497" t="s">
        <v>1173</v>
      </c>
      <c r="D1069" s="383" t="s">
        <v>1277</v>
      </c>
      <c r="E1069" s="383" t="s">
        <v>868</v>
      </c>
      <c r="F1069" s="383" t="str">
        <f t="shared" si="49"/>
        <v>S200010DAvista Corporatio</v>
      </c>
      <c r="G1069" s="496">
        <v>-4475290</v>
      </c>
      <c r="H1069" s="496">
        <v>4475290</v>
      </c>
      <c r="I1069" s="496">
        <f t="shared" si="50"/>
        <v>0</v>
      </c>
      <c r="J1069" s="496" t="s">
        <v>869</v>
      </c>
    </row>
    <row r="1070" spans="1:10" hidden="1" x14ac:dyDescent="0.25">
      <c r="A1070" s="383">
        <f t="shared" si="48"/>
        <v>19</v>
      </c>
      <c r="B1070" s="383" t="s">
        <v>265</v>
      </c>
      <c r="C1070" s="497" t="s">
        <v>1173</v>
      </c>
      <c r="D1070" s="383" t="s">
        <v>999</v>
      </c>
      <c r="E1070" s="383" t="s">
        <v>868</v>
      </c>
      <c r="F1070" s="383" t="str">
        <f t="shared" si="49"/>
        <v>S200010DAvista Energy, In</v>
      </c>
      <c r="G1070" s="496">
        <v>-88253587.75</v>
      </c>
      <c r="H1070" s="496">
        <v>88253587.75</v>
      </c>
      <c r="I1070" s="496">
        <f t="shared" si="50"/>
        <v>0</v>
      </c>
      <c r="J1070" s="496" t="s">
        <v>869</v>
      </c>
    </row>
    <row r="1071" spans="1:10" hidden="1" x14ac:dyDescent="0.25">
      <c r="A1071" s="383">
        <f t="shared" si="48"/>
        <v>24</v>
      </c>
      <c r="B1071" s="383" t="s">
        <v>265</v>
      </c>
      <c r="C1071" s="497" t="s">
        <v>1173</v>
      </c>
      <c r="D1071" s="383" t="s">
        <v>37</v>
      </c>
      <c r="E1071" s="383" t="s">
        <v>868</v>
      </c>
      <c r="F1071" s="383" t="str">
        <f t="shared" si="49"/>
        <v xml:space="preserve">S200010DBonneville Power </v>
      </c>
      <c r="G1071" s="496">
        <v>-17053872.5</v>
      </c>
      <c r="H1071" s="496">
        <v>17053872.5</v>
      </c>
      <c r="I1071" s="496">
        <f t="shared" si="50"/>
        <v>0</v>
      </c>
      <c r="J1071" s="496" t="s">
        <v>869</v>
      </c>
    </row>
    <row r="1072" spans="1:10" hidden="1" x14ac:dyDescent="0.25">
      <c r="A1072" s="383">
        <f t="shared" si="48"/>
        <v>24</v>
      </c>
      <c r="B1072" s="383" t="s">
        <v>265</v>
      </c>
      <c r="C1072" s="497" t="s">
        <v>1173</v>
      </c>
      <c r="D1072" s="383" t="s">
        <v>38</v>
      </c>
      <c r="E1072" s="383" t="s">
        <v>868</v>
      </c>
      <c r="F1072" s="383" t="str">
        <f t="shared" si="49"/>
        <v>S200010DCalifornia Depart</v>
      </c>
      <c r="G1072" s="496">
        <v>-400588.73</v>
      </c>
      <c r="H1072" s="496">
        <v>400588.73</v>
      </c>
      <c r="I1072" s="496">
        <f t="shared" si="50"/>
        <v>0</v>
      </c>
      <c r="J1072" s="496" t="s">
        <v>869</v>
      </c>
    </row>
    <row r="1073" spans="1:10" hidden="1" x14ac:dyDescent="0.25">
      <c r="A1073" s="383">
        <f t="shared" si="48"/>
        <v>24</v>
      </c>
      <c r="B1073" s="383" t="s">
        <v>265</v>
      </c>
      <c r="C1073" s="497" t="s">
        <v>1173</v>
      </c>
      <c r="D1073" s="383" t="s">
        <v>1266</v>
      </c>
      <c r="E1073" s="383" t="s">
        <v>868</v>
      </c>
      <c r="F1073" s="383" t="str">
        <f t="shared" si="49"/>
        <v xml:space="preserve">S200010DCalifornia Power </v>
      </c>
      <c r="G1073" s="496">
        <v>-60835735.310000002</v>
      </c>
      <c r="H1073" s="496">
        <v>60835735.310000002</v>
      </c>
      <c r="I1073" s="496">
        <f t="shared" si="50"/>
        <v>0</v>
      </c>
      <c r="J1073" s="496" t="s">
        <v>869</v>
      </c>
    </row>
    <row r="1074" spans="1:10" hidden="1" x14ac:dyDescent="0.25">
      <c r="A1074" s="383">
        <f t="shared" si="48"/>
        <v>23</v>
      </c>
      <c r="B1074" s="383" t="s">
        <v>265</v>
      </c>
      <c r="C1074" s="497" t="s">
        <v>1173</v>
      </c>
      <c r="D1074" s="383" t="s">
        <v>1251</v>
      </c>
      <c r="E1074" s="383" t="s">
        <v>868</v>
      </c>
      <c r="F1074" s="383" t="str">
        <f t="shared" si="49"/>
        <v>S200010DCalifornia Supple</v>
      </c>
      <c r="G1074" s="496">
        <v>-340.5</v>
      </c>
      <c r="H1074" s="496">
        <v>340.5</v>
      </c>
      <c r="I1074" s="496">
        <f t="shared" si="50"/>
        <v>0</v>
      </c>
      <c r="J1074" s="496" t="s">
        <v>869</v>
      </c>
    </row>
    <row r="1075" spans="1:10" hidden="1" x14ac:dyDescent="0.25">
      <c r="A1075" s="383">
        <f t="shared" si="48"/>
        <v>24</v>
      </c>
      <c r="B1075" s="383" t="s">
        <v>265</v>
      </c>
      <c r="C1075" s="497" t="s">
        <v>1173</v>
      </c>
      <c r="D1075" s="383" t="s">
        <v>1278</v>
      </c>
      <c r="E1075" s="383" t="s">
        <v>868</v>
      </c>
      <c r="F1075" s="383" t="str">
        <f t="shared" si="49"/>
        <v>S200010DCalpine Power Ser</v>
      </c>
      <c r="G1075" s="496">
        <v>-8067644.0300000003</v>
      </c>
      <c r="H1075" s="496">
        <v>8067644.0300000003</v>
      </c>
      <c r="I1075" s="496">
        <f t="shared" si="50"/>
        <v>0</v>
      </c>
      <c r="J1075" s="496" t="s">
        <v>869</v>
      </c>
    </row>
    <row r="1076" spans="1:10" hidden="1" x14ac:dyDescent="0.25">
      <c r="A1076" s="383">
        <f t="shared" si="48"/>
        <v>20</v>
      </c>
      <c r="B1076" s="383" t="s">
        <v>265</v>
      </c>
      <c r="C1076" s="497" t="s">
        <v>1173</v>
      </c>
      <c r="D1076" s="383" t="s">
        <v>1002</v>
      </c>
      <c r="E1076" s="383" t="s">
        <v>868</v>
      </c>
      <c r="F1076" s="383" t="str">
        <f t="shared" si="49"/>
        <v xml:space="preserve">S200010DCargill-Alliant, </v>
      </c>
      <c r="G1076" s="496">
        <v>-10089160.73</v>
      </c>
      <c r="H1076" s="496">
        <v>10089160.73</v>
      </c>
      <c r="I1076" s="496">
        <f t="shared" si="50"/>
        <v>0</v>
      </c>
      <c r="J1076" s="496" t="s">
        <v>869</v>
      </c>
    </row>
    <row r="1077" spans="1:10" hidden="1" x14ac:dyDescent="0.25">
      <c r="A1077" s="383">
        <f t="shared" si="48"/>
        <v>24</v>
      </c>
      <c r="B1077" s="383" t="s">
        <v>265</v>
      </c>
      <c r="C1077" s="497" t="s">
        <v>1173</v>
      </c>
      <c r="D1077" s="383" t="s">
        <v>1279</v>
      </c>
      <c r="E1077" s="383" t="s">
        <v>868</v>
      </c>
      <c r="F1077" s="383" t="str">
        <f t="shared" si="49"/>
        <v xml:space="preserve">S200010DCarolina Power &amp; </v>
      </c>
      <c r="G1077" s="496">
        <v>-1997600</v>
      </c>
      <c r="H1077" s="496">
        <v>1997600</v>
      </c>
      <c r="I1077" s="496">
        <f t="shared" si="50"/>
        <v>0</v>
      </c>
      <c r="J1077" s="496" t="s">
        <v>869</v>
      </c>
    </row>
    <row r="1078" spans="1:10" hidden="1" x14ac:dyDescent="0.25">
      <c r="A1078" s="383">
        <f t="shared" si="48"/>
        <v>24</v>
      </c>
      <c r="B1078" s="383" t="s">
        <v>265</v>
      </c>
      <c r="C1078" s="497" t="s">
        <v>1173</v>
      </c>
      <c r="D1078" s="383" t="s">
        <v>1281</v>
      </c>
      <c r="E1078" s="383" t="s">
        <v>868</v>
      </c>
      <c r="F1078" s="383" t="str">
        <f t="shared" si="49"/>
        <v xml:space="preserve">S200010DCentral Illinois </v>
      </c>
      <c r="G1078" s="496">
        <v>-519900</v>
      </c>
      <c r="H1078" s="496">
        <v>519900</v>
      </c>
      <c r="I1078" s="496">
        <f t="shared" si="50"/>
        <v>0</v>
      </c>
      <c r="J1078" s="496" t="s">
        <v>869</v>
      </c>
    </row>
    <row r="1079" spans="1:10" hidden="1" x14ac:dyDescent="0.25">
      <c r="A1079" s="383">
        <f t="shared" si="48"/>
        <v>22</v>
      </c>
      <c r="B1079" s="383" t="s">
        <v>265</v>
      </c>
      <c r="C1079" s="497" t="s">
        <v>1173</v>
      </c>
      <c r="D1079" s="383" t="s">
        <v>1004</v>
      </c>
      <c r="E1079" s="383" t="s">
        <v>868</v>
      </c>
      <c r="F1079" s="383" t="str">
        <f t="shared" si="49"/>
        <v>S200010DCinergy Services,</v>
      </c>
      <c r="G1079" s="496">
        <v>-32444519.649999999</v>
      </c>
      <c r="H1079" s="496">
        <v>32444519.649999999</v>
      </c>
      <c r="I1079" s="496">
        <f t="shared" si="50"/>
        <v>0</v>
      </c>
      <c r="J1079" s="496" t="s">
        <v>869</v>
      </c>
    </row>
    <row r="1080" spans="1:10" hidden="1" x14ac:dyDescent="0.25">
      <c r="A1080" s="383">
        <f t="shared" si="48"/>
        <v>24</v>
      </c>
      <c r="B1080" s="383" t="s">
        <v>265</v>
      </c>
      <c r="C1080" s="497" t="s">
        <v>1173</v>
      </c>
      <c r="D1080" s="383" t="s">
        <v>1282</v>
      </c>
      <c r="E1080" s="383" t="s">
        <v>868</v>
      </c>
      <c r="F1080" s="383" t="str">
        <f t="shared" si="49"/>
        <v>S200010DCity of McMinnvil</v>
      </c>
      <c r="G1080" s="496">
        <v>-243168</v>
      </c>
      <c r="H1080" s="496">
        <v>243168</v>
      </c>
      <c r="I1080" s="496">
        <f t="shared" si="50"/>
        <v>0</v>
      </c>
      <c r="J1080" s="496" t="s">
        <v>869</v>
      </c>
    </row>
    <row r="1081" spans="1:10" hidden="1" x14ac:dyDescent="0.25">
      <c r="A1081" s="383">
        <f t="shared" si="48"/>
        <v>15</v>
      </c>
      <c r="B1081" s="383" t="s">
        <v>265</v>
      </c>
      <c r="C1081" s="497" t="s">
        <v>1173</v>
      </c>
      <c r="D1081" s="383" t="s">
        <v>911</v>
      </c>
      <c r="E1081" s="383" t="s">
        <v>868</v>
      </c>
      <c r="F1081" s="383" t="str">
        <f t="shared" si="49"/>
        <v>S200010DCity of Redding</v>
      </c>
      <c r="G1081" s="496">
        <v>-378040</v>
      </c>
      <c r="H1081" s="496">
        <v>378040</v>
      </c>
      <c r="I1081" s="496">
        <f t="shared" si="50"/>
        <v>0</v>
      </c>
      <c r="J1081" s="496" t="s">
        <v>869</v>
      </c>
    </row>
    <row r="1082" spans="1:10" hidden="1" x14ac:dyDescent="0.25">
      <c r="A1082" s="383">
        <f t="shared" si="48"/>
        <v>17</v>
      </c>
      <c r="B1082" s="383" t="s">
        <v>265</v>
      </c>
      <c r="C1082" s="497" t="s">
        <v>1173</v>
      </c>
      <c r="D1082" s="383" t="s">
        <v>1185</v>
      </c>
      <c r="E1082" s="383" t="s">
        <v>868</v>
      </c>
      <c r="F1082" s="383" t="str">
        <f t="shared" si="49"/>
        <v>S200010DCity Of Riverside</v>
      </c>
      <c r="G1082" s="496">
        <v>-777613.2</v>
      </c>
      <c r="H1082" s="496">
        <v>777613.2</v>
      </c>
      <c r="I1082" s="496">
        <f t="shared" si="50"/>
        <v>0</v>
      </c>
      <c r="J1082" s="496" t="s">
        <v>869</v>
      </c>
    </row>
    <row r="1083" spans="1:10" hidden="1" x14ac:dyDescent="0.25">
      <c r="A1083" s="383">
        <f t="shared" si="48"/>
        <v>24</v>
      </c>
      <c r="B1083" s="383" t="s">
        <v>265</v>
      </c>
      <c r="C1083" s="497" t="s">
        <v>1173</v>
      </c>
      <c r="D1083" s="383" t="s">
        <v>1252</v>
      </c>
      <c r="E1083" s="383" t="s">
        <v>868</v>
      </c>
      <c r="F1083" s="383" t="str">
        <f t="shared" si="49"/>
        <v>S200010DCity of Tacoma, D</v>
      </c>
      <c r="G1083" s="496">
        <v>-3492055.41</v>
      </c>
      <c r="H1083" s="496">
        <v>3492055.41</v>
      </c>
      <c r="I1083" s="496">
        <f t="shared" si="50"/>
        <v>0</v>
      </c>
      <c r="J1083" s="496" t="s">
        <v>869</v>
      </c>
    </row>
    <row r="1084" spans="1:10" hidden="1" x14ac:dyDescent="0.25">
      <c r="A1084" s="383">
        <f t="shared" si="48"/>
        <v>17</v>
      </c>
      <c r="B1084" s="383" t="s">
        <v>265</v>
      </c>
      <c r="C1084" s="497" t="s">
        <v>1173</v>
      </c>
      <c r="D1084" s="383" t="s">
        <v>1005</v>
      </c>
      <c r="E1084" s="383" t="s">
        <v>868</v>
      </c>
      <c r="F1084" s="383" t="str">
        <f t="shared" si="49"/>
        <v>S200010DCLECO Corporation</v>
      </c>
      <c r="G1084" s="496">
        <v>-40200</v>
      </c>
      <c r="H1084" s="496">
        <v>40200</v>
      </c>
      <c r="I1084" s="496">
        <f t="shared" si="50"/>
        <v>0</v>
      </c>
      <c r="J1084" s="496" t="s">
        <v>869</v>
      </c>
    </row>
    <row r="1085" spans="1:10" hidden="1" x14ac:dyDescent="0.25">
      <c r="A1085" s="383">
        <f t="shared" si="48"/>
        <v>24</v>
      </c>
      <c r="B1085" s="383" t="s">
        <v>265</v>
      </c>
      <c r="C1085" s="497" t="s">
        <v>1173</v>
      </c>
      <c r="D1085" s="383" t="s">
        <v>1283</v>
      </c>
      <c r="E1085" s="383" t="s">
        <v>868</v>
      </c>
      <c r="F1085" s="383" t="str">
        <f t="shared" si="49"/>
        <v>S200010DCLECO Marketing a</v>
      </c>
      <c r="G1085" s="496">
        <v>-66200</v>
      </c>
      <c r="H1085" s="496">
        <v>66200</v>
      </c>
      <c r="I1085" s="496">
        <f t="shared" si="50"/>
        <v>0</v>
      </c>
      <c r="J1085" s="496" t="s">
        <v>869</v>
      </c>
    </row>
    <row r="1086" spans="1:10" hidden="1" x14ac:dyDescent="0.25">
      <c r="A1086" s="383">
        <f t="shared" si="48"/>
        <v>23</v>
      </c>
      <c r="B1086" s="383" t="s">
        <v>265</v>
      </c>
      <c r="C1086" s="497" t="s">
        <v>1173</v>
      </c>
      <c r="D1086" s="383" t="s">
        <v>1285</v>
      </c>
      <c r="E1086" s="383" t="s">
        <v>868</v>
      </c>
      <c r="F1086" s="383" t="str">
        <f t="shared" si="49"/>
        <v>S200010DCMS Marketing, Se</v>
      </c>
      <c r="G1086" s="496">
        <v>-4367160</v>
      </c>
      <c r="H1086" s="496">
        <v>4367160</v>
      </c>
      <c r="I1086" s="496">
        <f t="shared" si="50"/>
        <v>0</v>
      </c>
      <c r="J1086" s="496" t="s">
        <v>869</v>
      </c>
    </row>
    <row r="1087" spans="1:10" hidden="1" x14ac:dyDescent="0.25">
      <c r="A1087" s="383">
        <f t="shared" si="48"/>
        <v>24</v>
      </c>
      <c r="B1087" s="383" t="s">
        <v>265</v>
      </c>
      <c r="C1087" s="497" t="s">
        <v>1173</v>
      </c>
      <c r="D1087" s="383" t="s">
        <v>1286</v>
      </c>
      <c r="E1087" s="383" t="s">
        <v>868</v>
      </c>
      <c r="F1087" s="383" t="str">
        <f t="shared" si="49"/>
        <v xml:space="preserve">S200010DCoastal Merchant </v>
      </c>
      <c r="G1087" s="496">
        <v>-2225400</v>
      </c>
      <c r="H1087" s="496">
        <v>2225400</v>
      </c>
      <c r="I1087" s="496">
        <f t="shared" si="50"/>
        <v>0</v>
      </c>
      <c r="J1087" s="496" t="s">
        <v>869</v>
      </c>
    </row>
    <row r="1088" spans="1:10" hidden="1" x14ac:dyDescent="0.25">
      <c r="A1088" s="383">
        <f t="shared" si="48"/>
        <v>25</v>
      </c>
      <c r="B1088" s="383" t="s">
        <v>265</v>
      </c>
      <c r="C1088" s="497" t="s">
        <v>1173</v>
      </c>
      <c r="D1088" s="383" t="s">
        <v>1287</v>
      </c>
      <c r="E1088" s="383" t="s">
        <v>868</v>
      </c>
      <c r="F1088" s="383" t="str">
        <f t="shared" si="49"/>
        <v>S200010DColorado River Co</v>
      </c>
      <c r="G1088" s="496">
        <v>-7046300</v>
      </c>
      <c r="H1088" s="496">
        <v>7046300</v>
      </c>
      <c r="I1088" s="496">
        <f t="shared" si="50"/>
        <v>0</v>
      </c>
      <c r="J1088" s="496" t="s">
        <v>869</v>
      </c>
    </row>
    <row r="1089" spans="1:10" hidden="1" x14ac:dyDescent="0.25">
      <c r="A1089" s="383">
        <f t="shared" si="48"/>
        <v>24</v>
      </c>
      <c r="B1089" s="383" t="s">
        <v>265</v>
      </c>
      <c r="C1089" s="497" t="s">
        <v>1173</v>
      </c>
      <c r="D1089" s="383" t="s">
        <v>39</v>
      </c>
      <c r="E1089" s="383" t="s">
        <v>868</v>
      </c>
      <c r="F1089" s="383" t="str">
        <f t="shared" si="49"/>
        <v xml:space="preserve">S200010DColorado Springs </v>
      </c>
      <c r="G1089" s="496">
        <v>-312883.90999999997</v>
      </c>
      <c r="H1089" s="496">
        <v>312883.90999999997</v>
      </c>
      <c r="I1089" s="496">
        <f t="shared" si="50"/>
        <v>0</v>
      </c>
      <c r="J1089" s="496" t="s">
        <v>869</v>
      </c>
    </row>
    <row r="1090" spans="1:10" hidden="1" x14ac:dyDescent="0.25">
      <c r="A1090" s="383">
        <f t="shared" si="48"/>
        <v>24</v>
      </c>
      <c r="B1090" s="383" t="s">
        <v>265</v>
      </c>
      <c r="C1090" s="497" t="s">
        <v>1173</v>
      </c>
      <c r="D1090" s="383" t="s">
        <v>40</v>
      </c>
      <c r="E1090" s="383" t="s">
        <v>868</v>
      </c>
      <c r="F1090" s="383" t="str">
        <f t="shared" si="49"/>
        <v>S200010DCommonwealth Edis</v>
      </c>
      <c r="G1090" s="496">
        <v>-8049167</v>
      </c>
      <c r="H1090" s="496">
        <v>8049167</v>
      </c>
      <c r="I1090" s="496">
        <f t="shared" si="50"/>
        <v>0</v>
      </c>
      <c r="J1090" s="496" t="s">
        <v>869</v>
      </c>
    </row>
    <row r="1091" spans="1:10" hidden="1" x14ac:dyDescent="0.25">
      <c r="A1091" s="383">
        <f t="shared" si="48"/>
        <v>23</v>
      </c>
      <c r="B1091" s="383" t="s">
        <v>265</v>
      </c>
      <c r="C1091" s="497" t="s">
        <v>1173</v>
      </c>
      <c r="D1091" s="383" t="s">
        <v>41</v>
      </c>
      <c r="E1091" s="383" t="s">
        <v>868</v>
      </c>
      <c r="F1091" s="383" t="str">
        <f t="shared" si="49"/>
        <v>S200010DConectiv Energy S</v>
      </c>
      <c r="G1091" s="496">
        <v>-3441800</v>
      </c>
      <c r="H1091" s="496">
        <v>3441800</v>
      </c>
      <c r="I1091" s="496">
        <f t="shared" si="50"/>
        <v>0</v>
      </c>
      <c r="J1091" s="496" t="s">
        <v>869</v>
      </c>
    </row>
    <row r="1092" spans="1:10" hidden="1" x14ac:dyDescent="0.25">
      <c r="A1092" s="383">
        <f t="shared" ref="A1092:A1155" si="51">LEN(D1092)</f>
        <v>24</v>
      </c>
      <c r="B1092" s="383" t="s">
        <v>265</v>
      </c>
      <c r="C1092" s="497" t="s">
        <v>1173</v>
      </c>
      <c r="D1092" s="383" t="s">
        <v>1253</v>
      </c>
      <c r="E1092" s="383" t="s">
        <v>868</v>
      </c>
      <c r="F1092" s="383" t="str">
        <f t="shared" ref="F1092:F1155" si="52">+B1092&amp;C1092&amp;E1092&amp;LEFT(D1092,17)</f>
        <v>S200010DConoco Power Mark</v>
      </c>
      <c r="G1092" s="496">
        <v>-3534673.38</v>
      </c>
      <c r="H1092" s="496">
        <v>3534673.38</v>
      </c>
      <c r="I1092" s="496">
        <f t="shared" ref="I1092:I1155" si="53">ROUND(+G1092+H1092,2)</f>
        <v>0</v>
      </c>
      <c r="J1092" s="496" t="s">
        <v>869</v>
      </c>
    </row>
    <row r="1093" spans="1:10" hidden="1" x14ac:dyDescent="0.25">
      <c r="A1093" s="383">
        <f t="shared" si="51"/>
        <v>24</v>
      </c>
      <c r="B1093" s="383" t="s">
        <v>265</v>
      </c>
      <c r="C1093" s="497" t="s">
        <v>1173</v>
      </c>
      <c r="D1093" s="383" t="s">
        <v>42</v>
      </c>
      <c r="E1093" s="383" t="s">
        <v>868</v>
      </c>
      <c r="F1093" s="383" t="str">
        <f t="shared" si="52"/>
        <v>S200010DConsolidated Edis</v>
      </c>
      <c r="G1093" s="496">
        <v>-489640.75</v>
      </c>
      <c r="H1093" s="496">
        <v>489640.75</v>
      </c>
      <c r="I1093" s="496">
        <f t="shared" si="53"/>
        <v>0</v>
      </c>
      <c r="J1093" s="496" t="s">
        <v>869</v>
      </c>
    </row>
    <row r="1094" spans="1:10" hidden="1" x14ac:dyDescent="0.25">
      <c r="A1094" s="383">
        <f t="shared" si="51"/>
        <v>24</v>
      </c>
      <c r="B1094" s="383" t="s">
        <v>265</v>
      </c>
      <c r="C1094" s="497" t="s">
        <v>1173</v>
      </c>
      <c r="D1094" s="383" t="s">
        <v>1289</v>
      </c>
      <c r="E1094" s="383" t="s">
        <v>868</v>
      </c>
      <c r="F1094" s="383" t="str">
        <f t="shared" si="52"/>
        <v>S200010DConstellation Pow</v>
      </c>
      <c r="G1094" s="496">
        <v>-65410772.980000004</v>
      </c>
      <c r="H1094" s="496">
        <v>65410772.979999997</v>
      </c>
      <c r="I1094" s="496">
        <f t="shared" si="53"/>
        <v>0</v>
      </c>
      <c r="J1094" s="496" t="s">
        <v>869</v>
      </c>
    </row>
    <row r="1095" spans="1:10" hidden="1" x14ac:dyDescent="0.25">
      <c r="A1095" s="383">
        <f t="shared" si="51"/>
        <v>18</v>
      </c>
      <c r="B1095" s="383" t="s">
        <v>265</v>
      </c>
      <c r="C1095" s="497" t="s">
        <v>1173</v>
      </c>
      <c r="D1095" s="383" t="s">
        <v>1291</v>
      </c>
      <c r="E1095" s="383" t="s">
        <v>868</v>
      </c>
      <c r="F1095" s="383" t="str">
        <f t="shared" si="52"/>
        <v>S200010DDelano Energy Com</v>
      </c>
      <c r="G1095" s="496">
        <v>0</v>
      </c>
      <c r="H1095" s="496"/>
      <c r="I1095" s="496">
        <f t="shared" si="53"/>
        <v>0</v>
      </c>
      <c r="J1095" s="496" t="s">
        <v>869</v>
      </c>
    </row>
    <row r="1096" spans="1:10" hidden="1" x14ac:dyDescent="0.25">
      <c r="A1096" s="383">
        <f t="shared" si="51"/>
        <v>24</v>
      </c>
      <c r="B1096" s="383" t="s">
        <v>265</v>
      </c>
      <c r="C1096" s="497" t="s">
        <v>1173</v>
      </c>
      <c r="D1096" s="383" t="s">
        <v>43</v>
      </c>
      <c r="E1096" s="383" t="s">
        <v>868</v>
      </c>
      <c r="F1096" s="383" t="str">
        <f t="shared" si="52"/>
        <v xml:space="preserve">S200010DDelmarva Power &amp; </v>
      </c>
      <c r="G1096" s="496">
        <v>-646800</v>
      </c>
      <c r="H1096" s="496">
        <v>646800</v>
      </c>
      <c r="I1096" s="496">
        <f t="shared" si="53"/>
        <v>0</v>
      </c>
      <c r="J1096" s="496" t="s">
        <v>869</v>
      </c>
    </row>
    <row r="1097" spans="1:10" hidden="1" x14ac:dyDescent="0.25">
      <c r="A1097" s="383">
        <f t="shared" si="51"/>
        <v>24</v>
      </c>
      <c r="B1097" s="383" t="s">
        <v>265</v>
      </c>
      <c r="C1097" s="497" t="s">
        <v>1173</v>
      </c>
      <c r="D1097" s="383" t="s">
        <v>1016</v>
      </c>
      <c r="E1097" s="383" t="s">
        <v>868</v>
      </c>
      <c r="F1097" s="383" t="str">
        <f t="shared" si="52"/>
        <v>S200010DDTE Energy Tradin</v>
      </c>
      <c r="G1097" s="496">
        <v>-3288700</v>
      </c>
      <c r="H1097" s="496">
        <v>3288700</v>
      </c>
      <c r="I1097" s="496">
        <f t="shared" si="53"/>
        <v>0</v>
      </c>
      <c r="J1097" s="496" t="s">
        <v>869</v>
      </c>
    </row>
    <row r="1098" spans="1:10" hidden="1" x14ac:dyDescent="0.25">
      <c r="A1098" s="383">
        <f t="shared" si="51"/>
        <v>23</v>
      </c>
      <c r="B1098" s="383" t="s">
        <v>265</v>
      </c>
      <c r="C1098" s="497" t="s">
        <v>1173</v>
      </c>
      <c r="D1098" s="383" t="s">
        <v>1292</v>
      </c>
      <c r="E1098" s="383" t="s">
        <v>868</v>
      </c>
      <c r="F1098" s="383" t="str">
        <f t="shared" si="52"/>
        <v>S200010DDuke Energy Tradi</v>
      </c>
      <c r="G1098" s="496">
        <v>-176345346.99000001</v>
      </c>
      <c r="H1098" s="496">
        <v>176345346.99000001</v>
      </c>
      <c r="I1098" s="496">
        <f t="shared" si="53"/>
        <v>0</v>
      </c>
      <c r="J1098" s="496" t="s">
        <v>869</v>
      </c>
    </row>
    <row r="1099" spans="1:10" hidden="1" x14ac:dyDescent="0.25">
      <c r="A1099" s="383">
        <f t="shared" si="51"/>
        <v>24</v>
      </c>
      <c r="B1099" s="383" t="s">
        <v>265</v>
      </c>
      <c r="C1099" s="497" t="s">
        <v>1173</v>
      </c>
      <c r="D1099" s="383" t="s">
        <v>1293</v>
      </c>
      <c r="E1099" s="383" t="s">
        <v>868</v>
      </c>
      <c r="F1099" s="383" t="str">
        <f t="shared" si="52"/>
        <v>S200010DDuke Power, a div</v>
      </c>
      <c r="G1099" s="496">
        <v>-1210800</v>
      </c>
      <c r="H1099" s="496">
        <v>1210800</v>
      </c>
      <c r="I1099" s="496">
        <f t="shared" si="53"/>
        <v>0</v>
      </c>
      <c r="J1099" s="496" t="s">
        <v>869</v>
      </c>
    </row>
    <row r="1100" spans="1:10" hidden="1" x14ac:dyDescent="0.25">
      <c r="A1100" s="383">
        <f t="shared" si="51"/>
        <v>23</v>
      </c>
      <c r="B1100" s="383" t="s">
        <v>265</v>
      </c>
      <c r="C1100" s="497" t="s">
        <v>1173</v>
      </c>
      <c r="D1100" s="383" t="s">
        <v>1255</v>
      </c>
      <c r="E1100" s="383" t="s">
        <v>868</v>
      </c>
      <c r="F1100" s="383" t="str">
        <f t="shared" si="52"/>
        <v>S200010DDynegy Power Mark</v>
      </c>
      <c r="G1100" s="496">
        <v>-83553692.74000001</v>
      </c>
      <c r="H1100" s="496">
        <v>83553692.739999995</v>
      </c>
      <c r="I1100" s="496">
        <f t="shared" si="53"/>
        <v>0</v>
      </c>
      <c r="J1100" s="496" t="s">
        <v>869</v>
      </c>
    </row>
    <row r="1101" spans="1:10" hidden="1" x14ac:dyDescent="0.25">
      <c r="A1101" s="383">
        <f t="shared" si="51"/>
        <v>24</v>
      </c>
      <c r="B1101" s="383" t="s">
        <v>265</v>
      </c>
      <c r="C1101" s="497" t="s">
        <v>1173</v>
      </c>
      <c r="D1101" s="383" t="s">
        <v>1294</v>
      </c>
      <c r="E1101" s="383" t="s">
        <v>868</v>
      </c>
      <c r="F1101" s="383" t="str">
        <f t="shared" si="52"/>
        <v>S200010DEdison Mission Ma</v>
      </c>
      <c r="G1101" s="496">
        <v>-127442416.15000001</v>
      </c>
      <c r="H1101" s="496">
        <v>127442416.15000001</v>
      </c>
      <c r="I1101" s="496">
        <f t="shared" si="53"/>
        <v>0</v>
      </c>
      <c r="J1101" s="496" t="s">
        <v>869</v>
      </c>
    </row>
    <row r="1102" spans="1:10" hidden="1" x14ac:dyDescent="0.25">
      <c r="A1102" s="383">
        <f t="shared" si="51"/>
        <v>24</v>
      </c>
      <c r="B1102" s="383" t="s">
        <v>265</v>
      </c>
      <c r="C1102" s="497" t="s">
        <v>1173</v>
      </c>
      <c r="D1102" s="383" t="s">
        <v>1240</v>
      </c>
      <c r="E1102" s="383" t="s">
        <v>868</v>
      </c>
      <c r="F1102" s="383" t="str">
        <f t="shared" si="52"/>
        <v xml:space="preserve">S200010DEl Paso Electric </v>
      </c>
      <c r="G1102" s="496">
        <v>-4300341.8600000003</v>
      </c>
      <c r="H1102" s="496">
        <v>4300341.8600000003</v>
      </c>
      <c r="I1102" s="496">
        <f t="shared" si="53"/>
        <v>0</v>
      </c>
      <c r="J1102" s="496" t="s">
        <v>869</v>
      </c>
    </row>
    <row r="1103" spans="1:10" hidden="1" x14ac:dyDescent="0.25">
      <c r="A1103" s="383">
        <f t="shared" si="51"/>
        <v>24</v>
      </c>
      <c r="B1103" s="383" t="s">
        <v>265</v>
      </c>
      <c r="C1103" s="497" t="s">
        <v>1173</v>
      </c>
      <c r="D1103" s="383" t="s">
        <v>1295</v>
      </c>
      <c r="E1103" s="383" t="s">
        <v>868</v>
      </c>
      <c r="F1103" s="383" t="str">
        <f t="shared" si="52"/>
        <v xml:space="preserve">S200010DEl Paso Merchant </v>
      </c>
      <c r="G1103" s="496">
        <v>-105756631.46000001</v>
      </c>
      <c r="H1103" s="496">
        <v>105756631.45999999</v>
      </c>
      <c r="I1103" s="496">
        <f t="shared" si="53"/>
        <v>0</v>
      </c>
      <c r="J1103" s="496" t="s">
        <v>869</v>
      </c>
    </row>
    <row r="1104" spans="1:10" hidden="1" x14ac:dyDescent="0.25">
      <c r="A1104" s="383">
        <f t="shared" si="51"/>
        <v>39</v>
      </c>
      <c r="B1104" s="487" t="s">
        <v>265</v>
      </c>
      <c r="C1104" s="498" t="s">
        <v>1173</v>
      </c>
      <c r="D1104" s="487" t="s">
        <v>1298</v>
      </c>
      <c r="E1104" s="487" t="s">
        <v>868</v>
      </c>
      <c r="F1104" s="487" t="str">
        <f t="shared" si="52"/>
        <v>S200010DEnron Energy Mark</v>
      </c>
      <c r="G1104" s="499"/>
      <c r="H1104" s="499">
        <f>VLOOKUP(F1104,[2]Pivot!$R$20:$S$1359,2,FALSE)</f>
        <v>84979.98</v>
      </c>
      <c r="I1104" s="499">
        <f t="shared" si="53"/>
        <v>84979.98</v>
      </c>
      <c r="J1104" s="499" t="s">
        <v>951</v>
      </c>
    </row>
    <row r="1105" spans="1:10" hidden="1" x14ac:dyDescent="0.25">
      <c r="A1105" s="383">
        <f t="shared" si="51"/>
        <v>20</v>
      </c>
      <c r="B1105" s="383" t="s">
        <v>265</v>
      </c>
      <c r="C1105" s="497" t="s">
        <v>1173</v>
      </c>
      <c r="D1105" s="383" t="s">
        <v>1256</v>
      </c>
      <c r="E1105" s="383" t="s">
        <v>868</v>
      </c>
      <c r="F1105" s="383" t="str">
        <f t="shared" si="52"/>
        <v>S200010DEnron Energy Serv</v>
      </c>
      <c r="G1105" s="496">
        <v>-130142748.27</v>
      </c>
      <c r="H1105" s="496">
        <v>130142748.27</v>
      </c>
      <c r="I1105" s="496">
        <f t="shared" si="53"/>
        <v>0</v>
      </c>
      <c r="J1105" s="496" t="s">
        <v>869</v>
      </c>
    </row>
    <row r="1106" spans="1:10" hidden="1" x14ac:dyDescent="0.25">
      <c r="A1106" s="383">
        <f t="shared" si="51"/>
        <v>23</v>
      </c>
      <c r="B1106" s="383" t="s">
        <v>265</v>
      </c>
      <c r="C1106" s="497" t="s">
        <v>1173</v>
      </c>
      <c r="D1106" s="383" t="s">
        <v>1267</v>
      </c>
      <c r="E1106" s="383" t="s">
        <v>868</v>
      </c>
      <c r="F1106" s="383" t="str">
        <f t="shared" si="52"/>
        <v>S200010DEntergy Power Mar</v>
      </c>
      <c r="G1106" s="496">
        <v>-5910700</v>
      </c>
      <c r="H1106" s="496">
        <v>5910700</v>
      </c>
      <c r="I1106" s="496">
        <f t="shared" si="53"/>
        <v>0</v>
      </c>
      <c r="J1106" s="496" t="s">
        <v>869</v>
      </c>
    </row>
    <row r="1107" spans="1:10" hidden="1" x14ac:dyDescent="0.25">
      <c r="A1107" s="383">
        <f t="shared" si="51"/>
        <v>23</v>
      </c>
      <c r="B1107" s="383" t="s">
        <v>265</v>
      </c>
      <c r="C1107" s="497" t="s">
        <v>1173</v>
      </c>
      <c r="D1107" s="383" t="s">
        <v>1300</v>
      </c>
      <c r="E1107" s="383" t="s">
        <v>868</v>
      </c>
      <c r="F1107" s="383" t="str">
        <f t="shared" si="52"/>
        <v>S200010DEugene Water &amp; El</v>
      </c>
      <c r="G1107" s="496">
        <v>-3616312.5</v>
      </c>
      <c r="H1107" s="496">
        <v>3616312.5</v>
      </c>
      <c r="I1107" s="496">
        <f t="shared" si="53"/>
        <v>0</v>
      </c>
      <c r="J1107" s="496" t="s">
        <v>869</v>
      </c>
    </row>
    <row r="1108" spans="1:10" hidden="1" x14ac:dyDescent="0.25">
      <c r="A1108" s="383">
        <f t="shared" si="51"/>
        <v>24</v>
      </c>
      <c r="B1108" s="383" t="s">
        <v>265</v>
      </c>
      <c r="C1108" s="497" t="s">
        <v>1173</v>
      </c>
      <c r="D1108" s="383" t="s">
        <v>44</v>
      </c>
      <c r="E1108" s="383" t="s">
        <v>868</v>
      </c>
      <c r="F1108" s="383" t="str">
        <f t="shared" si="52"/>
        <v>S200010DFlorida Power &amp; L</v>
      </c>
      <c r="G1108" s="496">
        <v>-135854</v>
      </c>
      <c r="H1108" s="496">
        <v>135854</v>
      </c>
      <c r="I1108" s="496">
        <f t="shared" si="53"/>
        <v>0</v>
      </c>
      <c r="J1108" s="496" t="s">
        <v>869</v>
      </c>
    </row>
    <row r="1109" spans="1:10" hidden="1" x14ac:dyDescent="0.25">
      <c r="A1109" s="383">
        <f t="shared" si="51"/>
        <v>24</v>
      </c>
      <c r="B1109" s="383" t="s">
        <v>265</v>
      </c>
      <c r="C1109" s="497" t="s">
        <v>1173</v>
      </c>
      <c r="D1109" s="383" t="s">
        <v>1301</v>
      </c>
      <c r="E1109" s="383" t="s">
        <v>868</v>
      </c>
      <c r="F1109" s="383" t="str">
        <f t="shared" si="52"/>
        <v xml:space="preserve">S200010DFPL Energy Power </v>
      </c>
      <c r="G1109" s="496">
        <v>-271700</v>
      </c>
      <c r="H1109" s="496">
        <v>271700</v>
      </c>
      <c r="I1109" s="496">
        <f t="shared" si="53"/>
        <v>0</v>
      </c>
      <c r="J1109" s="496" t="s">
        <v>869</v>
      </c>
    </row>
    <row r="1110" spans="1:10" hidden="1" x14ac:dyDescent="0.25">
      <c r="A1110" s="383">
        <f t="shared" si="51"/>
        <v>23</v>
      </c>
      <c r="B1110" s="383" t="s">
        <v>265</v>
      </c>
      <c r="C1110" s="497" t="s">
        <v>1173</v>
      </c>
      <c r="D1110" s="383" t="s">
        <v>45</v>
      </c>
      <c r="E1110" s="383" t="s">
        <v>868</v>
      </c>
      <c r="F1110" s="383" t="str">
        <f t="shared" si="52"/>
        <v>S200010DGPU Advanced Reso</v>
      </c>
      <c r="G1110" s="496">
        <v>-448800</v>
      </c>
      <c r="H1110" s="496">
        <v>448800</v>
      </c>
      <c r="I1110" s="496">
        <f t="shared" si="53"/>
        <v>0</v>
      </c>
      <c r="J1110" s="496" t="s">
        <v>869</v>
      </c>
    </row>
    <row r="1111" spans="1:10" hidden="1" x14ac:dyDescent="0.25">
      <c r="A1111" s="383">
        <f t="shared" si="51"/>
        <v>17</v>
      </c>
      <c r="B1111" s="383" t="s">
        <v>265</v>
      </c>
      <c r="C1111" s="497" t="s">
        <v>1173</v>
      </c>
      <c r="D1111" s="383" t="s">
        <v>46</v>
      </c>
      <c r="E1111" s="383" t="s">
        <v>868</v>
      </c>
      <c r="F1111" s="383" t="str">
        <f t="shared" si="52"/>
        <v>S200010DGPU Service, Inc.</v>
      </c>
      <c r="G1111" s="496">
        <v>-10996160</v>
      </c>
      <c r="H1111" s="496">
        <v>10996160</v>
      </c>
      <c r="I1111" s="496">
        <f t="shared" si="53"/>
        <v>0</v>
      </c>
      <c r="J1111" s="496" t="s">
        <v>869</v>
      </c>
    </row>
    <row r="1112" spans="1:10" hidden="1" x14ac:dyDescent="0.25">
      <c r="A1112" s="383">
        <f t="shared" si="51"/>
        <v>24</v>
      </c>
      <c r="B1112" s="383" t="s">
        <v>265</v>
      </c>
      <c r="C1112" s="497" t="s">
        <v>1173</v>
      </c>
      <c r="D1112" s="383" t="s">
        <v>47</v>
      </c>
      <c r="E1112" s="383" t="s">
        <v>868</v>
      </c>
      <c r="F1112" s="383" t="str">
        <f t="shared" si="52"/>
        <v>S200010DGreat Bay Power C</v>
      </c>
      <c r="G1112" s="496">
        <v>-307068.75</v>
      </c>
      <c r="H1112" s="496">
        <v>307068.75</v>
      </c>
      <c r="I1112" s="496">
        <f t="shared" si="53"/>
        <v>0</v>
      </c>
      <c r="J1112" s="496" t="s">
        <v>869</v>
      </c>
    </row>
    <row r="1113" spans="1:10" hidden="1" x14ac:dyDescent="0.25">
      <c r="A1113" s="383">
        <f t="shared" si="51"/>
        <v>18</v>
      </c>
      <c r="B1113" s="383" t="s">
        <v>265</v>
      </c>
      <c r="C1113" s="497" t="s">
        <v>1173</v>
      </c>
      <c r="D1113" s="383" t="s">
        <v>1272</v>
      </c>
      <c r="E1113" s="383" t="s">
        <v>868</v>
      </c>
      <c r="F1113" s="383" t="str">
        <f t="shared" si="52"/>
        <v>S200010DGreat River Energ</v>
      </c>
      <c r="G1113" s="496">
        <v>-836000</v>
      </c>
      <c r="H1113" s="496"/>
      <c r="I1113" s="496">
        <f t="shared" si="53"/>
        <v>-836000</v>
      </c>
      <c r="J1113" s="496" t="s">
        <v>890</v>
      </c>
    </row>
    <row r="1114" spans="1:10" hidden="1" x14ac:dyDescent="0.25">
      <c r="A1114" s="383">
        <f t="shared" si="51"/>
        <v>24</v>
      </c>
      <c r="B1114" s="383" t="s">
        <v>265</v>
      </c>
      <c r="C1114" s="497" t="s">
        <v>1173</v>
      </c>
      <c r="D1114" s="383" t="s">
        <v>48</v>
      </c>
      <c r="E1114" s="383" t="s">
        <v>868</v>
      </c>
      <c r="F1114" s="383" t="str">
        <f t="shared" si="52"/>
        <v>S200010DGriffin Energy Ma</v>
      </c>
      <c r="G1114" s="496">
        <v>-23200</v>
      </c>
      <c r="H1114" s="496">
        <v>23200</v>
      </c>
      <c r="I1114" s="496">
        <f t="shared" si="53"/>
        <v>0</v>
      </c>
      <c r="J1114" s="496" t="s">
        <v>869</v>
      </c>
    </row>
    <row r="1115" spans="1:10" hidden="1" x14ac:dyDescent="0.25">
      <c r="A1115" s="383">
        <f t="shared" si="51"/>
        <v>24</v>
      </c>
      <c r="B1115" s="383" t="s">
        <v>265</v>
      </c>
      <c r="C1115" s="497" t="s">
        <v>1173</v>
      </c>
      <c r="D1115" s="383" t="s">
        <v>49</v>
      </c>
      <c r="E1115" s="383" t="s">
        <v>868</v>
      </c>
      <c r="F1115" s="383" t="str">
        <f t="shared" si="52"/>
        <v>S200010DHafslund Energy T</v>
      </c>
      <c r="G1115" s="496">
        <v>-13340763.83</v>
      </c>
      <c r="H1115" s="496">
        <v>13340763.83</v>
      </c>
      <c r="I1115" s="496">
        <f t="shared" si="53"/>
        <v>0</v>
      </c>
      <c r="J1115" s="496" t="s">
        <v>869</v>
      </c>
    </row>
    <row r="1116" spans="1:10" hidden="1" x14ac:dyDescent="0.25">
      <c r="A1116" s="383">
        <f t="shared" si="51"/>
        <v>24</v>
      </c>
      <c r="B1116" s="383" t="s">
        <v>265</v>
      </c>
      <c r="C1116" s="497" t="s">
        <v>1173</v>
      </c>
      <c r="D1116" s="383" t="s">
        <v>50</v>
      </c>
      <c r="E1116" s="383" t="s">
        <v>868</v>
      </c>
      <c r="F1116" s="383" t="str">
        <f t="shared" si="52"/>
        <v>S200010DHarbor Cogenerati</v>
      </c>
      <c r="G1116" s="496">
        <v>-29569.39</v>
      </c>
      <c r="H1116" s="496">
        <v>29569.39</v>
      </c>
      <c r="I1116" s="496">
        <f t="shared" si="53"/>
        <v>0</v>
      </c>
      <c r="J1116" s="496" t="s">
        <v>869</v>
      </c>
    </row>
    <row r="1117" spans="1:10" hidden="1" x14ac:dyDescent="0.25">
      <c r="A1117" s="383">
        <f t="shared" si="51"/>
        <v>24</v>
      </c>
      <c r="B1117" s="383" t="s">
        <v>265</v>
      </c>
      <c r="C1117" s="497" t="s">
        <v>1173</v>
      </c>
      <c r="D1117" s="383" t="s">
        <v>51</v>
      </c>
      <c r="E1117" s="383" t="s">
        <v>868</v>
      </c>
      <c r="F1117" s="383" t="str">
        <f t="shared" si="52"/>
        <v>S200010DHinson Power Comp</v>
      </c>
      <c r="G1117" s="496">
        <v>-462510</v>
      </c>
      <c r="H1117" s="496">
        <v>462510</v>
      </c>
      <c r="I1117" s="496">
        <f t="shared" si="53"/>
        <v>0</v>
      </c>
      <c r="J1117" s="496" t="s">
        <v>869</v>
      </c>
    </row>
    <row r="1118" spans="1:10" hidden="1" x14ac:dyDescent="0.25">
      <c r="A1118" s="383">
        <f t="shared" si="51"/>
        <v>24</v>
      </c>
      <c r="B1118" s="383" t="s">
        <v>265</v>
      </c>
      <c r="C1118" s="497" t="s">
        <v>1173</v>
      </c>
      <c r="D1118" s="383" t="s">
        <v>1302</v>
      </c>
      <c r="E1118" s="383" t="s">
        <v>868</v>
      </c>
      <c r="F1118" s="383" t="str">
        <f t="shared" si="52"/>
        <v>S200010DHQ Energy Service</v>
      </c>
      <c r="G1118" s="496">
        <v>-11909140</v>
      </c>
      <c r="H1118" s="496">
        <v>11909140</v>
      </c>
      <c r="I1118" s="496">
        <f t="shared" si="53"/>
        <v>0</v>
      </c>
      <c r="J1118" s="496" t="s">
        <v>869</v>
      </c>
    </row>
    <row r="1119" spans="1:10" hidden="1" x14ac:dyDescent="0.25">
      <c r="A1119" s="383">
        <f t="shared" si="51"/>
        <v>24</v>
      </c>
      <c r="B1119" s="383" t="s">
        <v>265</v>
      </c>
      <c r="C1119" s="497" t="s">
        <v>1173</v>
      </c>
      <c r="D1119" s="383" t="s">
        <v>1303</v>
      </c>
      <c r="E1119" s="383" t="s">
        <v>868</v>
      </c>
      <c r="F1119" s="383" t="str">
        <f t="shared" si="52"/>
        <v>S200010DIdaho Power Compa</v>
      </c>
      <c r="G1119" s="496">
        <v>-43353393.75</v>
      </c>
      <c r="H1119" s="496">
        <v>43353393.75</v>
      </c>
      <c r="I1119" s="496">
        <f t="shared" si="53"/>
        <v>0</v>
      </c>
      <c r="J1119" s="496" t="s">
        <v>869</v>
      </c>
    </row>
    <row r="1120" spans="1:10" hidden="1" x14ac:dyDescent="0.25">
      <c r="A1120" s="383">
        <f t="shared" si="51"/>
        <v>23</v>
      </c>
      <c r="B1120" s="383" t="s">
        <v>265</v>
      </c>
      <c r="C1120" s="497" t="s">
        <v>1173</v>
      </c>
      <c r="D1120" s="383" t="s">
        <v>1305</v>
      </c>
      <c r="E1120" s="383" t="s">
        <v>868</v>
      </c>
      <c r="F1120" s="383" t="str">
        <f t="shared" si="52"/>
        <v>S200010DIndiana Municipal</v>
      </c>
      <c r="G1120" s="496">
        <v>-101600</v>
      </c>
      <c r="H1120" s="496">
        <v>101600</v>
      </c>
      <c r="I1120" s="496">
        <f t="shared" si="53"/>
        <v>0</v>
      </c>
      <c r="J1120" s="496" t="s">
        <v>869</v>
      </c>
    </row>
    <row r="1121" spans="1:10" hidden="1" x14ac:dyDescent="0.25">
      <c r="A1121" s="383">
        <f t="shared" si="51"/>
        <v>24</v>
      </c>
      <c r="B1121" s="383" t="s">
        <v>265</v>
      </c>
      <c r="C1121" s="497" t="s">
        <v>1173</v>
      </c>
      <c r="D1121" s="383" t="s">
        <v>1306</v>
      </c>
      <c r="E1121" s="383" t="s">
        <v>868</v>
      </c>
      <c r="F1121" s="383" t="str">
        <f t="shared" si="52"/>
        <v>S200010DIndianapolis Powe</v>
      </c>
      <c r="G1121" s="496">
        <v>-34800</v>
      </c>
      <c r="H1121" s="496">
        <v>34800</v>
      </c>
      <c r="I1121" s="496">
        <f t="shared" si="53"/>
        <v>0</v>
      </c>
      <c r="J1121" s="496" t="s">
        <v>869</v>
      </c>
    </row>
    <row r="1122" spans="1:10" hidden="1" x14ac:dyDescent="0.25">
      <c r="A1122" s="383">
        <f t="shared" si="51"/>
        <v>20</v>
      </c>
      <c r="B1122" s="383" t="s">
        <v>265</v>
      </c>
      <c r="C1122" s="497" t="s">
        <v>1173</v>
      </c>
      <c r="D1122" s="383" t="s">
        <v>520</v>
      </c>
      <c r="E1122" s="383" t="s">
        <v>868</v>
      </c>
      <c r="F1122" s="383" t="str">
        <f t="shared" si="52"/>
        <v>S200010DISO New England I</v>
      </c>
      <c r="G1122" s="496">
        <v>-77669857.120000005</v>
      </c>
      <c r="H1122" s="496"/>
      <c r="I1122" s="496">
        <f t="shared" si="53"/>
        <v>-77669857.120000005</v>
      </c>
      <c r="J1122" s="499" t="s">
        <v>890</v>
      </c>
    </row>
    <row r="1123" spans="1:10" hidden="1" x14ac:dyDescent="0.25">
      <c r="A1123" s="383">
        <f t="shared" si="51"/>
        <v>24</v>
      </c>
      <c r="B1123" s="383" t="s">
        <v>265</v>
      </c>
      <c r="C1123" s="497" t="s">
        <v>1173</v>
      </c>
      <c r="D1123" s="383" t="s">
        <v>1247</v>
      </c>
      <c r="E1123" s="383" t="s">
        <v>868</v>
      </c>
      <c r="F1123" s="383" t="str">
        <f t="shared" si="52"/>
        <v>S200010DJacksonville Elec</v>
      </c>
      <c r="G1123" s="496">
        <v>-2243238.7000000002</v>
      </c>
      <c r="H1123" s="496">
        <v>2243238.7000000002</v>
      </c>
      <c r="I1123" s="496">
        <f t="shared" si="53"/>
        <v>0</v>
      </c>
      <c r="J1123" s="496" t="s">
        <v>869</v>
      </c>
    </row>
    <row r="1124" spans="1:10" hidden="1" x14ac:dyDescent="0.25">
      <c r="A1124" s="383">
        <f t="shared" si="51"/>
        <v>24</v>
      </c>
      <c r="B1124" s="383" t="s">
        <v>265</v>
      </c>
      <c r="C1124" s="497" t="s">
        <v>1173</v>
      </c>
      <c r="D1124" s="383" t="s">
        <v>52</v>
      </c>
      <c r="E1124" s="383" t="s">
        <v>868</v>
      </c>
      <c r="F1124" s="383" t="str">
        <f t="shared" si="52"/>
        <v>S200010DKeyspan Energy Tr</v>
      </c>
      <c r="G1124" s="496">
        <v>-26750</v>
      </c>
      <c r="H1124" s="496">
        <v>26750</v>
      </c>
      <c r="I1124" s="496">
        <f t="shared" si="53"/>
        <v>0</v>
      </c>
      <c r="J1124" s="496" t="s">
        <v>869</v>
      </c>
    </row>
    <row r="1125" spans="1:10" hidden="1" x14ac:dyDescent="0.25">
      <c r="A1125" s="383">
        <f t="shared" si="51"/>
        <v>25</v>
      </c>
      <c r="B1125" s="383" t="s">
        <v>265</v>
      </c>
      <c r="C1125" s="497" t="s">
        <v>1173</v>
      </c>
      <c r="D1125" s="383" t="s">
        <v>1309</v>
      </c>
      <c r="E1125" s="383" t="s">
        <v>868</v>
      </c>
      <c r="F1125" s="383" t="str">
        <f t="shared" si="52"/>
        <v>S200010DKoch Energy Tradi</v>
      </c>
      <c r="G1125" s="496">
        <v>-40337440</v>
      </c>
      <c r="H1125" s="496">
        <v>40337440</v>
      </c>
      <c r="I1125" s="496">
        <f t="shared" si="53"/>
        <v>0</v>
      </c>
      <c r="J1125" s="496" t="s">
        <v>869</v>
      </c>
    </row>
    <row r="1126" spans="1:10" hidden="1" x14ac:dyDescent="0.25">
      <c r="A1126" s="383">
        <f t="shared" si="51"/>
        <v>23</v>
      </c>
      <c r="B1126" s="383" t="s">
        <v>265</v>
      </c>
      <c r="C1126" s="497" t="s">
        <v>1173</v>
      </c>
      <c r="D1126" s="383" t="s">
        <v>1244</v>
      </c>
      <c r="E1126" s="383" t="s">
        <v>868</v>
      </c>
      <c r="F1126" s="383" t="str">
        <f t="shared" si="52"/>
        <v>S200010DLas Vegas Cogener</v>
      </c>
      <c r="G1126" s="496">
        <v>-18650.82</v>
      </c>
      <c r="H1126" s="496">
        <v>18650.82</v>
      </c>
      <c r="I1126" s="496">
        <f t="shared" si="53"/>
        <v>0</v>
      </c>
      <c r="J1126" s="496" t="s">
        <v>869</v>
      </c>
    </row>
    <row r="1127" spans="1:10" hidden="1" x14ac:dyDescent="0.25">
      <c r="A1127" s="383">
        <f t="shared" si="51"/>
        <v>24</v>
      </c>
      <c r="B1127" s="383" t="s">
        <v>265</v>
      </c>
      <c r="C1127" s="497" t="s">
        <v>1173</v>
      </c>
      <c r="D1127" s="383" t="s">
        <v>1311</v>
      </c>
      <c r="E1127" s="383" t="s">
        <v>868</v>
      </c>
      <c r="F1127" s="383" t="str">
        <f t="shared" si="52"/>
        <v>S200010DLos Angeles Dept.</v>
      </c>
      <c r="G1127" s="496">
        <v>-662266.55000000005</v>
      </c>
      <c r="H1127" s="496">
        <v>662266.55000000005</v>
      </c>
      <c r="I1127" s="496">
        <f t="shared" si="53"/>
        <v>0</v>
      </c>
      <c r="J1127" s="496" t="s">
        <v>869</v>
      </c>
    </row>
    <row r="1128" spans="1:10" hidden="1" x14ac:dyDescent="0.25">
      <c r="A1128" s="383">
        <f t="shared" si="51"/>
        <v>24</v>
      </c>
      <c r="B1128" s="383" t="s">
        <v>265</v>
      </c>
      <c r="C1128" s="497" t="s">
        <v>1173</v>
      </c>
      <c r="D1128" s="383" t="s">
        <v>1312</v>
      </c>
      <c r="E1128" s="383" t="s">
        <v>868</v>
      </c>
      <c r="F1128" s="383" t="str">
        <f t="shared" si="52"/>
        <v>S200010DLower Colorado Ri</v>
      </c>
      <c r="G1128" s="496">
        <v>-814744</v>
      </c>
      <c r="H1128" s="496">
        <v>814744</v>
      </c>
      <c r="I1128" s="496">
        <f t="shared" si="53"/>
        <v>0</v>
      </c>
      <c r="J1128" s="496" t="s">
        <v>869</v>
      </c>
    </row>
    <row r="1129" spans="1:10" hidden="1" x14ac:dyDescent="0.25">
      <c r="A1129" s="383">
        <f t="shared" si="51"/>
        <v>24</v>
      </c>
      <c r="B1129" s="383" t="s">
        <v>265</v>
      </c>
      <c r="C1129" s="497" t="s">
        <v>1173</v>
      </c>
      <c r="D1129" s="383" t="s">
        <v>1242</v>
      </c>
      <c r="E1129" s="383" t="s">
        <v>868</v>
      </c>
      <c r="F1129" s="383" t="str">
        <f t="shared" si="52"/>
        <v>S200010DMerchant Energy G</v>
      </c>
      <c r="G1129" s="496">
        <v>-7384770</v>
      </c>
      <c r="H1129" s="496">
        <v>7384770</v>
      </c>
      <c r="I1129" s="496">
        <f t="shared" si="53"/>
        <v>0</v>
      </c>
      <c r="J1129" s="496" t="s">
        <v>869</v>
      </c>
    </row>
    <row r="1130" spans="1:10" hidden="1" x14ac:dyDescent="0.25">
      <c r="A1130" s="383">
        <f t="shared" si="51"/>
        <v>24</v>
      </c>
      <c r="B1130" s="383" t="s">
        <v>265</v>
      </c>
      <c r="C1130" s="497" t="s">
        <v>1173</v>
      </c>
      <c r="D1130" s="383" t="s">
        <v>1313</v>
      </c>
      <c r="E1130" s="383" t="s">
        <v>868</v>
      </c>
      <c r="F1130" s="383" t="str">
        <f t="shared" si="52"/>
        <v>S200010DMerrill Lynch Cap</v>
      </c>
      <c r="G1130" s="496">
        <v>-56707184</v>
      </c>
      <c r="H1130" s="496">
        <v>56707184</v>
      </c>
      <c r="I1130" s="496">
        <f t="shared" si="53"/>
        <v>0</v>
      </c>
      <c r="J1130" s="496" t="s">
        <v>869</v>
      </c>
    </row>
    <row r="1131" spans="1:10" hidden="1" x14ac:dyDescent="0.25">
      <c r="A1131" s="383">
        <f t="shared" si="51"/>
        <v>24</v>
      </c>
      <c r="B1131" s="383" t="s">
        <v>265</v>
      </c>
      <c r="C1131" s="497" t="s">
        <v>1173</v>
      </c>
      <c r="D1131" s="383" t="s">
        <v>1268</v>
      </c>
      <c r="E1131" s="383" t="s">
        <v>868</v>
      </c>
      <c r="F1131" s="383" t="str">
        <f t="shared" si="52"/>
        <v>S200010DMichigan Electric</v>
      </c>
      <c r="G1131" s="496">
        <v>-318085</v>
      </c>
      <c r="H1131" s="496">
        <v>318085</v>
      </c>
      <c r="I1131" s="496">
        <f t="shared" si="53"/>
        <v>0</v>
      </c>
      <c r="J1131" s="496" t="s">
        <v>869</v>
      </c>
    </row>
    <row r="1132" spans="1:10" hidden="1" x14ac:dyDescent="0.25">
      <c r="A1132" s="383">
        <f t="shared" si="51"/>
        <v>24</v>
      </c>
      <c r="B1132" s="383" t="s">
        <v>265</v>
      </c>
      <c r="C1132" s="497" t="s">
        <v>1173</v>
      </c>
      <c r="D1132" s="383" t="s">
        <v>53</v>
      </c>
      <c r="E1132" s="383" t="s">
        <v>868</v>
      </c>
      <c r="F1132" s="383" t="str">
        <f t="shared" si="52"/>
        <v>S200010DMichigan South Ce</v>
      </c>
      <c r="G1132" s="496">
        <v>-507278.48</v>
      </c>
      <c r="H1132" s="496">
        <v>507278.48</v>
      </c>
      <c r="I1132" s="496">
        <f t="shared" si="53"/>
        <v>0</v>
      </c>
      <c r="J1132" s="496" t="s">
        <v>869</v>
      </c>
    </row>
    <row r="1133" spans="1:10" hidden="1" x14ac:dyDescent="0.25">
      <c r="A1133" s="383">
        <f t="shared" si="51"/>
        <v>24</v>
      </c>
      <c r="B1133" s="383" t="s">
        <v>265</v>
      </c>
      <c r="C1133" s="497" t="s">
        <v>1173</v>
      </c>
      <c r="D1133" s="383" t="s">
        <v>1314</v>
      </c>
      <c r="E1133" s="383" t="s">
        <v>868</v>
      </c>
      <c r="F1133" s="383" t="str">
        <f t="shared" si="52"/>
        <v>S200010DMidAmerican Energ</v>
      </c>
      <c r="G1133" s="496">
        <v>-580800</v>
      </c>
      <c r="H1133" s="496">
        <v>580800</v>
      </c>
      <c r="I1133" s="496">
        <f t="shared" si="53"/>
        <v>0</v>
      </c>
      <c r="J1133" s="496" t="s">
        <v>869</v>
      </c>
    </row>
    <row r="1134" spans="1:10" hidden="1" x14ac:dyDescent="0.25">
      <c r="A1134" s="383">
        <f t="shared" si="51"/>
        <v>10</v>
      </c>
      <c r="B1134" s="383" t="s">
        <v>265</v>
      </c>
      <c r="C1134" s="497" t="s">
        <v>1173</v>
      </c>
      <c r="D1134" s="383" t="s">
        <v>909</v>
      </c>
      <c r="E1134" s="383" t="s">
        <v>868</v>
      </c>
      <c r="F1134" s="383" t="str">
        <f t="shared" si="52"/>
        <v>S200010DMieco Inc.</v>
      </c>
      <c r="G1134" s="496">
        <v>-24780555.949999999</v>
      </c>
      <c r="H1134" s="496">
        <v>24780555.949999999</v>
      </c>
      <c r="I1134" s="496">
        <f t="shared" si="53"/>
        <v>0</v>
      </c>
      <c r="J1134" s="496" t="s">
        <v>869</v>
      </c>
    </row>
    <row r="1135" spans="1:10" hidden="1" x14ac:dyDescent="0.25">
      <c r="A1135" s="383">
        <f t="shared" si="51"/>
        <v>24</v>
      </c>
      <c r="B1135" s="383" t="s">
        <v>265</v>
      </c>
      <c r="C1135" s="497" t="s">
        <v>1173</v>
      </c>
      <c r="D1135" s="383" t="s">
        <v>1315</v>
      </c>
      <c r="E1135" s="383" t="s">
        <v>868</v>
      </c>
      <c r="F1135" s="383" t="str">
        <f t="shared" si="52"/>
        <v>S200010DMinnesota Municip</v>
      </c>
      <c r="G1135" s="496">
        <v>-56510</v>
      </c>
      <c r="H1135" s="496">
        <v>56510</v>
      </c>
      <c r="I1135" s="496">
        <f t="shared" si="53"/>
        <v>0</v>
      </c>
      <c r="J1135" s="496" t="s">
        <v>869</v>
      </c>
    </row>
    <row r="1136" spans="1:10" hidden="1" x14ac:dyDescent="0.25">
      <c r="A1136" s="383">
        <f t="shared" si="51"/>
        <v>21</v>
      </c>
      <c r="B1136" s="383" t="s">
        <v>265</v>
      </c>
      <c r="C1136" s="497" t="s">
        <v>1173</v>
      </c>
      <c r="D1136" s="383" t="s">
        <v>965</v>
      </c>
      <c r="E1136" s="383" t="s">
        <v>868</v>
      </c>
      <c r="F1136" s="383" t="str">
        <f t="shared" si="52"/>
        <v xml:space="preserve">S200010DMinnesota Power, </v>
      </c>
      <c r="G1136" s="496">
        <v>-110000</v>
      </c>
      <c r="H1136" s="496">
        <v>110000</v>
      </c>
      <c r="I1136" s="496">
        <f t="shared" si="53"/>
        <v>0</v>
      </c>
      <c r="J1136" s="496" t="s">
        <v>869</v>
      </c>
    </row>
    <row r="1137" spans="1:10" hidden="1" x14ac:dyDescent="0.25">
      <c r="A1137" s="383">
        <f t="shared" si="51"/>
        <v>23</v>
      </c>
      <c r="B1137" s="383" t="s">
        <v>265</v>
      </c>
      <c r="C1137" s="497" t="s">
        <v>1173</v>
      </c>
      <c r="D1137" s="383" t="s">
        <v>54</v>
      </c>
      <c r="E1137" s="383" t="s">
        <v>868</v>
      </c>
      <c r="F1137" s="383" t="str">
        <f t="shared" si="52"/>
        <v>S200010DMissouri Public S</v>
      </c>
      <c r="G1137" s="496">
        <v>-21112</v>
      </c>
      <c r="H1137" s="496">
        <v>21112</v>
      </c>
      <c r="I1137" s="496">
        <f t="shared" si="53"/>
        <v>0</v>
      </c>
      <c r="J1137" s="496" t="s">
        <v>869</v>
      </c>
    </row>
    <row r="1138" spans="1:10" hidden="1" x14ac:dyDescent="0.25">
      <c r="A1138" s="383">
        <f t="shared" si="51"/>
        <v>23</v>
      </c>
      <c r="B1138" s="383" t="s">
        <v>265</v>
      </c>
      <c r="C1138" s="497" t="s">
        <v>1173</v>
      </c>
      <c r="D1138" s="383" t="s">
        <v>1243</v>
      </c>
      <c r="E1138" s="383" t="s">
        <v>868</v>
      </c>
      <c r="F1138" s="383" t="str">
        <f t="shared" si="52"/>
        <v>S200010DMontana Power Com</v>
      </c>
      <c r="G1138" s="496">
        <v>-12430</v>
      </c>
      <c r="H1138" s="496">
        <v>12430</v>
      </c>
      <c r="I1138" s="496">
        <f t="shared" si="53"/>
        <v>0</v>
      </c>
      <c r="J1138" s="496" t="s">
        <v>869</v>
      </c>
    </row>
    <row r="1139" spans="1:10" hidden="1" x14ac:dyDescent="0.25">
      <c r="A1139" s="383">
        <f t="shared" si="51"/>
        <v>24</v>
      </c>
      <c r="B1139" s="383" t="s">
        <v>265</v>
      </c>
      <c r="C1139" s="497" t="s">
        <v>1173</v>
      </c>
      <c r="D1139" s="383" t="s">
        <v>1239</v>
      </c>
      <c r="E1139" s="383" t="s">
        <v>868</v>
      </c>
      <c r="F1139" s="383" t="str">
        <f t="shared" si="52"/>
        <v>S200010DMorgan Stanley Ca</v>
      </c>
      <c r="G1139" s="496">
        <v>-41782720</v>
      </c>
      <c r="H1139" s="496">
        <v>41782720</v>
      </c>
      <c r="I1139" s="496">
        <f t="shared" si="53"/>
        <v>0</v>
      </c>
      <c r="J1139" s="496" t="s">
        <v>869</v>
      </c>
    </row>
    <row r="1140" spans="1:10" hidden="1" x14ac:dyDescent="0.25">
      <c r="A1140" s="383">
        <f t="shared" si="51"/>
        <v>20</v>
      </c>
      <c r="B1140" s="383" t="s">
        <v>265</v>
      </c>
      <c r="C1140" s="497" t="s">
        <v>1173</v>
      </c>
      <c r="D1140" s="383" t="s">
        <v>979</v>
      </c>
      <c r="E1140" s="383" t="s">
        <v>868</v>
      </c>
      <c r="F1140" s="383" t="str">
        <f t="shared" si="52"/>
        <v>S200010DNevada Power Comp</v>
      </c>
      <c r="G1140" s="496">
        <v>-1553255</v>
      </c>
      <c r="H1140" s="496">
        <v>1553255</v>
      </c>
      <c r="I1140" s="496">
        <f t="shared" si="53"/>
        <v>0</v>
      </c>
      <c r="J1140" s="496" t="s">
        <v>869</v>
      </c>
    </row>
    <row r="1141" spans="1:10" hidden="1" x14ac:dyDescent="0.25">
      <c r="A1141" s="383">
        <f t="shared" si="51"/>
        <v>22</v>
      </c>
      <c r="B1141" s="487" t="s">
        <v>265</v>
      </c>
      <c r="C1141" s="498" t="s">
        <v>1173</v>
      </c>
      <c r="D1141" s="487" t="s">
        <v>884</v>
      </c>
      <c r="E1141" s="487" t="s">
        <v>868</v>
      </c>
      <c r="F1141" s="487" t="str">
        <f t="shared" si="52"/>
        <v>S200010DNew England Power</v>
      </c>
      <c r="G1141" s="499"/>
      <c r="H1141" s="499">
        <f>VLOOKUP(F1141,[2]Pivot!$R$20:$S$1359,2,FALSE)</f>
        <v>77669857.120000005</v>
      </c>
      <c r="I1141" s="499">
        <f t="shared" si="53"/>
        <v>77669857.120000005</v>
      </c>
      <c r="J1141" s="499" t="s">
        <v>890</v>
      </c>
    </row>
    <row r="1142" spans="1:10" hidden="1" x14ac:dyDescent="0.25">
      <c r="A1142" s="383">
        <f t="shared" si="51"/>
        <v>24</v>
      </c>
      <c r="B1142" s="383" t="s">
        <v>265</v>
      </c>
      <c r="C1142" s="497" t="s">
        <v>1173</v>
      </c>
      <c r="D1142" s="383" t="s">
        <v>1245</v>
      </c>
      <c r="E1142" s="383" t="s">
        <v>868</v>
      </c>
      <c r="F1142" s="383" t="str">
        <f t="shared" si="52"/>
        <v>S200010DNew York Independ</v>
      </c>
      <c r="G1142" s="496">
        <v>-1680958.32</v>
      </c>
      <c r="H1142" s="496">
        <v>1680958.32</v>
      </c>
      <c r="I1142" s="496">
        <f t="shared" si="53"/>
        <v>0</v>
      </c>
      <c r="J1142" s="496" t="s">
        <v>869</v>
      </c>
    </row>
    <row r="1143" spans="1:10" hidden="1" x14ac:dyDescent="0.25">
      <c r="A1143" s="383">
        <f t="shared" si="51"/>
        <v>15</v>
      </c>
      <c r="B1143" s="383" t="s">
        <v>265</v>
      </c>
      <c r="C1143" s="497" t="s">
        <v>1173</v>
      </c>
      <c r="D1143" s="383" t="s">
        <v>1200</v>
      </c>
      <c r="E1143" s="383" t="s">
        <v>868</v>
      </c>
      <c r="F1143" s="383" t="str">
        <f t="shared" si="52"/>
        <v>S200010DNewEnergy, Inc.</v>
      </c>
      <c r="G1143" s="496">
        <v>-2200025</v>
      </c>
      <c r="H1143" s="496">
        <v>2200025</v>
      </c>
      <c r="I1143" s="496">
        <f t="shared" si="53"/>
        <v>0</v>
      </c>
      <c r="J1143" s="496" t="s">
        <v>869</v>
      </c>
    </row>
    <row r="1144" spans="1:10" hidden="1" x14ac:dyDescent="0.25">
      <c r="A1144" s="383">
        <f t="shared" si="51"/>
        <v>24</v>
      </c>
      <c r="B1144" s="383" t="s">
        <v>265</v>
      </c>
      <c r="C1144" s="497" t="s">
        <v>1173</v>
      </c>
      <c r="D1144" s="383" t="s">
        <v>1317</v>
      </c>
      <c r="E1144" s="383" t="s">
        <v>868</v>
      </c>
      <c r="F1144" s="383" t="str">
        <f t="shared" si="52"/>
        <v>S200010DNortheast Utiliti</v>
      </c>
      <c r="G1144" s="496">
        <v>-1232100</v>
      </c>
      <c r="H1144" s="496">
        <v>1232100</v>
      </c>
      <c r="I1144" s="496">
        <f t="shared" si="53"/>
        <v>0</v>
      </c>
      <c r="J1144" s="496" t="s">
        <v>869</v>
      </c>
    </row>
    <row r="1145" spans="1:10" hidden="1" x14ac:dyDescent="0.25">
      <c r="A1145" s="383">
        <f t="shared" si="51"/>
        <v>23</v>
      </c>
      <c r="B1145" s="383" t="s">
        <v>265</v>
      </c>
      <c r="C1145" s="497" t="s">
        <v>1173</v>
      </c>
      <c r="D1145" s="383" t="s">
        <v>55</v>
      </c>
      <c r="E1145" s="383" t="s">
        <v>868</v>
      </c>
      <c r="F1145" s="383" t="str">
        <f t="shared" si="52"/>
        <v xml:space="preserve">S200010DNorthern Indiana </v>
      </c>
      <c r="G1145" s="496">
        <v>-4863708</v>
      </c>
      <c r="H1145" s="496">
        <v>4863708</v>
      </c>
      <c r="I1145" s="496">
        <f t="shared" si="53"/>
        <v>0</v>
      </c>
      <c r="J1145" s="496" t="s">
        <v>869</v>
      </c>
    </row>
    <row r="1146" spans="1:10" hidden="1" x14ac:dyDescent="0.25">
      <c r="A1146" s="383">
        <f t="shared" si="51"/>
        <v>24</v>
      </c>
      <c r="B1146" s="383" t="s">
        <v>265</v>
      </c>
      <c r="C1146" s="497" t="s">
        <v>1173</v>
      </c>
      <c r="D1146" s="383" t="s">
        <v>1236</v>
      </c>
      <c r="E1146" s="383" t="s">
        <v>868</v>
      </c>
      <c r="F1146" s="383" t="str">
        <f t="shared" si="52"/>
        <v>S200010DNorthern States P</v>
      </c>
      <c r="G1146" s="496">
        <v>-804406</v>
      </c>
      <c r="H1146" s="496">
        <v>804406</v>
      </c>
      <c r="I1146" s="496">
        <f t="shared" si="53"/>
        <v>0</v>
      </c>
      <c r="J1146" s="496" t="s">
        <v>869</v>
      </c>
    </row>
    <row r="1147" spans="1:10" hidden="1" x14ac:dyDescent="0.25">
      <c r="A1147" s="383">
        <f t="shared" si="51"/>
        <v>24</v>
      </c>
      <c r="B1147" s="383" t="s">
        <v>265</v>
      </c>
      <c r="C1147" s="497" t="s">
        <v>1173</v>
      </c>
      <c r="D1147" s="383" t="s">
        <v>1050</v>
      </c>
      <c r="E1147" s="383" t="s">
        <v>868</v>
      </c>
      <c r="F1147" s="383" t="str">
        <f t="shared" si="52"/>
        <v>S200010DNRG Power Marketi</v>
      </c>
      <c r="G1147" s="496">
        <v>-2354300</v>
      </c>
      <c r="H1147" s="496">
        <v>2354300</v>
      </c>
      <c r="I1147" s="496">
        <f t="shared" si="53"/>
        <v>0</v>
      </c>
      <c r="J1147" s="496" t="s">
        <v>869</v>
      </c>
    </row>
    <row r="1148" spans="1:10" hidden="1" x14ac:dyDescent="0.25">
      <c r="A1148" s="383">
        <f t="shared" si="51"/>
        <v>15</v>
      </c>
      <c r="B1148" s="383" t="s">
        <v>265</v>
      </c>
      <c r="C1148" s="497" t="s">
        <v>1173</v>
      </c>
      <c r="D1148" s="383" t="s">
        <v>952</v>
      </c>
      <c r="E1148" s="383" t="s">
        <v>868</v>
      </c>
      <c r="F1148" s="383" t="str">
        <f t="shared" si="52"/>
        <v>S200010DNSTAR Companies</v>
      </c>
      <c r="G1148" s="496">
        <v>-10741177.9</v>
      </c>
      <c r="H1148" s="496">
        <v>10741177.9</v>
      </c>
      <c r="I1148" s="496">
        <f t="shared" si="53"/>
        <v>0</v>
      </c>
      <c r="J1148" s="496" t="s">
        <v>869</v>
      </c>
    </row>
    <row r="1149" spans="1:10" hidden="1" x14ac:dyDescent="0.25">
      <c r="A1149" s="383">
        <f t="shared" si="51"/>
        <v>24</v>
      </c>
      <c r="B1149" s="383" t="s">
        <v>265</v>
      </c>
      <c r="C1149" s="497" t="s">
        <v>1173</v>
      </c>
      <c r="D1149" s="383" t="s">
        <v>968</v>
      </c>
      <c r="E1149" s="383" t="s">
        <v>868</v>
      </c>
      <c r="F1149" s="383" t="str">
        <f t="shared" si="52"/>
        <v xml:space="preserve">S200010DOtter Tail Power </v>
      </c>
      <c r="G1149" s="496">
        <v>-251960</v>
      </c>
      <c r="H1149" s="496">
        <v>251960</v>
      </c>
      <c r="I1149" s="496">
        <f t="shared" si="53"/>
        <v>0</v>
      </c>
      <c r="J1149" s="496" t="s">
        <v>869</v>
      </c>
    </row>
    <row r="1150" spans="1:10" hidden="1" x14ac:dyDescent="0.25">
      <c r="A1150" s="383">
        <f t="shared" si="51"/>
        <v>10</v>
      </c>
      <c r="B1150" s="383" t="s">
        <v>265</v>
      </c>
      <c r="C1150" s="497" t="s">
        <v>1173</v>
      </c>
      <c r="D1150" s="383" t="s">
        <v>940</v>
      </c>
      <c r="E1150" s="383" t="s">
        <v>868</v>
      </c>
      <c r="F1150" s="383" t="str">
        <f t="shared" si="52"/>
        <v>S200010DPacificorp</v>
      </c>
      <c r="G1150" s="496">
        <v>-36397618.5</v>
      </c>
      <c r="H1150" s="496">
        <v>36397618.5</v>
      </c>
      <c r="I1150" s="496">
        <f t="shared" si="53"/>
        <v>0</v>
      </c>
      <c r="J1150" s="496" t="s">
        <v>869</v>
      </c>
    </row>
    <row r="1151" spans="1:10" hidden="1" x14ac:dyDescent="0.25">
      <c r="A1151" s="383">
        <f t="shared" si="51"/>
        <v>24</v>
      </c>
      <c r="B1151" s="383" t="s">
        <v>265</v>
      </c>
      <c r="C1151" s="497" t="s">
        <v>1173</v>
      </c>
      <c r="D1151" s="383" t="s">
        <v>1233</v>
      </c>
      <c r="E1151" s="383" t="s">
        <v>868</v>
      </c>
      <c r="F1151" s="383" t="str">
        <f t="shared" si="52"/>
        <v>S200010DPG&amp;E Energy Tradi</v>
      </c>
      <c r="G1151" s="496">
        <v>-113479982.28999999</v>
      </c>
      <c r="H1151" s="496">
        <v>113479982.29000001</v>
      </c>
      <c r="I1151" s="496">
        <f t="shared" si="53"/>
        <v>0</v>
      </c>
      <c r="J1151" s="496" t="s">
        <v>869</v>
      </c>
    </row>
    <row r="1152" spans="1:10" hidden="1" x14ac:dyDescent="0.25">
      <c r="A1152" s="383">
        <f t="shared" si="51"/>
        <v>24</v>
      </c>
      <c r="B1152" s="383" t="s">
        <v>265</v>
      </c>
      <c r="C1152" s="497" t="s">
        <v>1173</v>
      </c>
      <c r="D1152" s="383" t="s">
        <v>56</v>
      </c>
      <c r="E1152" s="383" t="s">
        <v>868</v>
      </c>
      <c r="F1152" s="383" t="str">
        <f t="shared" si="52"/>
        <v>S200010DPinnacle West Cap</v>
      </c>
      <c r="G1152" s="496">
        <v>-53000</v>
      </c>
      <c r="H1152" s="496">
        <v>53000</v>
      </c>
      <c r="I1152" s="496">
        <f t="shared" si="53"/>
        <v>0</v>
      </c>
      <c r="J1152" s="496" t="s">
        <v>869</v>
      </c>
    </row>
    <row r="1153" spans="1:10" hidden="1" x14ac:dyDescent="0.25">
      <c r="A1153" s="383">
        <f t="shared" si="51"/>
        <v>24</v>
      </c>
      <c r="B1153" s="383" t="s">
        <v>265</v>
      </c>
      <c r="C1153" s="497" t="s">
        <v>1173</v>
      </c>
      <c r="D1153" s="383" t="s">
        <v>1248</v>
      </c>
      <c r="E1153" s="383" t="s">
        <v>868</v>
      </c>
      <c r="F1153" s="383" t="str">
        <f t="shared" si="52"/>
        <v>S200010DPJM Interconnecti</v>
      </c>
      <c r="G1153" s="496">
        <v>-21532737.860000003</v>
      </c>
      <c r="H1153" s="496">
        <v>21532737.859999999</v>
      </c>
      <c r="I1153" s="496">
        <f t="shared" si="53"/>
        <v>0</v>
      </c>
      <c r="J1153" s="496" t="s">
        <v>869</v>
      </c>
    </row>
    <row r="1154" spans="1:10" hidden="1" x14ac:dyDescent="0.25">
      <c r="A1154" s="383">
        <f t="shared" si="51"/>
        <v>24</v>
      </c>
      <c r="B1154" s="383" t="s">
        <v>265</v>
      </c>
      <c r="C1154" s="497" t="s">
        <v>1173</v>
      </c>
      <c r="D1154" s="383" t="s">
        <v>1249</v>
      </c>
      <c r="E1154" s="383" t="s">
        <v>868</v>
      </c>
      <c r="F1154" s="383" t="str">
        <f t="shared" si="52"/>
        <v xml:space="preserve">S200010DPortland General </v>
      </c>
      <c r="G1154" s="496">
        <v>-16009695.93</v>
      </c>
      <c r="H1154" s="496">
        <v>16009695.93</v>
      </c>
      <c r="I1154" s="496">
        <f t="shared" si="53"/>
        <v>0</v>
      </c>
      <c r="J1154" s="496" t="s">
        <v>869</v>
      </c>
    </row>
    <row r="1155" spans="1:10" hidden="1" x14ac:dyDescent="0.25">
      <c r="A1155" s="383">
        <f t="shared" si="51"/>
        <v>13</v>
      </c>
      <c r="B1155" s="383" t="s">
        <v>265</v>
      </c>
      <c r="C1155" s="497" t="s">
        <v>1173</v>
      </c>
      <c r="D1155" s="383" t="s">
        <v>902</v>
      </c>
      <c r="E1155" s="383" t="s">
        <v>868</v>
      </c>
      <c r="F1155" s="383" t="str">
        <f t="shared" si="52"/>
        <v>S200010DPowerex Corp.</v>
      </c>
      <c r="G1155" s="496">
        <v>-26673383.949999999</v>
      </c>
      <c r="H1155" s="496">
        <v>26673383.949999999</v>
      </c>
      <c r="I1155" s="496">
        <f t="shared" si="53"/>
        <v>0</v>
      </c>
      <c r="J1155" s="496" t="s">
        <v>869</v>
      </c>
    </row>
    <row r="1156" spans="1:10" hidden="1" x14ac:dyDescent="0.25">
      <c r="A1156" s="383">
        <f t="shared" ref="A1156:A1219" si="54">LEN(D1156)</f>
        <v>19</v>
      </c>
      <c r="B1156" s="383" t="s">
        <v>265</v>
      </c>
      <c r="C1156" s="497" t="s">
        <v>1173</v>
      </c>
      <c r="D1156" s="383" t="s">
        <v>1056</v>
      </c>
      <c r="E1156" s="383" t="s">
        <v>868</v>
      </c>
      <c r="F1156" s="383" t="str">
        <f t="shared" ref="F1156:F1219" si="55">+B1156&amp;C1156&amp;E1156&amp;LEFT(D1156,17)</f>
        <v>S200010DPPL EnergyPlus, L</v>
      </c>
      <c r="G1156" s="496">
        <v>-3251480</v>
      </c>
      <c r="H1156" s="496">
        <v>3251480</v>
      </c>
      <c r="I1156" s="496">
        <f t="shared" ref="I1156:I1219" si="56">ROUND(+G1156+H1156,2)</f>
        <v>0</v>
      </c>
      <c r="J1156" s="496" t="s">
        <v>869</v>
      </c>
    </row>
    <row r="1157" spans="1:10" hidden="1" x14ac:dyDescent="0.25">
      <c r="A1157" s="383">
        <f t="shared" si="54"/>
        <v>23</v>
      </c>
      <c r="B1157" s="383" t="s">
        <v>265</v>
      </c>
      <c r="C1157" s="497" t="s">
        <v>1173</v>
      </c>
      <c r="D1157" s="383" t="s">
        <v>57</v>
      </c>
      <c r="E1157" s="383" t="s">
        <v>868</v>
      </c>
      <c r="F1157" s="383" t="str">
        <f t="shared" si="55"/>
        <v>S200010DPSEG Energy Resou</v>
      </c>
      <c r="G1157" s="496">
        <v>-12766760</v>
      </c>
      <c r="H1157" s="496">
        <v>12766760</v>
      </c>
      <c r="I1157" s="496">
        <f t="shared" si="56"/>
        <v>0</v>
      </c>
      <c r="J1157" s="496" t="s">
        <v>869</v>
      </c>
    </row>
    <row r="1158" spans="1:10" hidden="1" x14ac:dyDescent="0.25">
      <c r="A1158" s="383">
        <f t="shared" si="54"/>
        <v>24</v>
      </c>
      <c r="B1158" s="383" t="s">
        <v>265</v>
      </c>
      <c r="C1158" s="497" t="s">
        <v>1173</v>
      </c>
      <c r="D1158" s="383" t="s">
        <v>1270</v>
      </c>
      <c r="E1158" s="383" t="s">
        <v>868</v>
      </c>
      <c r="F1158" s="383" t="str">
        <f t="shared" si="55"/>
        <v>S200010DPublic Service Co</v>
      </c>
      <c r="G1158" s="496">
        <v>-63367407.159999996</v>
      </c>
      <c r="H1158" s="496">
        <v>63367407.159999996</v>
      </c>
      <c r="I1158" s="496">
        <f t="shared" si="56"/>
        <v>0</v>
      </c>
      <c r="J1158" s="496" t="s">
        <v>869</v>
      </c>
    </row>
    <row r="1159" spans="1:10" hidden="1" x14ac:dyDescent="0.25">
      <c r="A1159" s="383">
        <f t="shared" si="54"/>
        <v>24</v>
      </c>
      <c r="B1159" s="383" t="s">
        <v>265</v>
      </c>
      <c r="C1159" s="497" t="s">
        <v>1173</v>
      </c>
      <c r="D1159" s="383" t="s">
        <v>1238</v>
      </c>
      <c r="E1159" s="383" t="s">
        <v>868</v>
      </c>
      <c r="F1159" s="383" t="str">
        <f t="shared" si="55"/>
        <v>S200010DPublic Utility Di</v>
      </c>
      <c r="G1159" s="496">
        <v>-6867767</v>
      </c>
      <c r="H1159" s="496">
        <v>6867767</v>
      </c>
      <c r="I1159" s="496">
        <f t="shared" si="56"/>
        <v>0</v>
      </c>
      <c r="J1159" s="496" t="s">
        <v>869</v>
      </c>
    </row>
    <row r="1160" spans="1:10" hidden="1" x14ac:dyDescent="0.25">
      <c r="A1160" s="383">
        <f t="shared" si="54"/>
        <v>23</v>
      </c>
      <c r="B1160" s="383" t="s">
        <v>265</v>
      </c>
      <c r="C1160" s="497" t="s">
        <v>1173</v>
      </c>
      <c r="D1160" s="383" t="s">
        <v>1322</v>
      </c>
      <c r="E1160" s="383" t="s">
        <v>868</v>
      </c>
      <c r="F1160" s="383" t="str">
        <f t="shared" si="55"/>
        <v>S200010DPublic Utility Di</v>
      </c>
      <c r="G1160" s="496">
        <v>-4891.25</v>
      </c>
      <c r="H1160" s="496">
        <v>4891.25</v>
      </c>
      <c r="I1160" s="496">
        <f t="shared" si="56"/>
        <v>0</v>
      </c>
      <c r="J1160" s="496" t="s">
        <v>869</v>
      </c>
    </row>
    <row r="1161" spans="1:10" hidden="1" x14ac:dyDescent="0.25">
      <c r="A1161" s="383">
        <f t="shared" si="54"/>
        <v>24</v>
      </c>
      <c r="B1161" s="383" t="s">
        <v>265</v>
      </c>
      <c r="C1161" s="497" t="s">
        <v>1173</v>
      </c>
      <c r="D1161" s="383" t="s">
        <v>953</v>
      </c>
      <c r="E1161" s="383" t="s">
        <v>868</v>
      </c>
      <c r="F1161" s="383" t="str">
        <f t="shared" si="55"/>
        <v>S200010DPuget Sound Energ</v>
      </c>
      <c r="G1161" s="496">
        <v>-19431506.049999997</v>
      </c>
      <c r="H1161" s="496">
        <v>19431506.050000001</v>
      </c>
      <c r="I1161" s="496">
        <f t="shared" si="56"/>
        <v>0</v>
      </c>
      <c r="J1161" s="496" t="s">
        <v>869</v>
      </c>
    </row>
    <row r="1162" spans="1:10" hidden="1" x14ac:dyDescent="0.25">
      <c r="A1162" s="383">
        <f t="shared" si="54"/>
        <v>24</v>
      </c>
      <c r="B1162" s="383" t="s">
        <v>265</v>
      </c>
      <c r="C1162" s="497" t="s">
        <v>1173</v>
      </c>
      <c r="D1162" s="383" t="s">
        <v>0</v>
      </c>
      <c r="E1162" s="383" t="s">
        <v>868</v>
      </c>
      <c r="F1162" s="383" t="str">
        <f t="shared" si="55"/>
        <v>S200010DRainbow Energy Ma</v>
      </c>
      <c r="G1162" s="496">
        <v>-517600</v>
      </c>
      <c r="H1162" s="496">
        <v>517600</v>
      </c>
      <c r="I1162" s="496">
        <f t="shared" si="56"/>
        <v>0</v>
      </c>
      <c r="J1162" s="496" t="s">
        <v>869</v>
      </c>
    </row>
    <row r="1163" spans="1:10" hidden="1" x14ac:dyDescent="0.25">
      <c r="A1163" s="383">
        <f t="shared" si="54"/>
        <v>19</v>
      </c>
      <c r="B1163" s="383" t="s">
        <v>265</v>
      </c>
      <c r="C1163" s="497" t="s">
        <v>1173</v>
      </c>
      <c r="D1163" s="383" t="s">
        <v>1207</v>
      </c>
      <c r="E1163" s="383" t="s">
        <v>868</v>
      </c>
      <c r="F1163" s="383" t="str">
        <f t="shared" si="55"/>
        <v>S200010DReliant Energy HL</v>
      </c>
      <c r="G1163" s="496">
        <v>-619575</v>
      </c>
      <c r="H1163" s="496">
        <v>639875</v>
      </c>
      <c r="I1163" s="496">
        <f t="shared" si="56"/>
        <v>20300</v>
      </c>
      <c r="J1163" s="499" t="s">
        <v>890</v>
      </c>
    </row>
    <row r="1164" spans="1:10" hidden="1" x14ac:dyDescent="0.25">
      <c r="A1164" s="383">
        <f t="shared" si="54"/>
        <v>24</v>
      </c>
      <c r="B1164" s="383" t="s">
        <v>265</v>
      </c>
      <c r="C1164" s="497" t="s">
        <v>1173</v>
      </c>
      <c r="D1164" s="383" t="s">
        <v>1</v>
      </c>
      <c r="E1164" s="383" t="s">
        <v>868</v>
      </c>
      <c r="F1164" s="383" t="str">
        <f t="shared" si="55"/>
        <v>S200010DReliant Energy Se</v>
      </c>
      <c r="G1164" s="496">
        <v>-79196181.49000001</v>
      </c>
      <c r="H1164" s="496">
        <v>79175881.489999995</v>
      </c>
      <c r="I1164" s="496">
        <f t="shared" si="56"/>
        <v>-20300</v>
      </c>
      <c r="J1164" s="499" t="s">
        <v>890</v>
      </c>
    </row>
    <row r="1165" spans="1:10" hidden="1" x14ac:dyDescent="0.25">
      <c r="A1165" s="383">
        <f t="shared" si="54"/>
        <v>24</v>
      </c>
      <c r="B1165" s="383" t="s">
        <v>265</v>
      </c>
      <c r="C1165" s="497" t="s">
        <v>1173</v>
      </c>
      <c r="D1165" s="383" t="s">
        <v>2</v>
      </c>
      <c r="E1165" s="383" t="s">
        <v>868</v>
      </c>
      <c r="F1165" s="383" t="str">
        <f t="shared" si="55"/>
        <v>S200010DSacramento Munici</v>
      </c>
      <c r="G1165" s="496">
        <v>-4235592.5</v>
      </c>
      <c r="H1165" s="496">
        <v>4235592.5</v>
      </c>
      <c r="I1165" s="496">
        <f t="shared" si="56"/>
        <v>0</v>
      </c>
      <c r="J1165" s="496" t="s">
        <v>869</v>
      </c>
    </row>
    <row r="1166" spans="1:10" hidden="1" x14ac:dyDescent="0.25">
      <c r="A1166" s="383">
        <f t="shared" si="54"/>
        <v>24</v>
      </c>
      <c r="B1166" s="383" t="s">
        <v>265</v>
      </c>
      <c r="C1166" s="497" t="s">
        <v>1173</v>
      </c>
      <c r="D1166" s="383" t="s">
        <v>3</v>
      </c>
      <c r="E1166" s="383" t="s">
        <v>868</v>
      </c>
      <c r="F1166" s="383" t="str">
        <f t="shared" si="55"/>
        <v>S200010DSalt River Projec</v>
      </c>
      <c r="G1166" s="496">
        <v>-1856545.25</v>
      </c>
      <c r="H1166" s="496">
        <v>1856545.25</v>
      </c>
      <c r="I1166" s="496">
        <f t="shared" si="56"/>
        <v>0</v>
      </c>
      <c r="J1166" s="496" t="s">
        <v>869</v>
      </c>
    </row>
    <row r="1167" spans="1:10" hidden="1" x14ac:dyDescent="0.25">
      <c r="A1167" s="383">
        <f t="shared" si="54"/>
        <v>24</v>
      </c>
      <c r="B1167" s="383" t="s">
        <v>265</v>
      </c>
      <c r="C1167" s="497" t="s">
        <v>1173</v>
      </c>
      <c r="D1167" s="383" t="s">
        <v>58</v>
      </c>
      <c r="E1167" s="383" t="s">
        <v>868</v>
      </c>
      <c r="F1167" s="383" t="str">
        <f t="shared" si="55"/>
        <v>S200010DSan Diego Gas &amp; E</v>
      </c>
      <c r="G1167" s="496">
        <v>-3575000</v>
      </c>
      <c r="H1167" s="496">
        <v>3575000</v>
      </c>
      <c r="I1167" s="496">
        <f t="shared" si="56"/>
        <v>0</v>
      </c>
      <c r="J1167" s="496" t="s">
        <v>869</v>
      </c>
    </row>
    <row r="1168" spans="1:10" hidden="1" x14ac:dyDescent="0.25">
      <c r="A1168" s="383">
        <f t="shared" si="54"/>
        <v>18</v>
      </c>
      <c r="B1168" s="383" t="s">
        <v>265</v>
      </c>
      <c r="C1168" s="497" t="s">
        <v>1173</v>
      </c>
      <c r="D1168" s="383" t="s">
        <v>324</v>
      </c>
      <c r="E1168" s="383" t="s">
        <v>868</v>
      </c>
      <c r="F1168" s="383" t="str">
        <f t="shared" si="55"/>
        <v>S200010DSeattle City Ligh</v>
      </c>
      <c r="G1168" s="496">
        <v>-9364985</v>
      </c>
      <c r="H1168" s="496">
        <v>9364985</v>
      </c>
      <c r="I1168" s="496">
        <f t="shared" si="56"/>
        <v>0</v>
      </c>
      <c r="J1168" s="496" t="s">
        <v>869</v>
      </c>
    </row>
    <row r="1169" spans="1:10" hidden="1" x14ac:dyDescent="0.25">
      <c r="A1169" s="383">
        <f t="shared" si="54"/>
        <v>19</v>
      </c>
      <c r="B1169" s="383" t="s">
        <v>265</v>
      </c>
      <c r="C1169" s="497" t="s">
        <v>1173</v>
      </c>
      <c r="D1169" s="383" t="s">
        <v>1210</v>
      </c>
      <c r="E1169" s="383" t="s">
        <v>868</v>
      </c>
      <c r="F1169" s="383" t="str">
        <f t="shared" si="55"/>
        <v>S200010DSelect Energy, In</v>
      </c>
      <c r="G1169" s="496">
        <v>-2950301.25</v>
      </c>
      <c r="H1169" s="496">
        <v>2950301.25</v>
      </c>
      <c r="I1169" s="496">
        <f t="shared" si="56"/>
        <v>0</v>
      </c>
      <c r="J1169" s="496" t="s">
        <v>869</v>
      </c>
    </row>
    <row r="1170" spans="1:10" hidden="1" x14ac:dyDescent="0.25">
      <c r="A1170" s="383">
        <f t="shared" si="54"/>
        <v>24</v>
      </c>
      <c r="B1170" s="383" t="s">
        <v>265</v>
      </c>
      <c r="C1170" s="497" t="s">
        <v>1173</v>
      </c>
      <c r="D1170" s="383" t="s">
        <v>5</v>
      </c>
      <c r="E1170" s="383" t="s">
        <v>868</v>
      </c>
      <c r="F1170" s="383" t="str">
        <f t="shared" si="55"/>
        <v>S200010DSempra Energy Tra</v>
      </c>
      <c r="G1170" s="496">
        <v>-80784869.680000007</v>
      </c>
      <c r="H1170" s="496">
        <v>80784869.680000007</v>
      </c>
      <c r="I1170" s="496">
        <f t="shared" si="56"/>
        <v>0</v>
      </c>
      <c r="J1170" s="496" t="s">
        <v>869</v>
      </c>
    </row>
    <row r="1171" spans="1:10" hidden="1" x14ac:dyDescent="0.25">
      <c r="A1171" s="383">
        <f t="shared" si="54"/>
        <v>24</v>
      </c>
      <c r="B1171" s="383" t="s">
        <v>265</v>
      </c>
      <c r="C1171" s="497" t="s">
        <v>1173</v>
      </c>
      <c r="D1171" s="383" t="s">
        <v>6</v>
      </c>
      <c r="E1171" s="383" t="s">
        <v>868</v>
      </c>
      <c r="F1171" s="383" t="str">
        <f t="shared" si="55"/>
        <v>S200010DSierra Pacific Po</v>
      </c>
      <c r="G1171" s="496">
        <v>-8427908.75</v>
      </c>
      <c r="H1171" s="496">
        <v>8427908.75</v>
      </c>
      <c r="I1171" s="496">
        <f t="shared" si="56"/>
        <v>0</v>
      </c>
      <c r="J1171" s="496" t="s">
        <v>869</v>
      </c>
    </row>
    <row r="1172" spans="1:10" hidden="1" x14ac:dyDescent="0.25">
      <c r="A1172" s="383">
        <f t="shared" si="54"/>
        <v>23</v>
      </c>
      <c r="B1172" s="383" t="s">
        <v>265</v>
      </c>
      <c r="C1172" s="497" t="s">
        <v>1173</v>
      </c>
      <c r="D1172" s="383" t="s">
        <v>7</v>
      </c>
      <c r="E1172" s="383" t="s">
        <v>868</v>
      </c>
      <c r="F1172" s="383" t="str">
        <f t="shared" si="55"/>
        <v>S200010DSmurfit-Stone Con</v>
      </c>
      <c r="G1172" s="496">
        <v>-2373756.04</v>
      </c>
      <c r="H1172" s="496">
        <v>2373756.04</v>
      </c>
      <c r="I1172" s="496">
        <f t="shared" si="56"/>
        <v>0</v>
      </c>
      <c r="J1172" s="496" t="s">
        <v>869</v>
      </c>
    </row>
    <row r="1173" spans="1:10" hidden="1" x14ac:dyDescent="0.25">
      <c r="A1173" s="383">
        <f t="shared" si="54"/>
        <v>23</v>
      </c>
      <c r="B1173" s="383" t="s">
        <v>265</v>
      </c>
      <c r="C1173" s="497" t="s">
        <v>1173</v>
      </c>
      <c r="D1173" s="383" t="s">
        <v>8</v>
      </c>
      <c r="E1173" s="383" t="s">
        <v>868</v>
      </c>
      <c r="F1173" s="383" t="str">
        <f t="shared" si="55"/>
        <v>S200010DSouth Carolina El</v>
      </c>
      <c r="G1173" s="496">
        <v>-292096.8</v>
      </c>
      <c r="H1173" s="496">
        <v>292096.8</v>
      </c>
      <c r="I1173" s="496">
        <f t="shared" si="56"/>
        <v>0</v>
      </c>
      <c r="J1173" s="496" t="s">
        <v>869</v>
      </c>
    </row>
    <row r="1174" spans="1:10" hidden="1" x14ac:dyDescent="0.25">
      <c r="A1174" s="383">
        <f t="shared" si="54"/>
        <v>23</v>
      </c>
      <c r="B1174" s="383" t="s">
        <v>265</v>
      </c>
      <c r="C1174" s="497" t="s">
        <v>1173</v>
      </c>
      <c r="D1174" s="383" t="s">
        <v>9</v>
      </c>
      <c r="E1174" s="383" t="s">
        <v>868</v>
      </c>
      <c r="F1174" s="383" t="str">
        <f t="shared" si="55"/>
        <v xml:space="preserve">S200010DSouthern Company </v>
      </c>
      <c r="G1174" s="496">
        <v>-138514684</v>
      </c>
      <c r="H1174" s="496">
        <v>138514684</v>
      </c>
      <c r="I1174" s="496">
        <f t="shared" si="56"/>
        <v>0</v>
      </c>
      <c r="J1174" s="496" t="s">
        <v>869</v>
      </c>
    </row>
    <row r="1175" spans="1:10" hidden="1" x14ac:dyDescent="0.25">
      <c r="A1175" s="383">
        <f t="shared" si="54"/>
        <v>24</v>
      </c>
      <c r="B1175" s="383" t="s">
        <v>265</v>
      </c>
      <c r="C1175" s="497" t="s">
        <v>1173</v>
      </c>
      <c r="D1175" s="383" t="s">
        <v>10</v>
      </c>
      <c r="E1175" s="383" t="s">
        <v>868</v>
      </c>
      <c r="F1175" s="383" t="str">
        <f t="shared" si="55"/>
        <v xml:space="preserve">S200010DSouthern Company </v>
      </c>
      <c r="G1175" s="496">
        <v>-1237180</v>
      </c>
      <c r="H1175" s="496">
        <v>1237180</v>
      </c>
      <c r="I1175" s="496">
        <f t="shared" si="56"/>
        <v>0</v>
      </c>
      <c r="J1175" s="496" t="s">
        <v>869</v>
      </c>
    </row>
    <row r="1176" spans="1:10" hidden="1" x14ac:dyDescent="0.25">
      <c r="A1176" s="383">
        <f t="shared" si="54"/>
        <v>23</v>
      </c>
      <c r="B1176" s="383" t="s">
        <v>265</v>
      </c>
      <c r="C1176" s="497" t="s">
        <v>1173</v>
      </c>
      <c r="D1176" s="383" t="s">
        <v>59</v>
      </c>
      <c r="E1176" s="383" t="s">
        <v>868</v>
      </c>
      <c r="F1176" s="383" t="str">
        <f t="shared" si="55"/>
        <v>S200010DSouthern Illinois</v>
      </c>
      <c r="G1176" s="496">
        <v>-48800</v>
      </c>
      <c r="H1176" s="496">
        <v>48800</v>
      </c>
      <c r="I1176" s="496">
        <f t="shared" si="56"/>
        <v>0</v>
      </c>
      <c r="J1176" s="496" t="s">
        <v>869</v>
      </c>
    </row>
    <row r="1177" spans="1:10" hidden="1" x14ac:dyDescent="0.25">
      <c r="A1177" s="383">
        <f t="shared" si="54"/>
        <v>22</v>
      </c>
      <c r="B1177" s="383" t="s">
        <v>265</v>
      </c>
      <c r="C1177" s="497" t="s">
        <v>1173</v>
      </c>
      <c r="D1177" s="383" t="s">
        <v>1072</v>
      </c>
      <c r="E1177" s="383" t="s">
        <v>868</v>
      </c>
      <c r="F1177" s="383" t="str">
        <f t="shared" si="55"/>
        <v>S200010DSplit Rock Energy</v>
      </c>
      <c r="G1177" s="496">
        <v>-259515</v>
      </c>
      <c r="H1177" s="496">
        <v>259515</v>
      </c>
      <c r="I1177" s="496">
        <f t="shared" si="56"/>
        <v>0</v>
      </c>
      <c r="J1177" s="496" t="s">
        <v>869</v>
      </c>
    </row>
    <row r="1178" spans="1:10" hidden="1" x14ac:dyDescent="0.25">
      <c r="A1178" s="383">
        <f t="shared" si="54"/>
        <v>24</v>
      </c>
      <c r="B1178" s="383" t="s">
        <v>265</v>
      </c>
      <c r="C1178" s="497" t="s">
        <v>1173</v>
      </c>
      <c r="D1178" s="383" t="s">
        <v>12</v>
      </c>
      <c r="E1178" s="383" t="s">
        <v>868</v>
      </c>
      <c r="F1178" s="383" t="str">
        <f t="shared" si="55"/>
        <v>S200010DTenaska Power Ser</v>
      </c>
      <c r="G1178" s="496">
        <v>-35400</v>
      </c>
      <c r="H1178" s="496">
        <v>35400</v>
      </c>
      <c r="I1178" s="496">
        <f t="shared" si="56"/>
        <v>0</v>
      </c>
      <c r="J1178" s="496" t="s">
        <v>869</v>
      </c>
    </row>
    <row r="1179" spans="1:10" hidden="1" x14ac:dyDescent="0.25">
      <c r="A1179" s="383">
        <f t="shared" si="54"/>
        <v>24</v>
      </c>
      <c r="B1179" s="383" t="s">
        <v>265</v>
      </c>
      <c r="C1179" s="497" t="s">
        <v>1173</v>
      </c>
      <c r="D1179" s="383" t="s">
        <v>13</v>
      </c>
      <c r="E1179" s="383" t="s">
        <v>868</v>
      </c>
      <c r="F1179" s="383" t="str">
        <f t="shared" si="55"/>
        <v xml:space="preserve">S200010DTexas-New Mexico </v>
      </c>
      <c r="G1179" s="496">
        <v>-540930</v>
      </c>
      <c r="H1179" s="496">
        <v>540930</v>
      </c>
      <c r="I1179" s="496">
        <f t="shared" si="56"/>
        <v>0</v>
      </c>
      <c r="J1179" s="496" t="s">
        <v>869</v>
      </c>
    </row>
    <row r="1180" spans="1:10" hidden="1" x14ac:dyDescent="0.25">
      <c r="A1180" s="383">
        <f t="shared" si="54"/>
        <v>17</v>
      </c>
      <c r="B1180" s="383" t="s">
        <v>265</v>
      </c>
      <c r="C1180" s="497" t="s">
        <v>1173</v>
      </c>
      <c r="D1180" s="383" t="s">
        <v>1075</v>
      </c>
      <c r="E1180" s="383" t="s">
        <v>868</v>
      </c>
      <c r="F1180" s="383" t="str">
        <f t="shared" si="55"/>
        <v>S200010DThe City of Azusa</v>
      </c>
      <c r="G1180" s="496">
        <v>-823640.5</v>
      </c>
      <c r="H1180" s="496">
        <v>823640.5</v>
      </c>
      <c r="I1180" s="496">
        <f t="shared" si="56"/>
        <v>0</v>
      </c>
      <c r="J1180" s="496" t="s">
        <v>869</v>
      </c>
    </row>
    <row r="1181" spans="1:10" hidden="1" x14ac:dyDescent="0.25">
      <c r="A1181" s="383">
        <f t="shared" si="54"/>
        <v>24</v>
      </c>
      <c r="B1181" s="383" t="s">
        <v>265</v>
      </c>
      <c r="C1181" s="497" t="s">
        <v>1173</v>
      </c>
      <c r="D1181" s="383" t="s">
        <v>60</v>
      </c>
      <c r="E1181" s="383" t="s">
        <v>868</v>
      </c>
      <c r="F1181" s="383" t="str">
        <f t="shared" si="55"/>
        <v>S200010DThe Manitoba Hydr</v>
      </c>
      <c r="G1181" s="496">
        <v>-47900</v>
      </c>
      <c r="H1181" s="496">
        <v>47900</v>
      </c>
      <c r="I1181" s="496">
        <f t="shared" si="56"/>
        <v>0</v>
      </c>
      <c r="J1181" s="496" t="s">
        <v>869</v>
      </c>
    </row>
    <row r="1182" spans="1:10" hidden="1" x14ac:dyDescent="0.25">
      <c r="A1182" s="383">
        <f t="shared" si="54"/>
        <v>24</v>
      </c>
      <c r="B1182" s="383" t="s">
        <v>265</v>
      </c>
      <c r="C1182" s="497" t="s">
        <v>1173</v>
      </c>
      <c r="D1182" s="383" t="s">
        <v>61</v>
      </c>
      <c r="E1182" s="383" t="s">
        <v>868</v>
      </c>
      <c r="F1182" s="383" t="str">
        <f t="shared" si="55"/>
        <v>S200010DTillamook Peoples</v>
      </c>
      <c r="G1182" s="496">
        <v>-366596.05</v>
      </c>
      <c r="H1182" s="496">
        <v>366596.05</v>
      </c>
      <c r="I1182" s="496">
        <f t="shared" si="56"/>
        <v>0</v>
      </c>
      <c r="J1182" s="496" t="s">
        <v>869</v>
      </c>
    </row>
    <row r="1183" spans="1:10" hidden="1" x14ac:dyDescent="0.25">
      <c r="A1183" s="383">
        <f t="shared" si="54"/>
        <v>24</v>
      </c>
      <c r="B1183" s="383" t="s">
        <v>265</v>
      </c>
      <c r="C1183" s="497" t="s">
        <v>1173</v>
      </c>
      <c r="D1183" s="383" t="s">
        <v>14</v>
      </c>
      <c r="E1183" s="383" t="s">
        <v>868</v>
      </c>
      <c r="F1183" s="383" t="str">
        <f t="shared" si="55"/>
        <v xml:space="preserve">S200010DTractebel Energy </v>
      </c>
      <c r="G1183" s="496">
        <v>-49942330</v>
      </c>
      <c r="H1183" s="496">
        <v>49942330</v>
      </c>
      <c r="I1183" s="496">
        <f t="shared" si="56"/>
        <v>0</v>
      </c>
      <c r="J1183" s="496" t="s">
        <v>869</v>
      </c>
    </row>
    <row r="1184" spans="1:10" hidden="1" x14ac:dyDescent="0.25">
      <c r="A1184" s="383">
        <f t="shared" si="54"/>
        <v>24</v>
      </c>
      <c r="B1184" s="383" t="s">
        <v>265</v>
      </c>
      <c r="C1184" s="497" t="s">
        <v>1173</v>
      </c>
      <c r="D1184" s="383" t="s">
        <v>1250</v>
      </c>
      <c r="E1184" s="383" t="s">
        <v>868</v>
      </c>
      <c r="F1184" s="383" t="str">
        <f t="shared" si="55"/>
        <v xml:space="preserve">S200010DTransAlta Energy </v>
      </c>
      <c r="G1184" s="496">
        <v>-19380920</v>
      </c>
      <c r="H1184" s="496">
        <v>19380920</v>
      </c>
      <c r="I1184" s="496">
        <f t="shared" si="56"/>
        <v>0</v>
      </c>
      <c r="J1184" s="496" t="s">
        <v>869</v>
      </c>
    </row>
    <row r="1185" spans="1:10" hidden="1" x14ac:dyDescent="0.25">
      <c r="A1185" s="383">
        <f t="shared" si="54"/>
        <v>24</v>
      </c>
      <c r="B1185" s="383" t="s">
        <v>265</v>
      </c>
      <c r="C1185" s="497" t="s">
        <v>1173</v>
      </c>
      <c r="D1185" s="383" t="s">
        <v>62</v>
      </c>
      <c r="E1185" s="383" t="s">
        <v>868</v>
      </c>
      <c r="F1185" s="383" t="str">
        <f t="shared" si="55"/>
        <v>S200010DTransCanada Power</v>
      </c>
      <c r="G1185" s="496">
        <v>-868400</v>
      </c>
      <c r="H1185" s="496">
        <v>868400</v>
      </c>
      <c r="I1185" s="496">
        <f t="shared" si="56"/>
        <v>0</v>
      </c>
      <c r="J1185" s="496" t="s">
        <v>869</v>
      </c>
    </row>
    <row r="1186" spans="1:10" hidden="1" x14ac:dyDescent="0.25">
      <c r="A1186" s="383">
        <f t="shared" si="54"/>
        <v>24</v>
      </c>
      <c r="B1186" s="383" t="s">
        <v>265</v>
      </c>
      <c r="C1186" s="497" t="s">
        <v>1173</v>
      </c>
      <c r="D1186" s="383" t="s">
        <v>63</v>
      </c>
      <c r="E1186" s="383" t="s">
        <v>868</v>
      </c>
      <c r="F1186" s="383" t="str">
        <f t="shared" si="55"/>
        <v>S200010DTucson Electric P</v>
      </c>
      <c r="G1186" s="496">
        <v>-160255</v>
      </c>
      <c r="H1186" s="496">
        <v>160255</v>
      </c>
      <c r="I1186" s="496">
        <f t="shared" si="56"/>
        <v>0</v>
      </c>
      <c r="J1186" s="496" t="s">
        <v>869</v>
      </c>
    </row>
    <row r="1187" spans="1:10" hidden="1" x14ac:dyDescent="0.25">
      <c r="A1187" s="383">
        <f t="shared" si="54"/>
        <v>24</v>
      </c>
      <c r="B1187" s="383" t="s">
        <v>265</v>
      </c>
      <c r="C1187" s="497" t="s">
        <v>1173</v>
      </c>
      <c r="D1187" s="383" t="s">
        <v>15</v>
      </c>
      <c r="E1187" s="383" t="s">
        <v>868</v>
      </c>
      <c r="F1187" s="383" t="str">
        <f t="shared" si="55"/>
        <v>S200010DTurlock Irrigatio</v>
      </c>
      <c r="G1187" s="496">
        <v>-513450</v>
      </c>
      <c r="H1187" s="496">
        <v>513450</v>
      </c>
      <c r="I1187" s="496">
        <f t="shared" si="56"/>
        <v>0</v>
      </c>
      <c r="J1187" s="496" t="s">
        <v>869</v>
      </c>
    </row>
    <row r="1188" spans="1:10" hidden="1" x14ac:dyDescent="0.25">
      <c r="A1188" s="383">
        <f t="shared" si="54"/>
        <v>24</v>
      </c>
      <c r="B1188" s="383" t="s">
        <v>265</v>
      </c>
      <c r="C1188" s="497" t="s">
        <v>1173</v>
      </c>
      <c r="D1188" s="383" t="s">
        <v>1259</v>
      </c>
      <c r="E1188" s="383" t="s">
        <v>868</v>
      </c>
      <c r="F1188" s="383" t="str">
        <f t="shared" si="55"/>
        <v>S200010DUnited Illuminati</v>
      </c>
      <c r="G1188" s="496">
        <v>-20785187.549999997</v>
      </c>
      <c r="H1188" s="496">
        <v>20785187.549999997</v>
      </c>
      <c r="I1188" s="496">
        <f t="shared" si="56"/>
        <v>0</v>
      </c>
      <c r="J1188" s="496" t="s">
        <v>869</v>
      </c>
    </row>
    <row r="1189" spans="1:10" hidden="1" x14ac:dyDescent="0.25">
      <c r="A1189" s="383">
        <f t="shared" si="54"/>
        <v>24</v>
      </c>
      <c r="B1189" s="383" t="s">
        <v>265</v>
      </c>
      <c r="C1189" s="497" t="s">
        <v>1173</v>
      </c>
      <c r="D1189" s="383" t="s">
        <v>1271</v>
      </c>
      <c r="E1189" s="383" t="s">
        <v>868</v>
      </c>
      <c r="F1189" s="383" t="str">
        <f t="shared" si="55"/>
        <v>S200010DUnited Power Asso</v>
      </c>
      <c r="G1189" s="496">
        <v>-1925000</v>
      </c>
      <c r="H1189" s="496">
        <v>2761000</v>
      </c>
      <c r="I1189" s="496">
        <f t="shared" si="56"/>
        <v>836000</v>
      </c>
      <c r="J1189" s="496" t="s">
        <v>890</v>
      </c>
    </row>
    <row r="1190" spans="1:10" hidden="1" x14ac:dyDescent="0.25">
      <c r="A1190" s="383">
        <f t="shared" si="54"/>
        <v>21</v>
      </c>
      <c r="B1190" s="383" t="s">
        <v>265</v>
      </c>
      <c r="C1190" s="497" t="s">
        <v>1173</v>
      </c>
      <c r="D1190" s="383" t="s">
        <v>64</v>
      </c>
      <c r="E1190" s="383" t="s">
        <v>868</v>
      </c>
      <c r="F1190" s="383" t="str">
        <f t="shared" si="55"/>
        <v xml:space="preserve">S200010DUtilicorp United </v>
      </c>
      <c r="G1190" s="496">
        <v>-160000</v>
      </c>
      <c r="H1190" s="496">
        <v>160000</v>
      </c>
      <c r="I1190" s="496">
        <f t="shared" si="56"/>
        <v>0</v>
      </c>
      <c r="J1190" s="496" t="s">
        <v>869</v>
      </c>
    </row>
    <row r="1191" spans="1:10" hidden="1" x14ac:dyDescent="0.25">
      <c r="A1191" s="383">
        <f t="shared" si="54"/>
        <v>24</v>
      </c>
      <c r="B1191" s="383" t="s">
        <v>265</v>
      </c>
      <c r="C1191" s="497" t="s">
        <v>1173</v>
      </c>
      <c r="D1191" s="383" t="s">
        <v>16</v>
      </c>
      <c r="E1191" s="383" t="s">
        <v>868</v>
      </c>
      <c r="F1191" s="383" t="str">
        <f t="shared" si="55"/>
        <v>S200010DValley Electric A</v>
      </c>
      <c r="G1191" s="496">
        <v>-901920.65</v>
      </c>
      <c r="H1191" s="496">
        <v>901920.65</v>
      </c>
      <c r="I1191" s="496">
        <f t="shared" si="56"/>
        <v>0</v>
      </c>
      <c r="J1191" s="496" t="s">
        <v>869</v>
      </c>
    </row>
    <row r="1192" spans="1:10" hidden="1" x14ac:dyDescent="0.25">
      <c r="A1192" s="383">
        <f t="shared" si="54"/>
        <v>24</v>
      </c>
      <c r="B1192" s="383" t="s">
        <v>265</v>
      </c>
      <c r="C1192" s="497" t="s">
        <v>1173</v>
      </c>
      <c r="D1192" s="383" t="s">
        <v>17</v>
      </c>
      <c r="E1192" s="383" t="s">
        <v>868</v>
      </c>
      <c r="F1192" s="383" t="str">
        <f t="shared" si="55"/>
        <v>S200010DVermont Public Po</v>
      </c>
      <c r="G1192" s="496">
        <v>-211987.5</v>
      </c>
      <c r="H1192" s="496">
        <v>211987.5</v>
      </c>
      <c r="I1192" s="496">
        <f t="shared" si="56"/>
        <v>0</v>
      </c>
      <c r="J1192" s="496" t="s">
        <v>869</v>
      </c>
    </row>
    <row r="1193" spans="1:10" hidden="1" x14ac:dyDescent="0.25">
      <c r="A1193" s="383">
        <f t="shared" si="54"/>
        <v>24</v>
      </c>
      <c r="B1193" s="383" t="s">
        <v>265</v>
      </c>
      <c r="C1193" s="497" t="s">
        <v>1173</v>
      </c>
      <c r="D1193" s="383" t="s">
        <v>1232</v>
      </c>
      <c r="E1193" s="383" t="s">
        <v>868</v>
      </c>
      <c r="F1193" s="383" t="str">
        <f t="shared" si="55"/>
        <v>S200010DVirginia Electric</v>
      </c>
      <c r="G1193" s="496">
        <v>-13788566.26</v>
      </c>
      <c r="H1193" s="496">
        <v>13788566.26</v>
      </c>
      <c r="I1193" s="496">
        <f t="shared" si="56"/>
        <v>0</v>
      </c>
      <c r="J1193" s="496" t="s">
        <v>869</v>
      </c>
    </row>
    <row r="1194" spans="1:10" hidden="1" x14ac:dyDescent="0.25">
      <c r="A1194" s="383">
        <f t="shared" si="54"/>
        <v>24</v>
      </c>
      <c r="B1194" s="383" t="s">
        <v>265</v>
      </c>
      <c r="C1194" s="497" t="s">
        <v>1173</v>
      </c>
      <c r="D1194" s="383" t="s">
        <v>1241</v>
      </c>
      <c r="E1194" s="383" t="s">
        <v>868</v>
      </c>
      <c r="F1194" s="383" t="str">
        <f t="shared" si="55"/>
        <v>S200010DWestern Area Powe</v>
      </c>
      <c r="G1194" s="496">
        <v>-4068492.7</v>
      </c>
      <c r="H1194" s="496">
        <v>4068492.7</v>
      </c>
      <c r="I1194" s="496">
        <f t="shared" si="56"/>
        <v>0</v>
      </c>
      <c r="J1194" s="496" t="s">
        <v>869</v>
      </c>
    </row>
    <row r="1195" spans="1:10" hidden="1" x14ac:dyDescent="0.25">
      <c r="A1195" s="383">
        <f t="shared" si="54"/>
        <v>22</v>
      </c>
      <c r="B1195" s="383" t="s">
        <v>265</v>
      </c>
      <c r="C1195" s="497" t="s">
        <v>1173</v>
      </c>
      <c r="D1195" s="383" t="s">
        <v>1085</v>
      </c>
      <c r="E1195" s="383" t="s">
        <v>868</v>
      </c>
      <c r="F1195" s="383" t="str">
        <f t="shared" si="55"/>
        <v>S200010DWestern Resources</v>
      </c>
      <c r="G1195" s="496">
        <v>-4525724.5</v>
      </c>
      <c r="H1195" s="496">
        <v>4525724.5</v>
      </c>
      <c r="I1195" s="496">
        <f t="shared" si="56"/>
        <v>0</v>
      </c>
      <c r="J1195" s="496" t="s">
        <v>869</v>
      </c>
    </row>
    <row r="1196" spans="1:10" hidden="1" x14ac:dyDescent="0.25">
      <c r="A1196" s="383">
        <f t="shared" si="54"/>
        <v>25</v>
      </c>
      <c r="B1196" s="383" t="s">
        <v>265</v>
      </c>
      <c r="C1196" s="497" t="s">
        <v>1173</v>
      </c>
      <c r="D1196" s="383" t="s">
        <v>65</v>
      </c>
      <c r="E1196" s="383" t="s">
        <v>868</v>
      </c>
      <c r="F1196" s="383" t="str">
        <f t="shared" si="55"/>
        <v>S200010DWheelabrator Mart</v>
      </c>
      <c r="G1196" s="496">
        <v>-20735</v>
      </c>
      <c r="H1196" s="496">
        <v>20735</v>
      </c>
      <c r="I1196" s="496">
        <f t="shared" si="56"/>
        <v>0</v>
      </c>
      <c r="J1196" s="496" t="s">
        <v>869</v>
      </c>
    </row>
    <row r="1197" spans="1:10" hidden="1" x14ac:dyDescent="0.25">
      <c r="A1197" s="383">
        <f t="shared" si="54"/>
        <v>24</v>
      </c>
      <c r="B1197" s="383" t="s">
        <v>265</v>
      </c>
      <c r="C1197" s="497" t="s">
        <v>1173</v>
      </c>
      <c r="D1197" s="383" t="s">
        <v>1260</v>
      </c>
      <c r="E1197" s="383" t="s">
        <v>868</v>
      </c>
      <c r="F1197" s="383" t="str">
        <f t="shared" si="55"/>
        <v>S200010DWillamette Indust</v>
      </c>
      <c r="G1197" s="496">
        <v>-1455</v>
      </c>
      <c r="H1197" s="496">
        <v>1455</v>
      </c>
      <c r="I1197" s="496">
        <f t="shared" si="56"/>
        <v>0</v>
      </c>
      <c r="J1197" s="496" t="s">
        <v>869</v>
      </c>
    </row>
    <row r="1198" spans="1:10" hidden="1" x14ac:dyDescent="0.25">
      <c r="A1198" s="383">
        <f t="shared" si="54"/>
        <v>24</v>
      </c>
      <c r="B1198" s="383" t="s">
        <v>265</v>
      </c>
      <c r="C1198" s="497" t="s">
        <v>1173</v>
      </c>
      <c r="D1198" s="383" t="s">
        <v>19</v>
      </c>
      <c r="E1198" s="383" t="s">
        <v>868</v>
      </c>
      <c r="F1198" s="383" t="str">
        <f t="shared" si="55"/>
        <v>S200010DWilliams Energy M</v>
      </c>
      <c r="G1198" s="496">
        <v>-161626684.75999999</v>
      </c>
      <c r="H1198" s="496">
        <v>161626684.75999999</v>
      </c>
      <c r="I1198" s="496">
        <f t="shared" si="56"/>
        <v>0</v>
      </c>
      <c r="J1198" s="496" t="s">
        <v>869</v>
      </c>
    </row>
    <row r="1199" spans="1:10" hidden="1" x14ac:dyDescent="0.25">
      <c r="A1199" s="383">
        <f t="shared" si="54"/>
        <v>24</v>
      </c>
      <c r="B1199" s="383" t="s">
        <v>265</v>
      </c>
      <c r="C1199" s="497" t="s">
        <v>1173</v>
      </c>
      <c r="D1199" s="383" t="s">
        <v>66</v>
      </c>
      <c r="E1199" s="383" t="s">
        <v>868</v>
      </c>
      <c r="F1199" s="383" t="str">
        <f t="shared" si="55"/>
        <v>S200010DWisconsin Electri</v>
      </c>
      <c r="G1199" s="496">
        <v>-100910</v>
      </c>
      <c r="H1199" s="496">
        <v>100910</v>
      </c>
      <c r="I1199" s="496">
        <f t="shared" si="56"/>
        <v>0</v>
      </c>
      <c r="J1199" s="496" t="s">
        <v>869</v>
      </c>
    </row>
    <row r="1200" spans="1:10" hidden="1" x14ac:dyDescent="0.25">
      <c r="A1200" s="383">
        <f t="shared" si="54"/>
        <v>20</v>
      </c>
      <c r="B1200" s="383" t="s">
        <v>265</v>
      </c>
      <c r="C1200" s="497" t="s">
        <v>1173</v>
      </c>
      <c r="D1200" s="383" t="s">
        <v>1092</v>
      </c>
      <c r="E1200" s="383" t="s">
        <v>887</v>
      </c>
      <c r="F1200" s="383" t="str">
        <f t="shared" si="55"/>
        <v xml:space="preserve">S200010FAllegheny Energy </v>
      </c>
      <c r="G1200" s="496">
        <v>-20878241.98</v>
      </c>
      <c r="H1200" s="496">
        <v>20878241.98</v>
      </c>
      <c r="I1200" s="496">
        <f t="shared" si="56"/>
        <v>0</v>
      </c>
      <c r="J1200" s="496" t="s">
        <v>869</v>
      </c>
    </row>
    <row r="1201" spans="1:10" hidden="1" x14ac:dyDescent="0.25">
      <c r="A1201" s="383">
        <f t="shared" si="54"/>
        <v>20</v>
      </c>
      <c r="B1201" s="383" t="s">
        <v>265</v>
      </c>
      <c r="C1201" s="497" t="s">
        <v>1173</v>
      </c>
      <c r="D1201" s="383" t="s">
        <v>886</v>
      </c>
      <c r="E1201" s="383" t="s">
        <v>887</v>
      </c>
      <c r="F1201" s="383" t="str">
        <f t="shared" si="55"/>
        <v>S200010FAmerican Electric</v>
      </c>
      <c r="G1201" s="496">
        <v>-36000</v>
      </c>
      <c r="H1201" s="496">
        <v>36000</v>
      </c>
      <c r="I1201" s="496">
        <f t="shared" si="56"/>
        <v>0</v>
      </c>
      <c r="J1201" s="496" t="s">
        <v>869</v>
      </c>
    </row>
    <row r="1202" spans="1:10" hidden="1" x14ac:dyDescent="0.25">
      <c r="A1202" s="383">
        <f t="shared" si="54"/>
        <v>20</v>
      </c>
      <c r="B1202" s="383" t="s">
        <v>265</v>
      </c>
      <c r="C1202" s="497" t="s">
        <v>1173</v>
      </c>
      <c r="D1202" s="383" t="s">
        <v>67</v>
      </c>
      <c r="E1202" s="383" t="s">
        <v>887</v>
      </c>
      <c r="F1202" s="383" t="str">
        <f t="shared" si="55"/>
        <v xml:space="preserve">S200010FAsh Grove Cement </v>
      </c>
      <c r="G1202" s="496">
        <v>-296882.5</v>
      </c>
      <c r="H1202" s="496">
        <v>296882.5</v>
      </c>
      <c r="I1202" s="496">
        <f t="shared" si="56"/>
        <v>0</v>
      </c>
      <c r="J1202" s="496" t="s">
        <v>869</v>
      </c>
    </row>
    <row r="1203" spans="1:10" hidden="1" x14ac:dyDescent="0.25">
      <c r="A1203" s="383">
        <f t="shared" si="54"/>
        <v>19</v>
      </c>
      <c r="B1203" s="383" t="s">
        <v>265</v>
      </c>
      <c r="C1203" s="497" t="s">
        <v>1173</v>
      </c>
      <c r="D1203" s="383" t="s">
        <v>996</v>
      </c>
      <c r="E1203" s="383" t="s">
        <v>887</v>
      </c>
      <c r="F1203" s="383" t="str">
        <f t="shared" si="55"/>
        <v>S200010FAssociated Electr</v>
      </c>
      <c r="G1203" s="496">
        <v>-679870</v>
      </c>
      <c r="H1203" s="496">
        <v>679870</v>
      </c>
      <c r="I1203" s="496">
        <f t="shared" si="56"/>
        <v>0</v>
      </c>
      <c r="J1203" s="496" t="s">
        <v>869</v>
      </c>
    </row>
    <row r="1204" spans="1:10" hidden="1" x14ac:dyDescent="0.25">
      <c r="A1204" s="383">
        <f t="shared" si="54"/>
        <v>19</v>
      </c>
      <c r="B1204" s="383" t="s">
        <v>265</v>
      </c>
      <c r="C1204" s="497" t="s">
        <v>1173</v>
      </c>
      <c r="D1204" s="383" t="s">
        <v>999</v>
      </c>
      <c r="E1204" s="383" t="s">
        <v>887</v>
      </c>
      <c r="F1204" s="383" t="str">
        <f t="shared" si="55"/>
        <v>S200010FAvista Energy, In</v>
      </c>
      <c r="G1204" s="496">
        <v>-310000</v>
      </c>
      <c r="H1204" s="496">
        <v>310000</v>
      </c>
      <c r="I1204" s="496">
        <f t="shared" si="56"/>
        <v>0</v>
      </c>
      <c r="J1204" s="496" t="s">
        <v>869</v>
      </c>
    </row>
    <row r="1205" spans="1:10" hidden="1" x14ac:dyDescent="0.25">
      <c r="A1205" s="383">
        <f t="shared" si="54"/>
        <v>20</v>
      </c>
      <c r="B1205" s="383" t="s">
        <v>265</v>
      </c>
      <c r="C1205" s="497" t="s">
        <v>1173</v>
      </c>
      <c r="D1205" s="383" t="s">
        <v>68</v>
      </c>
      <c r="E1205" s="383" t="s">
        <v>887</v>
      </c>
      <c r="F1205" s="383" t="str">
        <f t="shared" si="55"/>
        <v>S200010FBoston Edison Com</v>
      </c>
      <c r="G1205" s="496">
        <v>-812500</v>
      </c>
      <c r="H1205" s="496">
        <v>812500</v>
      </c>
      <c r="I1205" s="496">
        <f t="shared" si="56"/>
        <v>0</v>
      </c>
      <c r="J1205" s="496" t="s">
        <v>869</v>
      </c>
    </row>
    <row r="1206" spans="1:10" hidden="1" x14ac:dyDescent="0.25">
      <c r="A1206" s="383">
        <f t="shared" si="54"/>
        <v>17</v>
      </c>
      <c r="B1206" s="383" t="s">
        <v>265</v>
      </c>
      <c r="C1206" s="497" t="s">
        <v>1173</v>
      </c>
      <c r="D1206" s="383" t="s">
        <v>1000</v>
      </c>
      <c r="E1206" s="383" t="s">
        <v>887</v>
      </c>
      <c r="F1206" s="383" t="str">
        <f t="shared" si="55"/>
        <v>S200010FBP Energy Company</v>
      </c>
      <c r="G1206" s="496">
        <v>-61315905</v>
      </c>
      <c r="H1206" s="496">
        <v>61315905</v>
      </c>
      <c r="I1206" s="496">
        <f t="shared" si="56"/>
        <v>0</v>
      </c>
      <c r="J1206" s="496" t="s">
        <v>869</v>
      </c>
    </row>
    <row r="1207" spans="1:10" hidden="1" x14ac:dyDescent="0.25">
      <c r="A1207" s="383">
        <f t="shared" si="54"/>
        <v>17</v>
      </c>
      <c r="B1207" s="383" t="s">
        <v>265</v>
      </c>
      <c r="C1207" s="497" t="s">
        <v>1173</v>
      </c>
      <c r="D1207" s="383" t="s">
        <v>1186</v>
      </c>
      <c r="E1207" s="383" t="s">
        <v>887</v>
      </c>
      <c r="F1207" s="383" t="str">
        <f t="shared" si="55"/>
        <v>S200010FCity of Roseville</v>
      </c>
      <c r="G1207" s="496">
        <v>-1825250</v>
      </c>
      <c r="H1207" s="496">
        <v>1825250</v>
      </c>
      <c r="I1207" s="496">
        <f t="shared" si="56"/>
        <v>0</v>
      </c>
      <c r="J1207" s="496" t="s">
        <v>869</v>
      </c>
    </row>
    <row r="1208" spans="1:10" hidden="1" x14ac:dyDescent="0.25">
      <c r="A1208" s="383">
        <f t="shared" si="54"/>
        <v>19</v>
      </c>
      <c r="B1208" s="383" t="s">
        <v>265</v>
      </c>
      <c r="C1208" s="497" t="s">
        <v>1173</v>
      </c>
      <c r="D1208" s="383" t="s">
        <v>1221</v>
      </c>
      <c r="E1208" s="383" t="s">
        <v>887</v>
      </c>
      <c r="F1208" s="383" t="str">
        <f t="shared" si="55"/>
        <v>S200010FCity of Santa Cla</v>
      </c>
      <c r="G1208" s="496">
        <v>-10694800</v>
      </c>
      <c r="H1208" s="496">
        <v>10694800</v>
      </c>
      <c r="I1208" s="496">
        <f t="shared" si="56"/>
        <v>0</v>
      </c>
      <c r="J1208" s="496" t="s">
        <v>869</v>
      </c>
    </row>
    <row r="1209" spans="1:10" hidden="1" x14ac:dyDescent="0.25">
      <c r="A1209" s="383">
        <f t="shared" si="54"/>
        <v>19</v>
      </c>
      <c r="B1209" s="383" t="s">
        <v>265</v>
      </c>
      <c r="C1209" s="497" t="s">
        <v>1173</v>
      </c>
      <c r="D1209" s="383" t="s">
        <v>69</v>
      </c>
      <c r="E1209" s="383" t="s">
        <v>887</v>
      </c>
      <c r="F1209" s="383" t="str">
        <f t="shared" si="55"/>
        <v>S200010FCity of Tallahass</v>
      </c>
      <c r="G1209" s="496">
        <v>-3152</v>
      </c>
      <c r="H1209" s="496">
        <v>3152</v>
      </c>
      <c r="I1209" s="496">
        <f t="shared" si="56"/>
        <v>0</v>
      </c>
      <c r="J1209" s="496" t="s">
        <v>869</v>
      </c>
    </row>
    <row r="1210" spans="1:10" hidden="1" x14ac:dyDescent="0.25">
      <c r="A1210" s="383">
        <f t="shared" si="54"/>
        <v>19</v>
      </c>
      <c r="B1210" s="383" t="s">
        <v>265</v>
      </c>
      <c r="C1210" s="497" t="s">
        <v>1173</v>
      </c>
      <c r="D1210" s="383" t="s">
        <v>955</v>
      </c>
      <c r="E1210" s="383" t="s">
        <v>887</v>
      </c>
      <c r="F1210" s="383" t="str">
        <f t="shared" si="55"/>
        <v>S200010FCommonwealth Edis</v>
      </c>
      <c r="G1210" s="496">
        <v>-32000</v>
      </c>
      <c r="H1210" s="496">
        <v>32000</v>
      </c>
      <c r="I1210" s="496">
        <f t="shared" si="56"/>
        <v>0</v>
      </c>
      <c r="J1210" s="496" t="s">
        <v>869</v>
      </c>
    </row>
    <row r="1211" spans="1:10" hidden="1" x14ac:dyDescent="0.25">
      <c r="A1211" s="383">
        <f t="shared" si="54"/>
        <v>20</v>
      </c>
      <c r="B1211" s="383" t="s">
        <v>265</v>
      </c>
      <c r="C1211" s="497" t="s">
        <v>1173</v>
      </c>
      <c r="D1211" s="383" t="s">
        <v>1222</v>
      </c>
      <c r="E1211" s="383" t="s">
        <v>887</v>
      </c>
      <c r="F1211" s="383" t="str">
        <f t="shared" si="55"/>
        <v>S200010FConAgra Energy Se</v>
      </c>
      <c r="G1211" s="496">
        <v>-4581760.25</v>
      </c>
      <c r="H1211" s="496">
        <v>4581760.25</v>
      </c>
      <c r="I1211" s="496">
        <f t="shared" si="56"/>
        <v>0</v>
      </c>
      <c r="J1211" s="496" t="s">
        <v>869</v>
      </c>
    </row>
    <row r="1212" spans="1:10" hidden="1" x14ac:dyDescent="0.25">
      <c r="A1212" s="383">
        <f t="shared" si="54"/>
        <v>19</v>
      </c>
      <c r="B1212" s="383" t="s">
        <v>265</v>
      </c>
      <c r="C1212" s="497" t="s">
        <v>1173</v>
      </c>
      <c r="D1212" s="383" t="s">
        <v>1012</v>
      </c>
      <c r="E1212" s="383" t="s">
        <v>887</v>
      </c>
      <c r="F1212" s="383" t="str">
        <f t="shared" si="55"/>
        <v>S200010FConstellation Pow</v>
      </c>
      <c r="G1212" s="496">
        <v>-262080</v>
      </c>
      <c r="H1212" s="496">
        <v>262080</v>
      </c>
      <c r="I1212" s="496">
        <f t="shared" si="56"/>
        <v>0</v>
      </c>
      <c r="J1212" s="496" t="s">
        <v>869</v>
      </c>
    </row>
    <row r="1213" spans="1:10" hidden="1" x14ac:dyDescent="0.25">
      <c r="A1213" s="383">
        <f t="shared" si="54"/>
        <v>19</v>
      </c>
      <c r="B1213" s="383" t="s">
        <v>265</v>
      </c>
      <c r="C1213" s="497" t="s">
        <v>1173</v>
      </c>
      <c r="D1213" s="383" t="s">
        <v>1013</v>
      </c>
      <c r="E1213" s="383" t="s">
        <v>887</v>
      </c>
      <c r="F1213" s="383" t="str">
        <f t="shared" si="55"/>
        <v>S200010FCoral Power, L.L.</v>
      </c>
      <c r="G1213" s="496">
        <v>-15130380</v>
      </c>
      <c r="H1213" s="496">
        <v>15130380</v>
      </c>
      <c r="I1213" s="496">
        <f t="shared" si="56"/>
        <v>0</v>
      </c>
      <c r="J1213" s="496" t="s">
        <v>869</v>
      </c>
    </row>
    <row r="1214" spans="1:10" hidden="1" x14ac:dyDescent="0.25">
      <c r="A1214" s="383">
        <f t="shared" si="54"/>
        <v>20</v>
      </c>
      <c r="B1214" s="383" t="s">
        <v>265</v>
      </c>
      <c r="C1214" s="497" t="s">
        <v>1173</v>
      </c>
      <c r="D1214" s="383" t="s">
        <v>1112</v>
      </c>
      <c r="E1214" s="383" t="s">
        <v>887</v>
      </c>
      <c r="F1214" s="383" t="str">
        <f t="shared" si="55"/>
        <v xml:space="preserve">S200010FDayton Power and </v>
      </c>
      <c r="G1214" s="496">
        <v>-105650</v>
      </c>
      <c r="H1214" s="496">
        <v>105650</v>
      </c>
      <c r="I1214" s="496">
        <f t="shared" si="56"/>
        <v>0</v>
      </c>
      <c r="J1214" s="496" t="s">
        <v>869</v>
      </c>
    </row>
    <row r="1215" spans="1:10" hidden="1" x14ac:dyDescent="0.25">
      <c r="A1215" s="383">
        <f t="shared" si="54"/>
        <v>18</v>
      </c>
      <c r="B1215" s="383" t="s">
        <v>265</v>
      </c>
      <c r="C1215" s="497" t="s">
        <v>1173</v>
      </c>
      <c r="D1215" s="383" t="s">
        <v>1291</v>
      </c>
      <c r="E1215" s="383" t="s">
        <v>887</v>
      </c>
      <c r="F1215" s="383" t="str">
        <f t="shared" si="55"/>
        <v>S200010FDelano Energy Com</v>
      </c>
      <c r="G1215" s="496">
        <v>0</v>
      </c>
      <c r="H1215" s="496"/>
      <c r="I1215" s="496">
        <f t="shared" si="56"/>
        <v>0</v>
      </c>
      <c r="J1215" s="496" t="s">
        <v>869</v>
      </c>
    </row>
    <row r="1216" spans="1:10" hidden="1" x14ac:dyDescent="0.25">
      <c r="A1216" s="383">
        <f t="shared" si="54"/>
        <v>19</v>
      </c>
      <c r="B1216" s="383" t="s">
        <v>265</v>
      </c>
      <c r="C1216" s="497" t="s">
        <v>1173</v>
      </c>
      <c r="D1216" s="383" t="s">
        <v>1019</v>
      </c>
      <c r="E1216" s="383" t="s">
        <v>887</v>
      </c>
      <c r="F1216" s="383" t="str">
        <f t="shared" si="55"/>
        <v>S200010FEast Kentucky Pow</v>
      </c>
      <c r="G1216" s="496">
        <v>-27200</v>
      </c>
      <c r="H1216" s="496">
        <v>27200</v>
      </c>
      <c r="I1216" s="496">
        <f t="shared" si="56"/>
        <v>0</v>
      </c>
      <c r="J1216" s="496" t="s">
        <v>869</v>
      </c>
    </row>
    <row r="1217" spans="1:10" hidden="1" x14ac:dyDescent="0.25">
      <c r="A1217" s="383">
        <f t="shared" si="54"/>
        <v>19</v>
      </c>
      <c r="B1217" s="383" t="s">
        <v>265</v>
      </c>
      <c r="C1217" s="497" t="s">
        <v>1173</v>
      </c>
      <c r="D1217" s="383" t="s">
        <v>70</v>
      </c>
      <c r="E1217" s="383" t="s">
        <v>887</v>
      </c>
      <c r="F1217" s="383" t="str">
        <f t="shared" si="55"/>
        <v>S200010FEast Texas Electr</v>
      </c>
      <c r="G1217" s="496">
        <v>-155076.75</v>
      </c>
      <c r="H1217" s="496">
        <v>155076.75</v>
      </c>
      <c r="I1217" s="496">
        <f t="shared" si="56"/>
        <v>0</v>
      </c>
      <c r="J1217" s="496" t="s">
        <v>869</v>
      </c>
    </row>
    <row r="1218" spans="1:10" hidden="1" x14ac:dyDescent="0.25">
      <c r="A1218" s="383">
        <f t="shared" si="54"/>
        <v>20</v>
      </c>
      <c r="B1218" s="383" t="s">
        <v>265</v>
      </c>
      <c r="C1218" s="497" t="s">
        <v>1173</v>
      </c>
      <c r="D1218" s="383" t="s">
        <v>1116</v>
      </c>
      <c r="E1218" s="383" t="s">
        <v>887</v>
      </c>
      <c r="F1218" s="383" t="str">
        <f t="shared" si="55"/>
        <v xml:space="preserve">S200010FEl Paso Merchant </v>
      </c>
      <c r="G1218" s="496">
        <v>-306000</v>
      </c>
      <c r="H1218" s="496">
        <v>306000</v>
      </c>
      <c r="I1218" s="496">
        <f t="shared" si="56"/>
        <v>0</v>
      </c>
      <c r="J1218" s="496" t="s">
        <v>869</v>
      </c>
    </row>
    <row r="1219" spans="1:10" hidden="1" x14ac:dyDescent="0.25">
      <c r="A1219" s="383">
        <f t="shared" si="54"/>
        <v>20</v>
      </c>
      <c r="B1219" s="383" t="s">
        <v>265</v>
      </c>
      <c r="C1219" s="497" t="s">
        <v>1173</v>
      </c>
      <c r="D1219" s="383" t="s">
        <v>23</v>
      </c>
      <c r="E1219" s="383" t="s">
        <v>887</v>
      </c>
      <c r="F1219" s="383" t="str">
        <f t="shared" si="55"/>
        <v xml:space="preserve">S200010FEmerald People's </v>
      </c>
      <c r="G1219" s="496">
        <v>-116331.75</v>
      </c>
      <c r="H1219" s="496">
        <v>116331.75</v>
      </c>
      <c r="I1219" s="496">
        <f t="shared" si="56"/>
        <v>0</v>
      </c>
      <c r="J1219" s="496" t="s">
        <v>869</v>
      </c>
    </row>
    <row r="1220" spans="1:10" hidden="1" x14ac:dyDescent="0.25">
      <c r="A1220" s="383">
        <f t="shared" ref="A1220:A1283" si="57">LEN(D1220)</f>
        <v>20</v>
      </c>
      <c r="B1220" s="383" t="s">
        <v>265</v>
      </c>
      <c r="C1220" s="497" t="s">
        <v>1173</v>
      </c>
      <c r="D1220" s="383" t="s">
        <v>71</v>
      </c>
      <c r="E1220" s="383" t="s">
        <v>887</v>
      </c>
      <c r="F1220" s="383" t="str">
        <f t="shared" ref="F1220:F1283" si="58">+B1220&amp;C1220&amp;E1220&amp;LEFT(D1220,17)</f>
        <v>S200010FEnergy West Resou</v>
      </c>
      <c r="G1220" s="496">
        <v>-156476.5</v>
      </c>
      <c r="H1220" s="496">
        <v>156476.5</v>
      </c>
      <c r="I1220" s="496">
        <f t="shared" ref="I1220:I1283" si="59">ROUND(+G1220+H1220,2)</f>
        <v>0</v>
      </c>
      <c r="J1220" s="496" t="s">
        <v>869</v>
      </c>
    </row>
    <row r="1221" spans="1:10" hidden="1" x14ac:dyDescent="0.25">
      <c r="A1221" s="383">
        <f t="shared" si="57"/>
        <v>20</v>
      </c>
      <c r="B1221" s="383" t="s">
        <v>265</v>
      </c>
      <c r="C1221" s="497" t="s">
        <v>1173</v>
      </c>
      <c r="D1221" s="383" t="s">
        <v>1263</v>
      </c>
      <c r="E1221" s="383" t="s">
        <v>887</v>
      </c>
      <c r="F1221" s="383" t="str">
        <f t="shared" si="58"/>
        <v>S200010FEntergy Services,</v>
      </c>
      <c r="G1221" s="496">
        <v>-8025212</v>
      </c>
      <c r="H1221" s="496">
        <v>8025212</v>
      </c>
      <c r="I1221" s="496">
        <f t="shared" si="59"/>
        <v>0</v>
      </c>
      <c r="J1221" s="496" t="s">
        <v>869</v>
      </c>
    </row>
    <row r="1222" spans="1:10" hidden="1" x14ac:dyDescent="0.25">
      <c r="A1222" s="383">
        <f t="shared" si="57"/>
        <v>17</v>
      </c>
      <c r="B1222" s="383" t="s">
        <v>265</v>
      </c>
      <c r="C1222" s="497" t="s">
        <v>1173</v>
      </c>
      <c r="D1222" s="383" t="s">
        <v>1022</v>
      </c>
      <c r="E1222" s="383" t="s">
        <v>887</v>
      </c>
      <c r="F1222" s="383" t="str">
        <f t="shared" si="58"/>
        <v>S200010FFirstEnergy Corp.</v>
      </c>
      <c r="G1222" s="496">
        <v>-19800</v>
      </c>
      <c r="H1222" s="496">
        <v>19800</v>
      </c>
      <c r="I1222" s="496">
        <f t="shared" si="59"/>
        <v>0</v>
      </c>
      <c r="J1222" s="496" t="s">
        <v>869</v>
      </c>
    </row>
    <row r="1223" spans="1:10" hidden="1" x14ac:dyDescent="0.25">
      <c r="A1223" s="383">
        <f t="shared" si="57"/>
        <v>19</v>
      </c>
      <c r="B1223" s="383" t="s">
        <v>265</v>
      </c>
      <c r="C1223" s="497" t="s">
        <v>1173</v>
      </c>
      <c r="D1223" s="383" t="s">
        <v>1224</v>
      </c>
      <c r="E1223" s="383" t="s">
        <v>887</v>
      </c>
      <c r="F1223" s="383" t="str">
        <f t="shared" si="58"/>
        <v>S200010FFirstEnergy Tradi</v>
      </c>
      <c r="G1223" s="496">
        <v>-831000</v>
      </c>
      <c r="H1223" s="496">
        <v>831000</v>
      </c>
      <c r="I1223" s="496">
        <f t="shared" si="59"/>
        <v>0</v>
      </c>
      <c r="J1223" s="496" t="s">
        <v>869</v>
      </c>
    </row>
    <row r="1224" spans="1:10" hidden="1" x14ac:dyDescent="0.25">
      <c r="A1224" s="383">
        <f t="shared" si="57"/>
        <v>20</v>
      </c>
      <c r="B1224" s="383" t="s">
        <v>265</v>
      </c>
      <c r="C1224" s="497" t="s">
        <v>1173</v>
      </c>
      <c r="D1224" s="383" t="s">
        <v>1120</v>
      </c>
      <c r="E1224" s="383" t="s">
        <v>887</v>
      </c>
      <c r="F1224" s="383" t="str">
        <f t="shared" si="58"/>
        <v>S200010FFlorida Power Cor</v>
      </c>
      <c r="G1224" s="496">
        <v>-687646</v>
      </c>
      <c r="H1224" s="496">
        <v>687646</v>
      </c>
      <c r="I1224" s="496">
        <f t="shared" si="59"/>
        <v>0</v>
      </c>
      <c r="J1224" s="496" t="s">
        <v>869</v>
      </c>
    </row>
    <row r="1225" spans="1:10" hidden="1" x14ac:dyDescent="0.25">
      <c r="A1225" s="383">
        <f t="shared" si="57"/>
        <v>14</v>
      </c>
      <c r="B1225" s="383" t="s">
        <v>265</v>
      </c>
      <c r="C1225" s="497" t="s">
        <v>1173</v>
      </c>
      <c r="D1225" s="383" t="s">
        <v>1028</v>
      </c>
      <c r="E1225" s="383" t="s">
        <v>887</v>
      </c>
      <c r="F1225" s="383" t="str">
        <f t="shared" si="58"/>
        <v>S200010FGEN SYS Energy</v>
      </c>
      <c r="G1225" s="496">
        <v>-24000</v>
      </c>
      <c r="H1225" s="496">
        <v>24000</v>
      </c>
      <c r="I1225" s="496">
        <f t="shared" si="59"/>
        <v>0</v>
      </c>
      <c r="J1225" s="496" t="s">
        <v>869</v>
      </c>
    </row>
    <row r="1226" spans="1:10" hidden="1" x14ac:dyDescent="0.25">
      <c r="A1226" s="383">
        <f t="shared" si="57"/>
        <v>20</v>
      </c>
      <c r="B1226" s="383" t="s">
        <v>265</v>
      </c>
      <c r="C1226" s="497" t="s">
        <v>1173</v>
      </c>
      <c r="D1226" s="383" t="s">
        <v>72</v>
      </c>
      <c r="E1226" s="383" t="s">
        <v>887</v>
      </c>
      <c r="F1226" s="383" t="str">
        <f t="shared" si="58"/>
        <v>S200010FHetch-Hetchy Wate</v>
      </c>
      <c r="G1226" s="496">
        <v>-532000</v>
      </c>
      <c r="H1226" s="496">
        <v>532000</v>
      </c>
      <c r="I1226" s="496">
        <f t="shared" si="59"/>
        <v>0</v>
      </c>
      <c r="J1226" s="496" t="s">
        <v>869</v>
      </c>
    </row>
    <row r="1227" spans="1:10" hidden="1" x14ac:dyDescent="0.25">
      <c r="A1227" s="383">
        <f t="shared" si="57"/>
        <v>19</v>
      </c>
      <c r="B1227" s="383" t="s">
        <v>265</v>
      </c>
      <c r="C1227" s="497" t="s">
        <v>1173</v>
      </c>
      <c r="D1227" s="383" t="s">
        <v>1036</v>
      </c>
      <c r="E1227" s="383" t="s">
        <v>887</v>
      </c>
      <c r="F1227" s="383" t="str">
        <f t="shared" si="58"/>
        <v>S200010FKansas City Power</v>
      </c>
      <c r="G1227" s="496">
        <v>-9600</v>
      </c>
      <c r="H1227" s="496">
        <v>9600</v>
      </c>
      <c r="I1227" s="496">
        <f t="shared" si="59"/>
        <v>0</v>
      </c>
      <c r="J1227" s="496" t="s">
        <v>869</v>
      </c>
    </row>
    <row r="1228" spans="1:10" hidden="1" x14ac:dyDescent="0.25">
      <c r="A1228" s="383">
        <f t="shared" si="57"/>
        <v>20</v>
      </c>
      <c r="B1228" s="383" t="s">
        <v>265</v>
      </c>
      <c r="C1228" s="497" t="s">
        <v>1173</v>
      </c>
      <c r="D1228" s="383" t="s">
        <v>1128</v>
      </c>
      <c r="E1228" s="383" t="s">
        <v>887</v>
      </c>
      <c r="F1228" s="383" t="str">
        <f t="shared" si="58"/>
        <v>S200010FKoch Energy Tradi</v>
      </c>
      <c r="G1228" s="496">
        <v>-24000</v>
      </c>
      <c r="H1228" s="496">
        <v>24000</v>
      </c>
      <c r="I1228" s="496">
        <f t="shared" si="59"/>
        <v>0</v>
      </c>
      <c r="J1228" s="496" t="s">
        <v>869</v>
      </c>
    </row>
    <row r="1229" spans="1:10" hidden="1" x14ac:dyDescent="0.25">
      <c r="A1229" s="383">
        <f t="shared" si="57"/>
        <v>20</v>
      </c>
      <c r="B1229" s="383" t="s">
        <v>265</v>
      </c>
      <c r="C1229" s="497" t="s">
        <v>1173</v>
      </c>
      <c r="D1229" s="383" t="s">
        <v>1129</v>
      </c>
      <c r="E1229" s="383" t="s">
        <v>887</v>
      </c>
      <c r="F1229" s="383" t="str">
        <f t="shared" si="58"/>
        <v>S200010FLG&amp;E Energy Marke</v>
      </c>
      <c r="G1229" s="496">
        <v>-3405040</v>
      </c>
      <c r="H1229" s="496">
        <v>3405040</v>
      </c>
      <c r="I1229" s="496">
        <f t="shared" si="59"/>
        <v>0</v>
      </c>
      <c r="J1229" s="496" t="s">
        <v>869</v>
      </c>
    </row>
    <row r="1230" spans="1:10" hidden="1" x14ac:dyDescent="0.25">
      <c r="A1230" s="383">
        <f t="shared" si="57"/>
        <v>20</v>
      </c>
      <c r="B1230" s="383" t="s">
        <v>265</v>
      </c>
      <c r="C1230" s="497" t="s">
        <v>1173</v>
      </c>
      <c r="D1230" s="383" t="s">
        <v>26</v>
      </c>
      <c r="E1230" s="383" t="s">
        <v>887</v>
      </c>
      <c r="F1230" s="383" t="str">
        <f t="shared" si="58"/>
        <v>S200010FLouisiana-Pacific</v>
      </c>
      <c r="G1230" s="496">
        <v>-250320</v>
      </c>
      <c r="H1230" s="496">
        <v>250320</v>
      </c>
      <c r="I1230" s="496">
        <f t="shared" si="59"/>
        <v>0</v>
      </c>
      <c r="J1230" s="496" t="s">
        <v>869</v>
      </c>
    </row>
    <row r="1231" spans="1:10" hidden="1" x14ac:dyDescent="0.25">
      <c r="A1231" s="383">
        <f t="shared" si="57"/>
        <v>20</v>
      </c>
      <c r="B1231" s="383" t="s">
        <v>265</v>
      </c>
      <c r="C1231" s="497" t="s">
        <v>1173</v>
      </c>
      <c r="D1231" s="383" t="s">
        <v>1131</v>
      </c>
      <c r="E1231" s="383" t="s">
        <v>887</v>
      </c>
      <c r="F1231" s="383" t="str">
        <f t="shared" si="58"/>
        <v>S200010FMerrill Lynch Cap</v>
      </c>
      <c r="G1231" s="496">
        <v>-16000</v>
      </c>
      <c r="H1231" s="496">
        <v>16000</v>
      </c>
      <c r="I1231" s="496">
        <f t="shared" si="59"/>
        <v>0</v>
      </c>
      <c r="J1231" s="496" t="s">
        <v>869</v>
      </c>
    </row>
    <row r="1232" spans="1:10" hidden="1" x14ac:dyDescent="0.25">
      <c r="A1232" s="383">
        <f t="shared" si="57"/>
        <v>20</v>
      </c>
      <c r="B1232" s="383" t="s">
        <v>265</v>
      </c>
      <c r="C1232" s="497" t="s">
        <v>1173</v>
      </c>
      <c r="D1232" s="383" t="s">
        <v>28</v>
      </c>
      <c r="E1232" s="383" t="s">
        <v>887</v>
      </c>
      <c r="F1232" s="383" t="str">
        <f t="shared" si="58"/>
        <v>S200010FMissoula Electric</v>
      </c>
      <c r="G1232" s="496">
        <v>-3278</v>
      </c>
      <c r="H1232" s="496">
        <v>3278</v>
      </c>
      <c r="I1232" s="496">
        <f t="shared" si="59"/>
        <v>0</v>
      </c>
      <c r="J1232" s="496" t="s">
        <v>869</v>
      </c>
    </row>
    <row r="1233" spans="1:10" hidden="1" x14ac:dyDescent="0.25">
      <c r="A1233" s="383">
        <f t="shared" si="57"/>
        <v>20</v>
      </c>
      <c r="B1233" s="383" t="s">
        <v>265</v>
      </c>
      <c r="C1233" s="497" t="s">
        <v>1173</v>
      </c>
      <c r="D1233" s="383" t="s">
        <v>978</v>
      </c>
      <c r="E1233" s="383" t="s">
        <v>887</v>
      </c>
      <c r="F1233" s="383" t="str">
        <f t="shared" si="58"/>
        <v>S200010FMissouri Joint Mu</v>
      </c>
      <c r="G1233" s="496">
        <v>-544159</v>
      </c>
      <c r="H1233" s="496">
        <v>544159</v>
      </c>
      <c r="I1233" s="496">
        <f t="shared" si="59"/>
        <v>0</v>
      </c>
      <c r="J1233" s="496" t="s">
        <v>869</v>
      </c>
    </row>
    <row r="1234" spans="1:10" hidden="1" x14ac:dyDescent="0.25">
      <c r="A1234" s="383">
        <f t="shared" si="57"/>
        <v>20</v>
      </c>
      <c r="B1234" s="383" t="s">
        <v>265</v>
      </c>
      <c r="C1234" s="497" t="s">
        <v>1173</v>
      </c>
      <c r="D1234" s="383" t="s">
        <v>73</v>
      </c>
      <c r="E1234" s="383" t="s">
        <v>887</v>
      </c>
      <c r="F1234" s="383" t="str">
        <f t="shared" si="58"/>
        <v>S200010FModesto Irrigatio</v>
      </c>
      <c r="G1234" s="496">
        <v>-100649.5</v>
      </c>
      <c r="H1234" s="496">
        <v>100649.5</v>
      </c>
      <c r="I1234" s="496">
        <f t="shared" si="59"/>
        <v>0</v>
      </c>
      <c r="J1234" s="496" t="s">
        <v>869</v>
      </c>
    </row>
    <row r="1235" spans="1:10" hidden="1" x14ac:dyDescent="0.25">
      <c r="A1235" s="383">
        <f t="shared" si="57"/>
        <v>20</v>
      </c>
      <c r="B1235" s="383" t="s">
        <v>265</v>
      </c>
      <c r="C1235" s="497" t="s">
        <v>1173</v>
      </c>
      <c r="D1235" s="383" t="s">
        <v>74</v>
      </c>
      <c r="E1235" s="383" t="s">
        <v>887</v>
      </c>
      <c r="F1235" s="383" t="str">
        <f t="shared" si="58"/>
        <v>S200010FMontana-Dakota Ut</v>
      </c>
      <c r="G1235" s="496">
        <v>-2025</v>
      </c>
      <c r="H1235" s="496">
        <v>2025</v>
      </c>
      <c r="I1235" s="496">
        <f t="shared" si="59"/>
        <v>0</v>
      </c>
      <c r="J1235" s="496" t="s">
        <v>869</v>
      </c>
    </row>
    <row r="1236" spans="1:10" hidden="1" x14ac:dyDescent="0.25">
      <c r="A1236" s="383">
        <f t="shared" si="57"/>
        <v>20</v>
      </c>
      <c r="B1236" s="383" t="s">
        <v>265</v>
      </c>
      <c r="C1236" s="497" t="s">
        <v>1173</v>
      </c>
      <c r="D1236" s="383" t="s">
        <v>1134</v>
      </c>
      <c r="E1236" s="383" t="s">
        <v>887</v>
      </c>
      <c r="F1236" s="383" t="str">
        <f t="shared" si="58"/>
        <v>S200010FMorgan Stanley Ca</v>
      </c>
      <c r="G1236" s="496">
        <v>-8080080</v>
      </c>
      <c r="H1236" s="496">
        <v>8080080</v>
      </c>
      <c r="I1236" s="496">
        <f t="shared" si="59"/>
        <v>0</v>
      </c>
      <c r="J1236" s="496" t="s">
        <v>869</v>
      </c>
    </row>
    <row r="1237" spans="1:10" hidden="1" x14ac:dyDescent="0.25">
      <c r="A1237" s="383">
        <f t="shared" si="57"/>
        <v>20</v>
      </c>
      <c r="B1237" s="383" t="s">
        <v>265</v>
      </c>
      <c r="C1237" s="497" t="s">
        <v>1173</v>
      </c>
      <c r="D1237" s="383" t="s">
        <v>1135</v>
      </c>
      <c r="E1237" s="383" t="s">
        <v>887</v>
      </c>
      <c r="F1237" s="383" t="str">
        <f t="shared" si="58"/>
        <v>S200010FNiagara Mohawk En</v>
      </c>
      <c r="G1237" s="496">
        <v>-701600</v>
      </c>
      <c r="H1237" s="496">
        <v>701600</v>
      </c>
      <c r="I1237" s="496">
        <f t="shared" si="59"/>
        <v>0</v>
      </c>
      <c r="J1237" s="496" t="s">
        <v>869</v>
      </c>
    </row>
    <row r="1238" spans="1:10" hidden="1" x14ac:dyDescent="0.25">
      <c r="A1238" s="383">
        <f t="shared" si="57"/>
        <v>20</v>
      </c>
      <c r="B1238" s="383" t="s">
        <v>265</v>
      </c>
      <c r="C1238" s="497" t="s">
        <v>1173</v>
      </c>
      <c r="D1238" s="383" t="s">
        <v>1137</v>
      </c>
      <c r="E1238" s="383" t="s">
        <v>887</v>
      </c>
      <c r="F1238" s="383" t="str">
        <f t="shared" si="58"/>
        <v>S200010FOGE Energy Resour</v>
      </c>
      <c r="G1238" s="496">
        <v>-1781660</v>
      </c>
      <c r="H1238" s="496">
        <v>1781660</v>
      </c>
      <c r="I1238" s="496">
        <f t="shared" si="59"/>
        <v>0</v>
      </c>
      <c r="J1238" s="496" t="s">
        <v>869</v>
      </c>
    </row>
    <row r="1239" spans="1:10" hidden="1" x14ac:dyDescent="0.25">
      <c r="A1239" s="383">
        <f t="shared" si="57"/>
        <v>20</v>
      </c>
      <c r="B1239" s="383" t="s">
        <v>265</v>
      </c>
      <c r="C1239" s="497" t="s">
        <v>1173</v>
      </c>
      <c r="D1239" s="383" t="s">
        <v>981</v>
      </c>
      <c r="E1239" s="383" t="s">
        <v>887</v>
      </c>
      <c r="F1239" s="383" t="str">
        <f t="shared" si="58"/>
        <v xml:space="preserve">S200010FOglethorpe Power </v>
      </c>
      <c r="G1239" s="496">
        <v>-152421</v>
      </c>
      <c r="H1239" s="496">
        <v>152421</v>
      </c>
      <c r="I1239" s="496">
        <f t="shared" si="59"/>
        <v>0</v>
      </c>
      <c r="J1239" s="496" t="s">
        <v>869</v>
      </c>
    </row>
    <row r="1240" spans="1:10" hidden="1" x14ac:dyDescent="0.25">
      <c r="A1240" s="383">
        <f t="shared" si="57"/>
        <v>20</v>
      </c>
      <c r="B1240" s="383" t="s">
        <v>265</v>
      </c>
      <c r="C1240" s="497" t="s">
        <v>1173</v>
      </c>
      <c r="D1240" s="383" t="s">
        <v>75</v>
      </c>
      <c r="E1240" s="383" t="s">
        <v>887</v>
      </c>
      <c r="F1240" s="383" t="str">
        <f t="shared" si="58"/>
        <v xml:space="preserve">S200010FOklahoma Gas And </v>
      </c>
      <c r="G1240" s="496">
        <v>-64000</v>
      </c>
      <c r="H1240" s="496">
        <v>64000</v>
      </c>
      <c r="I1240" s="496">
        <f t="shared" si="59"/>
        <v>0</v>
      </c>
      <c r="J1240" s="496" t="s">
        <v>869</v>
      </c>
    </row>
    <row r="1241" spans="1:10" hidden="1" x14ac:dyDescent="0.25">
      <c r="A1241" s="383">
        <f t="shared" si="57"/>
        <v>20</v>
      </c>
      <c r="B1241" s="383" t="s">
        <v>265</v>
      </c>
      <c r="C1241" s="497" t="s">
        <v>1173</v>
      </c>
      <c r="D1241" s="383" t="s">
        <v>30</v>
      </c>
      <c r="E1241" s="383" t="s">
        <v>887</v>
      </c>
      <c r="F1241" s="383" t="str">
        <f t="shared" si="58"/>
        <v>S200010FPacific Northwest</v>
      </c>
      <c r="G1241" s="496">
        <v>-3590137</v>
      </c>
      <c r="H1241" s="496">
        <v>3590137</v>
      </c>
      <c r="I1241" s="496">
        <f t="shared" si="59"/>
        <v>0</v>
      </c>
      <c r="J1241" s="496" t="s">
        <v>869</v>
      </c>
    </row>
    <row r="1242" spans="1:10" hidden="1" x14ac:dyDescent="0.25">
      <c r="A1242" s="383">
        <f t="shared" si="57"/>
        <v>19</v>
      </c>
      <c r="B1242" s="383" t="s">
        <v>265</v>
      </c>
      <c r="C1242" s="497" t="s">
        <v>1173</v>
      </c>
      <c r="D1242" s="383" t="s">
        <v>1054</v>
      </c>
      <c r="E1242" s="383" t="s">
        <v>887</v>
      </c>
      <c r="F1242" s="383" t="str">
        <f t="shared" si="58"/>
        <v>S200010FPeco Energy Compa</v>
      </c>
      <c r="G1242" s="496">
        <v>-2834880</v>
      </c>
      <c r="H1242" s="496">
        <v>2834880</v>
      </c>
      <c r="I1242" s="496">
        <f t="shared" si="59"/>
        <v>0</v>
      </c>
      <c r="J1242" s="496" t="s">
        <v>869</v>
      </c>
    </row>
    <row r="1243" spans="1:10" hidden="1" x14ac:dyDescent="0.25">
      <c r="A1243" s="383">
        <f t="shared" si="57"/>
        <v>20</v>
      </c>
      <c r="B1243" s="383" t="s">
        <v>265</v>
      </c>
      <c r="C1243" s="497" t="s">
        <v>1173</v>
      </c>
      <c r="D1243" s="383" t="s">
        <v>1139</v>
      </c>
      <c r="E1243" s="383" t="s">
        <v>887</v>
      </c>
      <c r="F1243" s="383" t="str">
        <f t="shared" si="58"/>
        <v>S200010FPSEG Energy Resou</v>
      </c>
      <c r="G1243" s="496">
        <v>-47040</v>
      </c>
      <c r="H1243" s="496">
        <v>47040</v>
      </c>
      <c r="I1243" s="496">
        <f t="shared" si="59"/>
        <v>0</v>
      </c>
      <c r="J1243" s="496" t="s">
        <v>869</v>
      </c>
    </row>
    <row r="1244" spans="1:10" hidden="1" x14ac:dyDescent="0.25">
      <c r="A1244" s="383">
        <f t="shared" si="57"/>
        <v>20</v>
      </c>
      <c r="B1244" s="383" t="s">
        <v>265</v>
      </c>
      <c r="C1244" s="497" t="s">
        <v>1173</v>
      </c>
      <c r="D1244" s="383" t="s">
        <v>1142</v>
      </c>
      <c r="E1244" s="383" t="s">
        <v>887</v>
      </c>
      <c r="F1244" s="383" t="str">
        <f t="shared" si="58"/>
        <v>S200010FPublic Utility Di</v>
      </c>
      <c r="G1244" s="496">
        <v>-1101200</v>
      </c>
      <c r="H1244" s="496">
        <v>1101200</v>
      </c>
      <c r="I1244" s="496">
        <f t="shared" si="59"/>
        <v>0</v>
      </c>
      <c r="J1244" s="496" t="s">
        <v>869</v>
      </c>
    </row>
    <row r="1245" spans="1:10" hidden="1" x14ac:dyDescent="0.25">
      <c r="A1245" s="383">
        <f t="shared" si="57"/>
        <v>19</v>
      </c>
      <c r="B1245" s="383" t="s">
        <v>265</v>
      </c>
      <c r="C1245" s="497" t="s">
        <v>1173</v>
      </c>
      <c r="D1245" s="383" t="s">
        <v>941</v>
      </c>
      <c r="E1245" s="383" t="s">
        <v>887</v>
      </c>
      <c r="F1245" s="383" t="str">
        <f t="shared" si="58"/>
        <v>S200010FPuget Sound Energ</v>
      </c>
      <c r="G1245" s="496">
        <v>-830000</v>
      </c>
      <c r="H1245" s="496">
        <v>830000</v>
      </c>
      <c r="I1245" s="496">
        <f t="shared" si="59"/>
        <v>0</v>
      </c>
      <c r="J1245" s="496" t="s">
        <v>869</v>
      </c>
    </row>
    <row r="1246" spans="1:10" hidden="1" x14ac:dyDescent="0.25">
      <c r="A1246" s="383">
        <f t="shared" si="57"/>
        <v>20</v>
      </c>
      <c r="B1246" s="383" t="s">
        <v>265</v>
      </c>
      <c r="C1246" s="497" t="s">
        <v>1173</v>
      </c>
      <c r="D1246" s="383" t="s">
        <v>1144</v>
      </c>
      <c r="E1246" s="383" t="s">
        <v>887</v>
      </c>
      <c r="F1246" s="383" t="str">
        <f t="shared" si="58"/>
        <v>S200010FReliant Energy Se</v>
      </c>
      <c r="G1246" s="496">
        <v>-44000</v>
      </c>
      <c r="H1246" s="496">
        <v>44000</v>
      </c>
      <c r="I1246" s="496">
        <f t="shared" si="59"/>
        <v>0</v>
      </c>
      <c r="J1246" s="496" t="s">
        <v>869</v>
      </c>
    </row>
    <row r="1247" spans="1:10" hidden="1" x14ac:dyDescent="0.25">
      <c r="A1247" s="383">
        <f t="shared" si="57"/>
        <v>20</v>
      </c>
      <c r="B1247" s="383" t="s">
        <v>265</v>
      </c>
      <c r="C1247" s="497" t="s">
        <v>1173</v>
      </c>
      <c r="D1247" s="383" t="s">
        <v>1147</v>
      </c>
      <c r="E1247" s="383" t="s">
        <v>887</v>
      </c>
      <c r="F1247" s="383" t="str">
        <f t="shared" si="58"/>
        <v>S200010FSaskatchewan Powe</v>
      </c>
      <c r="G1247" s="496">
        <v>-11090</v>
      </c>
      <c r="H1247" s="496">
        <v>11090</v>
      </c>
      <c r="I1247" s="496">
        <f t="shared" si="59"/>
        <v>0</v>
      </c>
      <c r="J1247" s="496" t="s">
        <v>869</v>
      </c>
    </row>
    <row r="1248" spans="1:10" hidden="1" x14ac:dyDescent="0.25">
      <c r="A1248" s="383">
        <f t="shared" si="57"/>
        <v>20</v>
      </c>
      <c r="B1248" s="383" t="s">
        <v>265</v>
      </c>
      <c r="C1248" s="497" t="s">
        <v>1173</v>
      </c>
      <c r="D1248" s="383" t="s">
        <v>76</v>
      </c>
      <c r="E1248" s="383" t="s">
        <v>887</v>
      </c>
      <c r="F1248" s="383" t="str">
        <f t="shared" si="58"/>
        <v>S200010FSoutheastern Powe</v>
      </c>
      <c r="G1248" s="496">
        <v>-305044</v>
      </c>
      <c r="H1248" s="496">
        <v>305044</v>
      </c>
      <c r="I1248" s="496">
        <f t="shared" si="59"/>
        <v>0</v>
      </c>
      <c r="J1248" s="496" t="s">
        <v>869</v>
      </c>
    </row>
    <row r="1249" spans="1:10" hidden="1" x14ac:dyDescent="0.25">
      <c r="A1249" s="383">
        <f t="shared" si="57"/>
        <v>20</v>
      </c>
      <c r="B1249" s="383" t="s">
        <v>265</v>
      </c>
      <c r="C1249" s="497" t="s">
        <v>1173</v>
      </c>
      <c r="D1249" s="383" t="s">
        <v>1152</v>
      </c>
      <c r="E1249" s="383" t="s">
        <v>887</v>
      </c>
      <c r="F1249" s="383" t="str">
        <f t="shared" si="58"/>
        <v xml:space="preserve">S200010FSouthern Indiana </v>
      </c>
      <c r="G1249" s="496">
        <v>-55056</v>
      </c>
      <c r="H1249" s="496">
        <v>55056</v>
      </c>
      <c r="I1249" s="496">
        <f t="shared" si="59"/>
        <v>0</v>
      </c>
      <c r="J1249" s="496" t="s">
        <v>869</v>
      </c>
    </row>
    <row r="1250" spans="1:10" hidden="1" x14ac:dyDescent="0.25">
      <c r="A1250" s="383">
        <f t="shared" si="57"/>
        <v>20</v>
      </c>
      <c r="B1250" s="383" t="s">
        <v>265</v>
      </c>
      <c r="C1250" s="497" t="s">
        <v>1173</v>
      </c>
      <c r="D1250" s="383" t="s">
        <v>32</v>
      </c>
      <c r="E1250" s="383" t="s">
        <v>887</v>
      </c>
      <c r="F1250" s="383" t="str">
        <f t="shared" si="58"/>
        <v>S200010FTampa Electric Co</v>
      </c>
      <c r="G1250" s="496">
        <v>-31050</v>
      </c>
      <c r="H1250" s="496">
        <v>31050</v>
      </c>
      <c r="I1250" s="496">
        <f t="shared" si="59"/>
        <v>0</v>
      </c>
      <c r="J1250" s="496" t="s">
        <v>869</v>
      </c>
    </row>
    <row r="1251" spans="1:10" hidden="1" x14ac:dyDescent="0.25">
      <c r="A1251" s="383">
        <f t="shared" si="57"/>
        <v>20</v>
      </c>
      <c r="B1251" s="383" t="s">
        <v>265</v>
      </c>
      <c r="C1251" s="497" t="s">
        <v>1173</v>
      </c>
      <c r="D1251" s="383" t="s">
        <v>1161</v>
      </c>
      <c r="E1251" s="383" t="s">
        <v>887</v>
      </c>
      <c r="F1251" s="383" t="str">
        <f t="shared" si="58"/>
        <v>S200010FTri-State Generat</v>
      </c>
      <c r="G1251" s="496">
        <v>-107220</v>
      </c>
      <c r="H1251" s="496">
        <v>107220</v>
      </c>
      <c r="I1251" s="496">
        <f t="shared" si="59"/>
        <v>0</v>
      </c>
      <c r="J1251" s="496" t="s">
        <v>869</v>
      </c>
    </row>
    <row r="1252" spans="1:10" hidden="1" x14ac:dyDescent="0.25">
      <c r="A1252" s="383">
        <f t="shared" si="57"/>
        <v>20</v>
      </c>
      <c r="B1252" s="383" t="s">
        <v>265</v>
      </c>
      <c r="C1252" s="497" t="s">
        <v>1173</v>
      </c>
      <c r="D1252" s="383" t="s">
        <v>77</v>
      </c>
      <c r="E1252" s="383" t="s">
        <v>887</v>
      </c>
      <c r="F1252" s="383" t="str">
        <f t="shared" si="58"/>
        <v>S200010FTXU Electric Comp</v>
      </c>
      <c r="G1252" s="496">
        <v>-99790</v>
      </c>
      <c r="H1252" s="496">
        <v>99790</v>
      </c>
      <c r="I1252" s="496">
        <f t="shared" si="59"/>
        <v>0</v>
      </c>
      <c r="J1252" s="496" t="s">
        <v>869</v>
      </c>
    </row>
    <row r="1253" spans="1:10" hidden="1" x14ac:dyDescent="0.25">
      <c r="A1253" s="383">
        <f t="shared" si="57"/>
        <v>20</v>
      </c>
      <c r="B1253" s="383" t="s">
        <v>265</v>
      </c>
      <c r="C1253" s="497" t="s">
        <v>1173</v>
      </c>
      <c r="D1253" s="383" t="s">
        <v>1226</v>
      </c>
      <c r="E1253" s="383" t="s">
        <v>887</v>
      </c>
      <c r="F1253" s="383" t="str">
        <f t="shared" si="58"/>
        <v>S200010FTXU Energy Tradin</v>
      </c>
      <c r="G1253" s="496">
        <v>-4334560</v>
      </c>
      <c r="H1253" s="496">
        <v>4334560</v>
      </c>
      <c r="I1253" s="496">
        <f t="shared" si="59"/>
        <v>0</v>
      </c>
      <c r="J1253" s="496" t="s">
        <v>869</v>
      </c>
    </row>
    <row r="1254" spans="1:10" hidden="1" x14ac:dyDescent="0.25">
      <c r="A1254" s="383">
        <f t="shared" si="57"/>
        <v>15</v>
      </c>
      <c r="B1254" s="383" t="s">
        <v>265</v>
      </c>
      <c r="C1254" s="497" t="s">
        <v>1173</v>
      </c>
      <c r="D1254" s="383" t="s">
        <v>18</v>
      </c>
      <c r="E1254" s="383" t="s">
        <v>887</v>
      </c>
      <c r="F1254" s="383" t="str">
        <f t="shared" si="58"/>
        <v>S200010FVernon, City of</v>
      </c>
      <c r="G1254" s="496">
        <v>-948531.25</v>
      </c>
      <c r="H1254" s="496">
        <v>948531.25</v>
      </c>
      <c r="I1254" s="496">
        <f t="shared" si="59"/>
        <v>0</v>
      </c>
      <c r="J1254" s="496" t="s">
        <v>869</v>
      </c>
    </row>
    <row r="1255" spans="1:10" hidden="1" x14ac:dyDescent="0.25">
      <c r="A1255" s="383">
        <f t="shared" si="57"/>
        <v>20</v>
      </c>
      <c r="B1255" s="383" t="s">
        <v>265</v>
      </c>
      <c r="C1255" s="497" t="s">
        <v>1173</v>
      </c>
      <c r="D1255" s="383" t="s">
        <v>1163</v>
      </c>
      <c r="E1255" s="383" t="s">
        <v>887</v>
      </c>
      <c r="F1255" s="383" t="str">
        <f t="shared" si="58"/>
        <v>S200010FVirginia Electric</v>
      </c>
      <c r="G1255" s="496">
        <v>-56000</v>
      </c>
      <c r="H1255" s="496">
        <v>56000</v>
      </c>
      <c r="I1255" s="496">
        <f t="shared" si="59"/>
        <v>0</v>
      </c>
      <c r="J1255" s="496" t="s">
        <v>869</v>
      </c>
    </row>
    <row r="1256" spans="1:10" hidden="1" x14ac:dyDescent="0.25">
      <c r="A1256" s="383">
        <f t="shared" si="57"/>
        <v>19</v>
      </c>
      <c r="B1256" s="383" t="s">
        <v>265</v>
      </c>
      <c r="C1256" s="497" t="s">
        <v>1173</v>
      </c>
      <c r="D1256" s="383" t="s">
        <v>1083</v>
      </c>
      <c r="E1256" s="383" t="s">
        <v>887</v>
      </c>
      <c r="F1256" s="383" t="str">
        <f t="shared" si="58"/>
        <v>S200010FWabash Valley Pow</v>
      </c>
      <c r="G1256" s="496">
        <v>-3021560</v>
      </c>
      <c r="H1256" s="496">
        <v>3021560</v>
      </c>
      <c r="I1256" s="496">
        <f t="shared" si="59"/>
        <v>0</v>
      </c>
      <c r="J1256" s="496" t="s">
        <v>869</v>
      </c>
    </row>
    <row r="1257" spans="1:10" hidden="1" x14ac:dyDescent="0.25">
      <c r="A1257" s="383">
        <f t="shared" si="57"/>
        <v>20</v>
      </c>
      <c r="B1257" s="383" t="s">
        <v>265</v>
      </c>
      <c r="C1257" s="497" t="s">
        <v>1173</v>
      </c>
      <c r="D1257" s="383" t="s">
        <v>1169</v>
      </c>
      <c r="E1257" s="383" t="s">
        <v>887</v>
      </c>
      <c r="F1257" s="383" t="str">
        <f t="shared" si="58"/>
        <v>S200010FWilliams Energy M</v>
      </c>
      <c r="G1257" s="496">
        <v>-126280</v>
      </c>
      <c r="H1257" s="496">
        <v>126280</v>
      </c>
      <c r="I1257" s="496">
        <f t="shared" si="59"/>
        <v>0</v>
      </c>
      <c r="J1257" s="496" t="s">
        <v>869</v>
      </c>
    </row>
    <row r="1258" spans="1:10" hidden="1" x14ac:dyDescent="0.25">
      <c r="A1258" s="383">
        <f t="shared" si="57"/>
        <v>19</v>
      </c>
      <c r="B1258" s="383" t="s">
        <v>274</v>
      </c>
      <c r="C1258" s="497" t="s">
        <v>885</v>
      </c>
      <c r="D1258" s="383" t="s">
        <v>935</v>
      </c>
      <c r="E1258" s="383" t="s">
        <v>868</v>
      </c>
      <c r="F1258" s="383" t="str">
        <f t="shared" si="58"/>
        <v xml:space="preserve">T199906DBonneville Power </v>
      </c>
      <c r="G1258" s="496">
        <v>-5560</v>
      </c>
      <c r="H1258" s="496">
        <v>5560</v>
      </c>
      <c r="I1258" s="496">
        <f t="shared" si="59"/>
        <v>0</v>
      </c>
      <c r="J1258" s="496" t="s">
        <v>869</v>
      </c>
    </row>
    <row r="1259" spans="1:10" hidden="1" x14ac:dyDescent="0.25">
      <c r="A1259" s="383">
        <f t="shared" si="57"/>
        <v>20</v>
      </c>
      <c r="B1259" s="383" t="s">
        <v>274</v>
      </c>
      <c r="C1259" s="497" t="s">
        <v>885</v>
      </c>
      <c r="D1259" s="383" t="s">
        <v>973</v>
      </c>
      <c r="E1259" s="383" t="s">
        <v>887</v>
      </c>
      <c r="F1259" s="383" t="str">
        <f t="shared" si="58"/>
        <v xml:space="preserve">T199906FBonneville Power </v>
      </c>
      <c r="G1259" s="496">
        <v>5560</v>
      </c>
      <c r="H1259" s="496">
        <v>-5560</v>
      </c>
      <c r="I1259" s="496">
        <f t="shared" si="59"/>
        <v>0</v>
      </c>
      <c r="J1259" s="496" t="s">
        <v>869</v>
      </c>
    </row>
    <row r="1260" spans="1:10" hidden="1" x14ac:dyDescent="0.25">
      <c r="A1260" s="383">
        <f t="shared" si="57"/>
        <v>19</v>
      </c>
      <c r="B1260" s="383" t="s">
        <v>274</v>
      </c>
      <c r="C1260" s="497" t="s">
        <v>888</v>
      </c>
      <c r="D1260" s="383" t="s">
        <v>935</v>
      </c>
      <c r="E1260" s="383" t="s">
        <v>868</v>
      </c>
      <c r="F1260" s="383" t="str">
        <f t="shared" si="58"/>
        <v xml:space="preserve">T199907DBonneville Power </v>
      </c>
      <c r="G1260" s="496">
        <v>-3181</v>
      </c>
      <c r="H1260" s="496">
        <v>3181</v>
      </c>
      <c r="I1260" s="496">
        <f t="shared" si="59"/>
        <v>0</v>
      </c>
      <c r="J1260" s="496" t="s">
        <v>869</v>
      </c>
    </row>
    <row r="1261" spans="1:10" hidden="1" x14ac:dyDescent="0.25">
      <c r="A1261" s="383">
        <f t="shared" si="57"/>
        <v>20</v>
      </c>
      <c r="B1261" s="383" t="s">
        <v>274</v>
      </c>
      <c r="C1261" s="497" t="s">
        <v>888</v>
      </c>
      <c r="D1261" s="383" t="s">
        <v>973</v>
      </c>
      <c r="E1261" s="383" t="s">
        <v>887</v>
      </c>
      <c r="F1261" s="383" t="str">
        <f t="shared" si="58"/>
        <v xml:space="preserve">T199907FBonneville Power </v>
      </c>
      <c r="G1261" s="496">
        <v>3181</v>
      </c>
      <c r="H1261" s="496">
        <v>-3181</v>
      </c>
      <c r="I1261" s="496">
        <f t="shared" si="59"/>
        <v>0</v>
      </c>
      <c r="J1261" s="496" t="s">
        <v>869</v>
      </c>
    </row>
    <row r="1262" spans="1:10" hidden="1" x14ac:dyDescent="0.25">
      <c r="A1262" s="383">
        <f t="shared" si="57"/>
        <v>19</v>
      </c>
      <c r="B1262" s="383" t="s">
        <v>274</v>
      </c>
      <c r="C1262" s="497" t="s">
        <v>903</v>
      </c>
      <c r="D1262" s="383" t="s">
        <v>1049</v>
      </c>
      <c r="E1262" s="383" t="s">
        <v>868</v>
      </c>
      <c r="F1262" s="383" t="str">
        <f t="shared" si="58"/>
        <v>T199911DNorthern States P</v>
      </c>
      <c r="G1262" s="496">
        <v>-4143.24</v>
      </c>
      <c r="H1262" s="496">
        <v>4143.24</v>
      </c>
      <c r="I1262" s="496">
        <f t="shared" si="59"/>
        <v>0</v>
      </c>
      <c r="J1262" s="496" t="s">
        <v>869</v>
      </c>
    </row>
    <row r="1263" spans="1:10" hidden="1" x14ac:dyDescent="0.25">
      <c r="A1263" s="383">
        <f t="shared" si="57"/>
        <v>20</v>
      </c>
      <c r="B1263" s="383" t="s">
        <v>274</v>
      </c>
      <c r="C1263" s="497" t="s">
        <v>903</v>
      </c>
      <c r="D1263" s="383" t="s">
        <v>1136</v>
      </c>
      <c r="E1263" s="383" t="s">
        <v>887</v>
      </c>
      <c r="F1263" s="383" t="str">
        <f t="shared" si="58"/>
        <v>T199911FNorthern States P</v>
      </c>
      <c r="G1263" s="496">
        <v>4143.24</v>
      </c>
      <c r="H1263" s="496">
        <v>-4143.24</v>
      </c>
      <c r="I1263" s="496">
        <f t="shared" si="59"/>
        <v>0</v>
      </c>
      <c r="J1263" s="496" t="s">
        <v>869</v>
      </c>
    </row>
    <row r="1264" spans="1:10" hidden="1" x14ac:dyDescent="0.25">
      <c r="A1264" s="383">
        <f t="shared" si="57"/>
        <v>19</v>
      </c>
      <c r="B1264" s="383" t="s">
        <v>274</v>
      </c>
      <c r="C1264" s="497" t="s">
        <v>910</v>
      </c>
      <c r="D1264" s="383" t="s">
        <v>939</v>
      </c>
      <c r="E1264" s="383" t="s">
        <v>868</v>
      </c>
      <c r="F1264" s="383" t="str">
        <f t="shared" si="58"/>
        <v>T200001DMontana Power Com</v>
      </c>
      <c r="G1264" s="496">
        <v>0</v>
      </c>
      <c r="H1264" s="496">
        <v>0</v>
      </c>
      <c r="I1264" s="496">
        <f t="shared" si="59"/>
        <v>0</v>
      </c>
      <c r="J1264" s="496" t="s">
        <v>869</v>
      </c>
    </row>
    <row r="1265" spans="1:10" hidden="1" x14ac:dyDescent="0.25">
      <c r="A1265" s="383">
        <f t="shared" si="57"/>
        <v>18</v>
      </c>
      <c r="B1265" s="383" t="s">
        <v>274</v>
      </c>
      <c r="C1265" s="497" t="s">
        <v>910</v>
      </c>
      <c r="D1265" s="383" t="s">
        <v>78</v>
      </c>
      <c r="E1265" s="383" t="s">
        <v>868</v>
      </c>
      <c r="F1265" s="383" t="str">
        <f t="shared" si="58"/>
        <v xml:space="preserve">T200001DPortland General </v>
      </c>
      <c r="G1265" s="496">
        <v>0</v>
      </c>
      <c r="H1265" s="496"/>
      <c r="I1265" s="496">
        <f t="shared" si="59"/>
        <v>0</v>
      </c>
      <c r="J1265" s="496" t="s">
        <v>869</v>
      </c>
    </row>
    <row r="1266" spans="1:10" hidden="1" x14ac:dyDescent="0.25">
      <c r="A1266" s="383">
        <f t="shared" si="57"/>
        <v>20</v>
      </c>
      <c r="B1266" s="383" t="s">
        <v>274</v>
      </c>
      <c r="C1266" s="497" t="s">
        <v>910</v>
      </c>
      <c r="D1266" s="383" t="s">
        <v>1136</v>
      </c>
      <c r="E1266" s="383" t="s">
        <v>887</v>
      </c>
      <c r="F1266" s="383" t="str">
        <f t="shared" si="58"/>
        <v>T200001FNorthern States P</v>
      </c>
      <c r="G1266" s="496">
        <v>627.67999999999995</v>
      </c>
      <c r="H1266" s="496">
        <v>-627.67999999999995</v>
      </c>
      <c r="I1266" s="496">
        <f t="shared" si="59"/>
        <v>0</v>
      </c>
      <c r="J1266" s="496" t="s">
        <v>869</v>
      </c>
    </row>
    <row r="1267" spans="1:10" hidden="1" x14ac:dyDescent="0.25">
      <c r="A1267" s="383">
        <f t="shared" si="57"/>
        <v>19</v>
      </c>
      <c r="B1267" s="383" t="s">
        <v>274</v>
      </c>
      <c r="C1267" s="497" t="s">
        <v>913</v>
      </c>
      <c r="D1267" s="383" t="s">
        <v>1111</v>
      </c>
      <c r="E1267" s="383" t="s">
        <v>868</v>
      </c>
      <c r="F1267" s="383" t="str">
        <f t="shared" si="58"/>
        <v>T200002DConsolidated Edis</v>
      </c>
      <c r="G1267" s="496">
        <v>0</v>
      </c>
      <c r="H1267" s="496">
        <v>0</v>
      </c>
      <c r="I1267" s="496">
        <f t="shared" si="59"/>
        <v>0</v>
      </c>
      <c r="J1267" s="496" t="s">
        <v>869</v>
      </c>
    </row>
    <row r="1268" spans="1:10" hidden="1" x14ac:dyDescent="0.25">
      <c r="A1268" s="383">
        <f t="shared" si="57"/>
        <v>19</v>
      </c>
      <c r="B1268" s="383" t="s">
        <v>274</v>
      </c>
      <c r="C1268" s="497" t="s">
        <v>913</v>
      </c>
      <c r="D1268" s="383" t="s">
        <v>939</v>
      </c>
      <c r="E1268" s="383" t="s">
        <v>868</v>
      </c>
      <c r="F1268" s="383" t="str">
        <f t="shared" si="58"/>
        <v>T200002DMontana Power Com</v>
      </c>
      <c r="G1268" s="496">
        <v>-5.6843418860808015E-14</v>
      </c>
      <c r="H1268" s="496">
        <v>0</v>
      </c>
      <c r="I1268" s="496">
        <f t="shared" si="59"/>
        <v>0</v>
      </c>
      <c r="J1268" s="496" t="s">
        <v>869</v>
      </c>
    </row>
    <row r="1269" spans="1:10" hidden="1" x14ac:dyDescent="0.25">
      <c r="A1269" s="383">
        <f t="shared" si="57"/>
        <v>18</v>
      </c>
      <c r="B1269" s="383" t="s">
        <v>274</v>
      </c>
      <c r="C1269" s="497" t="s">
        <v>913</v>
      </c>
      <c r="D1269" s="383" t="s">
        <v>924</v>
      </c>
      <c r="E1269" s="383" t="s">
        <v>868</v>
      </c>
      <c r="F1269" s="383" t="str">
        <f t="shared" si="58"/>
        <v>T200002DWestern Area Powe</v>
      </c>
      <c r="G1269" s="496">
        <v>0</v>
      </c>
      <c r="H1269" s="496">
        <v>0</v>
      </c>
      <c r="I1269" s="496">
        <f t="shared" si="59"/>
        <v>0</v>
      </c>
      <c r="J1269" s="496" t="s">
        <v>869</v>
      </c>
    </row>
    <row r="1270" spans="1:10" hidden="1" x14ac:dyDescent="0.25">
      <c r="A1270" s="383">
        <f t="shared" si="57"/>
        <v>19</v>
      </c>
      <c r="B1270" s="383" t="s">
        <v>274</v>
      </c>
      <c r="C1270" s="497" t="s">
        <v>918</v>
      </c>
      <c r="D1270" s="383" t="s">
        <v>895</v>
      </c>
      <c r="E1270" s="383" t="s">
        <v>868</v>
      </c>
      <c r="F1270" s="383" t="str">
        <f t="shared" si="58"/>
        <v>T200003DArizona Public Se</v>
      </c>
      <c r="G1270" s="496">
        <v>0</v>
      </c>
      <c r="H1270" s="496">
        <v>0</v>
      </c>
      <c r="I1270" s="496">
        <f t="shared" si="59"/>
        <v>0</v>
      </c>
      <c r="J1270" s="496" t="s">
        <v>869</v>
      </c>
    </row>
    <row r="1271" spans="1:10" hidden="1" x14ac:dyDescent="0.25">
      <c r="A1271" s="383">
        <f t="shared" si="57"/>
        <v>19</v>
      </c>
      <c r="B1271" s="383" t="s">
        <v>274</v>
      </c>
      <c r="C1271" s="497" t="s">
        <v>918</v>
      </c>
      <c r="D1271" s="383" t="s">
        <v>1049</v>
      </c>
      <c r="E1271" s="383" t="s">
        <v>868</v>
      </c>
      <c r="F1271" s="383" t="str">
        <f t="shared" si="58"/>
        <v>T200003DNorthern States P</v>
      </c>
      <c r="G1271" s="496">
        <v>-76.739999999999995</v>
      </c>
      <c r="H1271" s="496">
        <v>76.739999999999995</v>
      </c>
      <c r="I1271" s="496">
        <f t="shared" si="59"/>
        <v>0</v>
      </c>
      <c r="J1271" s="496" t="s">
        <v>869</v>
      </c>
    </row>
    <row r="1272" spans="1:10" hidden="1" x14ac:dyDescent="0.25">
      <c r="A1272" s="383">
        <f t="shared" si="57"/>
        <v>18</v>
      </c>
      <c r="B1272" s="383" t="s">
        <v>274</v>
      </c>
      <c r="C1272" s="497" t="s">
        <v>918</v>
      </c>
      <c r="D1272" s="383" t="s">
        <v>924</v>
      </c>
      <c r="E1272" s="383" t="s">
        <v>868</v>
      </c>
      <c r="F1272" s="383" t="str">
        <f t="shared" si="58"/>
        <v>T200003DWestern Area Powe</v>
      </c>
      <c r="G1272" s="496">
        <v>4.2632564145606011E-14</v>
      </c>
      <c r="H1272" s="496">
        <v>0</v>
      </c>
      <c r="I1272" s="496">
        <f t="shared" si="59"/>
        <v>0</v>
      </c>
      <c r="J1272" s="496" t="s">
        <v>869</v>
      </c>
    </row>
    <row r="1273" spans="1:10" hidden="1" x14ac:dyDescent="0.25">
      <c r="A1273" s="383">
        <f t="shared" si="57"/>
        <v>20</v>
      </c>
      <c r="B1273" s="383" t="s">
        <v>274</v>
      </c>
      <c r="C1273" s="497" t="s">
        <v>918</v>
      </c>
      <c r="D1273" s="383" t="s">
        <v>1136</v>
      </c>
      <c r="E1273" s="383" t="s">
        <v>887</v>
      </c>
      <c r="F1273" s="383" t="str">
        <f t="shared" si="58"/>
        <v>T200003FNorthern States P</v>
      </c>
      <c r="G1273" s="496">
        <v>130.78</v>
      </c>
      <c r="H1273" s="496">
        <v>-130.78</v>
      </c>
      <c r="I1273" s="496">
        <f t="shared" si="59"/>
        <v>0</v>
      </c>
      <c r="J1273" s="496" t="s">
        <v>869</v>
      </c>
    </row>
    <row r="1274" spans="1:10" hidden="1" x14ac:dyDescent="0.25">
      <c r="A1274" s="383">
        <f t="shared" si="57"/>
        <v>19</v>
      </c>
      <c r="B1274" s="383" t="s">
        <v>274</v>
      </c>
      <c r="C1274" s="497" t="s">
        <v>920</v>
      </c>
      <c r="D1274" s="383" t="s">
        <v>935</v>
      </c>
      <c r="E1274" s="383" t="s">
        <v>868</v>
      </c>
      <c r="F1274" s="383" t="str">
        <f t="shared" si="58"/>
        <v xml:space="preserve">T200004DBonneville Power </v>
      </c>
      <c r="G1274" s="496">
        <v>-3657.22</v>
      </c>
      <c r="H1274" s="496">
        <v>3657.22</v>
      </c>
      <c r="I1274" s="496">
        <f t="shared" si="59"/>
        <v>0</v>
      </c>
      <c r="J1274" s="496" t="s">
        <v>869</v>
      </c>
    </row>
    <row r="1275" spans="1:10" hidden="1" x14ac:dyDescent="0.25">
      <c r="A1275" s="383">
        <f t="shared" si="57"/>
        <v>19</v>
      </c>
      <c r="B1275" s="383" t="s">
        <v>274</v>
      </c>
      <c r="C1275" s="497" t="s">
        <v>920</v>
      </c>
      <c r="D1275" s="383" t="s">
        <v>1049</v>
      </c>
      <c r="E1275" s="383" t="s">
        <v>868</v>
      </c>
      <c r="F1275" s="383" t="str">
        <f t="shared" si="58"/>
        <v>T200004DNorthern States P</v>
      </c>
      <c r="G1275" s="496">
        <v>-190</v>
      </c>
      <c r="H1275" s="496">
        <v>190</v>
      </c>
      <c r="I1275" s="496">
        <f t="shared" si="59"/>
        <v>0</v>
      </c>
      <c r="J1275" s="496" t="s">
        <v>869</v>
      </c>
    </row>
    <row r="1276" spans="1:10" hidden="1" x14ac:dyDescent="0.25">
      <c r="A1276" s="383">
        <f t="shared" si="57"/>
        <v>18</v>
      </c>
      <c r="B1276" s="383" t="s">
        <v>274</v>
      </c>
      <c r="C1276" s="497" t="s">
        <v>920</v>
      </c>
      <c r="D1276" s="383" t="s">
        <v>924</v>
      </c>
      <c r="E1276" s="383" t="s">
        <v>868</v>
      </c>
      <c r="F1276" s="383" t="str">
        <f t="shared" si="58"/>
        <v>T200004DWestern Area Powe</v>
      </c>
      <c r="G1276" s="496">
        <v>0</v>
      </c>
      <c r="H1276" s="496">
        <v>0</v>
      </c>
      <c r="I1276" s="496">
        <f t="shared" si="59"/>
        <v>0</v>
      </c>
      <c r="J1276" s="496" t="s">
        <v>869</v>
      </c>
    </row>
    <row r="1277" spans="1:10" hidden="1" x14ac:dyDescent="0.25">
      <c r="A1277" s="383">
        <f t="shared" si="57"/>
        <v>20</v>
      </c>
      <c r="B1277" s="383" t="s">
        <v>274</v>
      </c>
      <c r="C1277" s="497" t="s">
        <v>920</v>
      </c>
      <c r="D1277" s="383" t="s">
        <v>973</v>
      </c>
      <c r="E1277" s="383" t="s">
        <v>887</v>
      </c>
      <c r="F1277" s="383" t="str">
        <f t="shared" si="58"/>
        <v xml:space="preserve">T200004FBonneville Power </v>
      </c>
      <c r="G1277" s="496">
        <v>3563.28</v>
      </c>
      <c r="H1277" s="496">
        <v>-3563.28</v>
      </c>
      <c r="I1277" s="496">
        <f t="shared" si="59"/>
        <v>0</v>
      </c>
      <c r="J1277" s="496" t="s">
        <v>869</v>
      </c>
    </row>
    <row r="1278" spans="1:10" hidden="1" x14ac:dyDescent="0.25">
      <c r="A1278" s="383">
        <f t="shared" si="57"/>
        <v>20</v>
      </c>
      <c r="B1278" s="383" t="s">
        <v>274</v>
      </c>
      <c r="C1278" s="497" t="s">
        <v>920</v>
      </c>
      <c r="D1278" s="383" t="s">
        <v>1136</v>
      </c>
      <c r="E1278" s="383" t="s">
        <v>887</v>
      </c>
      <c r="F1278" s="383" t="str">
        <f t="shared" si="58"/>
        <v>T200004FNorthern States P</v>
      </c>
      <c r="G1278" s="496">
        <v>190.3</v>
      </c>
      <c r="H1278" s="496">
        <v>-190.3</v>
      </c>
      <c r="I1278" s="496">
        <f t="shared" si="59"/>
        <v>0</v>
      </c>
      <c r="J1278" s="496" t="s">
        <v>869</v>
      </c>
    </row>
    <row r="1279" spans="1:10" hidden="1" x14ac:dyDescent="0.25">
      <c r="A1279" s="383">
        <f t="shared" si="57"/>
        <v>19</v>
      </c>
      <c r="B1279" s="383" t="s">
        <v>274</v>
      </c>
      <c r="C1279" s="497" t="s">
        <v>928</v>
      </c>
      <c r="D1279" s="383" t="s">
        <v>895</v>
      </c>
      <c r="E1279" s="383" t="s">
        <v>868</v>
      </c>
      <c r="F1279" s="383" t="str">
        <f t="shared" si="58"/>
        <v>T200005DArizona Public Se</v>
      </c>
      <c r="G1279" s="496">
        <v>0</v>
      </c>
      <c r="H1279" s="496">
        <v>0</v>
      </c>
      <c r="I1279" s="496">
        <f t="shared" si="59"/>
        <v>0</v>
      </c>
      <c r="J1279" s="496" t="s">
        <v>869</v>
      </c>
    </row>
    <row r="1280" spans="1:10" hidden="1" x14ac:dyDescent="0.25">
      <c r="A1280" s="383">
        <f t="shared" si="57"/>
        <v>19</v>
      </c>
      <c r="B1280" s="383" t="s">
        <v>274</v>
      </c>
      <c r="C1280" s="497" t="s">
        <v>928</v>
      </c>
      <c r="D1280" s="383" t="s">
        <v>935</v>
      </c>
      <c r="E1280" s="383" t="s">
        <v>868</v>
      </c>
      <c r="F1280" s="383" t="str">
        <f t="shared" si="58"/>
        <v xml:space="preserve">T200005DBonneville Power </v>
      </c>
      <c r="G1280" s="496">
        <v>-267475.84000000003</v>
      </c>
      <c r="H1280" s="496">
        <v>267475.84000000003</v>
      </c>
      <c r="I1280" s="496">
        <f t="shared" si="59"/>
        <v>0</v>
      </c>
      <c r="J1280" s="496" t="s">
        <v>869</v>
      </c>
    </row>
    <row r="1281" spans="1:10" hidden="1" x14ac:dyDescent="0.25">
      <c r="A1281" s="383">
        <f t="shared" si="57"/>
        <v>18</v>
      </c>
      <c r="B1281" s="383" t="s">
        <v>274</v>
      </c>
      <c r="C1281" s="497" t="s">
        <v>928</v>
      </c>
      <c r="D1281" s="383" t="s">
        <v>79</v>
      </c>
      <c r="E1281" s="383" t="s">
        <v>868</v>
      </c>
      <c r="F1281" s="383" t="str">
        <f t="shared" si="58"/>
        <v>T200005DCentral Hudson Ga</v>
      </c>
      <c r="G1281" s="496">
        <v>0</v>
      </c>
      <c r="H1281" s="496">
        <v>0</v>
      </c>
      <c r="I1281" s="496">
        <f t="shared" si="59"/>
        <v>0</v>
      </c>
      <c r="J1281" s="496" t="s">
        <v>869</v>
      </c>
    </row>
    <row r="1282" spans="1:10" hidden="1" x14ac:dyDescent="0.25">
      <c r="A1282" s="383">
        <f t="shared" si="57"/>
        <v>19</v>
      </c>
      <c r="B1282" s="383" t="s">
        <v>274</v>
      </c>
      <c r="C1282" s="497" t="s">
        <v>928</v>
      </c>
      <c r="D1282" s="383" t="s">
        <v>80</v>
      </c>
      <c r="E1282" s="383" t="s">
        <v>868</v>
      </c>
      <c r="F1282" s="383" t="str">
        <f t="shared" si="58"/>
        <v>T200005DNew York State El</v>
      </c>
      <c r="G1282" s="496">
        <v>4.5474735088646412E-13</v>
      </c>
      <c r="H1282" s="496">
        <v>0</v>
      </c>
      <c r="I1282" s="496">
        <f t="shared" si="59"/>
        <v>0</v>
      </c>
      <c r="J1282" s="496" t="s">
        <v>869</v>
      </c>
    </row>
    <row r="1283" spans="1:10" hidden="1" x14ac:dyDescent="0.25">
      <c r="A1283" s="383">
        <f t="shared" si="57"/>
        <v>19</v>
      </c>
      <c r="B1283" s="383" t="s">
        <v>274</v>
      </c>
      <c r="C1283" s="497" t="s">
        <v>928</v>
      </c>
      <c r="D1283" s="383" t="s">
        <v>1049</v>
      </c>
      <c r="E1283" s="383" t="s">
        <v>868</v>
      </c>
      <c r="F1283" s="383" t="str">
        <f t="shared" si="58"/>
        <v>T200005DNorthern States P</v>
      </c>
      <c r="G1283" s="496">
        <v>-41.75</v>
      </c>
      <c r="H1283" s="496">
        <v>41.75</v>
      </c>
      <c r="I1283" s="496">
        <f t="shared" si="59"/>
        <v>0</v>
      </c>
      <c r="J1283" s="496" t="s">
        <v>869</v>
      </c>
    </row>
    <row r="1284" spans="1:10" hidden="1" x14ac:dyDescent="0.25">
      <c r="A1284" s="383">
        <f t="shared" ref="A1284:A1347" si="60">LEN(D1284)</f>
        <v>18</v>
      </c>
      <c r="B1284" s="383" t="s">
        <v>274</v>
      </c>
      <c r="C1284" s="497" t="s">
        <v>928</v>
      </c>
      <c r="D1284" s="383" t="s">
        <v>1065</v>
      </c>
      <c r="E1284" s="383" t="s">
        <v>868</v>
      </c>
      <c r="F1284" s="383" t="str">
        <f t="shared" ref="F1284:F1347" si="61">+B1284&amp;C1284&amp;E1284&amp;LEFT(D1284,17)</f>
        <v>T200005DSalt River Projec</v>
      </c>
      <c r="G1284" s="496">
        <v>0</v>
      </c>
      <c r="H1284" s="496">
        <v>0</v>
      </c>
      <c r="I1284" s="496">
        <f t="shared" ref="I1284:I1347" si="62">ROUND(+G1284+H1284,2)</f>
        <v>0</v>
      </c>
      <c r="J1284" s="496" t="s">
        <v>869</v>
      </c>
    </row>
    <row r="1285" spans="1:10" hidden="1" x14ac:dyDescent="0.25">
      <c r="A1285" s="383">
        <f t="shared" si="60"/>
        <v>20</v>
      </c>
      <c r="B1285" s="383" t="s">
        <v>274</v>
      </c>
      <c r="C1285" s="497" t="s">
        <v>928</v>
      </c>
      <c r="D1285" s="383" t="s">
        <v>973</v>
      </c>
      <c r="E1285" s="383" t="s">
        <v>887</v>
      </c>
      <c r="F1285" s="383" t="str">
        <f t="shared" si="61"/>
        <v xml:space="preserve">T200005FBonneville Power </v>
      </c>
      <c r="G1285" s="496">
        <v>267475.84000000003</v>
      </c>
      <c r="H1285" s="496">
        <v>-267475.84000000003</v>
      </c>
      <c r="I1285" s="496">
        <f t="shared" si="62"/>
        <v>0</v>
      </c>
      <c r="J1285" s="496" t="s">
        <v>869</v>
      </c>
    </row>
    <row r="1286" spans="1:10" hidden="1" x14ac:dyDescent="0.25">
      <c r="A1286" s="383">
        <f t="shared" si="60"/>
        <v>20</v>
      </c>
      <c r="B1286" s="383" t="s">
        <v>274</v>
      </c>
      <c r="C1286" s="497" t="s">
        <v>928</v>
      </c>
      <c r="D1286" s="383" t="s">
        <v>1136</v>
      </c>
      <c r="E1286" s="383" t="s">
        <v>887</v>
      </c>
      <c r="F1286" s="383" t="str">
        <f t="shared" si="61"/>
        <v>T200005FNorthern States P</v>
      </c>
      <c r="G1286" s="496">
        <v>6849.48</v>
      </c>
      <c r="H1286" s="496">
        <v>-6849.48</v>
      </c>
      <c r="I1286" s="496">
        <f t="shared" si="62"/>
        <v>0</v>
      </c>
      <c r="J1286" s="496" t="s">
        <v>869</v>
      </c>
    </row>
    <row r="1287" spans="1:10" hidden="1" x14ac:dyDescent="0.25">
      <c r="A1287" s="383">
        <f t="shared" si="60"/>
        <v>19</v>
      </c>
      <c r="B1287" s="383" t="s">
        <v>274</v>
      </c>
      <c r="C1287" s="497" t="s">
        <v>933</v>
      </c>
      <c r="D1287" s="383" t="s">
        <v>935</v>
      </c>
      <c r="E1287" s="383" t="s">
        <v>868</v>
      </c>
      <c r="F1287" s="383" t="str">
        <f t="shared" si="61"/>
        <v xml:space="preserve">T200006DBonneville Power </v>
      </c>
      <c r="G1287" s="496">
        <v>-430144.6</v>
      </c>
      <c r="H1287" s="496">
        <v>430144.6</v>
      </c>
      <c r="I1287" s="496">
        <f t="shared" si="62"/>
        <v>0</v>
      </c>
      <c r="J1287" s="496" t="s">
        <v>869</v>
      </c>
    </row>
    <row r="1288" spans="1:10" hidden="1" x14ac:dyDescent="0.25">
      <c r="A1288" s="383">
        <f t="shared" si="60"/>
        <v>19</v>
      </c>
      <c r="B1288" s="383" t="s">
        <v>274</v>
      </c>
      <c r="C1288" s="497" t="s">
        <v>933</v>
      </c>
      <c r="D1288" s="383" t="s">
        <v>931</v>
      </c>
      <c r="E1288" s="383" t="s">
        <v>868</v>
      </c>
      <c r="F1288" s="383" t="str">
        <f t="shared" si="61"/>
        <v>T200006DNew York Independ</v>
      </c>
      <c r="G1288" s="496">
        <v>0</v>
      </c>
      <c r="H1288" s="496">
        <v>0</v>
      </c>
      <c r="I1288" s="496">
        <f t="shared" si="62"/>
        <v>0</v>
      </c>
      <c r="J1288" s="496" t="s">
        <v>869</v>
      </c>
    </row>
    <row r="1289" spans="1:10" hidden="1" x14ac:dyDescent="0.25">
      <c r="A1289" s="383">
        <f t="shared" si="60"/>
        <v>19</v>
      </c>
      <c r="B1289" s="383" t="s">
        <v>274</v>
      </c>
      <c r="C1289" s="497" t="s">
        <v>933</v>
      </c>
      <c r="D1289" s="383" t="s">
        <v>1049</v>
      </c>
      <c r="E1289" s="383" t="s">
        <v>868</v>
      </c>
      <c r="F1289" s="383" t="str">
        <f t="shared" si="61"/>
        <v>T200006DNorthern States P</v>
      </c>
      <c r="G1289" s="496">
        <v>-95.15</v>
      </c>
      <c r="H1289" s="496">
        <v>95.15</v>
      </c>
      <c r="I1289" s="496">
        <f t="shared" si="62"/>
        <v>0</v>
      </c>
      <c r="J1289" s="496" t="s">
        <v>869</v>
      </c>
    </row>
    <row r="1290" spans="1:10" x14ac:dyDescent="0.25">
      <c r="A1290" s="383">
        <f t="shared" si="60"/>
        <v>19</v>
      </c>
      <c r="B1290" s="383" t="s">
        <v>274</v>
      </c>
      <c r="C1290" s="495" t="s">
        <v>933</v>
      </c>
      <c r="D1290" s="383" t="s">
        <v>892</v>
      </c>
      <c r="E1290" s="383" t="s">
        <v>868</v>
      </c>
      <c r="F1290" s="383" t="str">
        <f t="shared" si="61"/>
        <v>T200006DPJM Interconnecti</v>
      </c>
      <c r="G1290" s="496">
        <v>39573.1</v>
      </c>
      <c r="H1290" s="496">
        <v>0</v>
      </c>
      <c r="I1290" s="496">
        <f t="shared" si="62"/>
        <v>39573.1</v>
      </c>
      <c r="J1290" s="496"/>
    </row>
    <row r="1291" spans="1:10" hidden="1" x14ac:dyDescent="0.25">
      <c r="A1291" s="383">
        <f t="shared" si="60"/>
        <v>18</v>
      </c>
      <c r="B1291" s="383" t="s">
        <v>274</v>
      </c>
      <c r="C1291" s="497" t="s">
        <v>933</v>
      </c>
      <c r="D1291" s="383" t="s">
        <v>78</v>
      </c>
      <c r="E1291" s="383" t="s">
        <v>868</v>
      </c>
      <c r="F1291" s="383" t="str">
        <f t="shared" si="61"/>
        <v xml:space="preserve">T200006DPortland General </v>
      </c>
      <c r="G1291" s="496">
        <v>0</v>
      </c>
      <c r="H1291" s="496">
        <v>0</v>
      </c>
      <c r="I1291" s="496">
        <f t="shared" si="62"/>
        <v>0</v>
      </c>
      <c r="J1291" s="496" t="s">
        <v>869</v>
      </c>
    </row>
    <row r="1292" spans="1:10" hidden="1" x14ac:dyDescent="0.25">
      <c r="A1292" s="383">
        <f t="shared" si="60"/>
        <v>20</v>
      </c>
      <c r="B1292" s="383" t="s">
        <v>274</v>
      </c>
      <c r="C1292" s="497" t="s">
        <v>933</v>
      </c>
      <c r="D1292" s="383" t="s">
        <v>973</v>
      </c>
      <c r="E1292" s="383" t="s">
        <v>887</v>
      </c>
      <c r="F1292" s="383" t="str">
        <f t="shared" si="61"/>
        <v xml:space="preserve">T200006FBonneville Power </v>
      </c>
      <c r="G1292" s="496">
        <v>430154.6</v>
      </c>
      <c r="H1292" s="496">
        <v>-430154.6</v>
      </c>
      <c r="I1292" s="496">
        <f t="shared" si="62"/>
        <v>0</v>
      </c>
      <c r="J1292" s="496" t="s">
        <v>869</v>
      </c>
    </row>
    <row r="1293" spans="1:10" hidden="1" x14ac:dyDescent="0.25">
      <c r="A1293" s="383">
        <f t="shared" si="60"/>
        <v>20</v>
      </c>
      <c r="B1293" s="383" t="s">
        <v>274</v>
      </c>
      <c r="C1293" s="497" t="s">
        <v>933</v>
      </c>
      <c r="D1293" s="383" t="s">
        <v>1136</v>
      </c>
      <c r="E1293" s="383" t="s">
        <v>887</v>
      </c>
      <c r="F1293" s="383" t="str">
        <f t="shared" si="61"/>
        <v>T200006FNorthern States P</v>
      </c>
      <c r="G1293" s="496">
        <v>6895.15</v>
      </c>
      <c r="H1293" s="496">
        <v>-6895.15</v>
      </c>
      <c r="I1293" s="496">
        <f t="shared" si="62"/>
        <v>0</v>
      </c>
      <c r="J1293" s="496" t="s">
        <v>869</v>
      </c>
    </row>
    <row r="1294" spans="1:10" hidden="1" x14ac:dyDescent="0.25">
      <c r="A1294" s="383">
        <f t="shared" si="60"/>
        <v>19</v>
      </c>
      <c r="B1294" s="383" t="s">
        <v>274</v>
      </c>
      <c r="C1294" s="497" t="s">
        <v>947</v>
      </c>
      <c r="D1294" s="383" t="s">
        <v>935</v>
      </c>
      <c r="E1294" s="383" t="s">
        <v>868</v>
      </c>
      <c r="F1294" s="383" t="str">
        <f t="shared" si="61"/>
        <v xml:space="preserve">T200007DBonneville Power </v>
      </c>
      <c r="G1294" s="496">
        <v>-386507.7</v>
      </c>
      <c r="H1294" s="496">
        <v>386507.7</v>
      </c>
      <c r="I1294" s="496">
        <f t="shared" si="62"/>
        <v>0</v>
      </c>
      <c r="J1294" s="496" t="s">
        <v>869</v>
      </c>
    </row>
    <row r="1295" spans="1:10" x14ac:dyDescent="0.25">
      <c r="A1295" s="383">
        <f t="shared" si="60"/>
        <v>19</v>
      </c>
      <c r="B1295" s="383" t="s">
        <v>274</v>
      </c>
      <c r="C1295" s="495" t="s">
        <v>947</v>
      </c>
      <c r="D1295" s="383" t="s">
        <v>1184</v>
      </c>
      <c r="E1295" s="383" t="s">
        <v>868</v>
      </c>
      <c r="F1295" s="383" t="str">
        <f t="shared" si="61"/>
        <v>T200007DCinergy Services,</v>
      </c>
      <c r="G1295" s="496">
        <v>632385.35</v>
      </c>
      <c r="H1295" s="496">
        <v>0</v>
      </c>
      <c r="I1295" s="496">
        <f t="shared" si="62"/>
        <v>632385.35</v>
      </c>
      <c r="J1295" s="496"/>
    </row>
    <row r="1296" spans="1:10" x14ac:dyDescent="0.25">
      <c r="A1296" s="383">
        <f t="shared" si="60"/>
        <v>22</v>
      </c>
      <c r="B1296" s="487" t="s">
        <v>274</v>
      </c>
      <c r="C1296" s="500" t="s">
        <v>947</v>
      </c>
      <c r="D1296" s="487" t="s">
        <v>81</v>
      </c>
      <c r="E1296" s="487" t="s">
        <v>868</v>
      </c>
      <c r="F1296" s="487" t="str">
        <f t="shared" si="61"/>
        <v>T200007DEntergy Services,</v>
      </c>
      <c r="G1296" s="499"/>
      <c r="H1296" s="499">
        <f>VLOOKUP(F1296,[2]Pivot!$R$20:$S$1359,2,FALSE)</f>
        <v>1459.02</v>
      </c>
      <c r="I1296" s="499">
        <f t="shared" si="62"/>
        <v>1459.02</v>
      </c>
      <c r="J1296" s="499"/>
    </row>
    <row r="1297" spans="1:10" x14ac:dyDescent="0.25">
      <c r="A1297" s="383">
        <f t="shared" si="60"/>
        <v>19</v>
      </c>
      <c r="B1297" s="383" t="s">
        <v>274</v>
      </c>
      <c r="C1297" s="495" t="s">
        <v>947</v>
      </c>
      <c r="D1297" s="383" t="s">
        <v>82</v>
      </c>
      <c r="E1297" s="383" t="s">
        <v>868</v>
      </c>
      <c r="F1297" s="383" t="str">
        <f t="shared" si="61"/>
        <v>T200007DFranklin County P</v>
      </c>
      <c r="G1297" s="496">
        <v>140</v>
      </c>
      <c r="H1297" s="496">
        <v>0</v>
      </c>
      <c r="I1297" s="496">
        <f t="shared" si="62"/>
        <v>140</v>
      </c>
      <c r="J1297" s="496"/>
    </row>
    <row r="1298" spans="1:10" x14ac:dyDescent="0.25">
      <c r="A1298" s="383">
        <f t="shared" si="60"/>
        <v>19</v>
      </c>
      <c r="B1298" s="383" t="s">
        <v>274</v>
      </c>
      <c r="C1298" s="495" t="s">
        <v>947</v>
      </c>
      <c r="D1298" s="383" t="s">
        <v>923</v>
      </c>
      <c r="E1298" s="383" t="s">
        <v>868</v>
      </c>
      <c r="F1298" s="383" t="str">
        <f t="shared" si="61"/>
        <v>T200007DLos Angeles Dept.</v>
      </c>
      <c r="G1298" s="496">
        <v>-38956</v>
      </c>
      <c r="H1298" s="496">
        <v>188811.79</v>
      </c>
      <c r="I1298" s="496">
        <f t="shared" si="62"/>
        <v>149855.79</v>
      </c>
      <c r="J1298" s="496"/>
    </row>
    <row r="1299" spans="1:10" hidden="1" x14ac:dyDescent="0.25">
      <c r="A1299" s="383">
        <f t="shared" si="60"/>
        <v>18</v>
      </c>
      <c r="B1299" s="383" t="s">
        <v>274</v>
      </c>
      <c r="C1299" s="497" t="s">
        <v>947</v>
      </c>
      <c r="D1299" s="383" t="s">
        <v>1043</v>
      </c>
      <c r="E1299" s="383" t="s">
        <v>868</v>
      </c>
      <c r="F1299" s="383" t="str">
        <f t="shared" si="61"/>
        <v>T200007DMidAmerican Energ</v>
      </c>
      <c r="G1299" s="496">
        <v>0</v>
      </c>
      <c r="H1299" s="496"/>
      <c r="I1299" s="496">
        <f t="shared" si="62"/>
        <v>0</v>
      </c>
      <c r="J1299" s="496" t="s">
        <v>869</v>
      </c>
    </row>
    <row r="1300" spans="1:10" hidden="1" x14ac:dyDescent="0.25">
      <c r="A1300" s="383">
        <f t="shared" si="60"/>
        <v>19</v>
      </c>
      <c r="B1300" s="383" t="s">
        <v>274</v>
      </c>
      <c r="C1300" s="497" t="s">
        <v>947</v>
      </c>
      <c r="D1300" s="383" t="s">
        <v>931</v>
      </c>
      <c r="E1300" s="383" t="s">
        <v>868</v>
      </c>
      <c r="F1300" s="383" t="str">
        <f t="shared" si="61"/>
        <v>T200007DNew York Independ</v>
      </c>
      <c r="G1300" s="496">
        <v>0</v>
      </c>
      <c r="H1300" s="496">
        <v>0</v>
      </c>
      <c r="I1300" s="496">
        <f t="shared" si="62"/>
        <v>0</v>
      </c>
      <c r="J1300" s="496" t="s">
        <v>869</v>
      </c>
    </row>
    <row r="1301" spans="1:10" x14ac:dyDescent="0.25">
      <c r="A1301" s="383">
        <f t="shared" si="60"/>
        <v>10</v>
      </c>
      <c r="B1301" s="487" t="s">
        <v>274</v>
      </c>
      <c r="C1301" s="500" t="s">
        <v>947</v>
      </c>
      <c r="D1301" s="487" t="s">
        <v>940</v>
      </c>
      <c r="E1301" s="487" t="s">
        <v>868</v>
      </c>
      <c r="F1301" s="487" t="str">
        <f t="shared" si="61"/>
        <v>T200007DPacificorp</v>
      </c>
      <c r="G1301" s="499"/>
      <c r="H1301" s="499">
        <f>VLOOKUP(F1301,[2]Pivot!$R$20:$S$1359,2,FALSE)</f>
        <v>3604.31</v>
      </c>
      <c r="I1301" s="499">
        <f t="shared" si="62"/>
        <v>3604.31</v>
      </c>
      <c r="J1301" s="499"/>
    </row>
    <row r="1302" spans="1:10" x14ac:dyDescent="0.25">
      <c r="A1302" s="383">
        <f t="shared" si="60"/>
        <v>19</v>
      </c>
      <c r="B1302" s="383" t="s">
        <v>274</v>
      </c>
      <c r="C1302" s="495" t="s">
        <v>947</v>
      </c>
      <c r="D1302" s="383" t="s">
        <v>892</v>
      </c>
      <c r="E1302" s="383" t="s">
        <v>868</v>
      </c>
      <c r="F1302" s="383" t="str">
        <f t="shared" si="61"/>
        <v>T200007DPJM Interconnecti</v>
      </c>
      <c r="G1302" s="496">
        <v>23671.200000000001</v>
      </c>
      <c r="H1302" s="496">
        <v>0</v>
      </c>
      <c r="I1302" s="496">
        <f t="shared" si="62"/>
        <v>23671.200000000001</v>
      </c>
      <c r="J1302" s="496"/>
    </row>
    <row r="1303" spans="1:10" hidden="1" x14ac:dyDescent="0.25">
      <c r="A1303" s="383">
        <f t="shared" si="60"/>
        <v>19</v>
      </c>
      <c r="B1303" s="383" t="s">
        <v>274</v>
      </c>
      <c r="C1303" s="497" t="s">
        <v>947</v>
      </c>
      <c r="D1303" s="383" t="s">
        <v>904</v>
      </c>
      <c r="E1303" s="383" t="s">
        <v>868</v>
      </c>
      <c r="F1303" s="383" t="str">
        <f t="shared" si="61"/>
        <v xml:space="preserve">T200007DPortland General </v>
      </c>
      <c r="G1303" s="496">
        <v>-3.4958702599396929E-12</v>
      </c>
      <c r="H1303" s="496">
        <v>0</v>
      </c>
      <c r="I1303" s="496">
        <f t="shared" si="62"/>
        <v>0</v>
      </c>
      <c r="J1303" s="496" t="s">
        <v>869</v>
      </c>
    </row>
    <row r="1304" spans="1:10" hidden="1" x14ac:dyDescent="0.25">
      <c r="A1304" s="383">
        <f t="shared" si="60"/>
        <v>19</v>
      </c>
      <c r="B1304" s="383" t="s">
        <v>274</v>
      </c>
      <c r="C1304" s="497" t="s">
        <v>947</v>
      </c>
      <c r="D1304" s="383" t="s">
        <v>996</v>
      </c>
      <c r="E1304" s="383" t="s">
        <v>887</v>
      </c>
      <c r="F1304" s="383" t="str">
        <f t="shared" si="61"/>
        <v>T200007FAssociated Electr</v>
      </c>
      <c r="G1304" s="496">
        <v>3141.8</v>
      </c>
      <c r="H1304" s="496">
        <v>-3141.8</v>
      </c>
      <c r="I1304" s="496">
        <f t="shared" si="62"/>
        <v>0</v>
      </c>
      <c r="J1304" s="496" t="s">
        <v>869</v>
      </c>
    </row>
    <row r="1305" spans="1:10" hidden="1" x14ac:dyDescent="0.25">
      <c r="A1305" s="383">
        <f t="shared" si="60"/>
        <v>20</v>
      </c>
      <c r="B1305" s="383" t="s">
        <v>274</v>
      </c>
      <c r="C1305" s="497" t="s">
        <v>947</v>
      </c>
      <c r="D1305" s="383" t="s">
        <v>973</v>
      </c>
      <c r="E1305" s="383" t="s">
        <v>887</v>
      </c>
      <c r="F1305" s="383" t="str">
        <f t="shared" si="61"/>
        <v xml:space="preserve">T200007FBonneville Power </v>
      </c>
      <c r="G1305" s="496">
        <v>387326.7</v>
      </c>
      <c r="H1305" s="496">
        <v>-387326.7</v>
      </c>
      <c r="I1305" s="496">
        <f t="shared" si="62"/>
        <v>0</v>
      </c>
      <c r="J1305" s="496" t="s">
        <v>869</v>
      </c>
    </row>
    <row r="1306" spans="1:10" hidden="1" x14ac:dyDescent="0.25">
      <c r="A1306" s="383">
        <f t="shared" si="60"/>
        <v>20</v>
      </c>
      <c r="B1306" s="383" t="s">
        <v>274</v>
      </c>
      <c r="C1306" s="497" t="s">
        <v>947</v>
      </c>
      <c r="D1306" s="383" t="s">
        <v>1263</v>
      </c>
      <c r="E1306" s="383" t="s">
        <v>887</v>
      </c>
      <c r="F1306" s="383" t="str">
        <f t="shared" si="61"/>
        <v>T200007FEntergy Services,</v>
      </c>
      <c r="G1306" s="496">
        <v>1459.02</v>
      </c>
      <c r="H1306" s="496">
        <v>-1459.02</v>
      </c>
      <c r="I1306" s="496">
        <f t="shared" si="62"/>
        <v>0</v>
      </c>
      <c r="J1306" s="496" t="s">
        <v>869</v>
      </c>
    </row>
    <row r="1307" spans="1:10" hidden="1" x14ac:dyDescent="0.25">
      <c r="A1307" s="383">
        <f t="shared" si="60"/>
        <v>20</v>
      </c>
      <c r="B1307" s="383" t="s">
        <v>274</v>
      </c>
      <c r="C1307" s="497" t="s">
        <v>947</v>
      </c>
      <c r="D1307" s="383" t="s">
        <v>927</v>
      </c>
      <c r="E1307" s="383" t="s">
        <v>887</v>
      </c>
      <c r="F1307" s="383" t="str">
        <f t="shared" si="61"/>
        <v>T200007FLos Angeles Dept.</v>
      </c>
      <c r="G1307" s="496">
        <v>188811.79</v>
      </c>
      <c r="H1307" s="496">
        <v>-188811.79</v>
      </c>
      <c r="I1307" s="496">
        <f t="shared" si="62"/>
        <v>0</v>
      </c>
      <c r="J1307" s="496" t="s">
        <v>869</v>
      </c>
    </row>
    <row r="1308" spans="1:10" hidden="1" x14ac:dyDescent="0.25">
      <c r="A1308" s="383">
        <f t="shared" si="60"/>
        <v>20</v>
      </c>
      <c r="B1308" s="383" t="s">
        <v>274</v>
      </c>
      <c r="C1308" s="497" t="s">
        <v>947</v>
      </c>
      <c r="D1308" s="383" t="s">
        <v>1136</v>
      </c>
      <c r="E1308" s="383" t="s">
        <v>887</v>
      </c>
      <c r="F1308" s="383" t="str">
        <f t="shared" si="61"/>
        <v>T200007FNorthern States P</v>
      </c>
      <c r="G1308" s="496">
        <v>6800</v>
      </c>
      <c r="H1308" s="496">
        <v>-6800</v>
      </c>
      <c r="I1308" s="496">
        <f t="shared" si="62"/>
        <v>0</v>
      </c>
      <c r="J1308" s="496" t="s">
        <v>869</v>
      </c>
    </row>
    <row r="1309" spans="1:10" hidden="1" x14ac:dyDescent="0.25">
      <c r="A1309" s="383">
        <f t="shared" si="60"/>
        <v>10</v>
      </c>
      <c r="B1309" s="383" t="s">
        <v>274</v>
      </c>
      <c r="C1309" s="497" t="s">
        <v>947</v>
      </c>
      <c r="D1309" s="383" t="s">
        <v>940</v>
      </c>
      <c r="E1309" s="383" t="s">
        <v>887</v>
      </c>
      <c r="F1309" s="383" t="str">
        <f t="shared" si="61"/>
        <v>T200007FPacificorp</v>
      </c>
      <c r="G1309" s="496">
        <v>4272.08</v>
      </c>
      <c r="H1309" s="496">
        <v>-4272.08</v>
      </c>
      <c r="I1309" s="496">
        <f t="shared" si="62"/>
        <v>0</v>
      </c>
      <c r="J1309" s="496" t="s">
        <v>869</v>
      </c>
    </row>
    <row r="1310" spans="1:10" hidden="1" x14ac:dyDescent="0.25">
      <c r="A1310" s="383">
        <f t="shared" si="60"/>
        <v>19</v>
      </c>
      <c r="B1310" s="383" t="s">
        <v>274</v>
      </c>
      <c r="C1310" s="497" t="s">
        <v>956</v>
      </c>
      <c r="D1310" s="383" t="s">
        <v>935</v>
      </c>
      <c r="E1310" s="383" t="s">
        <v>868</v>
      </c>
      <c r="F1310" s="383" t="str">
        <f t="shared" si="61"/>
        <v xml:space="preserve">T200008DBonneville Power </v>
      </c>
      <c r="G1310" s="496">
        <v>-524366.61</v>
      </c>
      <c r="H1310" s="496">
        <v>524366.61</v>
      </c>
      <c r="I1310" s="496">
        <f t="shared" si="62"/>
        <v>0</v>
      </c>
      <c r="J1310" s="496" t="s">
        <v>869</v>
      </c>
    </row>
    <row r="1311" spans="1:10" x14ac:dyDescent="0.25">
      <c r="A1311" s="383">
        <f t="shared" si="60"/>
        <v>22</v>
      </c>
      <c r="B1311" s="487" t="s">
        <v>274</v>
      </c>
      <c r="C1311" s="500" t="s">
        <v>956</v>
      </c>
      <c r="D1311" s="487" t="s">
        <v>1004</v>
      </c>
      <c r="E1311" s="487" t="s">
        <v>868</v>
      </c>
      <c r="F1311" s="487" t="str">
        <f t="shared" si="61"/>
        <v>T200008DCinergy Services,</v>
      </c>
      <c r="G1311" s="499"/>
      <c r="H1311" s="499">
        <f>VLOOKUP(F1311,[2]Pivot!$R$20:$S$1359,2,FALSE)</f>
        <v>636926.43000000005</v>
      </c>
      <c r="I1311" s="499">
        <f t="shared" si="62"/>
        <v>636926.43000000005</v>
      </c>
      <c r="J1311" s="499"/>
    </row>
    <row r="1312" spans="1:10" x14ac:dyDescent="0.25">
      <c r="A1312" s="383">
        <f t="shared" si="60"/>
        <v>27</v>
      </c>
      <c r="B1312" s="487" t="s">
        <v>274</v>
      </c>
      <c r="C1312" s="500" t="s">
        <v>956</v>
      </c>
      <c r="D1312" s="487" t="s">
        <v>83</v>
      </c>
      <c r="E1312" s="487" t="s">
        <v>868</v>
      </c>
      <c r="F1312" s="487" t="str">
        <f t="shared" si="61"/>
        <v>T200008DCommonwealth Edis</v>
      </c>
      <c r="G1312" s="499"/>
      <c r="H1312" s="499">
        <f>VLOOKUP(F1312,[2]Pivot!$R$20:$S$1359,2,FALSE)</f>
        <v>37754.480000000003</v>
      </c>
      <c r="I1312" s="499">
        <f t="shared" si="62"/>
        <v>37754.480000000003</v>
      </c>
      <c r="J1312" s="499"/>
    </row>
    <row r="1313" spans="1:10" hidden="1" x14ac:dyDescent="0.25">
      <c r="A1313" s="383">
        <f t="shared" si="60"/>
        <v>19</v>
      </c>
      <c r="B1313" s="383" t="s">
        <v>274</v>
      </c>
      <c r="C1313" s="497" t="s">
        <v>956</v>
      </c>
      <c r="D1313" s="383" t="s">
        <v>84</v>
      </c>
      <c r="E1313" s="383" t="s">
        <v>868</v>
      </c>
      <c r="F1313" s="383" t="str">
        <f t="shared" si="61"/>
        <v>T200008DGeorgia Transmiss</v>
      </c>
      <c r="G1313" s="496">
        <v>-52150.44</v>
      </c>
      <c r="H1313" s="496">
        <v>52150.44</v>
      </c>
      <c r="I1313" s="496">
        <f t="shared" si="62"/>
        <v>0</v>
      </c>
      <c r="J1313" s="496" t="s">
        <v>869</v>
      </c>
    </row>
    <row r="1314" spans="1:10" hidden="1" x14ac:dyDescent="0.25">
      <c r="A1314" s="383">
        <f t="shared" si="60"/>
        <v>19</v>
      </c>
      <c r="B1314" s="383" t="s">
        <v>274</v>
      </c>
      <c r="C1314" s="497" t="s">
        <v>956</v>
      </c>
      <c r="D1314" s="383" t="s">
        <v>923</v>
      </c>
      <c r="E1314" s="383" t="s">
        <v>868</v>
      </c>
      <c r="F1314" s="383" t="str">
        <f t="shared" si="61"/>
        <v>T200008DLos Angeles Dept.</v>
      </c>
      <c r="G1314" s="496">
        <v>0</v>
      </c>
      <c r="H1314" s="496">
        <v>0</v>
      </c>
      <c r="I1314" s="496">
        <f t="shared" si="62"/>
        <v>0</v>
      </c>
      <c r="J1314" s="496" t="s">
        <v>869</v>
      </c>
    </row>
    <row r="1315" spans="1:10" x14ac:dyDescent="0.25">
      <c r="A1315" s="383">
        <f t="shared" si="60"/>
        <v>20</v>
      </c>
      <c r="B1315" s="487" t="s">
        <v>274</v>
      </c>
      <c r="C1315" s="500" t="s">
        <v>956</v>
      </c>
      <c r="D1315" s="487" t="s">
        <v>979</v>
      </c>
      <c r="E1315" s="487" t="s">
        <v>868</v>
      </c>
      <c r="F1315" s="487" t="str">
        <f t="shared" si="61"/>
        <v>T200008DNevada Power Comp</v>
      </c>
      <c r="G1315" s="499"/>
      <c r="H1315" s="499">
        <f>VLOOKUP(F1315,[2]Pivot!$R$20:$S$1359,2,FALSE)</f>
        <v>42599.7</v>
      </c>
      <c r="I1315" s="499">
        <f t="shared" si="62"/>
        <v>42599.7</v>
      </c>
      <c r="J1315" s="499"/>
    </row>
    <row r="1316" spans="1:10" x14ac:dyDescent="0.25">
      <c r="A1316" s="383">
        <f t="shared" si="60"/>
        <v>22</v>
      </c>
      <c r="B1316" s="487" t="s">
        <v>274</v>
      </c>
      <c r="C1316" s="500" t="s">
        <v>956</v>
      </c>
      <c r="D1316" s="487" t="s">
        <v>884</v>
      </c>
      <c r="E1316" s="487" t="s">
        <v>868</v>
      </c>
      <c r="F1316" s="487" t="str">
        <f t="shared" si="61"/>
        <v>T200008DNew England Power</v>
      </c>
      <c r="G1316" s="499"/>
      <c r="H1316" s="499">
        <f>VLOOKUP(F1316,[2]Pivot!$R$20:$S$1359,2,FALSE)</f>
        <v>1329.4</v>
      </c>
      <c r="I1316" s="499">
        <f t="shared" si="62"/>
        <v>1329.4</v>
      </c>
      <c r="J1316" s="499"/>
    </row>
    <row r="1317" spans="1:10" hidden="1" x14ac:dyDescent="0.25">
      <c r="A1317" s="383">
        <f t="shared" si="60"/>
        <v>19</v>
      </c>
      <c r="B1317" s="383" t="s">
        <v>274</v>
      </c>
      <c r="C1317" s="497" t="s">
        <v>956</v>
      </c>
      <c r="D1317" s="383" t="s">
        <v>931</v>
      </c>
      <c r="E1317" s="383" t="s">
        <v>868</v>
      </c>
      <c r="F1317" s="383" t="str">
        <f t="shared" si="61"/>
        <v>T200008DNew York Independ</v>
      </c>
      <c r="G1317" s="496">
        <v>0</v>
      </c>
      <c r="H1317" s="496">
        <v>0</v>
      </c>
      <c r="I1317" s="496">
        <f t="shared" si="62"/>
        <v>0</v>
      </c>
      <c r="J1317" s="496" t="s">
        <v>869</v>
      </c>
    </row>
    <row r="1318" spans="1:10" hidden="1" x14ac:dyDescent="0.25">
      <c r="A1318" s="383">
        <f t="shared" si="60"/>
        <v>19</v>
      </c>
      <c r="B1318" s="383" t="s">
        <v>274</v>
      </c>
      <c r="C1318" s="497" t="s">
        <v>956</v>
      </c>
      <c r="D1318" s="383" t="s">
        <v>85</v>
      </c>
      <c r="E1318" s="383" t="s">
        <v>868</v>
      </c>
      <c r="F1318" s="383" t="str">
        <f t="shared" si="61"/>
        <v>T200008DNiagara Mohawk Po</v>
      </c>
      <c r="G1318" s="496">
        <v>10435.24</v>
      </c>
      <c r="H1318" s="496">
        <v>-10435.24</v>
      </c>
      <c r="I1318" s="496">
        <f t="shared" si="62"/>
        <v>0</v>
      </c>
      <c r="J1318" s="496" t="s">
        <v>869</v>
      </c>
    </row>
    <row r="1319" spans="1:10" x14ac:dyDescent="0.25">
      <c r="A1319" s="383">
        <f t="shared" si="60"/>
        <v>10</v>
      </c>
      <c r="B1319" s="383" t="s">
        <v>274</v>
      </c>
      <c r="C1319" s="495" t="s">
        <v>956</v>
      </c>
      <c r="D1319" s="383" t="s">
        <v>940</v>
      </c>
      <c r="E1319" s="383" t="s">
        <v>868</v>
      </c>
      <c r="F1319" s="383" t="str">
        <f t="shared" si="61"/>
        <v>T200008DPacificorp</v>
      </c>
      <c r="G1319" s="496">
        <v>12624.82</v>
      </c>
      <c r="H1319" s="496">
        <v>0</v>
      </c>
      <c r="I1319" s="496">
        <f t="shared" si="62"/>
        <v>12624.82</v>
      </c>
      <c r="J1319" s="496"/>
    </row>
    <row r="1320" spans="1:10" x14ac:dyDescent="0.25">
      <c r="A1320" s="383">
        <f t="shared" si="60"/>
        <v>19</v>
      </c>
      <c r="B1320" s="383" t="s">
        <v>274</v>
      </c>
      <c r="C1320" s="495" t="s">
        <v>956</v>
      </c>
      <c r="D1320" s="383" t="s">
        <v>892</v>
      </c>
      <c r="E1320" s="383" t="s">
        <v>868</v>
      </c>
      <c r="F1320" s="383" t="str">
        <f t="shared" si="61"/>
        <v>T200008DPJM Interconnecti</v>
      </c>
      <c r="G1320" s="496">
        <v>7785.48</v>
      </c>
      <c r="H1320" s="496">
        <v>0</v>
      </c>
      <c r="I1320" s="496">
        <f t="shared" si="62"/>
        <v>7785.48</v>
      </c>
      <c r="J1320" s="496"/>
    </row>
    <row r="1321" spans="1:10" hidden="1" x14ac:dyDescent="0.25">
      <c r="A1321" s="383">
        <f t="shared" si="60"/>
        <v>19</v>
      </c>
      <c r="B1321" s="383" t="s">
        <v>274</v>
      </c>
      <c r="C1321" s="497" t="s">
        <v>956</v>
      </c>
      <c r="D1321" s="383" t="s">
        <v>904</v>
      </c>
      <c r="E1321" s="383" t="s">
        <v>868</v>
      </c>
      <c r="F1321" s="383" t="str">
        <f t="shared" si="61"/>
        <v xml:space="preserve">T200008DPortland General </v>
      </c>
      <c r="G1321" s="496">
        <v>-1.1368683772161603E-12</v>
      </c>
      <c r="H1321" s="496">
        <v>0</v>
      </c>
      <c r="I1321" s="496">
        <f t="shared" si="62"/>
        <v>0</v>
      </c>
      <c r="J1321" s="496" t="s">
        <v>869</v>
      </c>
    </row>
    <row r="1322" spans="1:10" hidden="1" x14ac:dyDescent="0.25">
      <c r="A1322" s="383">
        <f t="shared" si="60"/>
        <v>19</v>
      </c>
      <c r="B1322" s="383" t="s">
        <v>274</v>
      </c>
      <c r="C1322" s="497" t="s">
        <v>956</v>
      </c>
      <c r="D1322" s="383" t="s">
        <v>1059</v>
      </c>
      <c r="E1322" s="383" t="s">
        <v>868</v>
      </c>
      <c r="F1322" s="383" t="str">
        <f t="shared" si="61"/>
        <v>T200008DPublic Utility Di</v>
      </c>
      <c r="G1322" s="496">
        <v>0</v>
      </c>
      <c r="H1322" s="496">
        <v>0</v>
      </c>
      <c r="I1322" s="496">
        <f t="shared" si="62"/>
        <v>0</v>
      </c>
      <c r="J1322" s="496" t="s">
        <v>869</v>
      </c>
    </row>
    <row r="1323" spans="1:10" hidden="1" x14ac:dyDescent="0.25">
      <c r="A1323" s="383">
        <f t="shared" si="60"/>
        <v>18</v>
      </c>
      <c r="B1323" s="383" t="s">
        <v>274</v>
      </c>
      <c r="C1323" s="497" t="s">
        <v>956</v>
      </c>
      <c r="D1323" s="383" t="s">
        <v>1088</v>
      </c>
      <c r="E1323" s="383" t="s">
        <v>868</v>
      </c>
      <c r="F1323" s="383" t="str">
        <f t="shared" si="61"/>
        <v>T200008DWisconsin Electri</v>
      </c>
      <c r="G1323" s="496">
        <v>0</v>
      </c>
      <c r="H1323" s="496">
        <v>0</v>
      </c>
      <c r="I1323" s="496">
        <f t="shared" si="62"/>
        <v>0</v>
      </c>
      <c r="J1323" s="496" t="s">
        <v>869</v>
      </c>
    </row>
    <row r="1324" spans="1:10" hidden="1" x14ac:dyDescent="0.25">
      <c r="A1324" s="383">
        <f t="shared" si="60"/>
        <v>20</v>
      </c>
      <c r="B1324" s="383" t="s">
        <v>274</v>
      </c>
      <c r="C1324" s="497" t="s">
        <v>956</v>
      </c>
      <c r="D1324" s="383" t="s">
        <v>973</v>
      </c>
      <c r="E1324" s="383" t="s">
        <v>887</v>
      </c>
      <c r="F1324" s="383" t="str">
        <f t="shared" si="61"/>
        <v xml:space="preserve">T200008FBonneville Power </v>
      </c>
      <c r="G1324" s="496">
        <v>524316.61</v>
      </c>
      <c r="H1324" s="496">
        <v>-524316.61</v>
      </c>
      <c r="I1324" s="496">
        <f t="shared" si="62"/>
        <v>0</v>
      </c>
      <c r="J1324" s="496" t="s">
        <v>869</v>
      </c>
    </row>
    <row r="1325" spans="1:10" hidden="1" x14ac:dyDescent="0.25">
      <c r="A1325" s="383">
        <f t="shared" si="60"/>
        <v>20</v>
      </c>
      <c r="B1325" s="383" t="s">
        <v>274</v>
      </c>
      <c r="C1325" s="497" t="s">
        <v>956</v>
      </c>
      <c r="D1325" s="383" t="s">
        <v>1104</v>
      </c>
      <c r="E1325" s="383" t="s">
        <v>887</v>
      </c>
      <c r="F1325" s="383" t="str">
        <f t="shared" si="61"/>
        <v>T200008FCinergy Services,</v>
      </c>
      <c r="G1325" s="496">
        <v>636926.43000000005</v>
      </c>
      <c r="H1325" s="496">
        <v>-636926.43000000005</v>
      </c>
      <c r="I1325" s="496">
        <f t="shared" si="62"/>
        <v>0</v>
      </c>
      <c r="J1325" s="496" t="s">
        <v>869</v>
      </c>
    </row>
    <row r="1326" spans="1:10" hidden="1" x14ac:dyDescent="0.25">
      <c r="A1326" s="383">
        <f t="shared" si="60"/>
        <v>19</v>
      </c>
      <c r="B1326" s="383" t="s">
        <v>274</v>
      </c>
      <c r="C1326" s="497" t="s">
        <v>956</v>
      </c>
      <c r="D1326" s="383" t="s">
        <v>955</v>
      </c>
      <c r="E1326" s="383" t="s">
        <v>887</v>
      </c>
      <c r="F1326" s="383" t="str">
        <f t="shared" si="61"/>
        <v>T200008FCommonwealth Edis</v>
      </c>
      <c r="G1326" s="496">
        <v>34741.760000000002</v>
      </c>
      <c r="H1326" s="496">
        <v>-34741.760000000002</v>
      </c>
      <c r="I1326" s="496">
        <f t="shared" si="62"/>
        <v>0</v>
      </c>
      <c r="J1326" s="496" t="s">
        <v>869</v>
      </c>
    </row>
    <row r="1327" spans="1:10" hidden="1" x14ac:dyDescent="0.25">
      <c r="A1327" s="383">
        <f t="shared" si="60"/>
        <v>20</v>
      </c>
      <c r="B1327" s="383" t="s">
        <v>274</v>
      </c>
      <c r="C1327" s="497" t="s">
        <v>956</v>
      </c>
      <c r="D1327" s="383" t="s">
        <v>86</v>
      </c>
      <c r="E1327" s="383" t="s">
        <v>887</v>
      </c>
      <c r="F1327" s="383" t="str">
        <f t="shared" si="61"/>
        <v>T200008FGeorgia Transmiss</v>
      </c>
      <c r="G1327" s="496">
        <v>52150.44</v>
      </c>
      <c r="H1327" s="496">
        <v>-52150.44</v>
      </c>
      <c r="I1327" s="496">
        <f t="shared" si="62"/>
        <v>0</v>
      </c>
      <c r="J1327" s="496" t="s">
        <v>869</v>
      </c>
    </row>
    <row r="1328" spans="1:10" hidden="1" x14ac:dyDescent="0.25">
      <c r="A1328" s="383">
        <f t="shared" si="60"/>
        <v>20</v>
      </c>
      <c r="B1328" s="383" t="s">
        <v>274</v>
      </c>
      <c r="C1328" s="497" t="s">
        <v>956</v>
      </c>
      <c r="D1328" s="383" t="s">
        <v>979</v>
      </c>
      <c r="E1328" s="383" t="s">
        <v>887</v>
      </c>
      <c r="F1328" s="383" t="str">
        <f t="shared" si="61"/>
        <v>T200008FNevada Power Comp</v>
      </c>
      <c r="G1328" s="496">
        <v>41757.4</v>
      </c>
      <c r="H1328" s="496">
        <v>-41757.4</v>
      </c>
      <c r="I1328" s="496">
        <f t="shared" si="62"/>
        <v>0</v>
      </c>
      <c r="J1328" s="496" t="s">
        <v>869</v>
      </c>
    </row>
    <row r="1329" spans="1:10" hidden="1" x14ac:dyDescent="0.25">
      <c r="A1329" s="383">
        <f t="shared" si="60"/>
        <v>20</v>
      </c>
      <c r="B1329" s="383" t="s">
        <v>274</v>
      </c>
      <c r="C1329" s="497" t="s">
        <v>956</v>
      </c>
      <c r="D1329" s="383" t="s">
        <v>1136</v>
      </c>
      <c r="E1329" s="383" t="s">
        <v>887</v>
      </c>
      <c r="F1329" s="383" t="str">
        <f t="shared" si="61"/>
        <v>T200008FNorthern States P</v>
      </c>
      <c r="G1329" s="496">
        <v>5836.08</v>
      </c>
      <c r="H1329" s="496">
        <v>-5836.08</v>
      </c>
      <c r="I1329" s="496">
        <f t="shared" si="62"/>
        <v>0</v>
      </c>
      <c r="J1329" s="496" t="s">
        <v>869</v>
      </c>
    </row>
    <row r="1330" spans="1:10" hidden="1" x14ac:dyDescent="0.25">
      <c r="A1330" s="383">
        <f t="shared" si="60"/>
        <v>19</v>
      </c>
      <c r="B1330" s="383" t="s">
        <v>274</v>
      </c>
      <c r="C1330" s="497" t="s">
        <v>987</v>
      </c>
      <c r="D1330" s="383" t="s">
        <v>87</v>
      </c>
      <c r="E1330" s="383" t="s">
        <v>868</v>
      </c>
      <c r="F1330" s="383" t="str">
        <f t="shared" si="61"/>
        <v xml:space="preserve">T200009DAllegheny Power, </v>
      </c>
      <c r="G1330" s="496">
        <v>-111850.5</v>
      </c>
      <c r="H1330" s="496">
        <v>111850.5</v>
      </c>
      <c r="I1330" s="496">
        <f t="shared" si="62"/>
        <v>0</v>
      </c>
      <c r="J1330" s="496" t="s">
        <v>869</v>
      </c>
    </row>
    <row r="1331" spans="1:10" x14ac:dyDescent="0.25">
      <c r="A1331" s="383">
        <f t="shared" si="60"/>
        <v>23</v>
      </c>
      <c r="B1331" s="487" t="s">
        <v>274</v>
      </c>
      <c r="C1331" s="500" t="s">
        <v>987</v>
      </c>
      <c r="D1331" s="487" t="s">
        <v>88</v>
      </c>
      <c r="E1331" s="487" t="s">
        <v>868</v>
      </c>
      <c r="F1331" s="487" t="str">
        <f t="shared" si="61"/>
        <v>T200009DAmeren Services C</v>
      </c>
      <c r="G1331" s="499"/>
      <c r="H1331" s="499">
        <f>VLOOKUP(F1331,[2]Pivot!$R$20:$S$1359,2,FALSE)</f>
        <v>247981.38</v>
      </c>
      <c r="I1331" s="499">
        <f t="shared" si="62"/>
        <v>247981.38</v>
      </c>
      <c r="J1331" s="499"/>
    </row>
    <row r="1332" spans="1:10" hidden="1" x14ac:dyDescent="0.25">
      <c r="A1332" s="383">
        <f t="shared" si="60"/>
        <v>19</v>
      </c>
      <c r="B1332" s="383" t="s">
        <v>274</v>
      </c>
      <c r="C1332" s="497" t="s">
        <v>987</v>
      </c>
      <c r="D1332" s="383" t="s">
        <v>994</v>
      </c>
      <c r="E1332" s="383" t="s">
        <v>868</v>
      </c>
      <c r="F1332" s="383" t="str">
        <f t="shared" si="61"/>
        <v>T200009DAmerican Electric</v>
      </c>
      <c r="G1332" s="496">
        <v>-120471.12</v>
      </c>
      <c r="H1332" s="496">
        <v>120471.12</v>
      </c>
      <c r="I1332" s="496">
        <f t="shared" si="62"/>
        <v>0</v>
      </c>
      <c r="J1332" s="496" t="s">
        <v>869</v>
      </c>
    </row>
    <row r="1333" spans="1:10" hidden="1" x14ac:dyDescent="0.25">
      <c r="A1333" s="383">
        <f t="shared" si="60"/>
        <v>19</v>
      </c>
      <c r="B1333" s="383" t="s">
        <v>274</v>
      </c>
      <c r="C1333" s="497" t="s">
        <v>987</v>
      </c>
      <c r="D1333" s="383" t="s">
        <v>895</v>
      </c>
      <c r="E1333" s="383" t="s">
        <v>868</v>
      </c>
      <c r="F1333" s="383" t="str">
        <f t="shared" si="61"/>
        <v>T200009DArizona Public Se</v>
      </c>
      <c r="G1333" s="496">
        <v>0</v>
      </c>
      <c r="H1333" s="496">
        <v>0</v>
      </c>
      <c r="I1333" s="496">
        <f t="shared" si="62"/>
        <v>0</v>
      </c>
      <c r="J1333" s="496" t="s">
        <v>869</v>
      </c>
    </row>
    <row r="1334" spans="1:10" hidden="1" x14ac:dyDescent="0.25">
      <c r="A1334" s="383">
        <f t="shared" si="60"/>
        <v>19</v>
      </c>
      <c r="B1334" s="383" t="s">
        <v>274</v>
      </c>
      <c r="C1334" s="497" t="s">
        <v>987</v>
      </c>
      <c r="D1334" s="383" t="s">
        <v>996</v>
      </c>
      <c r="E1334" s="383" t="s">
        <v>868</v>
      </c>
      <c r="F1334" s="383" t="str">
        <f t="shared" si="61"/>
        <v>T200009DAssociated Electr</v>
      </c>
      <c r="G1334" s="496">
        <v>-499.2</v>
      </c>
      <c r="H1334" s="496">
        <v>499.2</v>
      </c>
      <c r="I1334" s="496">
        <f t="shared" si="62"/>
        <v>0</v>
      </c>
      <c r="J1334" s="496" t="s">
        <v>869</v>
      </c>
    </row>
    <row r="1335" spans="1:10" hidden="1" x14ac:dyDescent="0.25">
      <c r="A1335" s="383">
        <f t="shared" si="60"/>
        <v>19</v>
      </c>
      <c r="B1335" s="383" t="s">
        <v>274</v>
      </c>
      <c r="C1335" s="497" t="s">
        <v>987</v>
      </c>
      <c r="D1335" s="383" t="s">
        <v>935</v>
      </c>
      <c r="E1335" s="383" t="s">
        <v>868</v>
      </c>
      <c r="F1335" s="383" t="str">
        <f t="shared" si="61"/>
        <v xml:space="preserve">T200009DBonneville Power </v>
      </c>
      <c r="G1335" s="496">
        <v>-300392.52</v>
      </c>
      <c r="H1335" s="496">
        <v>300392.52</v>
      </c>
      <c r="I1335" s="496">
        <f t="shared" si="62"/>
        <v>0</v>
      </c>
      <c r="J1335" s="496" t="s">
        <v>869</v>
      </c>
    </row>
    <row r="1336" spans="1:10" x14ac:dyDescent="0.25">
      <c r="A1336" s="383">
        <f t="shared" si="60"/>
        <v>22</v>
      </c>
      <c r="B1336" s="487" t="s">
        <v>274</v>
      </c>
      <c r="C1336" s="500" t="s">
        <v>987</v>
      </c>
      <c r="D1336" s="487" t="s">
        <v>1004</v>
      </c>
      <c r="E1336" s="487" t="s">
        <v>868</v>
      </c>
      <c r="F1336" s="487" t="str">
        <f t="shared" si="61"/>
        <v>T200009DCinergy Services,</v>
      </c>
      <c r="G1336" s="499"/>
      <c r="H1336" s="499">
        <f>VLOOKUP(F1336,[2]Pivot!$R$20:$S$1359,2,FALSE)</f>
        <v>165516.6</v>
      </c>
      <c r="I1336" s="499">
        <f t="shared" si="62"/>
        <v>165516.6</v>
      </c>
      <c r="J1336" s="499"/>
    </row>
    <row r="1337" spans="1:10" x14ac:dyDescent="0.25">
      <c r="A1337" s="383">
        <f t="shared" si="60"/>
        <v>19</v>
      </c>
      <c r="B1337" s="383" t="s">
        <v>274</v>
      </c>
      <c r="C1337" s="495" t="s">
        <v>987</v>
      </c>
      <c r="D1337" s="383" t="s">
        <v>955</v>
      </c>
      <c r="E1337" s="383" t="s">
        <v>868</v>
      </c>
      <c r="F1337" s="383" t="str">
        <f t="shared" si="61"/>
        <v>T200009DCommonwealth Edis</v>
      </c>
      <c r="G1337" s="496">
        <v>88402.47</v>
      </c>
      <c r="H1337" s="496">
        <v>0</v>
      </c>
      <c r="I1337" s="496">
        <f t="shared" si="62"/>
        <v>88402.47</v>
      </c>
      <c r="J1337" s="496"/>
    </row>
    <row r="1338" spans="1:10" hidden="1" x14ac:dyDescent="0.25">
      <c r="A1338" s="383">
        <f t="shared" si="60"/>
        <v>19</v>
      </c>
      <c r="B1338" s="383" t="s">
        <v>274</v>
      </c>
      <c r="C1338" s="497" t="s">
        <v>987</v>
      </c>
      <c r="D1338" s="383" t="s">
        <v>1111</v>
      </c>
      <c r="E1338" s="383" t="s">
        <v>868</v>
      </c>
      <c r="F1338" s="383" t="str">
        <f t="shared" si="61"/>
        <v>T200009DConsolidated Edis</v>
      </c>
      <c r="G1338" s="496">
        <v>-643.5</v>
      </c>
      <c r="H1338" s="496">
        <v>643.5</v>
      </c>
      <c r="I1338" s="496">
        <f t="shared" si="62"/>
        <v>0</v>
      </c>
      <c r="J1338" s="496" t="s">
        <v>869</v>
      </c>
    </row>
    <row r="1339" spans="1:10" x14ac:dyDescent="0.25">
      <c r="A1339" s="383">
        <f t="shared" si="60"/>
        <v>26</v>
      </c>
      <c r="B1339" s="487" t="s">
        <v>274</v>
      </c>
      <c r="C1339" s="500" t="s">
        <v>987</v>
      </c>
      <c r="D1339" s="487" t="s">
        <v>89</v>
      </c>
      <c r="E1339" s="487" t="s">
        <v>868</v>
      </c>
      <c r="F1339" s="487" t="str">
        <f t="shared" si="61"/>
        <v>T200009DDuke Electric Tra</v>
      </c>
      <c r="G1339" s="499"/>
      <c r="H1339" s="499">
        <f>VLOOKUP(F1339,[2]Pivot!$R$20:$S$1359,2,FALSE)</f>
        <v>3330.6</v>
      </c>
      <c r="I1339" s="499">
        <f t="shared" si="62"/>
        <v>3330.6</v>
      </c>
      <c r="J1339" s="499"/>
    </row>
    <row r="1340" spans="1:10" x14ac:dyDescent="0.25">
      <c r="A1340" s="383">
        <f t="shared" si="60"/>
        <v>22</v>
      </c>
      <c r="B1340" s="487" t="s">
        <v>274</v>
      </c>
      <c r="C1340" s="500" t="s">
        <v>987</v>
      </c>
      <c r="D1340" s="487" t="s">
        <v>81</v>
      </c>
      <c r="E1340" s="487" t="s">
        <v>868</v>
      </c>
      <c r="F1340" s="487" t="str">
        <f t="shared" si="61"/>
        <v>T200009DEntergy Services,</v>
      </c>
      <c r="G1340" s="499"/>
      <c r="H1340" s="499">
        <f>VLOOKUP(F1340,[2]Pivot!$R$20:$S$1359,2,FALSE)</f>
        <v>1474.78</v>
      </c>
      <c r="I1340" s="499">
        <f t="shared" si="62"/>
        <v>1474.78</v>
      </c>
      <c r="J1340" s="499"/>
    </row>
    <row r="1341" spans="1:10" x14ac:dyDescent="0.25">
      <c r="A1341" s="383">
        <f t="shared" si="60"/>
        <v>18</v>
      </c>
      <c r="B1341" s="487" t="s">
        <v>274</v>
      </c>
      <c r="C1341" s="500" t="s">
        <v>987</v>
      </c>
      <c r="D1341" s="487" t="s">
        <v>90</v>
      </c>
      <c r="E1341" s="487" t="s">
        <v>868</v>
      </c>
      <c r="F1341" s="487" t="str">
        <f t="shared" si="61"/>
        <v>T200009DFirstEnergy Syste</v>
      </c>
      <c r="G1341" s="499"/>
      <c r="H1341" s="499">
        <f>VLOOKUP(F1341,[2]Pivot!$R$20:$S$1359,2,FALSE)</f>
        <v>10473.52</v>
      </c>
      <c r="I1341" s="499">
        <f t="shared" si="62"/>
        <v>10473.52</v>
      </c>
      <c r="J1341" s="499"/>
    </row>
    <row r="1342" spans="1:10" x14ac:dyDescent="0.25">
      <c r="A1342" s="383">
        <f t="shared" si="60"/>
        <v>29</v>
      </c>
      <c r="B1342" s="487" t="s">
        <v>274</v>
      </c>
      <c r="C1342" s="500" t="s">
        <v>987</v>
      </c>
      <c r="D1342" s="487" t="s">
        <v>1024</v>
      </c>
      <c r="E1342" s="487" t="s">
        <v>868</v>
      </c>
      <c r="F1342" s="487" t="str">
        <f t="shared" si="61"/>
        <v>T200009DFlorida Power &amp; L</v>
      </c>
      <c r="G1342" s="499"/>
      <c r="H1342" s="499">
        <f>VLOOKUP(F1342,[2]Pivot!$R$20:$S$1359,2,FALSE)</f>
        <v>8503.89</v>
      </c>
      <c r="I1342" s="499">
        <f t="shared" si="62"/>
        <v>8503.89</v>
      </c>
      <c r="J1342" s="499"/>
    </row>
    <row r="1343" spans="1:10" x14ac:dyDescent="0.25">
      <c r="A1343" s="383">
        <f t="shared" si="60"/>
        <v>19</v>
      </c>
      <c r="B1343" s="383" t="s">
        <v>274</v>
      </c>
      <c r="C1343" s="495" t="s">
        <v>987</v>
      </c>
      <c r="D1343" s="383" t="s">
        <v>82</v>
      </c>
      <c r="E1343" s="383" t="s">
        <v>868</v>
      </c>
      <c r="F1343" s="383" t="str">
        <f t="shared" si="61"/>
        <v>T200009DFranklin County P</v>
      </c>
      <c r="G1343" s="496">
        <v>1210</v>
      </c>
      <c r="H1343" s="496">
        <v>0</v>
      </c>
      <c r="I1343" s="496">
        <f t="shared" si="62"/>
        <v>1210</v>
      </c>
      <c r="J1343" s="496"/>
    </row>
    <row r="1344" spans="1:10" hidden="1" x14ac:dyDescent="0.25">
      <c r="A1344" s="383">
        <f t="shared" si="60"/>
        <v>19</v>
      </c>
      <c r="B1344" s="383" t="s">
        <v>274</v>
      </c>
      <c r="C1344" s="497" t="s">
        <v>987</v>
      </c>
      <c r="D1344" s="383" t="s">
        <v>84</v>
      </c>
      <c r="E1344" s="383" t="s">
        <v>868</v>
      </c>
      <c r="F1344" s="383" t="str">
        <f t="shared" si="61"/>
        <v>T200009DGeorgia Transmiss</v>
      </c>
      <c r="G1344" s="496">
        <v>-32006.78</v>
      </c>
      <c r="H1344" s="496">
        <v>32006.78</v>
      </c>
      <c r="I1344" s="496">
        <f t="shared" si="62"/>
        <v>0</v>
      </c>
      <c r="J1344" s="496" t="s">
        <v>869</v>
      </c>
    </row>
    <row r="1345" spans="1:10" hidden="1" x14ac:dyDescent="0.25">
      <c r="A1345" s="383">
        <f t="shared" si="60"/>
        <v>19</v>
      </c>
      <c r="B1345" s="383" t="s">
        <v>274</v>
      </c>
      <c r="C1345" s="497" t="s">
        <v>987</v>
      </c>
      <c r="D1345" s="383" t="s">
        <v>1035</v>
      </c>
      <c r="E1345" s="383" t="s">
        <v>868</v>
      </c>
      <c r="F1345" s="383" t="str">
        <f t="shared" si="61"/>
        <v>T200009DJacksonville Elec</v>
      </c>
      <c r="G1345" s="496">
        <v>-9042.9699999999993</v>
      </c>
      <c r="H1345" s="496">
        <v>9042.9699999999993</v>
      </c>
      <c r="I1345" s="496">
        <f t="shared" si="62"/>
        <v>0</v>
      </c>
      <c r="J1345" s="496" t="s">
        <v>869</v>
      </c>
    </row>
    <row r="1346" spans="1:10" hidden="1" x14ac:dyDescent="0.25">
      <c r="A1346" s="383">
        <f t="shared" si="60"/>
        <v>19</v>
      </c>
      <c r="B1346" s="383" t="s">
        <v>274</v>
      </c>
      <c r="C1346" s="497" t="s">
        <v>987</v>
      </c>
      <c r="D1346" s="383" t="s">
        <v>923</v>
      </c>
      <c r="E1346" s="383" t="s">
        <v>868</v>
      </c>
      <c r="F1346" s="383" t="str">
        <f t="shared" si="61"/>
        <v>T200009DLos Angeles Dept.</v>
      </c>
      <c r="G1346" s="496">
        <v>1.1596057447604835E-11</v>
      </c>
      <c r="H1346" s="496">
        <v>0</v>
      </c>
      <c r="I1346" s="496">
        <f t="shared" si="62"/>
        <v>0</v>
      </c>
      <c r="J1346" s="496" t="s">
        <v>869</v>
      </c>
    </row>
    <row r="1347" spans="1:10" hidden="1" x14ac:dyDescent="0.25">
      <c r="A1347" s="383">
        <f t="shared" si="60"/>
        <v>18</v>
      </c>
      <c r="B1347" s="383" t="s">
        <v>274</v>
      </c>
      <c r="C1347" s="497" t="s">
        <v>987</v>
      </c>
      <c r="D1347" s="383" t="s">
        <v>876</v>
      </c>
      <c r="E1347" s="383" t="s">
        <v>868</v>
      </c>
      <c r="F1347" s="383" t="str">
        <f t="shared" si="61"/>
        <v>T200009DLouisville Gas An</v>
      </c>
      <c r="G1347" s="496">
        <v>-4191.45</v>
      </c>
      <c r="H1347" s="496">
        <v>4191.45</v>
      </c>
      <c r="I1347" s="496">
        <f t="shared" si="62"/>
        <v>0</v>
      </c>
      <c r="J1347" s="496" t="s">
        <v>869</v>
      </c>
    </row>
    <row r="1348" spans="1:10" x14ac:dyDescent="0.25">
      <c r="A1348" s="383">
        <f t="shared" ref="A1348:A1411" si="63">LEN(D1348)</f>
        <v>7</v>
      </c>
      <c r="B1348" s="487" t="s">
        <v>274</v>
      </c>
      <c r="C1348" s="500" t="s">
        <v>987</v>
      </c>
      <c r="D1348" s="487" t="s">
        <v>281</v>
      </c>
      <c r="E1348" s="487" t="s">
        <v>868</v>
      </c>
      <c r="F1348" s="487" t="str">
        <f t="shared" ref="F1348:F1411" si="64">+B1348&amp;C1348&amp;E1348&amp;LEFT(D1348,17)</f>
        <v>T200009DMAPPCOR</v>
      </c>
      <c r="G1348" s="499"/>
      <c r="H1348" s="499">
        <f>VLOOKUP(F1348,[2]Pivot!$R$20:$S$1359,2,FALSE)</f>
        <v>269336.46000000002</v>
      </c>
      <c r="I1348" s="499">
        <f t="shared" ref="I1348:I1411" si="65">ROUND(+G1348+H1348,2)</f>
        <v>269336.46000000002</v>
      </c>
      <c r="J1348" s="499"/>
    </row>
    <row r="1349" spans="1:10" hidden="1" x14ac:dyDescent="0.25">
      <c r="A1349" s="383">
        <f t="shared" si="63"/>
        <v>19</v>
      </c>
      <c r="B1349" s="383" t="s">
        <v>274</v>
      </c>
      <c r="C1349" s="497" t="s">
        <v>987</v>
      </c>
      <c r="D1349" s="383" t="s">
        <v>964</v>
      </c>
      <c r="E1349" s="383" t="s">
        <v>868</v>
      </c>
      <c r="F1349" s="383" t="str">
        <f t="shared" si="64"/>
        <v>T200009DMichigan Electric</v>
      </c>
      <c r="G1349" s="496">
        <v>-2289</v>
      </c>
      <c r="H1349" s="496">
        <v>2289</v>
      </c>
      <c r="I1349" s="496">
        <f t="shared" si="65"/>
        <v>0</v>
      </c>
      <c r="J1349" s="496" t="s">
        <v>869</v>
      </c>
    </row>
    <row r="1350" spans="1:10" hidden="1" x14ac:dyDescent="0.25">
      <c r="A1350" s="383">
        <f t="shared" si="63"/>
        <v>19</v>
      </c>
      <c r="B1350" s="383" t="s">
        <v>274</v>
      </c>
      <c r="C1350" s="497" t="s">
        <v>987</v>
      </c>
      <c r="D1350" s="383" t="s">
        <v>939</v>
      </c>
      <c r="E1350" s="383" t="s">
        <v>868</v>
      </c>
      <c r="F1350" s="383" t="str">
        <f t="shared" si="64"/>
        <v>T200009DMontana Power Com</v>
      </c>
      <c r="G1350" s="496">
        <v>-150</v>
      </c>
      <c r="H1350" s="496">
        <v>150</v>
      </c>
      <c r="I1350" s="496">
        <f t="shared" si="65"/>
        <v>0</v>
      </c>
      <c r="J1350" s="496" t="s">
        <v>869</v>
      </c>
    </row>
    <row r="1351" spans="1:10" x14ac:dyDescent="0.25">
      <c r="A1351" s="383">
        <f t="shared" si="63"/>
        <v>19</v>
      </c>
      <c r="B1351" s="383" t="s">
        <v>274</v>
      </c>
      <c r="C1351" s="495" t="s">
        <v>987</v>
      </c>
      <c r="D1351" s="383" t="s">
        <v>1046</v>
      </c>
      <c r="E1351" s="383" t="s">
        <v>868</v>
      </c>
      <c r="F1351" s="383" t="str">
        <f t="shared" si="64"/>
        <v>T200009DNevada Power Comp</v>
      </c>
      <c r="G1351" s="496">
        <v>34128.46</v>
      </c>
      <c r="H1351" s="496">
        <v>0</v>
      </c>
      <c r="I1351" s="496">
        <f t="shared" si="65"/>
        <v>34128.46</v>
      </c>
      <c r="J1351" s="496"/>
    </row>
    <row r="1352" spans="1:10" hidden="1" x14ac:dyDescent="0.25">
      <c r="A1352" s="383">
        <f t="shared" si="63"/>
        <v>19</v>
      </c>
      <c r="B1352" s="383" t="s">
        <v>274</v>
      </c>
      <c r="C1352" s="497" t="s">
        <v>987</v>
      </c>
      <c r="D1352" s="383" t="s">
        <v>931</v>
      </c>
      <c r="E1352" s="383" t="s">
        <v>868</v>
      </c>
      <c r="F1352" s="383" t="str">
        <f t="shared" si="64"/>
        <v>T200009DNew York Independ</v>
      </c>
      <c r="G1352" s="496">
        <v>0</v>
      </c>
      <c r="H1352" s="496">
        <v>0</v>
      </c>
      <c r="I1352" s="496">
        <f t="shared" si="65"/>
        <v>0</v>
      </c>
      <c r="J1352" s="496" t="s">
        <v>869</v>
      </c>
    </row>
    <row r="1353" spans="1:10" hidden="1" x14ac:dyDescent="0.25">
      <c r="A1353" s="383">
        <f t="shared" si="63"/>
        <v>19</v>
      </c>
      <c r="B1353" s="383" t="s">
        <v>274</v>
      </c>
      <c r="C1353" s="497" t="s">
        <v>987</v>
      </c>
      <c r="D1353" s="383" t="s">
        <v>85</v>
      </c>
      <c r="E1353" s="383" t="s">
        <v>868</v>
      </c>
      <c r="F1353" s="383" t="str">
        <f t="shared" si="64"/>
        <v>T200009DNiagara Mohawk Po</v>
      </c>
      <c r="G1353" s="496">
        <v>656.68</v>
      </c>
      <c r="H1353" s="496">
        <v>-656.68</v>
      </c>
      <c r="I1353" s="496">
        <f t="shared" si="65"/>
        <v>0</v>
      </c>
      <c r="J1353" s="496" t="s">
        <v>869</v>
      </c>
    </row>
    <row r="1354" spans="1:10" hidden="1" x14ac:dyDescent="0.25">
      <c r="A1354" s="383">
        <f t="shared" si="63"/>
        <v>19</v>
      </c>
      <c r="B1354" s="383" t="s">
        <v>274</v>
      </c>
      <c r="C1354" s="497" t="s">
        <v>987</v>
      </c>
      <c r="D1354" s="383" t="s">
        <v>1201</v>
      </c>
      <c r="E1354" s="383" t="s">
        <v>868</v>
      </c>
      <c r="F1354" s="383" t="str">
        <f t="shared" si="64"/>
        <v xml:space="preserve">T200009DNorthern Indiana </v>
      </c>
      <c r="G1354" s="496">
        <v>-468</v>
      </c>
      <c r="H1354" s="496">
        <v>468</v>
      </c>
      <c r="I1354" s="496">
        <f t="shared" si="65"/>
        <v>0</v>
      </c>
      <c r="J1354" s="496" t="s">
        <v>869</v>
      </c>
    </row>
    <row r="1355" spans="1:10" hidden="1" x14ac:dyDescent="0.25">
      <c r="A1355" s="383">
        <f t="shared" si="63"/>
        <v>19</v>
      </c>
      <c r="B1355" s="383" t="s">
        <v>274</v>
      </c>
      <c r="C1355" s="497" t="s">
        <v>987</v>
      </c>
      <c r="D1355" s="383" t="s">
        <v>1049</v>
      </c>
      <c r="E1355" s="383" t="s">
        <v>868</v>
      </c>
      <c r="F1355" s="383" t="str">
        <f t="shared" si="64"/>
        <v>T200009DNorthern States P</v>
      </c>
      <c r="G1355" s="496">
        <v>-18310.53</v>
      </c>
      <c r="H1355" s="496">
        <v>18310.53</v>
      </c>
      <c r="I1355" s="496">
        <f t="shared" si="65"/>
        <v>0</v>
      </c>
      <c r="J1355" s="496" t="s">
        <v>869</v>
      </c>
    </row>
    <row r="1356" spans="1:10" x14ac:dyDescent="0.25">
      <c r="A1356" s="383">
        <f t="shared" si="63"/>
        <v>10</v>
      </c>
      <c r="B1356" s="383" t="s">
        <v>274</v>
      </c>
      <c r="C1356" s="495" t="s">
        <v>987</v>
      </c>
      <c r="D1356" s="383" t="s">
        <v>940</v>
      </c>
      <c r="E1356" s="383" t="s">
        <v>868</v>
      </c>
      <c r="F1356" s="383" t="str">
        <f t="shared" si="64"/>
        <v>T200009DPacificorp</v>
      </c>
      <c r="G1356" s="496">
        <v>1927.2</v>
      </c>
      <c r="H1356" s="496">
        <v>0</v>
      </c>
      <c r="I1356" s="496">
        <f t="shared" si="65"/>
        <v>1927.2</v>
      </c>
      <c r="J1356" s="496"/>
    </row>
    <row r="1357" spans="1:10" x14ac:dyDescent="0.25">
      <c r="A1357" s="383">
        <f t="shared" si="63"/>
        <v>19</v>
      </c>
      <c r="B1357" s="383" t="s">
        <v>274</v>
      </c>
      <c r="C1357" s="495" t="s">
        <v>987</v>
      </c>
      <c r="D1357" s="383" t="s">
        <v>892</v>
      </c>
      <c r="E1357" s="383" t="s">
        <v>868</v>
      </c>
      <c r="F1357" s="383" t="str">
        <f t="shared" si="64"/>
        <v>T200009DPJM Interconnecti</v>
      </c>
      <c r="G1357" s="496">
        <v>10475.200000000001</v>
      </c>
      <c r="H1357" s="496">
        <v>0</v>
      </c>
      <c r="I1357" s="496">
        <f t="shared" si="65"/>
        <v>10475.200000000001</v>
      </c>
      <c r="J1357" s="496"/>
    </row>
    <row r="1358" spans="1:10" hidden="1" x14ac:dyDescent="0.25">
      <c r="A1358" s="383">
        <f t="shared" si="63"/>
        <v>19</v>
      </c>
      <c r="B1358" s="383" t="s">
        <v>274</v>
      </c>
      <c r="C1358" s="497" t="s">
        <v>987</v>
      </c>
      <c r="D1358" s="383" t="s">
        <v>904</v>
      </c>
      <c r="E1358" s="383" t="s">
        <v>868</v>
      </c>
      <c r="F1358" s="383" t="str">
        <f t="shared" si="64"/>
        <v xml:space="preserve">T200009DPortland General </v>
      </c>
      <c r="G1358" s="496">
        <v>-1.1590728377086634E-11</v>
      </c>
      <c r="H1358" s="496">
        <v>0</v>
      </c>
      <c r="I1358" s="496">
        <f t="shared" si="65"/>
        <v>0</v>
      </c>
      <c r="J1358" s="496" t="s">
        <v>869</v>
      </c>
    </row>
    <row r="1359" spans="1:10" hidden="1" x14ac:dyDescent="0.25">
      <c r="A1359" s="383">
        <f t="shared" si="63"/>
        <v>19</v>
      </c>
      <c r="B1359" s="383" t="s">
        <v>274</v>
      </c>
      <c r="C1359" s="497" t="s">
        <v>987</v>
      </c>
      <c r="D1359" s="383" t="s">
        <v>1059</v>
      </c>
      <c r="E1359" s="383" t="s">
        <v>868</v>
      </c>
      <c r="F1359" s="383" t="str">
        <f t="shared" si="64"/>
        <v>T200009DPublic Utility Di</v>
      </c>
      <c r="G1359" s="496">
        <v>0</v>
      </c>
      <c r="H1359" s="496">
        <v>0</v>
      </c>
      <c r="I1359" s="496">
        <f t="shared" si="65"/>
        <v>0</v>
      </c>
      <c r="J1359" s="496" t="s">
        <v>869</v>
      </c>
    </row>
    <row r="1360" spans="1:10" hidden="1" x14ac:dyDescent="0.25">
      <c r="A1360" s="383">
        <f t="shared" si="63"/>
        <v>18</v>
      </c>
      <c r="B1360" s="383" t="s">
        <v>274</v>
      </c>
      <c r="C1360" s="497" t="s">
        <v>987</v>
      </c>
      <c r="D1360" s="383" t="s">
        <v>1061</v>
      </c>
      <c r="E1360" s="383" t="s">
        <v>868</v>
      </c>
      <c r="F1360" s="383" t="str">
        <f t="shared" si="64"/>
        <v>T200009DPUD No. 1 of Gray</v>
      </c>
      <c r="G1360" s="496">
        <v>0</v>
      </c>
      <c r="H1360" s="496">
        <v>0</v>
      </c>
      <c r="I1360" s="496">
        <f t="shared" si="65"/>
        <v>0</v>
      </c>
      <c r="J1360" s="496" t="s">
        <v>869</v>
      </c>
    </row>
    <row r="1361" spans="1:10" x14ac:dyDescent="0.25">
      <c r="A1361" s="383">
        <f t="shared" si="63"/>
        <v>18</v>
      </c>
      <c r="B1361" s="383" t="s">
        <v>274</v>
      </c>
      <c r="C1361" s="495" t="s">
        <v>987</v>
      </c>
      <c r="D1361" s="383" t="s">
        <v>324</v>
      </c>
      <c r="E1361" s="383" t="s">
        <v>868</v>
      </c>
      <c r="F1361" s="383" t="str">
        <f t="shared" si="64"/>
        <v>T200009DSeattle City Ligh</v>
      </c>
      <c r="G1361" s="496">
        <v>1440</v>
      </c>
      <c r="H1361" s="496">
        <v>0</v>
      </c>
      <c r="I1361" s="496">
        <f t="shared" si="65"/>
        <v>1440</v>
      </c>
      <c r="J1361" s="496"/>
    </row>
    <row r="1362" spans="1:10" hidden="1" x14ac:dyDescent="0.25">
      <c r="A1362" s="383">
        <f t="shared" si="63"/>
        <v>19</v>
      </c>
      <c r="B1362" s="383" t="s">
        <v>274</v>
      </c>
      <c r="C1362" s="497" t="s">
        <v>987</v>
      </c>
      <c r="D1362" s="383" t="s">
        <v>1070</v>
      </c>
      <c r="E1362" s="383" t="s">
        <v>868</v>
      </c>
      <c r="F1362" s="383" t="str">
        <f t="shared" si="64"/>
        <v xml:space="preserve">T200009DSouthern Company </v>
      </c>
      <c r="G1362" s="496">
        <v>-72676.570000000007</v>
      </c>
      <c r="H1362" s="496">
        <v>72676.570000000007</v>
      </c>
      <c r="I1362" s="496">
        <f t="shared" si="65"/>
        <v>0</v>
      </c>
      <c r="J1362" s="496" t="s">
        <v>869</v>
      </c>
    </row>
    <row r="1363" spans="1:10" x14ac:dyDescent="0.25">
      <c r="A1363" s="383">
        <f t="shared" si="63"/>
        <v>20</v>
      </c>
      <c r="B1363" s="487" t="s">
        <v>274</v>
      </c>
      <c r="C1363" s="500" t="s">
        <v>987</v>
      </c>
      <c r="D1363" s="487" t="s">
        <v>91</v>
      </c>
      <c r="E1363" s="487" t="s">
        <v>868</v>
      </c>
      <c r="F1363" s="487" t="str">
        <f t="shared" si="64"/>
        <v>T200009DSouthwest Power P</v>
      </c>
      <c r="G1363" s="499"/>
      <c r="H1363" s="499">
        <f>VLOOKUP(F1363,[2]Pivot!$R$20:$S$1359,2,FALSE)</f>
        <v>5842.68</v>
      </c>
      <c r="I1363" s="499">
        <f t="shared" si="65"/>
        <v>5842.68</v>
      </c>
      <c r="J1363" s="499"/>
    </row>
    <row r="1364" spans="1:10" hidden="1" x14ac:dyDescent="0.25">
      <c r="A1364" s="383">
        <f t="shared" si="63"/>
        <v>19</v>
      </c>
      <c r="B1364" s="383" t="s">
        <v>274</v>
      </c>
      <c r="C1364" s="497" t="s">
        <v>987</v>
      </c>
      <c r="D1364" s="383" t="s">
        <v>92</v>
      </c>
      <c r="E1364" s="383" t="s">
        <v>868</v>
      </c>
      <c r="F1364" s="383" t="str">
        <f t="shared" si="64"/>
        <v xml:space="preserve">T200009DTennessee Valley </v>
      </c>
      <c r="G1364" s="496">
        <v>-781501.68</v>
      </c>
      <c r="H1364" s="496">
        <v>781501.68</v>
      </c>
      <c r="I1364" s="496">
        <f t="shared" si="65"/>
        <v>0</v>
      </c>
      <c r="J1364" s="496" t="s">
        <v>869</v>
      </c>
    </row>
    <row r="1365" spans="1:10" hidden="1" x14ac:dyDescent="0.25">
      <c r="A1365" s="383">
        <f t="shared" si="63"/>
        <v>19</v>
      </c>
      <c r="B1365" s="383" t="s">
        <v>274</v>
      </c>
      <c r="C1365" s="497" t="s">
        <v>987</v>
      </c>
      <c r="D1365" s="383" t="s">
        <v>93</v>
      </c>
      <c r="E1365" s="383" t="s">
        <v>868</v>
      </c>
      <c r="F1365" s="383" t="str">
        <f t="shared" si="64"/>
        <v>T200009DThe Power Authori</v>
      </c>
      <c r="G1365" s="496">
        <v>-582.75</v>
      </c>
      <c r="H1365" s="496">
        <v>582.75</v>
      </c>
      <c r="I1365" s="496">
        <f t="shared" si="65"/>
        <v>0</v>
      </c>
      <c r="J1365" s="496" t="s">
        <v>869</v>
      </c>
    </row>
    <row r="1366" spans="1:10" hidden="1" x14ac:dyDescent="0.25">
      <c r="A1366" s="383">
        <f t="shared" si="63"/>
        <v>18</v>
      </c>
      <c r="B1366" s="383" t="s">
        <v>274</v>
      </c>
      <c r="C1366" s="497" t="s">
        <v>987</v>
      </c>
      <c r="D1366" s="383" t="s">
        <v>924</v>
      </c>
      <c r="E1366" s="383" t="s">
        <v>868</v>
      </c>
      <c r="F1366" s="383" t="str">
        <f t="shared" si="64"/>
        <v>T200009DWestern Area Powe</v>
      </c>
      <c r="G1366" s="496">
        <v>-16250</v>
      </c>
      <c r="H1366" s="496">
        <v>16250</v>
      </c>
      <c r="I1366" s="496">
        <f t="shared" si="65"/>
        <v>0</v>
      </c>
      <c r="J1366" s="496" t="s">
        <v>869</v>
      </c>
    </row>
    <row r="1367" spans="1:10" hidden="1" x14ac:dyDescent="0.25">
      <c r="A1367" s="383">
        <f t="shared" si="63"/>
        <v>18</v>
      </c>
      <c r="B1367" s="383" t="s">
        <v>274</v>
      </c>
      <c r="C1367" s="497" t="s">
        <v>987</v>
      </c>
      <c r="D1367" s="383" t="s">
        <v>1088</v>
      </c>
      <c r="E1367" s="383" t="s">
        <v>868</v>
      </c>
      <c r="F1367" s="383" t="str">
        <f t="shared" si="64"/>
        <v>T200009DWisconsin Electri</v>
      </c>
      <c r="G1367" s="496">
        <v>0</v>
      </c>
      <c r="H1367" s="496">
        <v>0</v>
      </c>
      <c r="I1367" s="496">
        <f t="shared" si="65"/>
        <v>0</v>
      </c>
      <c r="J1367" s="496" t="s">
        <v>869</v>
      </c>
    </row>
    <row r="1368" spans="1:10" hidden="1" x14ac:dyDescent="0.25">
      <c r="A1368" s="383">
        <f t="shared" si="63"/>
        <v>20</v>
      </c>
      <c r="B1368" s="383" t="s">
        <v>274</v>
      </c>
      <c r="C1368" s="497" t="s">
        <v>987</v>
      </c>
      <c r="D1368" s="383" t="s">
        <v>94</v>
      </c>
      <c r="E1368" s="383" t="s">
        <v>887</v>
      </c>
      <c r="F1368" s="383" t="str">
        <f t="shared" si="64"/>
        <v xml:space="preserve">T200009FAllegheny Power, </v>
      </c>
      <c r="G1368" s="496">
        <v>105859.3</v>
      </c>
      <c r="H1368" s="496">
        <v>-105859.3</v>
      </c>
      <c r="I1368" s="496">
        <f t="shared" si="65"/>
        <v>0</v>
      </c>
      <c r="J1368" s="496" t="s">
        <v>869</v>
      </c>
    </row>
    <row r="1369" spans="1:10" hidden="1" x14ac:dyDescent="0.25">
      <c r="A1369" s="383">
        <f t="shared" si="63"/>
        <v>20</v>
      </c>
      <c r="B1369" s="383" t="s">
        <v>274</v>
      </c>
      <c r="C1369" s="497" t="s">
        <v>987</v>
      </c>
      <c r="D1369" s="383" t="s">
        <v>95</v>
      </c>
      <c r="E1369" s="383" t="s">
        <v>887</v>
      </c>
      <c r="F1369" s="383" t="str">
        <f t="shared" si="64"/>
        <v>T200009FAmeren Services C</v>
      </c>
      <c r="G1369" s="496">
        <v>248206.74</v>
      </c>
      <c r="H1369" s="496">
        <v>-248206.74</v>
      </c>
      <c r="I1369" s="496">
        <f t="shared" si="65"/>
        <v>0</v>
      </c>
      <c r="J1369" s="496" t="s">
        <v>869</v>
      </c>
    </row>
    <row r="1370" spans="1:10" hidden="1" x14ac:dyDescent="0.25">
      <c r="A1370" s="383">
        <f t="shared" si="63"/>
        <v>20</v>
      </c>
      <c r="B1370" s="383" t="s">
        <v>274</v>
      </c>
      <c r="C1370" s="497" t="s">
        <v>987</v>
      </c>
      <c r="D1370" s="383" t="s">
        <v>886</v>
      </c>
      <c r="E1370" s="383" t="s">
        <v>887</v>
      </c>
      <c r="F1370" s="383" t="str">
        <f t="shared" si="64"/>
        <v>T200009FAmerican Electric</v>
      </c>
      <c r="G1370" s="496">
        <v>132639.24</v>
      </c>
      <c r="H1370" s="496">
        <v>-132639.24</v>
      </c>
      <c r="I1370" s="496">
        <f t="shared" si="65"/>
        <v>0</v>
      </c>
      <c r="J1370" s="496" t="s">
        <v>869</v>
      </c>
    </row>
    <row r="1371" spans="1:10" hidden="1" x14ac:dyDescent="0.25">
      <c r="A1371" s="383">
        <f t="shared" si="63"/>
        <v>19</v>
      </c>
      <c r="B1371" s="383" t="s">
        <v>274</v>
      </c>
      <c r="C1371" s="497" t="s">
        <v>987</v>
      </c>
      <c r="D1371" s="383" t="s">
        <v>996</v>
      </c>
      <c r="E1371" s="383" t="s">
        <v>887</v>
      </c>
      <c r="F1371" s="383" t="str">
        <f t="shared" si="64"/>
        <v>T200009FAssociated Electr</v>
      </c>
      <c r="G1371" s="496">
        <v>2860.79</v>
      </c>
      <c r="H1371" s="496">
        <v>-2860.79</v>
      </c>
      <c r="I1371" s="496">
        <f t="shared" si="65"/>
        <v>0</v>
      </c>
      <c r="J1371" s="496" t="s">
        <v>869</v>
      </c>
    </row>
    <row r="1372" spans="1:10" hidden="1" x14ac:dyDescent="0.25">
      <c r="A1372" s="383">
        <f t="shared" si="63"/>
        <v>20</v>
      </c>
      <c r="B1372" s="383" t="s">
        <v>274</v>
      </c>
      <c r="C1372" s="497" t="s">
        <v>987</v>
      </c>
      <c r="D1372" s="383" t="s">
        <v>973</v>
      </c>
      <c r="E1372" s="383" t="s">
        <v>887</v>
      </c>
      <c r="F1372" s="383" t="str">
        <f t="shared" si="64"/>
        <v xml:space="preserve">T200009FBonneville Power </v>
      </c>
      <c r="G1372" s="496">
        <v>307914.02</v>
      </c>
      <c r="H1372" s="496">
        <v>-307914.02</v>
      </c>
      <c r="I1372" s="496">
        <f t="shared" si="65"/>
        <v>0</v>
      </c>
      <c r="J1372" s="496" t="s">
        <v>869</v>
      </c>
    </row>
    <row r="1373" spans="1:10" hidden="1" x14ac:dyDescent="0.25">
      <c r="A1373" s="383">
        <f t="shared" si="63"/>
        <v>20</v>
      </c>
      <c r="B1373" s="383" t="s">
        <v>274</v>
      </c>
      <c r="C1373" s="497" t="s">
        <v>987</v>
      </c>
      <c r="D1373" s="383" t="s">
        <v>1104</v>
      </c>
      <c r="E1373" s="383" t="s">
        <v>887</v>
      </c>
      <c r="F1373" s="383" t="str">
        <f t="shared" si="64"/>
        <v>T200009FCinergy Services,</v>
      </c>
      <c r="G1373" s="496">
        <v>166851.20000000001</v>
      </c>
      <c r="H1373" s="496">
        <v>-166851.20000000001</v>
      </c>
      <c r="I1373" s="496">
        <f t="shared" si="65"/>
        <v>0</v>
      </c>
      <c r="J1373" s="496" t="s">
        <v>869</v>
      </c>
    </row>
    <row r="1374" spans="1:10" hidden="1" x14ac:dyDescent="0.25">
      <c r="A1374" s="383">
        <f t="shared" si="63"/>
        <v>19</v>
      </c>
      <c r="B1374" s="383" t="s">
        <v>274</v>
      </c>
      <c r="C1374" s="497" t="s">
        <v>987</v>
      </c>
      <c r="D1374" s="383" t="s">
        <v>1111</v>
      </c>
      <c r="E1374" s="383" t="s">
        <v>887</v>
      </c>
      <c r="F1374" s="383" t="str">
        <f t="shared" si="64"/>
        <v>T200009FConsolidated Edis</v>
      </c>
      <c r="G1374" s="496">
        <v>4711.55</v>
      </c>
      <c r="H1374" s="496">
        <v>-4711.55</v>
      </c>
      <c r="I1374" s="496">
        <f t="shared" si="65"/>
        <v>0</v>
      </c>
      <c r="J1374" s="496" t="s">
        <v>869</v>
      </c>
    </row>
    <row r="1375" spans="1:10" hidden="1" x14ac:dyDescent="0.25">
      <c r="A1375" s="383">
        <f t="shared" si="63"/>
        <v>20</v>
      </c>
      <c r="B1375" s="383" t="s">
        <v>274</v>
      </c>
      <c r="C1375" s="497" t="s">
        <v>987</v>
      </c>
      <c r="D1375" s="383" t="s">
        <v>96</v>
      </c>
      <c r="E1375" s="383" t="s">
        <v>887</v>
      </c>
      <c r="F1375" s="383" t="str">
        <f t="shared" si="64"/>
        <v>T200009FDuke Electric Tra</v>
      </c>
      <c r="G1375" s="496">
        <v>3330.6</v>
      </c>
      <c r="H1375" s="496">
        <v>-3330.6</v>
      </c>
      <c r="I1375" s="496">
        <f t="shared" si="65"/>
        <v>0</v>
      </c>
      <c r="J1375" s="496" t="s">
        <v>869</v>
      </c>
    </row>
    <row r="1376" spans="1:10" hidden="1" x14ac:dyDescent="0.25">
      <c r="A1376" s="383">
        <f t="shared" si="63"/>
        <v>20</v>
      </c>
      <c r="B1376" s="383" t="s">
        <v>274</v>
      </c>
      <c r="C1376" s="497" t="s">
        <v>987</v>
      </c>
      <c r="D1376" s="383" t="s">
        <v>97</v>
      </c>
      <c r="E1376" s="383" t="s">
        <v>887</v>
      </c>
      <c r="F1376" s="383" t="str">
        <f t="shared" si="64"/>
        <v>T200009FElectric Reliabil</v>
      </c>
      <c r="G1376" s="496">
        <v>25</v>
      </c>
      <c r="H1376" s="496">
        <v>-25</v>
      </c>
      <c r="I1376" s="496">
        <f t="shared" si="65"/>
        <v>0</v>
      </c>
      <c r="J1376" s="496" t="s">
        <v>869</v>
      </c>
    </row>
    <row r="1377" spans="1:10" hidden="1" x14ac:dyDescent="0.25">
      <c r="A1377" s="383">
        <f t="shared" si="63"/>
        <v>20</v>
      </c>
      <c r="B1377" s="383" t="s">
        <v>274</v>
      </c>
      <c r="C1377" s="497" t="s">
        <v>987</v>
      </c>
      <c r="D1377" s="383" t="s">
        <v>1263</v>
      </c>
      <c r="E1377" s="383" t="s">
        <v>887</v>
      </c>
      <c r="F1377" s="383" t="str">
        <f t="shared" si="64"/>
        <v>T200009FEntergy Services,</v>
      </c>
      <c r="G1377" s="496">
        <v>1064.6500000000001</v>
      </c>
      <c r="H1377" s="496">
        <v>-1064.6500000000001</v>
      </c>
      <c r="I1377" s="496">
        <f t="shared" si="65"/>
        <v>0</v>
      </c>
      <c r="J1377" s="496" t="s">
        <v>869</v>
      </c>
    </row>
    <row r="1378" spans="1:10" hidden="1" x14ac:dyDescent="0.25">
      <c r="A1378" s="383">
        <f t="shared" si="63"/>
        <v>18</v>
      </c>
      <c r="B1378" s="383" t="s">
        <v>274</v>
      </c>
      <c r="C1378" s="497" t="s">
        <v>987</v>
      </c>
      <c r="D1378" s="383" t="s">
        <v>90</v>
      </c>
      <c r="E1378" s="383" t="s">
        <v>887</v>
      </c>
      <c r="F1378" s="383" t="str">
        <f t="shared" si="64"/>
        <v>T200009FFirstEnergy Syste</v>
      </c>
      <c r="G1378" s="496">
        <v>8917.01</v>
      </c>
      <c r="H1378" s="496">
        <v>-8917.01</v>
      </c>
      <c r="I1378" s="496">
        <f t="shared" si="65"/>
        <v>0</v>
      </c>
      <c r="J1378" s="496" t="s">
        <v>869</v>
      </c>
    </row>
    <row r="1379" spans="1:10" hidden="1" x14ac:dyDescent="0.25">
      <c r="A1379" s="383">
        <f t="shared" si="63"/>
        <v>20</v>
      </c>
      <c r="B1379" s="383" t="s">
        <v>274</v>
      </c>
      <c r="C1379" s="497" t="s">
        <v>987</v>
      </c>
      <c r="D1379" s="383" t="s">
        <v>1119</v>
      </c>
      <c r="E1379" s="383" t="s">
        <v>887</v>
      </c>
      <c r="F1379" s="383" t="str">
        <f t="shared" si="64"/>
        <v>T200009FFlorida Power &amp; L</v>
      </c>
      <c r="G1379" s="496">
        <v>2683</v>
      </c>
      <c r="H1379" s="496">
        <v>-2683</v>
      </c>
      <c r="I1379" s="496">
        <f t="shared" si="65"/>
        <v>0</v>
      </c>
      <c r="J1379" s="496" t="s">
        <v>869</v>
      </c>
    </row>
    <row r="1380" spans="1:10" hidden="1" x14ac:dyDescent="0.25">
      <c r="A1380" s="383">
        <f t="shared" si="63"/>
        <v>20</v>
      </c>
      <c r="B1380" s="383" t="s">
        <v>274</v>
      </c>
      <c r="C1380" s="497" t="s">
        <v>987</v>
      </c>
      <c r="D1380" s="383" t="s">
        <v>86</v>
      </c>
      <c r="E1380" s="383" t="s">
        <v>887</v>
      </c>
      <c r="F1380" s="383" t="str">
        <f t="shared" si="64"/>
        <v>T200009FGeorgia Transmiss</v>
      </c>
      <c r="G1380" s="496">
        <v>32937.120000000003</v>
      </c>
      <c r="H1380" s="496">
        <v>-32937.120000000003</v>
      </c>
      <c r="I1380" s="496">
        <f t="shared" si="65"/>
        <v>0</v>
      </c>
      <c r="J1380" s="496" t="s">
        <v>869</v>
      </c>
    </row>
    <row r="1381" spans="1:10" hidden="1" x14ac:dyDescent="0.25">
      <c r="A1381" s="383">
        <f t="shared" si="63"/>
        <v>20</v>
      </c>
      <c r="B1381" s="383" t="s">
        <v>274</v>
      </c>
      <c r="C1381" s="497" t="s">
        <v>987</v>
      </c>
      <c r="D1381" s="383" t="s">
        <v>1127</v>
      </c>
      <c r="E1381" s="383" t="s">
        <v>887</v>
      </c>
      <c r="F1381" s="383" t="str">
        <f t="shared" si="64"/>
        <v>T200009FJacksonville Elec</v>
      </c>
      <c r="G1381" s="496">
        <v>5828.4</v>
      </c>
      <c r="H1381" s="496">
        <v>-5828.4</v>
      </c>
      <c r="I1381" s="496">
        <f t="shared" si="65"/>
        <v>0</v>
      </c>
      <c r="J1381" s="496" t="s">
        <v>869</v>
      </c>
    </row>
    <row r="1382" spans="1:10" hidden="1" x14ac:dyDescent="0.25">
      <c r="A1382" s="383">
        <f t="shared" si="63"/>
        <v>20</v>
      </c>
      <c r="B1382" s="383" t="s">
        <v>274</v>
      </c>
      <c r="C1382" s="497" t="s">
        <v>987</v>
      </c>
      <c r="D1382" s="383" t="s">
        <v>1273</v>
      </c>
      <c r="E1382" s="383" t="s">
        <v>887</v>
      </c>
      <c r="F1382" s="383" t="str">
        <f t="shared" si="64"/>
        <v>T200009FLouisville Gas An</v>
      </c>
      <c r="G1382" s="496">
        <v>4191.45</v>
      </c>
      <c r="H1382" s="496">
        <v>-4191.45</v>
      </c>
      <c r="I1382" s="496">
        <f t="shared" si="65"/>
        <v>0</v>
      </c>
      <c r="J1382" s="496" t="s">
        <v>869</v>
      </c>
    </row>
    <row r="1383" spans="1:10" hidden="1" x14ac:dyDescent="0.25">
      <c r="A1383" s="383">
        <f t="shared" si="63"/>
        <v>7</v>
      </c>
      <c r="B1383" s="383" t="s">
        <v>274</v>
      </c>
      <c r="C1383" s="497" t="s">
        <v>987</v>
      </c>
      <c r="D1383" s="383" t="s">
        <v>281</v>
      </c>
      <c r="E1383" s="383" t="s">
        <v>887</v>
      </c>
      <c r="F1383" s="383" t="str">
        <f t="shared" si="64"/>
        <v>T200009FMAPPCOR</v>
      </c>
      <c r="G1383" s="496">
        <v>288168.57</v>
      </c>
      <c r="H1383" s="496">
        <v>-288168.57</v>
      </c>
      <c r="I1383" s="496">
        <f t="shared" si="65"/>
        <v>0</v>
      </c>
      <c r="J1383" s="496" t="s">
        <v>869</v>
      </c>
    </row>
    <row r="1384" spans="1:10" hidden="1" x14ac:dyDescent="0.25">
      <c r="A1384" s="383">
        <f t="shared" si="63"/>
        <v>20</v>
      </c>
      <c r="B1384" s="383" t="s">
        <v>274</v>
      </c>
      <c r="C1384" s="497" t="s">
        <v>987</v>
      </c>
      <c r="D1384" s="383" t="s">
        <v>1133</v>
      </c>
      <c r="E1384" s="383" t="s">
        <v>887</v>
      </c>
      <c r="F1384" s="383" t="str">
        <f t="shared" si="64"/>
        <v>T200009FMontana Power Com</v>
      </c>
      <c r="G1384" s="496">
        <v>150</v>
      </c>
      <c r="H1384" s="496">
        <v>-150</v>
      </c>
      <c r="I1384" s="496">
        <f t="shared" si="65"/>
        <v>0</v>
      </c>
      <c r="J1384" s="496" t="s">
        <v>869</v>
      </c>
    </row>
    <row r="1385" spans="1:10" hidden="1" x14ac:dyDescent="0.25">
      <c r="A1385" s="383">
        <f t="shared" si="63"/>
        <v>20</v>
      </c>
      <c r="B1385" s="383" t="s">
        <v>274</v>
      </c>
      <c r="C1385" s="497" t="s">
        <v>987</v>
      </c>
      <c r="D1385" s="383" t="s">
        <v>98</v>
      </c>
      <c r="E1385" s="383" t="s">
        <v>887</v>
      </c>
      <c r="F1385" s="383" t="str">
        <f t="shared" si="64"/>
        <v xml:space="preserve">T200009FNorthern Indiana </v>
      </c>
      <c r="G1385" s="496">
        <v>382.2</v>
      </c>
      <c r="H1385" s="496">
        <v>-382.2</v>
      </c>
      <c r="I1385" s="496">
        <f t="shared" si="65"/>
        <v>0</v>
      </c>
      <c r="J1385" s="496" t="s">
        <v>869</v>
      </c>
    </row>
    <row r="1386" spans="1:10" hidden="1" x14ac:dyDescent="0.25">
      <c r="A1386" s="383">
        <f t="shared" si="63"/>
        <v>20</v>
      </c>
      <c r="B1386" s="383" t="s">
        <v>274</v>
      </c>
      <c r="C1386" s="497" t="s">
        <v>987</v>
      </c>
      <c r="D1386" s="383" t="s">
        <v>1136</v>
      </c>
      <c r="E1386" s="383" t="s">
        <v>887</v>
      </c>
      <c r="F1386" s="383" t="str">
        <f t="shared" si="64"/>
        <v>T200009FNorthern States P</v>
      </c>
      <c r="G1386" s="496">
        <v>7801.92</v>
      </c>
      <c r="H1386" s="496">
        <v>-7801.92</v>
      </c>
      <c r="I1386" s="496">
        <f t="shared" si="65"/>
        <v>0</v>
      </c>
      <c r="J1386" s="496" t="s">
        <v>869</v>
      </c>
    </row>
    <row r="1387" spans="1:10" hidden="1" x14ac:dyDescent="0.25">
      <c r="A1387" s="383">
        <f t="shared" si="63"/>
        <v>20</v>
      </c>
      <c r="B1387" s="383" t="s">
        <v>274</v>
      </c>
      <c r="C1387" s="497" t="s">
        <v>987</v>
      </c>
      <c r="D1387" s="383" t="s">
        <v>1225</v>
      </c>
      <c r="E1387" s="383" t="s">
        <v>887</v>
      </c>
      <c r="F1387" s="383" t="str">
        <f t="shared" si="64"/>
        <v>T200009FOmaha Public Powe</v>
      </c>
      <c r="G1387" s="496">
        <v>111.6</v>
      </c>
      <c r="H1387" s="496">
        <v>-111.6</v>
      </c>
      <c r="I1387" s="496">
        <f t="shared" si="65"/>
        <v>0</v>
      </c>
      <c r="J1387" s="496" t="s">
        <v>869</v>
      </c>
    </row>
    <row r="1388" spans="1:10" hidden="1" x14ac:dyDescent="0.25">
      <c r="A1388" s="383">
        <f t="shared" si="63"/>
        <v>20</v>
      </c>
      <c r="B1388" s="383" t="s">
        <v>274</v>
      </c>
      <c r="C1388" s="497" t="s">
        <v>987</v>
      </c>
      <c r="D1388" s="383" t="s">
        <v>1151</v>
      </c>
      <c r="E1388" s="383" t="s">
        <v>887</v>
      </c>
      <c r="F1388" s="383" t="str">
        <f t="shared" si="64"/>
        <v xml:space="preserve">T200009FSouthern Company </v>
      </c>
      <c r="G1388" s="496">
        <v>72411.789999999994</v>
      </c>
      <c r="H1388" s="496">
        <v>-72411.789999999994</v>
      </c>
      <c r="I1388" s="496">
        <f t="shared" si="65"/>
        <v>0</v>
      </c>
      <c r="J1388" s="496" t="s">
        <v>869</v>
      </c>
    </row>
    <row r="1389" spans="1:10" hidden="1" x14ac:dyDescent="0.25">
      <c r="A1389" s="383">
        <f t="shared" si="63"/>
        <v>20</v>
      </c>
      <c r="B1389" s="383" t="s">
        <v>274</v>
      </c>
      <c r="C1389" s="497" t="s">
        <v>987</v>
      </c>
      <c r="D1389" s="383" t="s">
        <v>91</v>
      </c>
      <c r="E1389" s="383" t="s">
        <v>887</v>
      </c>
      <c r="F1389" s="383" t="str">
        <f t="shared" si="64"/>
        <v>T200009FSouthwest Power P</v>
      </c>
      <c r="G1389" s="496">
        <v>3855.13</v>
      </c>
      <c r="H1389" s="496">
        <v>-3855.13</v>
      </c>
      <c r="I1389" s="496">
        <f t="shared" si="65"/>
        <v>0</v>
      </c>
      <c r="J1389" s="496" t="s">
        <v>869</v>
      </c>
    </row>
    <row r="1390" spans="1:10" hidden="1" x14ac:dyDescent="0.25">
      <c r="A1390" s="383">
        <f t="shared" si="63"/>
        <v>20</v>
      </c>
      <c r="B1390" s="383" t="s">
        <v>274</v>
      </c>
      <c r="C1390" s="497" t="s">
        <v>987</v>
      </c>
      <c r="D1390" s="383" t="s">
        <v>99</v>
      </c>
      <c r="E1390" s="383" t="s">
        <v>887</v>
      </c>
      <c r="F1390" s="383" t="str">
        <f t="shared" si="64"/>
        <v xml:space="preserve">T200009FTennessee Valley </v>
      </c>
      <c r="G1390" s="496">
        <v>783076.15</v>
      </c>
      <c r="H1390" s="496">
        <v>-783076.15</v>
      </c>
      <c r="I1390" s="496">
        <f t="shared" si="65"/>
        <v>0</v>
      </c>
      <c r="J1390" s="496" t="s">
        <v>869</v>
      </c>
    </row>
    <row r="1391" spans="1:10" hidden="1" x14ac:dyDescent="0.25">
      <c r="A1391" s="383">
        <f t="shared" si="63"/>
        <v>19</v>
      </c>
      <c r="B1391" s="383" t="s">
        <v>274</v>
      </c>
      <c r="C1391" s="497" t="s">
        <v>987</v>
      </c>
      <c r="D1391" s="383" t="s">
        <v>93</v>
      </c>
      <c r="E1391" s="383" t="s">
        <v>887</v>
      </c>
      <c r="F1391" s="383" t="str">
        <f t="shared" si="64"/>
        <v>T200009FThe Power Authori</v>
      </c>
      <c r="G1391" s="496">
        <v>3863.55</v>
      </c>
      <c r="H1391" s="496">
        <v>-3863.55</v>
      </c>
      <c r="I1391" s="496">
        <f t="shared" si="65"/>
        <v>0</v>
      </c>
      <c r="J1391" s="496" t="s">
        <v>869</v>
      </c>
    </row>
    <row r="1392" spans="1:10" hidden="1" x14ac:dyDescent="0.25">
      <c r="A1392" s="383">
        <f t="shared" si="63"/>
        <v>20</v>
      </c>
      <c r="B1392" s="383" t="s">
        <v>274</v>
      </c>
      <c r="C1392" s="497" t="s">
        <v>987</v>
      </c>
      <c r="D1392" s="383" t="s">
        <v>1164</v>
      </c>
      <c r="E1392" s="383" t="s">
        <v>887</v>
      </c>
      <c r="F1392" s="383" t="str">
        <f t="shared" si="64"/>
        <v>T200009FWestern Area Powe</v>
      </c>
      <c r="G1392" s="496">
        <v>17062.900000000001</v>
      </c>
      <c r="H1392" s="496">
        <v>-17062.900000000001</v>
      </c>
      <c r="I1392" s="496">
        <f t="shared" si="65"/>
        <v>0</v>
      </c>
      <c r="J1392" s="496" t="s">
        <v>869</v>
      </c>
    </row>
    <row r="1393" spans="1:10" hidden="1" x14ac:dyDescent="0.25">
      <c r="A1393" s="383">
        <f t="shared" si="63"/>
        <v>19</v>
      </c>
      <c r="B1393" s="383" t="s">
        <v>274</v>
      </c>
      <c r="C1393" s="497" t="s">
        <v>1173</v>
      </c>
      <c r="D1393" s="383" t="s">
        <v>87</v>
      </c>
      <c r="E1393" s="383" t="s">
        <v>868</v>
      </c>
      <c r="F1393" s="383" t="str">
        <f t="shared" si="64"/>
        <v xml:space="preserve">T200010DAllegheny Power, </v>
      </c>
      <c r="G1393" s="496">
        <v>15569.6</v>
      </c>
      <c r="H1393" s="496">
        <v>-15569.6</v>
      </c>
      <c r="I1393" s="496">
        <f t="shared" si="65"/>
        <v>0</v>
      </c>
      <c r="J1393" s="496" t="s">
        <v>869</v>
      </c>
    </row>
    <row r="1394" spans="1:10" hidden="1" x14ac:dyDescent="0.25">
      <c r="A1394" s="383">
        <f t="shared" si="63"/>
        <v>19</v>
      </c>
      <c r="B1394" s="383" t="s">
        <v>274</v>
      </c>
      <c r="C1394" s="497" t="s">
        <v>1173</v>
      </c>
      <c r="D1394" s="383" t="s">
        <v>100</v>
      </c>
      <c r="E1394" s="383" t="s">
        <v>868</v>
      </c>
      <c r="F1394" s="383" t="str">
        <f t="shared" si="64"/>
        <v>T200010DAmeren Services C</v>
      </c>
      <c r="G1394" s="496">
        <v>17509.509999999998</v>
      </c>
      <c r="H1394" s="496">
        <v>-17509.509999999998</v>
      </c>
      <c r="I1394" s="496">
        <f t="shared" si="65"/>
        <v>0</v>
      </c>
      <c r="J1394" s="496" t="s">
        <v>869</v>
      </c>
    </row>
    <row r="1395" spans="1:10" hidden="1" x14ac:dyDescent="0.25">
      <c r="A1395" s="383">
        <f t="shared" si="63"/>
        <v>19</v>
      </c>
      <c r="B1395" s="383" t="s">
        <v>274</v>
      </c>
      <c r="C1395" s="497" t="s">
        <v>1173</v>
      </c>
      <c r="D1395" s="383" t="s">
        <v>994</v>
      </c>
      <c r="E1395" s="383" t="s">
        <v>868</v>
      </c>
      <c r="F1395" s="383" t="str">
        <f t="shared" si="64"/>
        <v>T200010DAmerican Electric</v>
      </c>
      <c r="G1395" s="496">
        <v>15050.52</v>
      </c>
      <c r="H1395" s="496">
        <v>-15050.52</v>
      </c>
      <c r="I1395" s="496">
        <f t="shared" si="65"/>
        <v>0</v>
      </c>
      <c r="J1395" s="496" t="s">
        <v>869</v>
      </c>
    </row>
    <row r="1396" spans="1:10" hidden="1" x14ac:dyDescent="0.25">
      <c r="A1396" s="383">
        <f t="shared" si="63"/>
        <v>19</v>
      </c>
      <c r="B1396" s="383" t="s">
        <v>274</v>
      </c>
      <c r="C1396" s="497" t="s">
        <v>1173</v>
      </c>
      <c r="D1396" s="383" t="s">
        <v>895</v>
      </c>
      <c r="E1396" s="383" t="s">
        <v>868</v>
      </c>
      <c r="F1396" s="383" t="str">
        <f t="shared" si="64"/>
        <v>T200010DArizona Public Se</v>
      </c>
      <c r="G1396" s="496">
        <v>72.150000000000006</v>
      </c>
      <c r="H1396" s="496">
        <v>-72.150000000000006</v>
      </c>
      <c r="I1396" s="496">
        <f t="shared" si="65"/>
        <v>0</v>
      </c>
      <c r="J1396" s="496" t="s">
        <v>869</v>
      </c>
    </row>
    <row r="1397" spans="1:10" hidden="1" x14ac:dyDescent="0.25">
      <c r="A1397" s="383">
        <f t="shared" si="63"/>
        <v>19</v>
      </c>
      <c r="B1397" s="383" t="s">
        <v>274</v>
      </c>
      <c r="C1397" s="497" t="s">
        <v>1173</v>
      </c>
      <c r="D1397" s="383" t="s">
        <v>996</v>
      </c>
      <c r="E1397" s="383" t="s">
        <v>868</v>
      </c>
      <c r="F1397" s="383" t="str">
        <f t="shared" si="64"/>
        <v>T200010DAssociated Electr</v>
      </c>
      <c r="G1397" s="496">
        <v>3090</v>
      </c>
      <c r="H1397" s="496">
        <v>-3090</v>
      </c>
      <c r="I1397" s="496">
        <f t="shared" si="65"/>
        <v>0</v>
      </c>
      <c r="J1397" s="496" t="s">
        <v>869</v>
      </c>
    </row>
    <row r="1398" spans="1:10" hidden="1" x14ac:dyDescent="0.25">
      <c r="A1398" s="383">
        <f t="shared" si="63"/>
        <v>19</v>
      </c>
      <c r="B1398" s="383" t="s">
        <v>274</v>
      </c>
      <c r="C1398" s="497" t="s">
        <v>1173</v>
      </c>
      <c r="D1398" s="383" t="s">
        <v>935</v>
      </c>
      <c r="E1398" s="383" t="s">
        <v>868</v>
      </c>
      <c r="F1398" s="383" t="str">
        <f t="shared" si="64"/>
        <v xml:space="preserve">T200010DBonneville Power </v>
      </c>
      <c r="G1398" s="496">
        <v>181131.78</v>
      </c>
      <c r="H1398" s="496">
        <v>-181131.78</v>
      </c>
      <c r="I1398" s="496">
        <f t="shared" si="65"/>
        <v>0</v>
      </c>
      <c r="J1398" s="496" t="s">
        <v>869</v>
      </c>
    </row>
    <row r="1399" spans="1:10" hidden="1" x14ac:dyDescent="0.25">
      <c r="A1399" s="383">
        <f t="shared" si="63"/>
        <v>19</v>
      </c>
      <c r="B1399" s="383" t="s">
        <v>274</v>
      </c>
      <c r="C1399" s="497" t="s">
        <v>1173</v>
      </c>
      <c r="D1399" s="383" t="s">
        <v>1184</v>
      </c>
      <c r="E1399" s="383" t="s">
        <v>868</v>
      </c>
      <c r="F1399" s="383" t="str">
        <f t="shared" si="64"/>
        <v>T200010DCinergy Services,</v>
      </c>
      <c r="G1399" s="496">
        <v>335363.20000000001</v>
      </c>
      <c r="H1399" s="496">
        <v>-335363.20000000001</v>
      </c>
      <c r="I1399" s="496">
        <f t="shared" si="65"/>
        <v>0</v>
      </c>
      <c r="J1399" s="496" t="s">
        <v>869</v>
      </c>
    </row>
    <row r="1400" spans="1:10" hidden="1" x14ac:dyDescent="0.25">
      <c r="A1400" s="383">
        <f t="shared" si="63"/>
        <v>16</v>
      </c>
      <c r="B1400" s="383" t="s">
        <v>274</v>
      </c>
      <c r="C1400" s="497" t="s">
        <v>1173</v>
      </c>
      <c r="D1400" s="383" t="s">
        <v>1105</v>
      </c>
      <c r="E1400" s="383" t="s">
        <v>868</v>
      </c>
      <c r="F1400" s="383" t="str">
        <f t="shared" si="64"/>
        <v>T200010DCity of Richland</v>
      </c>
      <c r="G1400" s="496">
        <v>1880</v>
      </c>
      <c r="H1400" s="496">
        <v>-1880</v>
      </c>
      <c r="I1400" s="496">
        <f t="shared" si="65"/>
        <v>0</v>
      </c>
      <c r="J1400" s="496" t="s">
        <v>869</v>
      </c>
    </row>
    <row r="1401" spans="1:10" hidden="1" x14ac:dyDescent="0.25">
      <c r="A1401" s="383">
        <f t="shared" si="63"/>
        <v>19</v>
      </c>
      <c r="B1401" s="383" t="s">
        <v>274</v>
      </c>
      <c r="C1401" s="497" t="s">
        <v>1173</v>
      </c>
      <c r="D1401" s="383" t="s">
        <v>955</v>
      </c>
      <c r="E1401" s="383" t="s">
        <v>868</v>
      </c>
      <c r="F1401" s="383" t="str">
        <f t="shared" si="64"/>
        <v>T200010DCommonwealth Edis</v>
      </c>
      <c r="G1401" s="496">
        <v>85355.65</v>
      </c>
      <c r="H1401" s="496">
        <v>-85355.65</v>
      </c>
      <c r="I1401" s="496">
        <f t="shared" si="65"/>
        <v>0</v>
      </c>
      <c r="J1401" s="496" t="s">
        <v>869</v>
      </c>
    </row>
    <row r="1402" spans="1:10" hidden="1" x14ac:dyDescent="0.25">
      <c r="A1402" s="383">
        <f t="shared" si="63"/>
        <v>19</v>
      </c>
      <c r="B1402" s="383" t="s">
        <v>274</v>
      </c>
      <c r="C1402" s="497" t="s">
        <v>1173</v>
      </c>
      <c r="D1402" s="383" t="s">
        <v>1111</v>
      </c>
      <c r="E1402" s="383" t="s">
        <v>868</v>
      </c>
      <c r="F1402" s="383" t="str">
        <f t="shared" si="64"/>
        <v>T200010DConsolidated Edis</v>
      </c>
      <c r="G1402" s="496">
        <v>45807.38</v>
      </c>
      <c r="H1402" s="496">
        <v>-45807.38</v>
      </c>
      <c r="I1402" s="496">
        <f t="shared" si="65"/>
        <v>0</v>
      </c>
      <c r="J1402" s="496" t="s">
        <v>869</v>
      </c>
    </row>
    <row r="1403" spans="1:10" hidden="1" x14ac:dyDescent="0.25">
      <c r="A1403" s="383">
        <f t="shared" si="63"/>
        <v>19</v>
      </c>
      <c r="B1403" s="383" t="s">
        <v>274</v>
      </c>
      <c r="C1403" s="497" t="s">
        <v>1173</v>
      </c>
      <c r="D1403" s="383" t="s">
        <v>101</v>
      </c>
      <c r="E1403" s="383" t="s">
        <v>868</v>
      </c>
      <c r="F1403" s="383" t="str">
        <f t="shared" si="64"/>
        <v>T200010DDuke Electric Tra</v>
      </c>
      <c r="G1403" s="496">
        <v>5494.6</v>
      </c>
      <c r="H1403" s="496">
        <v>-5494.6</v>
      </c>
      <c r="I1403" s="496">
        <f t="shared" si="65"/>
        <v>0</v>
      </c>
      <c r="J1403" s="496" t="s">
        <v>869</v>
      </c>
    </row>
    <row r="1404" spans="1:10" hidden="1" x14ac:dyDescent="0.25">
      <c r="A1404" s="383">
        <f t="shared" si="63"/>
        <v>19</v>
      </c>
      <c r="B1404" s="383" t="s">
        <v>274</v>
      </c>
      <c r="C1404" s="497" t="s">
        <v>1173</v>
      </c>
      <c r="D1404" s="383" t="s">
        <v>102</v>
      </c>
      <c r="E1404" s="383" t="s">
        <v>868</v>
      </c>
      <c r="F1404" s="383" t="str">
        <f t="shared" si="64"/>
        <v>T200010DElectric Reliabil</v>
      </c>
      <c r="G1404" s="496">
        <v>2855.4</v>
      </c>
      <c r="H1404" s="496">
        <v>-2855.4</v>
      </c>
      <c r="I1404" s="496">
        <f t="shared" si="65"/>
        <v>0</v>
      </c>
      <c r="J1404" s="496" t="s">
        <v>869</v>
      </c>
    </row>
    <row r="1405" spans="1:10" hidden="1" x14ac:dyDescent="0.25">
      <c r="A1405" s="383">
        <f t="shared" si="63"/>
        <v>19</v>
      </c>
      <c r="B1405" s="383" t="s">
        <v>274</v>
      </c>
      <c r="C1405" s="497" t="s">
        <v>1173</v>
      </c>
      <c r="D1405" s="383" t="s">
        <v>1189</v>
      </c>
      <c r="E1405" s="383" t="s">
        <v>868</v>
      </c>
      <c r="F1405" s="383" t="str">
        <f t="shared" si="64"/>
        <v>T200010DEntergy Services,</v>
      </c>
      <c r="G1405" s="496">
        <v>917</v>
      </c>
      <c r="H1405" s="496">
        <v>-917</v>
      </c>
      <c r="I1405" s="496">
        <f t="shared" si="65"/>
        <v>0</v>
      </c>
      <c r="J1405" s="496" t="s">
        <v>869</v>
      </c>
    </row>
    <row r="1406" spans="1:10" hidden="1" x14ac:dyDescent="0.25">
      <c r="A1406" s="383">
        <f t="shared" si="63"/>
        <v>18</v>
      </c>
      <c r="B1406" s="383" t="s">
        <v>274</v>
      </c>
      <c r="C1406" s="497" t="s">
        <v>1173</v>
      </c>
      <c r="D1406" s="383" t="s">
        <v>90</v>
      </c>
      <c r="E1406" s="383" t="s">
        <v>868</v>
      </c>
      <c r="F1406" s="383" t="str">
        <f t="shared" si="64"/>
        <v>T200010DFirstEnergy Syste</v>
      </c>
      <c r="G1406" s="496">
        <v>12672.45</v>
      </c>
      <c r="H1406" s="496">
        <v>-12672.45</v>
      </c>
      <c r="I1406" s="496">
        <f t="shared" si="65"/>
        <v>0</v>
      </c>
      <c r="J1406" s="496" t="s">
        <v>869</v>
      </c>
    </row>
    <row r="1407" spans="1:10" hidden="1" x14ac:dyDescent="0.25">
      <c r="A1407" s="383">
        <f t="shared" si="63"/>
        <v>19</v>
      </c>
      <c r="B1407" s="383" t="s">
        <v>274</v>
      </c>
      <c r="C1407" s="497" t="s">
        <v>1173</v>
      </c>
      <c r="D1407" s="383" t="s">
        <v>82</v>
      </c>
      <c r="E1407" s="383" t="s">
        <v>868</v>
      </c>
      <c r="F1407" s="383" t="str">
        <f t="shared" si="64"/>
        <v>T200010DFranklin County P</v>
      </c>
      <c r="G1407" s="496">
        <v>3716.25</v>
      </c>
      <c r="H1407" s="496">
        <v>-3716.25</v>
      </c>
      <c r="I1407" s="496">
        <f t="shared" si="65"/>
        <v>0</v>
      </c>
      <c r="J1407" s="496" t="s">
        <v>869</v>
      </c>
    </row>
    <row r="1408" spans="1:10" hidden="1" x14ac:dyDescent="0.25">
      <c r="A1408" s="383">
        <f t="shared" si="63"/>
        <v>19</v>
      </c>
      <c r="B1408" s="383" t="s">
        <v>274</v>
      </c>
      <c r="C1408" s="497" t="s">
        <v>1173</v>
      </c>
      <c r="D1408" s="383" t="s">
        <v>84</v>
      </c>
      <c r="E1408" s="383" t="s">
        <v>868</v>
      </c>
      <c r="F1408" s="383" t="str">
        <f t="shared" si="64"/>
        <v>T200010DGeorgia Transmiss</v>
      </c>
      <c r="G1408" s="496">
        <v>19508.53</v>
      </c>
      <c r="H1408" s="496">
        <v>-19508.53</v>
      </c>
      <c r="I1408" s="496">
        <f t="shared" si="65"/>
        <v>0</v>
      </c>
      <c r="J1408" s="496" t="s">
        <v>869</v>
      </c>
    </row>
    <row r="1409" spans="1:10" hidden="1" x14ac:dyDescent="0.25">
      <c r="A1409" s="383">
        <f t="shared" si="63"/>
        <v>19</v>
      </c>
      <c r="B1409" s="383" t="s">
        <v>274</v>
      </c>
      <c r="C1409" s="497" t="s">
        <v>1173</v>
      </c>
      <c r="D1409" s="383" t="s">
        <v>923</v>
      </c>
      <c r="E1409" s="383" t="s">
        <v>868</v>
      </c>
      <c r="F1409" s="383" t="str">
        <f t="shared" si="64"/>
        <v>T200010DLos Angeles Dept.</v>
      </c>
      <c r="G1409" s="496">
        <v>180427.5</v>
      </c>
      <c r="H1409" s="496">
        <v>-180427.5</v>
      </c>
      <c r="I1409" s="496">
        <f t="shared" si="65"/>
        <v>0</v>
      </c>
      <c r="J1409" s="496" t="s">
        <v>869</v>
      </c>
    </row>
    <row r="1410" spans="1:10" hidden="1" x14ac:dyDescent="0.25">
      <c r="A1410" s="383">
        <f t="shared" si="63"/>
        <v>18</v>
      </c>
      <c r="B1410" s="383" t="s">
        <v>274</v>
      </c>
      <c r="C1410" s="497" t="s">
        <v>1173</v>
      </c>
      <c r="D1410" s="383" t="s">
        <v>876</v>
      </c>
      <c r="E1410" s="383" t="s">
        <v>868</v>
      </c>
      <c r="F1410" s="383" t="str">
        <f t="shared" si="64"/>
        <v>T200010DLouisville Gas An</v>
      </c>
      <c r="G1410" s="496">
        <v>91295.95</v>
      </c>
      <c r="H1410" s="496">
        <v>-91295.95</v>
      </c>
      <c r="I1410" s="496">
        <f t="shared" si="65"/>
        <v>0</v>
      </c>
      <c r="J1410" s="496" t="s">
        <v>869</v>
      </c>
    </row>
    <row r="1411" spans="1:10" hidden="1" x14ac:dyDescent="0.25">
      <c r="A1411" s="383">
        <f t="shared" si="63"/>
        <v>7</v>
      </c>
      <c r="B1411" s="383" t="s">
        <v>274</v>
      </c>
      <c r="C1411" s="497" t="s">
        <v>1173</v>
      </c>
      <c r="D1411" s="383" t="s">
        <v>281</v>
      </c>
      <c r="E1411" s="383" t="s">
        <v>868</v>
      </c>
      <c r="F1411" s="383" t="str">
        <f t="shared" si="64"/>
        <v>T200010DMAPPCOR</v>
      </c>
      <c r="G1411" s="496">
        <v>441859.95</v>
      </c>
      <c r="H1411" s="496">
        <v>-441859.95</v>
      </c>
      <c r="I1411" s="496">
        <f t="shared" si="65"/>
        <v>0</v>
      </c>
      <c r="J1411" s="496" t="s">
        <v>869</v>
      </c>
    </row>
    <row r="1412" spans="1:10" hidden="1" x14ac:dyDescent="0.25">
      <c r="A1412" s="383">
        <f t="shared" ref="A1412:A1431" si="66">LEN(D1412)</f>
        <v>17</v>
      </c>
      <c r="B1412" s="383" t="s">
        <v>274</v>
      </c>
      <c r="C1412" s="497" t="s">
        <v>1173</v>
      </c>
      <c r="D1412" s="383" t="s">
        <v>103</v>
      </c>
      <c r="E1412" s="383" t="s">
        <v>868</v>
      </c>
      <c r="F1412" s="383" t="str">
        <f t="shared" ref="F1412:F1431" si="67">+B1412&amp;C1412&amp;E1412&amp;LEFT(D1412,17)</f>
        <v>T200010DMichigan Electric</v>
      </c>
      <c r="G1412" s="496">
        <v>0</v>
      </c>
      <c r="H1412" s="496"/>
      <c r="I1412" s="496">
        <f t="shared" ref="I1412:I1431" si="68">ROUND(+G1412+H1412,2)</f>
        <v>0</v>
      </c>
      <c r="J1412" s="496" t="s">
        <v>869</v>
      </c>
    </row>
    <row r="1413" spans="1:10" hidden="1" x14ac:dyDescent="0.25">
      <c r="A1413" s="383">
        <f t="shared" si="66"/>
        <v>19</v>
      </c>
      <c r="B1413" s="383" t="s">
        <v>274</v>
      </c>
      <c r="C1413" s="497" t="s">
        <v>1173</v>
      </c>
      <c r="D1413" s="383" t="s">
        <v>1046</v>
      </c>
      <c r="E1413" s="383" t="s">
        <v>868</v>
      </c>
      <c r="F1413" s="383" t="str">
        <f t="shared" si="67"/>
        <v>T200010DNevada Power Comp</v>
      </c>
      <c r="G1413" s="496">
        <v>36771.089999999997</v>
      </c>
      <c r="H1413" s="496">
        <v>-36771.089999999997</v>
      </c>
      <c r="I1413" s="496">
        <f t="shared" si="68"/>
        <v>0</v>
      </c>
      <c r="J1413" s="496" t="s">
        <v>869</v>
      </c>
    </row>
    <row r="1414" spans="1:10" hidden="1" x14ac:dyDescent="0.25">
      <c r="A1414" s="383">
        <f t="shared" si="66"/>
        <v>19</v>
      </c>
      <c r="B1414" s="383" t="s">
        <v>274</v>
      </c>
      <c r="C1414" s="497" t="s">
        <v>1173</v>
      </c>
      <c r="D1414" s="383" t="s">
        <v>931</v>
      </c>
      <c r="E1414" s="383" t="s">
        <v>868</v>
      </c>
      <c r="F1414" s="383" t="str">
        <f t="shared" si="67"/>
        <v>T200010DNew York Independ</v>
      </c>
      <c r="G1414" s="496">
        <v>27159.19</v>
      </c>
      <c r="H1414" s="496">
        <v>-27159.19</v>
      </c>
      <c r="I1414" s="496">
        <f t="shared" si="68"/>
        <v>0</v>
      </c>
      <c r="J1414" s="496" t="s">
        <v>869</v>
      </c>
    </row>
    <row r="1415" spans="1:10" hidden="1" x14ac:dyDescent="0.25">
      <c r="A1415" s="383">
        <f t="shared" si="66"/>
        <v>19</v>
      </c>
      <c r="B1415" s="383" t="s">
        <v>274</v>
      </c>
      <c r="C1415" s="497" t="s">
        <v>1173</v>
      </c>
      <c r="D1415" s="383" t="s">
        <v>85</v>
      </c>
      <c r="E1415" s="383" t="s">
        <v>868</v>
      </c>
      <c r="F1415" s="383" t="str">
        <f t="shared" si="67"/>
        <v>T200010DNiagara Mohawk Po</v>
      </c>
      <c r="G1415" s="496">
        <v>5668.47</v>
      </c>
      <c r="H1415" s="496">
        <v>-5668.47</v>
      </c>
      <c r="I1415" s="496">
        <f t="shared" si="68"/>
        <v>0</v>
      </c>
      <c r="J1415" s="496" t="s">
        <v>869</v>
      </c>
    </row>
    <row r="1416" spans="1:10" hidden="1" x14ac:dyDescent="0.25">
      <c r="A1416" s="383">
        <f t="shared" si="66"/>
        <v>19</v>
      </c>
      <c r="B1416" s="383" t="s">
        <v>274</v>
      </c>
      <c r="C1416" s="497" t="s">
        <v>1173</v>
      </c>
      <c r="D1416" s="383" t="s">
        <v>1201</v>
      </c>
      <c r="E1416" s="383" t="s">
        <v>868</v>
      </c>
      <c r="F1416" s="383" t="str">
        <f t="shared" si="67"/>
        <v xml:space="preserve">T200010DNorthern Indiana </v>
      </c>
      <c r="G1416" s="496">
        <v>2560.16</v>
      </c>
      <c r="H1416" s="496">
        <v>-2560.16</v>
      </c>
      <c r="I1416" s="496">
        <f t="shared" si="68"/>
        <v>0</v>
      </c>
      <c r="J1416" s="496" t="s">
        <v>869</v>
      </c>
    </row>
    <row r="1417" spans="1:10" hidden="1" x14ac:dyDescent="0.25">
      <c r="A1417" s="383">
        <f t="shared" si="66"/>
        <v>19</v>
      </c>
      <c r="B1417" s="383" t="s">
        <v>274</v>
      </c>
      <c r="C1417" s="497" t="s">
        <v>1173</v>
      </c>
      <c r="D1417" s="383" t="s">
        <v>1049</v>
      </c>
      <c r="E1417" s="383" t="s">
        <v>868</v>
      </c>
      <c r="F1417" s="383" t="str">
        <f t="shared" si="67"/>
        <v>T200010DNorthern States P</v>
      </c>
      <c r="G1417" s="496">
        <v>27200</v>
      </c>
      <c r="H1417" s="496">
        <v>-27200</v>
      </c>
      <c r="I1417" s="496">
        <f t="shared" si="68"/>
        <v>0</v>
      </c>
      <c r="J1417" s="496" t="s">
        <v>869</v>
      </c>
    </row>
    <row r="1418" spans="1:10" hidden="1" x14ac:dyDescent="0.25">
      <c r="A1418" s="383">
        <f t="shared" si="66"/>
        <v>18</v>
      </c>
      <c r="B1418" s="383" t="s">
        <v>274</v>
      </c>
      <c r="C1418" s="497" t="s">
        <v>1173</v>
      </c>
      <c r="D1418" s="383" t="s">
        <v>104</v>
      </c>
      <c r="E1418" s="383" t="s">
        <v>868</v>
      </c>
      <c r="F1418" s="383" t="str">
        <f t="shared" si="67"/>
        <v>T200010DOmaha Public Powe</v>
      </c>
      <c r="G1418" s="496">
        <v>5</v>
      </c>
      <c r="H1418" s="496">
        <v>-5</v>
      </c>
      <c r="I1418" s="496">
        <f t="shared" si="68"/>
        <v>0</v>
      </c>
      <c r="J1418" s="496" t="s">
        <v>869</v>
      </c>
    </row>
    <row r="1419" spans="1:10" hidden="1" x14ac:dyDescent="0.25">
      <c r="A1419" s="383">
        <f t="shared" si="66"/>
        <v>10</v>
      </c>
      <c r="B1419" s="383" t="s">
        <v>274</v>
      </c>
      <c r="C1419" s="497" t="s">
        <v>1173</v>
      </c>
      <c r="D1419" s="383" t="s">
        <v>940</v>
      </c>
      <c r="E1419" s="383" t="s">
        <v>868</v>
      </c>
      <c r="F1419" s="383" t="str">
        <f t="shared" si="67"/>
        <v>T200010DPacificorp</v>
      </c>
      <c r="G1419" s="496">
        <v>23313.279999999999</v>
      </c>
      <c r="H1419" s="496">
        <v>-23313.279999999999</v>
      </c>
      <c r="I1419" s="496">
        <f t="shared" si="68"/>
        <v>0</v>
      </c>
      <c r="J1419" s="496" t="s">
        <v>869</v>
      </c>
    </row>
    <row r="1420" spans="1:10" hidden="1" x14ac:dyDescent="0.25">
      <c r="A1420" s="383">
        <f t="shared" si="66"/>
        <v>19</v>
      </c>
      <c r="B1420" s="383" t="s">
        <v>274</v>
      </c>
      <c r="C1420" s="497" t="s">
        <v>1173</v>
      </c>
      <c r="D1420" s="383" t="s">
        <v>892</v>
      </c>
      <c r="E1420" s="383" t="s">
        <v>868</v>
      </c>
      <c r="F1420" s="383" t="str">
        <f t="shared" si="67"/>
        <v>T200010DPJM Interconnecti</v>
      </c>
      <c r="G1420" s="496">
        <v>113530.3</v>
      </c>
      <c r="H1420" s="496">
        <v>-113530.3</v>
      </c>
      <c r="I1420" s="496">
        <f t="shared" si="68"/>
        <v>0</v>
      </c>
      <c r="J1420" s="496" t="s">
        <v>869</v>
      </c>
    </row>
    <row r="1421" spans="1:10" hidden="1" x14ac:dyDescent="0.25">
      <c r="A1421" s="383">
        <f t="shared" si="66"/>
        <v>19</v>
      </c>
      <c r="B1421" s="383" t="s">
        <v>274</v>
      </c>
      <c r="C1421" s="497" t="s">
        <v>1173</v>
      </c>
      <c r="D1421" s="383" t="s">
        <v>904</v>
      </c>
      <c r="E1421" s="383" t="s">
        <v>868</v>
      </c>
      <c r="F1421" s="383" t="str">
        <f t="shared" si="67"/>
        <v xml:space="preserve">T200010DPortland General </v>
      </c>
      <c r="G1421" s="496">
        <v>153065.96</v>
      </c>
      <c r="H1421" s="496">
        <v>-153065.96</v>
      </c>
      <c r="I1421" s="496">
        <f t="shared" si="68"/>
        <v>0</v>
      </c>
      <c r="J1421" s="496" t="s">
        <v>869</v>
      </c>
    </row>
    <row r="1422" spans="1:10" hidden="1" x14ac:dyDescent="0.25">
      <c r="A1422" s="383">
        <f t="shared" si="66"/>
        <v>19</v>
      </c>
      <c r="B1422" s="383" t="s">
        <v>274</v>
      </c>
      <c r="C1422" s="497" t="s">
        <v>1173</v>
      </c>
      <c r="D1422" s="383" t="s">
        <v>1059</v>
      </c>
      <c r="E1422" s="383" t="s">
        <v>868</v>
      </c>
      <c r="F1422" s="383" t="str">
        <f t="shared" si="67"/>
        <v>T200010DPublic Utility Di</v>
      </c>
      <c r="G1422" s="496">
        <v>92716</v>
      </c>
      <c r="H1422" s="496">
        <v>-92716</v>
      </c>
      <c r="I1422" s="496">
        <f t="shared" si="68"/>
        <v>0</v>
      </c>
      <c r="J1422" s="496" t="s">
        <v>869</v>
      </c>
    </row>
    <row r="1423" spans="1:10" hidden="1" x14ac:dyDescent="0.25">
      <c r="A1423" s="383">
        <f t="shared" si="66"/>
        <v>18</v>
      </c>
      <c r="B1423" s="383" t="s">
        <v>274</v>
      </c>
      <c r="C1423" s="497" t="s">
        <v>1173</v>
      </c>
      <c r="D1423" s="383" t="s">
        <v>1061</v>
      </c>
      <c r="E1423" s="383" t="s">
        <v>868</v>
      </c>
      <c r="F1423" s="383" t="str">
        <f t="shared" si="67"/>
        <v>T200010DPUD No. 1 of Gray</v>
      </c>
      <c r="G1423" s="496">
        <v>14154</v>
      </c>
      <c r="H1423" s="496">
        <v>-14154</v>
      </c>
      <c r="I1423" s="496">
        <f t="shared" si="68"/>
        <v>0</v>
      </c>
      <c r="J1423" s="496" t="s">
        <v>869</v>
      </c>
    </row>
    <row r="1424" spans="1:10" hidden="1" x14ac:dyDescent="0.25">
      <c r="A1424" s="383">
        <f t="shared" si="66"/>
        <v>19</v>
      </c>
      <c r="B1424" s="383" t="s">
        <v>274</v>
      </c>
      <c r="C1424" s="497" t="s">
        <v>1173</v>
      </c>
      <c r="D1424" s="383" t="s">
        <v>1207</v>
      </c>
      <c r="E1424" s="383" t="s">
        <v>868</v>
      </c>
      <c r="F1424" s="383" t="str">
        <f t="shared" si="67"/>
        <v>T200010DReliant Energy HL</v>
      </c>
      <c r="G1424" s="496">
        <v>98</v>
      </c>
      <c r="H1424" s="496">
        <v>-98</v>
      </c>
      <c r="I1424" s="496">
        <f t="shared" si="68"/>
        <v>0</v>
      </c>
      <c r="J1424" s="496" t="s">
        <v>869</v>
      </c>
    </row>
    <row r="1425" spans="1:10" hidden="1" x14ac:dyDescent="0.25">
      <c r="A1425" s="383">
        <f t="shared" si="66"/>
        <v>18</v>
      </c>
      <c r="B1425" s="383" t="s">
        <v>274</v>
      </c>
      <c r="C1425" s="497" t="s">
        <v>1173</v>
      </c>
      <c r="D1425" s="383" t="s">
        <v>1065</v>
      </c>
      <c r="E1425" s="383" t="s">
        <v>868</v>
      </c>
      <c r="F1425" s="383" t="str">
        <f t="shared" si="67"/>
        <v>T200010DSalt River Projec</v>
      </c>
      <c r="G1425" s="496">
        <v>400</v>
      </c>
      <c r="H1425" s="496">
        <v>-400</v>
      </c>
      <c r="I1425" s="496">
        <f t="shared" si="68"/>
        <v>0</v>
      </c>
      <c r="J1425" s="496" t="s">
        <v>869</v>
      </c>
    </row>
    <row r="1426" spans="1:10" hidden="1" x14ac:dyDescent="0.25">
      <c r="A1426" s="383">
        <f t="shared" si="66"/>
        <v>19</v>
      </c>
      <c r="B1426" s="383" t="s">
        <v>274</v>
      </c>
      <c r="C1426" s="497" t="s">
        <v>1173</v>
      </c>
      <c r="D1426" s="383" t="s">
        <v>1070</v>
      </c>
      <c r="E1426" s="383" t="s">
        <v>868</v>
      </c>
      <c r="F1426" s="383" t="str">
        <f t="shared" si="67"/>
        <v xml:space="preserve">T200010DSouthern Company </v>
      </c>
      <c r="G1426" s="496">
        <v>33302.080000000002</v>
      </c>
      <c r="H1426" s="496">
        <v>-33302.080000000002</v>
      </c>
      <c r="I1426" s="496">
        <f t="shared" si="68"/>
        <v>0</v>
      </c>
      <c r="J1426" s="496" t="s">
        <v>869</v>
      </c>
    </row>
    <row r="1427" spans="1:10" hidden="1" x14ac:dyDescent="0.25">
      <c r="A1427" s="383">
        <f t="shared" si="66"/>
        <v>19</v>
      </c>
      <c r="B1427" s="383" t="s">
        <v>274</v>
      </c>
      <c r="C1427" s="497" t="s">
        <v>1173</v>
      </c>
      <c r="D1427" s="383" t="s">
        <v>105</v>
      </c>
      <c r="E1427" s="383" t="s">
        <v>868</v>
      </c>
      <c r="F1427" s="383" t="str">
        <f t="shared" si="67"/>
        <v>T200010DSouthwest Power P</v>
      </c>
      <c r="G1427" s="496">
        <v>24941.05</v>
      </c>
      <c r="H1427" s="496">
        <v>-24941.05</v>
      </c>
      <c r="I1427" s="496">
        <f t="shared" si="68"/>
        <v>0</v>
      </c>
      <c r="J1427" s="496" t="s">
        <v>869</v>
      </c>
    </row>
    <row r="1428" spans="1:10" hidden="1" x14ac:dyDescent="0.25">
      <c r="A1428" s="383">
        <f t="shared" si="66"/>
        <v>19</v>
      </c>
      <c r="B1428" s="383" t="s">
        <v>274</v>
      </c>
      <c r="C1428" s="497" t="s">
        <v>1173</v>
      </c>
      <c r="D1428" s="383" t="s">
        <v>92</v>
      </c>
      <c r="E1428" s="383" t="s">
        <v>868</v>
      </c>
      <c r="F1428" s="383" t="str">
        <f t="shared" si="67"/>
        <v xml:space="preserve">T200010DTennessee Valley </v>
      </c>
      <c r="G1428" s="496">
        <v>448729.15</v>
      </c>
      <c r="H1428" s="496">
        <v>-448729.15</v>
      </c>
      <c r="I1428" s="496">
        <f t="shared" si="68"/>
        <v>0</v>
      </c>
      <c r="J1428" s="496" t="s">
        <v>869</v>
      </c>
    </row>
    <row r="1429" spans="1:10" hidden="1" x14ac:dyDescent="0.25">
      <c r="A1429" s="383">
        <f t="shared" si="66"/>
        <v>19</v>
      </c>
      <c r="B1429" s="383" t="s">
        <v>274</v>
      </c>
      <c r="C1429" s="497" t="s">
        <v>1173</v>
      </c>
      <c r="D1429" s="383" t="s">
        <v>1074</v>
      </c>
      <c r="E1429" s="383" t="s">
        <v>868</v>
      </c>
      <c r="F1429" s="383" t="str">
        <f t="shared" si="67"/>
        <v xml:space="preserve">T200010DTexas-New Mexico </v>
      </c>
      <c r="G1429" s="496">
        <v>110</v>
      </c>
      <c r="H1429" s="496">
        <v>-110</v>
      </c>
      <c r="I1429" s="496">
        <f t="shared" si="68"/>
        <v>0</v>
      </c>
      <c r="J1429" s="496" t="s">
        <v>869</v>
      </c>
    </row>
    <row r="1430" spans="1:10" hidden="1" x14ac:dyDescent="0.25">
      <c r="A1430" s="383">
        <f t="shared" si="66"/>
        <v>19</v>
      </c>
      <c r="B1430" s="383" t="s">
        <v>274</v>
      </c>
      <c r="C1430" s="497" t="s">
        <v>1173</v>
      </c>
      <c r="D1430" s="383" t="s">
        <v>93</v>
      </c>
      <c r="E1430" s="383" t="s">
        <v>868</v>
      </c>
      <c r="F1430" s="383" t="str">
        <f t="shared" si="67"/>
        <v>T200010DThe Power Authori</v>
      </c>
      <c r="G1430" s="496">
        <v>5462.73</v>
      </c>
      <c r="H1430" s="496">
        <v>-5462.73</v>
      </c>
      <c r="I1430" s="496">
        <f t="shared" si="68"/>
        <v>0</v>
      </c>
      <c r="J1430" s="496" t="s">
        <v>869</v>
      </c>
    </row>
    <row r="1431" spans="1:10" hidden="1" x14ac:dyDescent="0.25">
      <c r="A1431" s="383">
        <f t="shared" si="66"/>
        <v>18</v>
      </c>
      <c r="B1431" s="383" t="s">
        <v>274</v>
      </c>
      <c r="C1431" s="497" t="s">
        <v>1173</v>
      </c>
      <c r="D1431" s="383" t="s">
        <v>1088</v>
      </c>
      <c r="E1431" s="383" t="s">
        <v>868</v>
      </c>
      <c r="F1431" s="383" t="str">
        <f t="shared" si="67"/>
        <v>T200010DWisconsin Electri</v>
      </c>
      <c r="G1431" s="496">
        <v>5749</v>
      </c>
      <c r="H1431" s="496">
        <v>-5749</v>
      </c>
      <c r="I1431" s="496">
        <f t="shared" si="68"/>
        <v>0</v>
      </c>
      <c r="J1431" s="496" t="s">
        <v>869</v>
      </c>
    </row>
    <row r="1432" spans="1:10" x14ac:dyDescent="0.25">
      <c r="G1432" s="501"/>
      <c r="H1432" s="501"/>
      <c r="I1432" s="501"/>
      <c r="J1432" s="502"/>
    </row>
    <row r="1433" spans="1:10" x14ac:dyDescent="0.25">
      <c r="G1433" s="502">
        <f>SUM(G3:G1431)</f>
        <v>-455875026.39000016</v>
      </c>
      <c r="H1433" s="502">
        <f>SUM(H3:H1431)</f>
        <v>56993006.470005535</v>
      </c>
      <c r="I1433" s="502">
        <f>SUM(I3:I1431)</f>
        <v>-398882019.92000014</v>
      </c>
      <c r="J1433" s="502"/>
    </row>
    <row r="1434" spans="1:10" x14ac:dyDescent="0.25">
      <c r="G1434" s="502">
        <v>-455875026.39000058</v>
      </c>
      <c r="H1434" s="502">
        <v>56993006.470002972</v>
      </c>
      <c r="I1434" s="502"/>
      <c r="J1434" s="502"/>
    </row>
    <row r="1435" spans="1:10" x14ac:dyDescent="0.25">
      <c r="G1435" s="501">
        <f>+G1433-G1434</f>
        <v>0</v>
      </c>
      <c r="H1435" s="501">
        <f>+H1433-H1434</f>
        <v>2.5629997253417969E-6</v>
      </c>
      <c r="I1435" s="502"/>
      <c r="J1435" s="502"/>
    </row>
    <row r="1436" spans="1:10" x14ac:dyDescent="0.25">
      <c r="G1436" s="502"/>
      <c r="H1436" s="502"/>
      <c r="I1436" s="502"/>
      <c r="J1436" s="502"/>
    </row>
    <row r="1437" spans="1:10" x14ac:dyDescent="0.25">
      <c r="G1437" s="502">
        <f>ROUND(SUBTOTAL(9,G4:G1432),2)</f>
        <v>-11418916.76</v>
      </c>
      <c r="H1437" s="502">
        <f>ROUND(SUBTOTAL(9,H4:H1432),2)</f>
        <v>-51445182</v>
      </c>
      <c r="I1437" s="503">
        <f>ROUND(SUBTOTAL(9,I4:I1432),2)</f>
        <v>-62864098.759999998</v>
      </c>
      <c r="J1437" s="502"/>
    </row>
    <row r="1438" spans="1:10" x14ac:dyDescent="0.25">
      <c r="I1438" s="496"/>
    </row>
    <row r="1439" spans="1:10" x14ac:dyDescent="0.25">
      <c r="G1439" s="502"/>
      <c r="I1439" s="496"/>
    </row>
    <row r="1440" spans="1:10" x14ac:dyDescent="0.25">
      <c r="G1440" s="502"/>
    </row>
    <row r="1441" spans="9:9" x14ac:dyDescent="0.25">
      <c r="I1441" s="502"/>
    </row>
  </sheetData>
  <autoFilter ref="B3:J1431">
    <filterColumn colId="3">
      <filters>
        <filter val="D"/>
      </filters>
    </filterColumn>
    <filterColumn colId="8">
      <filters blank="1"/>
    </filterColumn>
  </autoFilter>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20"/>
  <sheetViews>
    <sheetView topLeftCell="A31" workbookViewId="0">
      <selection activeCell="H49" sqref="H49"/>
    </sheetView>
  </sheetViews>
  <sheetFormatPr defaultRowHeight="13.2" x14ac:dyDescent="0.25"/>
  <cols>
    <col min="1" max="1" width="5.88671875" style="492" customWidth="1"/>
    <col min="2" max="2" width="6.44140625" customWidth="1"/>
    <col min="3" max="3" width="26.109375" customWidth="1"/>
    <col min="4" max="4" width="9" customWidth="1"/>
    <col min="5" max="5" width="10.33203125" customWidth="1"/>
    <col min="6" max="6" width="13.88671875" customWidth="1"/>
    <col min="7" max="7" width="20.44140625" customWidth="1"/>
    <col min="8" max="8" width="14.6640625" customWidth="1"/>
    <col min="9" max="9" width="2.6640625" customWidth="1"/>
    <col min="10" max="10" width="16.33203125" customWidth="1"/>
    <col min="11" max="11" width="13.33203125" bestFit="1" customWidth="1"/>
  </cols>
  <sheetData>
    <row r="2" spans="1:11" ht="15.6" x14ac:dyDescent="0.3">
      <c r="B2" s="504" t="s">
        <v>106</v>
      </c>
      <c r="C2" s="505"/>
      <c r="D2" s="505"/>
      <c r="E2" s="502"/>
      <c r="F2" s="502"/>
      <c r="G2" s="506"/>
    </row>
    <row r="3" spans="1:11" ht="15.6" x14ac:dyDescent="0.3">
      <c r="B3" s="504" t="s">
        <v>107</v>
      </c>
      <c r="C3" s="505"/>
      <c r="D3" s="505"/>
      <c r="E3" s="502"/>
      <c r="F3" s="502"/>
      <c r="G3" s="506"/>
    </row>
    <row r="4" spans="1:11" ht="15.6" x14ac:dyDescent="0.3">
      <c r="B4" s="507" t="s">
        <v>162</v>
      </c>
      <c r="C4" s="505"/>
      <c r="D4" s="505"/>
      <c r="E4" s="502"/>
      <c r="F4" s="502"/>
      <c r="G4" s="506"/>
    </row>
    <row r="5" spans="1:11" x14ac:dyDescent="0.25">
      <c r="B5" s="502"/>
      <c r="C5" s="505"/>
      <c r="D5" s="505"/>
      <c r="E5" s="502"/>
      <c r="F5" s="502"/>
      <c r="G5" s="506"/>
      <c r="H5" s="502"/>
    </row>
    <row r="6" spans="1:11" x14ac:dyDescent="0.25">
      <c r="B6" s="502" t="s">
        <v>109</v>
      </c>
      <c r="C6" s="505"/>
      <c r="D6" s="505"/>
      <c r="E6" s="502"/>
      <c r="F6" s="502"/>
      <c r="H6" s="506">
        <v>-49273.04</v>
      </c>
    </row>
    <row r="7" spans="1:11" x14ac:dyDescent="0.25">
      <c r="B7" s="502"/>
      <c r="C7" s="505"/>
      <c r="D7" s="505"/>
      <c r="E7" s="502"/>
      <c r="F7" s="502"/>
      <c r="H7" s="506"/>
    </row>
    <row r="8" spans="1:11" x14ac:dyDescent="0.25">
      <c r="B8" s="502" t="s">
        <v>110</v>
      </c>
      <c r="C8" s="505"/>
      <c r="D8" s="505"/>
      <c r="E8" s="502"/>
      <c r="F8" s="502"/>
      <c r="H8" s="502">
        <v>-48909.120000000003</v>
      </c>
      <c r="J8" s="502"/>
    </row>
    <row r="9" spans="1:11" x14ac:dyDescent="0.25">
      <c r="B9" s="502"/>
      <c r="C9" s="505"/>
      <c r="D9" s="505"/>
      <c r="E9" s="502"/>
      <c r="F9" s="502"/>
      <c r="H9" s="501"/>
    </row>
    <row r="10" spans="1:11" x14ac:dyDescent="0.25">
      <c r="B10" s="502" t="s">
        <v>111</v>
      </c>
      <c r="C10" s="505"/>
      <c r="D10" s="505"/>
      <c r="E10" s="502"/>
      <c r="F10" s="502"/>
      <c r="H10" s="506">
        <f>+H8-H6</f>
        <v>363.91999999999825</v>
      </c>
    </row>
    <row r="11" spans="1:11" x14ac:dyDescent="0.25">
      <c r="B11" s="502"/>
      <c r="C11" s="505"/>
      <c r="D11" s="505"/>
      <c r="E11" s="505"/>
      <c r="F11" s="502"/>
      <c r="H11" s="508"/>
    </row>
    <row r="12" spans="1:11" x14ac:dyDescent="0.25">
      <c r="E12" s="492"/>
      <c r="F12" s="502"/>
      <c r="G12" s="502"/>
      <c r="I12" s="509"/>
      <c r="J12" s="509"/>
    </row>
    <row r="13" spans="1:11" ht="26.4" x14ac:dyDescent="0.25">
      <c r="A13" s="510" t="s">
        <v>112</v>
      </c>
      <c r="B13" s="510" t="s">
        <v>113</v>
      </c>
      <c r="C13" s="510" t="s">
        <v>114</v>
      </c>
      <c r="D13" s="510" t="s">
        <v>115</v>
      </c>
      <c r="E13" s="510" t="s">
        <v>116</v>
      </c>
      <c r="F13" s="511" t="s">
        <v>117</v>
      </c>
      <c r="G13" s="502"/>
      <c r="I13" s="509"/>
      <c r="J13" s="509"/>
    </row>
    <row r="14" spans="1:11" x14ac:dyDescent="0.25">
      <c r="A14" s="510"/>
      <c r="B14" s="510"/>
      <c r="C14" s="510"/>
      <c r="D14" s="510"/>
      <c r="E14" s="510"/>
      <c r="F14" s="511"/>
      <c r="G14" s="502"/>
      <c r="I14" s="509"/>
      <c r="J14" s="509"/>
    </row>
    <row r="15" spans="1:11" x14ac:dyDescent="0.25">
      <c r="A15" s="492" t="s">
        <v>263</v>
      </c>
      <c r="B15" t="s">
        <v>118</v>
      </c>
      <c r="C15" t="s">
        <v>163</v>
      </c>
      <c r="D15" t="s">
        <v>151</v>
      </c>
      <c r="E15" s="492">
        <v>342507.1</v>
      </c>
      <c r="F15" s="496">
        <v>36509</v>
      </c>
      <c r="G15" s="502"/>
      <c r="I15" s="539"/>
      <c r="J15" s="541"/>
      <c r="K15" s="502"/>
    </row>
    <row r="16" spans="1:11" x14ac:dyDescent="0.25">
      <c r="A16" s="492" t="s">
        <v>263</v>
      </c>
      <c r="B16" t="s">
        <v>118</v>
      </c>
      <c r="C16" t="s">
        <v>163</v>
      </c>
      <c r="D16" t="s">
        <v>164</v>
      </c>
      <c r="E16" s="492">
        <v>342318.1</v>
      </c>
      <c r="F16" s="496">
        <v>542.40000000000146</v>
      </c>
      <c r="G16" s="502"/>
      <c r="I16" s="539"/>
      <c r="J16" s="541"/>
      <c r="K16" s="502"/>
    </row>
    <row r="17" spans="1:11" x14ac:dyDescent="0.25">
      <c r="A17" s="492" t="s">
        <v>263</v>
      </c>
      <c r="B17" t="s">
        <v>118</v>
      </c>
      <c r="C17" t="s">
        <v>163</v>
      </c>
      <c r="D17" t="s">
        <v>164</v>
      </c>
      <c r="E17" s="492">
        <v>342566.1</v>
      </c>
      <c r="F17" s="496">
        <v>45635.95</v>
      </c>
      <c r="G17" s="502"/>
      <c r="I17" s="539"/>
      <c r="J17" s="541"/>
      <c r="K17" s="502"/>
    </row>
    <row r="18" spans="1:11" x14ac:dyDescent="0.25">
      <c r="A18" s="492" t="s">
        <v>265</v>
      </c>
      <c r="B18" t="s">
        <v>118</v>
      </c>
      <c r="C18" t="s">
        <v>163</v>
      </c>
      <c r="D18" t="s">
        <v>164</v>
      </c>
      <c r="E18" s="492">
        <v>342567.1</v>
      </c>
      <c r="F18" s="496">
        <v>-74842.960000000006</v>
      </c>
      <c r="G18" s="502">
        <f>SUM(F15:F18)</f>
        <v>7844.3899999999994</v>
      </c>
      <c r="I18" s="539"/>
      <c r="J18" s="541"/>
      <c r="K18" s="502"/>
    </row>
    <row r="19" spans="1:11" x14ac:dyDescent="0.25">
      <c r="A19" s="492" t="s">
        <v>265</v>
      </c>
      <c r="B19" t="s">
        <v>118</v>
      </c>
      <c r="C19" t="s">
        <v>119</v>
      </c>
      <c r="D19" t="s">
        <v>151</v>
      </c>
      <c r="E19" s="492">
        <v>335529.09999999998</v>
      </c>
      <c r="F19" s="496">
        <v>1424.25</v>
      </c>
      <c r="G19" s="502"/>
      <c r="I19" s="539"/>
      <c r="J19" s="541"/>
      <c r="K19" s="502"/>
    </row>
    <row r="20" spans="1:11" x14ac:dyDescent="0.25">
      <c r="A20" s="492" t="s">
        <v>265</v>
      </c>
      <c r="B20" t="s">
        <v>118</v>
      </c>
      <c r="C20" t="s">
        <v>119</v>
      </c>
      <c r="D20" t="s">
        <v>151</v>
      </c>
      <c r="E20" s="492">
        <v>335579.1</v>
      </c>
      <c r="F20" s="496">
        <v>832.12</v>
      </c>
      <c r="G20" s="502"/>
      <c r="I20" s="539"/>
      <c r="J20" s="541"/>
      <c r="K20" s="502"/>
    </row>
    <row r="21" spans="1:11" x14ac:dyDescent="0.25">
      <c r="A21" s="492" t="s">
        <v>265</v>
      </c>
      <c r="B21" t="s">
        <v>118</v>
      </c>
      <c r="C21" t="s">
        <v>119</v>
      </c>
      <c r="D21" t="s">
        <v>151</v>
      </c>
      <c r="E21" s="492">
        <v>336064.1</v>
      </c>
      <c r="F21" s="496">
        <v>-14380</v>
      </c>
      <c r="G21" s="502"/>
      <c r="I21" s="539"/>
      <c r="J21" s="541"/>
      <c r="K21" s="502"/>
    </row>
    <row r="22" spans="1:11" x14ac:dyDescent="0.25">
      <c r="A22" s="492" t="s">
        <v>265</v>
      </c>
      <c r="B22" t="s">
        <v>118</v>
      </c>
      <c r="C22" t="s">
        <v>119</v>
      </c>
      <c r="D22" t="s">
        <v>151</v>
      </c>
      <c r="E22" s="492">
        <v>336222.1</v>
      </c>
      <c r="F22" s="496">
        <v>8183</v>
      </c>
      <c r="G22" s="502"/>
      <c r="I22" s="539"/>
      <c r="J22" s="541"/>
      <c r="K22" s="502"/>
    </row>
    <row r="23" spans="1:11" x14ac:dyDescent="0.25">
      <c r="A23" s="492" t="s">
        <v>265</v>
      </c>
      <c r="B23" t="s">
        <v>118</v>
      </c>
      <c r="C23" t="s">
        <v>119</v>
      </c>
      <c r="D23" t="s">
        <v>151</v>
      </c>
      <c r="E23" s="492">
        <v>343015.1</v>
      </c>
      <c r="F23" s="496">
        <v>-367.5</v>
      </c>
      <c r="G23" s="502"/>
      <c r="I23" s="539"/>
      <c r="J23" s="541"/>
      <c r="K23" s="502"/>
    </row>
    <row r="24" spans="1:11" x14ac:dyDescent="0.25">
      <c r="A24" s="492" t="s">
        <v>265</v>
      </c>
      <c r="B24" t="s">
        <v>118</v>
      </c>
      <c r="C24" t="s">
        <v>119</v>
      </c>
      <c r="D24" t="s">
        <v>151</v>
      </c>
      <c r="E24" s="492">
        <v>343060.1</v>
      </c>
      <c r="F24" s="496">
        <v>-464.5</v>
      </c>
      <c r="G24" s="502"/>
      <c r="I24" s="539"/>
      <c r="J24" s="541"/>
      <c r="K24" s="502"/>
    </row>
    <row r="25" spans="1:11" x14ac:dyDescent="0.25">
      <c r="A25" s="492" t="s">
        <v>265</v>
      </c>
      <c r="B25" t="s">
        <v>118</v>
      </c>
      <c r="C25" t="s">
        <v>119</v>
      </c>
      <c r="D25" t="s">
        <v>151</v>
      </c>
      <c r="E25" s="492">
        <v>343100.1</v>
      </c>
      <c r="F25" s="496">
        <v>-2385</v>
      </c>
      <c r="G25" s="502"/>
      <c r="I25" s="539"/>
      <c r="J25" s="541"/>
      <c r="K25" s="502"/>
    </row>
    <row r="26" spans="1:11" x14ac:dyDescent="0.25">
      <c r="A26" s="492" t="s">
        <v>265</v>
      </c>
      <c r="B26" t="s">
        <v>118</v>
      </c>
      <c r="C26" t="s">
        <v>119</v>
      </c>
      <c r="D26" t="s">
        <v>151</v>
      </c>
      <c r="E26" s="492">
        <v>343713.1</v>
      </c>
      <c r="F26" s="496">
        <v>2441</v>
      </c>
      <c r="G26" s="502"/>
      <c r="I26" s="539"/>
      <c r="J26" s="541"/>
      <c r="K26" s="502"/>
    </row>
    <row r="27" spans="1:11" x14ac:dyDescent="0.25">
      <c r="A27" s="492" t="s">
        <v>265</v>
      </c>
      <c r="B27" t="s">
        <v>118</v>
      </c>
      <c r="C27" t="s">
        <v>119</v>
      </c>
      <c r="D27" t="s">
        <v>151</v>
      </c>
      <c r="E27" s="492">
        <v>343715.1</v>
      </c>
      <c r="F27" s="496">
        <v>3422</v>
      </c>
      <c r="G27" s="502"/>
      <c r="I27" s="539"/>
      <c r="J27" s="541"/>
      <c r="K27" s="502"/>
    </row>
    <row r="28" spans="1:11" x14ac:dyDescent="0.25">
      <c r="A28" s="492" t="s">
        <v>265</v>
      </c>
      <c r="B28" t="s">
        <v>118</v>
      </c>
      <c r="C28" t="s">
        <v>119</v>
      </c>
      <c r="D28" t="s">
        <v>151</v>
      </c>
      <c r="E28" s="492">
        <v>343778.1</v>
      </c>
      <c r="F28" s="496">
        <v>2207</v>
      </c>
      <c r="G28" s="502"/>
      <c r="I28" s="539"/>
      <c r="J28" s="541"/>
      <c r="K28" s="502"/>
    </row>
    <row r="29" spans="1:11" x14ac:dyDescent="0.25">
      <c r="A29" s="492" t="s">
        <v>265</v>
      </c>
      <c r="B29" t="s">
        <v>118</v>
      </c>
      <c r="C29" t="s">
        <v>119</v>
      </c>
      <c r="D29" t="s">
        <v>151</v>
      </c>
      <c r="E29" s="492">
        <v>348648.1</v>
      </c>
      <c r="F29" s="496">
        <v>6418.5</v>
      </c>
      <c r="G29" s="502"/>
      <c r="I29" s="539"/>
      <c r="J29" s="541"/>
      <c r="K29" s="502"/>
    </row>
    <row r="30" spans="1:11" x14ac:dyDescent="0.25">
      <c r="A30" s="492" t="s">
        <v>265</v>
      </c>
      <c r="B30" t="s">
        <v>118</v>
      </c>
      <c r="C30" t="s">
        <v>119</v>
      </c>
      <c r="D30" t="s">
        <v>164</v>
      </c>
      <c r="E30" s="492">
        <v>344386.1</v>
      </c>
      <c r="F30" s="496">
        <v>-2629</v>
      </c>
      <c r="G30" s="502">
        <f>SUM(F19:F30)</f>
        <v>4701.869999999999</v>
      </c>
      <c r="I30" s="539"/>
      <c r="J30" s="541"/>
      <c r="K30" s="502"/>
    </row>
    <row r="31" spans="1:11" x14ac:dyDescent="0.25">
      <c r="A31" s="492" t="s">
        <v>265</v>
      </c>
      <c r="B31" t="s">
        <v>118</v>
      </c>
      <c r="C31" t="s">
        <v>121</v>
      </c>
      <c r="D31" t="s">
        <v>151</v>
      </c>
      <c r="E31" s="492">
        <v>336727.1</v>
      </c>
      <c r="F31" s="496">
        <v>-1011.44</v>
      </c>
      <c r="G31" s="502"/>
      <c r="I31" s="539"/>
      <c r="J31" s="541"/>
      <c r="K31" s="502"/>
    </row>
    <row r="32" spans="1:11" x14ac:dyDescent="0.25">
      <c r="A32" s="492" t="s">
        <v>265</v>
      </c>
      <c r="B32" t="s">
        <v>118</v>
      </c>
      <c r="C32" t="s">
        <v>121</v>
      </c>
      <c r="D32" t="s">
        <v>164</v>
      </c>
      <c r="E32" s="492">
        <v>342568.1</v>
      </c>
      <c r="F32" s="496">
        <v>-9127.19</v>
      </c>
      <c r="G32" s="502"/>
      <c r="I32" s="539"/>
      <c r="J32" s="541"/>
      <c r="K32" s="502"/>
    </row>
    <row r="33" spans="1:11" x14ac:dyDescent="0.25">
      <c r="A33" s="492" t="s">
        <v>265</v>
      </c>
      <c r="B33" t="s">
        <v>118</v>
      </c>
      <c r="C33" t="s">
        <v>121</v>
      </c>
      <c r="D33" t="s">
        <v>164</v>
      </c>
      <c r="E33" s="492">
        <v>344025.1</v>
      </c>
      <c r="F33" s="496">
        <v>-15882.67</v>
      </c>
      <c r="G33" s="502"/>
      <c r="I33" s="539"/>
      <c r="J33" s="541"/>
      <c r="K33" s="502"/>
    </row>
    <row r="34" spans="1:11" x14ac:dyDescent="0.25">
      <c r="A34" s="492" t="s">
        <v>265</v>
      </c>
      <c r="B34" t="s">
        <v>118</v>
      </c>
      <c r="C34" t="s">
        <v>121</v>
      </c>
      <c r="D34" t="s">
        <v>164</v>
      </c>
      <c r="E34" s="492">
        <v>349098.1</v>
      </c>
      <c r="F34" s="496">
        <v>2892</v>
      </c>
      <c r="G34" s="502"/>
      <c r="I34" s="539"/>
      <c r="J34" s="541"/>
      <c r="K34" s="502"/>
    </row>
    <row r="35" spans="1:11" x14ac:dyDescent="0.25">
      <c r="A35" s="492" t="s">
        <v>263</v>
      </c>
      <c r="B35" t="s">
        <v>118</v>
      </c>
      <c r="C35" t="s">
        <v>121</v>
      </c>
      <c r="D35" t="s">
        <v>164</v>
      </c>
      <c r="E35" s="492">
        <v>349140.1</v>
      </c>
      <c r="F35" s="496">
        <v>17448.34</v>
      </c>
      <c r="G35" s="502"/>
      <c r="I35" s="539"/>
      <c r="J35" s="541"/>
      <c r="K35" s="502"/>
    </row>
    <row r="36" spans="1:11" x14ac:dyDescent="0.25">
      <c r="A36" s="492" t="s">
        <v>265</v>
      </c>
      <c r="B36" t="s">
        <v>118</v>
      </c>
      <c r="C36" t="s">
        <v>121</v>
      </c>
      <c r="D36" t="s">
        <v>165</v>
      </c>
      <c r="E36" s="492">
        <v>345273.1</v>
      </c>
      <c r="F36" s="496">
        <v>-877.5</v>
      </c>
      <c r="G36" s="502">
        <f>SUM(F31:F36)</f>
        <v>-6558.4600000000028</v>
      </c>
      <c r="I36" s="539"/>
      <c r="J36" s="541"/>
      <c r="K36" s="502"/>
    </row>
    <row r="37" spans="1:11" x14ac:dyDescent="0.25">
      <c r="A37" s="492" t="s">
        <v>265</v>
      </c>
      <c r="B37" t="s">
        <v>118</v>
      </c>
      <c r="C37" t="s">
        <v>159</v>
      </c>
      <c r="D37" t="s">
        <v>151</v>
      </c>
      <c r="E37" s="492">
        <v>335283.09999999998</v>
      </c>
      <c r="F37" s="496">
        <v>-9439.59</v>
      </c>
      <c r="G37" s="502">
        <f>+F37</f>
        <v>-9439.59</v>
      </c>
      <c r="H37" s="502">
        <f>SUM(F15:F37)</f>
        <v>-3451.7900000000009</v>
      </c>
      <c r="I37" s="539"/>
      <c r="J37" s="541"/>
      <c r="K37" s="502"/>
    </row>
    <row r="38" spans="1:11" x14ac:dyDescent="0.25">
      <c r="F38" s="496"/>
      <c r="G38" s="502"/>
      <c r="I38" s="516"/>
      <c r="J38" s="502"/>
      <c r="K38" s="502"/>
    </row>
    <row r="39" spans="1:11" x14ac:dyDescent="0.25">
      <c r="A39" s="492" t="s">
        <v>274</v>
      </c>
      <c r="B39" t="s">
        <v>118</v>
      </c>
      <c r="C39" s="517" t="s">
        <v>125</v>
      </c>
      <c r="D39" s="518"/>
      <c r="E39" s="502"/>
      <c r="F39" s="502">
        <f>-324.96+0</f>
        <v>-324.95999999999998</v>
      </c>
      <c r="H39" s="502"/>
      <c r="I39" s="502"/>
      <c r="J39" s="502"/>
      <c r="K39" s="496"/>
    </row>
    <row r="40" spans="1:11" x14ac:dyDescent="0.25">
      <c r="A40" s="492" t="s">
        <v>274</v>
      </c>
      <c r="B40" s="502" t="s">
        <v>118</v>
      </c>
      <c r="C40" s="518" t="s">
        <v>131</v>
      </c>
      <c r="D40" s="518"/>
      <c r="E40" s="502"/>
      <c r="F40" s="502">
        <v>-231.22</v>
      </c>
      <c r="G40" s="502"/>
      <c r="H40" s="502"/>
      <c r="I40" s="502"/>
      <c r="J40" s="519"/>
      <c r="K40" s="496"/>
    </row>
    <row r="41" spans="1:11" x14ac:dyDescent="0.25">
      <c r="A41" s="492" t="s">
        <v>274</v>
      </c>
      <c r="B41" s="502" t="s">
        <v>118</v>
      </c>
      <c r="C41" s="518" t="s">
        <v>126</v>
      </c>
      <c r="D41" s="518"/>
      <c r="E41" s="502"/>
      <c r="F41" s="502"/>
      <c r="G41" s="496">
        <f>SUM(F39:F41)</f>
        <v>-556.17999999999995</v>
      </c>
      <c r="H41" s="502"/>
      <c r="I41" s="502"/>
      <c r="J41" s="519"/>
      <c r="K41" s="496"/>
    </row>
    <row r="42" spans="1:11" x14ac:dyDescent="0.25">
      <c r="B42" s="502"/>
      <c r="C42" s="518"/>
      <c r="D42" s="518"/>
      <c r="E42" s="496"/>
      <c r="F42" s="496"/>
      <c r="G42" s="496"/>
      <c r="H42" s="496"/>
      <c r="I42" s="502"/>
      <c r="J42" s="519"/>
      <c r="K42" s="496"/>
    </row>
    <row r="43" spans="1:11" x14ac:dyDescent="0.25">
      <c r="B43" s="502"/>
      <c r="C43" s="518" t="s">
        <v>127</v>
      </c>
      <c r="D43" s="518"/>
      <c r="E43" s="496"/>
      <c r="F43" s="496"/>
      <c r="G43" s="496"/>
      <c r="H43" s="496"/>
      <c r="I43" s="502"/>
      <c r="J43" s="519"/>
      <c r="K43" s="496"/>
    </row>
    <row r="44" spans="1:11" ht="25.5" customHeight="1" x14ac:dyDescent="0.25">
      <c r="A44" s="492" t="s">
        <v>274</v>
      </c>
      <c r="B44" s="502" t="s">
        <v>118</v>
      </c>
      <c r="C44" s="518" t="s">
        <v>166</v>
      </c>
      <c r="D44" s="518" t="s">
        <v>167</v>
      </c>
      <c r="E44" s="523"/>
      <c r="F44" s="521">
        <v>900</v>
      </c>
      <c r="H44" s="496">
        <f>+F44/SUM($F$44:$F$45)*$G$41</f>
        <v>-556.17999999999995</v>
      </c>
      <c r="I44" s="502"/>
      <c r="J44" s="519"/>
      <c r="K44" s="522"/>
    </row>
    <row r="45" spans="1:11" ht="12.75" hidden="1" customHeight="1" x14ac:dyDescent="0.25">
      <c r="A45" s="492" t="s">
        <v>274</v>
      </c>
      <c r="B45" s="502" t="s">
        <v>118</v>
      </c>
      <c r="C45" s="518"/>
      <c r="D45" s="518"/>
      <c r="E45" s="523"/>
      <c r="F45" s="521"/>
      <c r="H45" s="496">
        <f>+F45/SUM($F$44:$F$45)*$G$41</f>
        <v>0</v>
      </c>
      <c r="I45" s="502"/>
      <c r="J45" s="519"/>
      <c r="K45" s="522"/>
    </row>
    <row r="46" spans="1:11" x14ac:dyDescent="0.25">
      <c r="B46" s="502"/>
      <c r="C46" s="518"/>
      <c r="D46" s="518"/>
      <c r="E46" s="523"/>
      <c r="F46" s="521"/>
      <c r="H46" s="496"/>
      <c r="I46" s="502"/>
      <c r="J46" s="519"/>
      <c r="K46" s="522"/>
    </row>
    <row r="47" spans="1:11" x14ac:dyDescent="0.25">
      <c r="A47" s="492" t="s">
        <v>129</v>
      </c>
      <c r="B47" s="502" t="s">
        <v>118</v>
      </c>
      <c r="C47" s="518" t="s">
        <v>132</v>
      </c>
      <c r="D47" s="518"/>
      <c r="E47" s="523"/>
      <c r="G47" s="543"/>
      <c r="H47" s="496">
        <f>21888.34-28729.63</f>
        <v>-6841.2900000000009</v>
      </c>
      <c r="J47" s="519"/>
      <c r="K47" s="522"/>
    </row>
    <row r="48" spans="1:11" x14ac:dyDescent="0.25">
      <c r="B48" s="502"/>
      <c r="C48" s="518"/>
      <c r="D48" s="518"/>
      <c r="E48" s="523"/>
      <c r="F48" s="523"/>
      <c r="G48" s="383"/>
      <c r="H48" s="496"/>
      <c r="J48" s="519"/>
      <c r="K48" s="522"/>
    </row>
    <row r="49" spans="1:11" s="533" customFormat="1" x14ac:dyDescent="0.25">
      <c r="A49" s="532" t="s">
        <v>265</v>
      </c>
      <c r="B49" s="533" t="s">
        <v>134</v>
      </c>
      <c r="C49" s="533" t="s">
        <v>168</v>
      </c>
      <c r="F49" s="534">
        <f>50*5</f>
        <v>250</v>
      </c>
      <c r="G49" s="534"/>
      <c r="H49" s="534">
        <f>250*42.628+556.18</f>
        <v>11213.18</v>
      </c>
      <c r="I49" s="535" t="s">
        <v>169</v>
      </c>
      <c r="J49" s="550" t="s">
        <v>170</v>
      </c>
      <c r="K49" s="534"/>
    </row>
    <row r="50" spans="1:11" x14ac:dyDescent="0.25">
      <c r="B50" s="502"/>
      <c r="C50" s="505"/>
      <c r="D50" s="505"/>
      <c r="E50" s="502"/>
      <c r="F50" s="502"/>
      <c r="H50" s="501">
        <f>ROUND(SUM(H12:H49),2)</f>
        <v>363.92</v>
      </c>
    </row>
    <row r="51" spans="1:11" x14ac:dyDescent="0.25">
      <c r="B51" s="502"/>
      <c r="C51" s="505"/>
      <c r="D51" s="505"/>
      <c r="E51" s="502"/>
      <c r="F51" s="502"/>
      <c r="H51" s="502"/>
    </row>
    <row r="52" spans="1:11" x14ac:dyDescent="0.25">
      <c r="B52" s="502"/>
      <c r="C52" s="505"/>
      <c r="D52" s="505"/>
      <c r="E52" s="502" t="s">
        <v>864</v>
      </c>
      <c r="F52" s="502"/>
      <c r="H52" s="501">
        <f>ROUND(+H10-H50,2)</f>
        <v>0</v>
      </c>
    </row>
    <row r="53" spans="1:11" x14ac:dyDescent="0.25">
      <c r="B53" s="502"/>
      <c r="C53" s="505"/>
      <c r="D53" s="505"/>
      <c r="E53" s="502"/>
      <c r="F53" s="502"/>
      <c r="G53" s="502"/>
    </row>
    <row r="54" spans="1:11" x14ac:dyDescent="0.25">
      <c r="B54" s="502"/>
      <c r="C54" s="505"/>
      <c r="D54" s="517" t="s">
        <v>136</v>
      </c>
      <c r="E54" s="502"/>
      <c r="F54" s="502"/>
      <c r="G54" s="502"/>
      <c r="H54" s="502">
        <f>+H50-H49</f>
        <v>-10849.26</v>
      </c>
    </row>
    <row r="55" spans="1:11" x14ac:dyDescent="0.25">
      <c r="B55" s="502"/>
      <c r="C55" s="505"/>
      <c r="D55" s="517" t="s">
        <v>137</v>
      </c>
      <c r="E55" s="502"/>
      <c r="F55" s="502"/>
      <c r="G55" s="502"/>
      <c r="H55" s="502">
        <f>+H49</f>
        <v>11213.18</v>
      </c>
      <c r="I55" s="502"/>
    </row>
    <row r="56" spans="1:11" x14ac:dyDescent="0.25">
      <c r="B56" s="502"/>
      <c r="C56" s="505"/>
      <c r="D56" s="505"/>
      <c r="E56" s="502"/>
      <c r="F56" s="502"/>
      <c r="G56" s="502"/>
      <c r="H56" s="501">
        <f>+H55+H54</f>
        <v>363.92000000000007</v>
      </c>
    </row>
    <row r="57" spans="1:11" x14ac:dyDescent="0.25">
      <c r="B57" s="538"/>
      <c r="C57" s="505"/>
      <c r="D57" s="505"/>
      <c r="E57" s="502"/>
      <c r="F57" s="502"/>
      <c r="G57" s="502"/>
      <c r="H57" s="502"/>
    </row>
    <row r="58" spans="1:11" ht="28.5" customHeight="1" x14ac:dyDescent="0.25">
      <c r="B58" s="583" t="s">
        <v>171</v>
      </c>
      <c r="C58" s="584"/>
      <c r="D58" s="584"/>
      <c r="E58" s="584"/>
      <c r="F58" s="584"/>
      <c r="G58" s="584"/>
      <c r="H58" s="584"/>
    </row>
    <row r="59" spans="1:11" x14ac:dyDescent="0.25">
      <c r="B59" s="539" t="s">
        <v>145</v>
      </c>
    </row>
    <row r="60" spans="1:11" ht="12.75" customHeight="1" x14ac:dyDescent="0.25">
      <c r="B60" s="539"/>
      <c r="C60" s="540"/>
      <c r="D60" s="540"/>
      <c r="E60" s="540"/>
      <c r="F60" s="540"/>
      <c r="G60" s="540"/>
      <c r="H60" s="540"/>
    </row>
    <row r="61" spans="1:11" x14ac:dyDescent="0.25">
      <c r="B61" s="539"/>
      <c r="C61" s="505"/>
      <c r="D61" s="505"/>
      <c r="E61" s="502"/>
      <c r="F61" s="502"/>
      <c r="G61" s="502"/>
    </row>
    <row r="62" spans="1:11" ht="14.25" customHeight="1" x14ac:dyDescent="0.25">
      <c r="B62" s="582" t="str">
        <f ca="1">CELL("filename")</f>
        <v>O:\ClntSvc\Ksettle\ACCNTNG\FLASH\2000\0010\[2000010 flash REPORT.xls]Var. Rpt EPMI</v>
      </c>
      <c r="C62" s="582"/>
      <c r="D62" s="582"/>
      <c r="E62" s="582"/>
      <c r="F62" s="582"/>
      <c r="G62" s="582"/>
    </row>
    <row r="63" spans="1:11" x14ac:dyDescent="0.25">
      <c r="B63" s="538"/>
      <c r="C63" s="505"/>
      <c r="D63" s="505"/>
      <c r="E63" s="502"/>
      <c r="F63" s="502"/>
      <c r="G63" s="502"/>
    </row>
    <row r="64" spans="1:11" x14ac:dyDescent="0.25">
      <c r="B64" s="502"/>
      <c r="C64" s="505"/>
      <c r="D64" s="505"/>
      <c r="E64" s="502"/>
      <c r="F64" s="502"/>
      <c r="G64" s="502"/>
    </row>
    <row r="65" spans="2:7" x14ac:dyDescent="0.25">
      <c r="B65" s="502"/>
      <c r="C65" s="505"/>
      <c r="D65" s="505"/>
      <c r="E65" s="502"/>
      <c r="F65" s="502"/>
      <c r="G65" s="502"/>
    </row>
    <row r="66" spans="2:7" x14ac:dyDescent="0.25">
      <c r="B66" s="502"/>
      <c r="C66" s="505"/>
      <c r="D66" s="505"/>
      <c r="E66" s="502"/>
      <c r="F66" s="502"/>
      <c r="G66" s="502"/>
    </row>
    <row r="67" spans="2:7" x14ac:dyDescent="0.25">
      <c r="B67" s="502"/>
      <c r="C67" s="505"/>
      <c r="D67" s="505"/>
      <c r="E67" s="502"/>
      <c r="F67" s="502"/>
      <c r="G67" s="502"/>
    </row>
    <row r="68" spans="2:7" x14ac:dyDescent="0.25">
      <c r="B68" s="502"/>
      <c r="C68" s="505"/>
      <c r="D68" s="505"/>
      <c r="E68" s="502"/>
      <c r="F68" s="502"/>
      <c r="G68" s="502"/>
    </row>
    <row r="69" spans="2:7" x14ac:dyDescent="0.25">
      <c r="B69" s="502"/>
      <c r="C69" s="505"/>
      <c r="D69" s="505"/>
      <c r="E69" s="502"/>
      <c r="F69" s="502"/>
      <c r="G69" s="502"/>
    </row>
    <row r="70" spans="2:7" x14ac:dyDescent="0.25">
      <c r="B70" s="502"/>
      <c r="C70" s="505"/>
      <c r="D70" s="505"/>
      <c r="E70" s="502"/>
      <c r="F70" s="502"/>
      <c r="G70" s="502"/>
    </row>
    <row r="71" spans="2:7" x14ac:dyDescent="0.25">
      <c r="B71" s="502"/>
      <c r="C71" s="505"/>
      <c r="D71" s="505"/>
      <c r="E71" s="502"/>
      <c r="F71" s="502"/>
      <c r="G71" s="502"/>
    </row>
    <row r="72" spans="2:7" x14ac:dyDescent="0.25">
      <c r="B72" s="502"/>
      <c r="C72" s="505"/>
      <c r="D72" s="505"/>
      <c r="E72" s="502"/>
      <c r="F72" s="502"/>
      <c r="G72" s="502"/>
    </row>
    <row r="73" spans="2:7" x14ac:dyDescent="0.25">
      <c r="B73" s="502"/>
      <c r="C73" s="505"/>
      <c r="D73" s="505"/>
      <c r="E73" s="502"/>
      <c r="F73" s="502"/>
      <c r="G73" s="502"/>
    </row>
    <row r="74" spans="2:7" x14ac:dyDescent="0.25">
      <c r="B74" s="502"/>
      <c r="C74" s="505"/>
      <c r="D74" s="505"/>
      <c r="E74" s="502"/>
      <c r="F74" s="502"/>
      <c r="G74" s="502"/>
    </row>
    <row r="75" spans="2:7" x14ac:dyDescent="0.25">
      <c r="B75" s="502"/>
      <c r="C75" s="505"/>
      <c r="D75" s="505"/>
      <c r="E75" s="502"/>
      <c r="F75" s="502"/>
      <c r="G75" s="502"/>
    </row>
    <row r="76" spans="2:7" x14ac:dyDescent="0.25">
      <c r="B76" s="502"/>
      <c r="C76" s="505"/>
      <c r="D76" s="505"/>
      <c r="E76" s="502"/>
      <c r="F76" s="502"/>
      <c r="G76" s="502"/>
    </row>
    <row r="77" spans="2:7" x14ac:dyDescent="0.25">
      <c r="B77" s="502"/>
      <c r="C77" s="505"/>
      <c r="D77" s="505"/>
      <c r="E77" s="502"/>
      <c r="F77" s="502"/>
      <c r="G77" s="502"/>
    </row>
    <row r="78" spans="2:7" x14ac:dyDescent="0.25">
      <c r="B78" s="502"/>
      <c r="C78" s="505"/>
      <c r="D78" s="505"/>
      <c r="E78" s="502"/>
      <c r="F78" s="502"/>
      <c r="G78" s="502"/>
    </row>
    <row r="79" spans="2:7" x14ac:dyDescent="0.25">
      <c r="B79" s="502"/>
      <c r="C79" s="505"/>
      <c r="D79" s="505"/>
      <c r="E79" s="502"/>
      <c r="F79" s="502"/>
      <c r="G79" s="502"/>
    </row>
    <row r="80" spans="2:7" x14ac:dyDescent="0.25">
      <c r="B80" s="502"/>
      <c r="C80" s="505"/>
      <c r="D80" s="505"/>
      <c r="E80" s="502"/>
      <c r="F80" s="502"/>
      <c r="G80" s="502"/>
    </row>
    <row r="81" spans="2:7" x14ac:dyDescent="0.25">
      <c r="B81" s="502"/>
      <c r="C81" s="505"/>
      <c r="D81" s="505"/>
      <c r="E81" s="502"/>
      <c r="F81" s="502"/>
      <c r="G81" s="502"/>
    </row>
    <row r="82" spans="2:7" x14ac:dyDescent="0.25">
      <c r="B82" s="502"/>
      <c r="C82" s="505"/>
      <c r="D82" s="505"/>
      <c r="E82" s="502"/>
      <c r="F82" s="502"/>
      <c r="G82" s="502"/>
    </row>
    <row r="83" spans="2:7" x14ac:dyDescent="0.25">
      <c r="B83" s="502"/>
      <c r="C83" s="505"/>
      <c r="D83" s="505"/>
      <c r="E83" s="502"/>
      <c r="F83" s="502"/>
      <c r="G83" s="502"/>
    </row>
    <row r="84" spans="2:7" x14ac:dyDescent="0.25">
      <c r="B84" s="502"/>
      <c r="C84" s="505"/>
      <c r="D84" s="505"/>
      <c r="E84" s="502"/>
      <c r="F84" s="502"/>
      <c r="G84" s="502"/>
    </row>
    <row r="85" spans="2:7" x14ac:dyDescent="0.25">
      <c r="B85" s="502"/>
      <c r="C85" s="505"/>
      <c r="D85" s="505"/>
      <c r="E85" s="502"/>
      <c r="F85" s="502"/>
      <c r="G85" s="502"/>
    </row>
    <row r="86" spans="2:7" x14ac:dyDescent="0.25">
      <c r="B86" s="502"/>
      <c r="C86" s="505"/>
      <c r="D86" s="505"/>
      <c r="E86" s="502"/>
      <c r="F86" s="502"/>
      <c r="G86" s="502"/>
    </row>
    <row r="87" spans="2:7" x14ac:dyDescent="0.25">
      <c r="B87" s="502"/>
      <c r="C87" s="505"/>
      <c r="D87" s="505"/>
      <c r="E87" s="502"/>
      <c r="F87" s="502"/>
      <c r="G87" s="502"/>
    </row>
    <row r="88" spans="2:7" x14ac:dyDescent="0.25">
      <c r="B88" s="502"/>
      <c r="C88" s="505"/>
      <c r="D88" s="505"/>
      <c r="E88" s="502"/>
      <c r="F88" s="502"/>
      <c r="G88" s="502"/>
    </row>
    <row r="89" spans="2:7" x14ac:dyDescent="0.25">
      <c r="B89" s="502"/>
      <c r="C89" s="505"/>
      <c r="D89" s="505"/>
      <c r="E89" s="502"/>
      <c r="F89" s="502"/>
      <c r="G89" s="502"/>
    </row>
    <row r="90" spans="2:7" x14ac:dyDescent="0.25">
      <c r="B90" s="502"/>
      <c r="C90" s="505"/>
      <c r="D90" s="505"/>
      <c r="E90" s="502"/>
      <c r="F90" s="502"/>
      <c r="G90" s="502"/>
    </row>
    <row r="91" spans="2:7" x14ac:dyDescent="0.25">
      <c r="B91" s="502"/>
      <c r="C91" s="505"/>
      <c r="D91" s="505"/>
      <c r="E91" s="502"/>
      <c r="F91" s="502"/>
      <c r="G91" s="502"/>
    </row>
    <row r="92" spans="2:7" x14ac:dyDescent="0.25">
      <c r="B92" s="502"/>
      <c r="C92" s="505"/>
      <c r="D92" s="505"/>
      <c r="E92" s="502"/>
      <c r="F92" s="502"/>
      <c r="G92" s="502"/>
    </row>
    <row r="93" spans="2:7" x14ac:dyDescent="0.25">
      <c r="B93" s="502"/>
      <c r="C93" s="505"/>
      <c r="D93" s="505"/>
      <c r="E93" s="502"/>
      <c r="F93" s="502"/>
      <c r="G93" s="502"/>
    </row>
    <row r="94" spans="2:7" x14ac:dyDescent="0.25">
      <c r="B94" s="502"/>
      <c r="C94" s="505"/>
      <c r="D94" s="505"/>
      <c r="E94" s="502"/>
      <c r="F94" s="502"/>
      <c r="G94" s="502"/>
    </row>
    <row r="95" spans="2:7" x14ac:dyDescent="0.25">
      <c r="B95" s="502"/>
      <c r="C95" s="505"/>
      <c r="D95" s="505"/>
      <c r="E95" s="502"/>
      <c r="F95" s="502"/>
      <c r="G95" s="502"/>
    </row>
    <row r="96" spans="2:7" x14ac:dyDescent="0.25">
      <c r="B96" s="502"/>
      <c r="C96" s="505"/>
      <c r="D96" s="505"/>
      <c r="E96" s="502"/>
      <c r="F96" s="502"/>
      <c r="G96" s="502"/>
    </row>
    <row r="97" spans="2:7" x14ac:dyDescent="0.25">
      <c r="B97" s="502"/>
      <c r="C97" s="505"/>
      <c r="D97" s="505"/>
      <c r="E97" s="502"/>
      <c r="F97" s="502"/>
      <c r="G97" s="502"/>
    </row>
    <row r="98" spans="2:7" x14ac:dyDescent="0.25">
      <c r="B98" s="502"/>
      <c r="C98" s="505"/>
      <c r="D98" s="505"/>
      <c r="E98" s="502"/>
      <c r="F98" s="502"/>
      <c r="G98" s="502"/>
    </row>
    <row r="99" spans="2:7" x14ac:dyDescent="0.25">
      <c r="B99" s="502"/>
      <c r="C99" s="505"/>
      <c r="D99" s="505"/>
      <c r="E99" s="502"/>
      <c r="F99" s="502"/>
      <c r="G99" s="502"/>
    </row>
    <row r="100" spans="2:7" x14ac:dyDescent="0.25">
      <c r="B100" s="502"/>
      <c r="C100" s="505"/>
      <c r="D100" s="505"/>
      <c r="E100" s="502"/>
      <c r="F100" s="502"/>
      <c r="G100" s="502"/>
    </row>
    <row r="101" spans="2:7" x14ac:dyDescent="0.25">
      <c r="B101" s="502"/>
      <c r="C101" s="505"/>
      <c r="D101" s="505"/>
      <c r="E101" s="502"/>
      <c r="F101" s="502"/>
      <c r="G101" s="502"/>
    </row>
    <row r="102" spans="2:7" x14ac:dyDescent="0.25">
      <c r="B102" s="502"/>
      <c r="C102" s="505"/>
      <c r="D102" s="505"/>
      <c r="E102" s="502"/>
      <c r="F102" s="502"/>
      <c r="G102" s="502"/>
    </row>
    <row r="103" spans="2:7" x14ac:dyDescent="0.25">
      <c r="B103" s="502"/>
      <c r="C103" s="505"/>
      <c r="D103" s="505"/>
      <c r="E103" s="502"/>
      <c r="F103" s="502"/>
      <c r="G103" s="502"/>
    </row>
    <row r="104" spans="2:7" x14ac:dyDescent="0.25">
      <c r="B104" s="502"/>
      <c r="C104" s="505"/>
      <c r="D104" s="505"/>
      <c r="E104" s="502"/>
      <c r="F104" s="502"/>
      <c r="G104" s="502"/>
    </row>
    <row r="105" spans="2:7" x14ac:dyDescent="0.25">
      <c r="B105" s="502"/>
      <c r="C105" s="505"/>
      <c r="D105" s="505"/>
      <c r="E105" s="502"/>
      <c r="F105" s="502"/>
      <c r="G105" s="502"/>
    </row>
    <row r="106" spans="2:7" x14ac:dyDescent="0.25">
      <c r="B106" s="502"/>
      <c r="C106" s="505"/>
      <c r="D106" s="505"/>
      <c r="E106" s="502"/>
      <c r="F106" s="502"/>
      <c r="G106" s="502"/>
    </row>
    <row r="107" spans="2:7" x14ac:dyDescent="0.25">
      <c r="B107" s="502"/>
      <c r="C107" s="505"/>
      <c r="D107" s="505"/>
      <c r="E107" s="502"/>
      <c r="F107" s="502"/>
      <c r="G107" s="502"/>
    </row>
    <row r="108" spans="2:7" x14ac:dyDescent="0.25">
      <c r="B108" s="502"/>
      <c r="C108" s="505"/>
      <c r="D108" s="505"/>
      <c r="E108" s="502"/>
      <c r="F108" s="502"/>
      <c r="G108" s="502"/>
    </row>
    <row r="109" spans="2:7" x14ac:dyDescent="0.25">
      <c r="B109" s="502"/>
      <c r="C109" s="505"/>
      <c r="D109" s="505"/>
      <c r="E109" s="502"/>
      <c r="F109" s="502"/>
      <c r="G109" s="502"/>
    </row>
    <row r="110" spans="2:7" x14ac:dyDescent="0.25">
      <c r="B110" s="502"/>
      <c r="C110" s="505"/>
      <c r="D110" s="505"/>
      <c r="E110" s="502"/>
      <c r="F110" s="502"/>
      <c r="G110" s="502"/>
    </row>
    <row r="111" spans="2:7" x14ac:dyDescent="0.25">
      <c r="B111" s="502"/>
      <c r="C111" s="505"/>
      <c r="D111" s="505"/>
      <c r="E111" s="502"/>
      <c r="F111" s="502"/>
      <c r="G111" s="502"/>
    </row>
    <row r="112" spans="2:7" x14ac:dyDescent="0.25">
      <c r="B112" s="502"/>
      <c r="C112" s="505"/>
      <c r="D112" s="505"/>
      <c r="E112" s="502"/>
      <c r="F112" s="502"/>
      <c r="G112" s="502"/>
    </row>
    <row r="113" spans="2:7" x14ac:dyDescent="0.25">
      <c r="B113" s="502"/>
      <c r="C113" s="505"/>
      <c r="D113" s="505"/>
      <c r="E113" s="502"/>
      <c r="F113" s="502"/>
      <c r="G113" s="502"/>
    </row>
    <row r="114" spans="2:7" x14ac:dyDescent="0.25">
      <c r="B114" s="502"/>
      <c r="C114" s="505"/>
      <c r="D114" s="505"/>
      <c r="E114" s="502"/>
      <c r="F114" s="502"/>
      <c r="G114" s="502"/>
    </row>
    <row r="115" spans="2:7" x14ac:dyDescent="0.25">
      <c r="B115" s="502"/>
      <c r="C115" s="505"/>
      <c r="D115" s="505"/>
      <c r="E115" s="502"/>
      <c r="F115" s="502"/>
      <c r="G115" s="502"/>
    </row>
    <row r="116" spans="2:7" x14ac:dyDescent="0.25">
      <c r="B116" s="502"/>
      <c r="C116" s="505"/>
      <c r="D116" s="505"/>
      <c r="E116" s="502"/>
      <c r="F116" s="502"/>
      <c r="G116" s="502"/>
    </row>
    <row r="117" spans="2:7" x14ac:dyDescent="0.25">
      <c r="B117" s="502"/>
      <c r="C117" s="505"/>
      <c r="D117" s="505"/>
      <c r="E117" s="502"/>
      <c r="F117" s="502"/>
      <c r="G117" s="502"/>
    </row>
    <row r="118" spans="2:7" x14ac:dyDescent="0.25">
      <c r="B118" s="502"/>
      <c r="C118" s="505"/>
      <c r="D118" s="505"/>
      <c r="E118" s="502"/>
      <c r="F118" s="502"/>
      <c r="G118" s="502"/>
    </row>
    <row r="119" spans="2:7" x14ac:dyDescent="0.25">
      <c r="B119" s="502"/>
      <c r="C119" s="505"/>
      <c r="D119" s="505"/>
      <c r="E119" s="502"/>
      <c r="F119" s="502"/>
      <c r="G119" s="502"/>
    </row>
    <row r="120" spans="2:7" x14ac:dyDescent="0.25">
      <c r="B120" s="502"/>
      <c r="C120" s="505"/>
      <c r="D120" s="505"/>
      <c r="E120" s="502"/>
      <c r="F120" s="502"/>
      <c r="G120" s="502"/>
    </row>
    <row r="121" spans="2:7" x14ac:dyDescent="0.25">
      <c r="B121" s="502"/>
      <c r="C121" s="505"/>
      <c r="D121" s="505"/>
      <c r="E121" s="502"/>
      <c r="F121" s="502"/>
      <c r="G121" s="502"/>
    </row>
    <row r="122" spans="2:7" x14ac:dyDescent="0.25">
      <c r="B122" s="502"/>
      <c r="C122" s="505"/>
      <c r="D122" s="505"/>
      <c r="E122" s="502"/>
      <c r="F122" s="502"/>
      <c r="G122" s="502"/>
    </row>
    <row r="123" spans="2:7" x14ac:dyDescent="0.25">
      <c r="B123" s="502"/>
      <c r="C123" s="505"/>
      <c r="D123" s="505"/>
      <c r="E123" s="502"/>
      <c r="F123" s="502"/>
      <c r="G123" s="502"/>
    </row>
    <row r="124" spans="2:7" x14ac:dyDescent="0.25">
      <c r="B124" s="502"/>
      <c r="C124" s="505"/>
      <c r="D124" s="505"/>
      <c r="E124" s="502"/>
      <c r="F124" s="502"/>
      <c r="G124" s="502"/>
    </row>
    <row r="125" spans="2:7" x14ac:dyDescent="0.25">
      <c r="B125" s="502"/>
      <c r="C125" s="505"/>
      <c r="D125" s="505"/>
      <c r="E125" s="502"/>
      <c r="F125" s="502"/>
      <c r="G125" s="502"/>
    </row>
    <row r="126" spans="2:7" x14ac:dyDescent="0.25">
      <c r="B126" s="502"/>
      <c r="C126" s="505"/>
      <c r="D126" s="505"/>
      <c r="E126" s="502"/>
      <c r="F126" s="502"/>
      <c r="G126" s="502"/>
    </row>
    <row r="127" spans="2:7" x14ac:dyDescent="0.25">
      <c r="B127" s="502"/>
      <c r="C127" s="505"/>
      <c r="D127" s="505"/>
      <c r="E127" s="502"/>
      <c r="F127" s="502"/>
      <c r="G127" s="502"/>
    </row>
    <row r="128" spans="2:7" x14ac:dyDescent="0.25">
      <c r="B128" s="502"/>
      <c r="C128" s="505"/>
      <c r="D128" s="505"/>
      <c r="E128" s="502"/>
      <c r="F128" s="502"/>
      <c r="G128" s="502"/>
    </row>
    <row r="129" spans="2:7" x14ac:dyDescent="0.25">
      <c r="B129" s="502"/>
      <c r="C129" s="505"/>
      <c r="D129" s="505"/>
      <c r="E129" s="502"/>
      <c r="F129" s="502"/>
      <c r="G129" s="502"/>
    </row>
    <row r="130" spans="2:7" x14ac:dyDescent="0.25">
      <c r="B130" s="502"/>
      <c r="C130" s="505"/>
      <c r="D130" s="505"/>
      <c r="E130" s="502"/>
      <c r="F130" s="502"/>
      <c r="G130" s="502"/>
    </row>
    <row r="131" spans="2:7" x14ac:dyDescent="0.25">
      <c r="B131" s="502"/>
      <c r="C131" s="505"/>
      <c r="D131" s="505"/>
      <c r="E131" s="502"/>
      <c r="F131" s="502"/>
      <c r="G131" s="502"/>
    </row>
    <row r="132" spans="2:7" x14ac:dyDescent="0.25">
      <c r="B132" s="502"/>
      <c r="C132" s="505"/>
      <c r="D132" s="505"/>
      <c r="E132" s="502"/>
      <c r="F132" s="502"/>
      <c r="G132" s="502"/>
    </row>
    <row r="133" spans="2:7" x14ac:dyDescent="0.25">
      <c r="B133" s="502"/>
      <c r="C133" s="505"/>
      <c r="D133" s="505"/>
      <c r="E133" s="502"/>
      <c r="F133" s="502"/>
      <c r="G133" s="502"/>
    </row>
    <row r="134" spans="2:7" x14ac:dyDescent="0.25">
      <c r="B134" s="502"/>
      <c r="C134" s="505"/>
      <c r="D134" s="505"/>
      <c r="E134" s="502"/>
      <c r="F134" s="502"/>
      <c r="G134" s="502"/>
    </row>
    <row r="135" spans="2:7" x14ac:dyDescent="0.25">
      <c r="B135" s="502"/>
      <c r="C135" s="505"/>
      <c r="D135" s="505"/>
      <c r="E135" s="502"/>
      <c r="F135" s="502"/>
      <c r="G135" s="502"/>
    </row>
    <row r="136" spans="2:7" x14ac:dyDescent="0.25">
      <c r="B136" s="502"/>
      <c r="C136" s="505"/>
      <c r="D136" s="505"/>
      <c r="E136" s="502"/>
      <c r="F136" s="502"/>
      <c r="G136" s="502"/>
    </row>
    <row r="137" spans="2:7" x14ac:dyDescent="0.25">
      <c r="B137" s="502"/>
      <c r="C137" s="505"/>
      <c r="D137" s="505"/>
      <c r="E137" s="502"/>
      <c r="F137" s="502"/>
      <c r="G137" s="502"/>
    </row>
    <row r="138" spans="2:7" x14ac:dyDescent="0.25">
      <c r="B138" s="502"/>
      <c r="C138" s="505"/>
      <c r="D138" s="505"/>
      <c r="E138" s="502"/>
      <c r="F138" s="502"/>
      <c r="G138" s="502"/>
    </row>
    <row r="139" spans="2:7" x14ac:dyDescent="0.25">
      <c r="B139" s="502"/>
      <c r="C139" s="505"/>
      <c r="D139" s="505"/>
      <c r="E139" s="502"/>
      <c r="F139" s="502"/>
      <c r="G139" s="502"/>
    </row>
    <row r="140" spans="2:7" x14ac:dyDescent="0.25">
      <c r="B140" s="502"/>
      <c r="C140" s="505"/>
      <c r="D140" s="505"/>
      <c r="E140" s="502"/>
      <c r="F140" s="502"/>
      <c r="G140" s="502"/>
    </row>
    <row r="141" spans="2:7" x14ac:dyDescent="0.25">
      <c r="B141" s="502"/>
      <c r="C141" s="505"/>
      <c r="D141" s="505"/>
      <c r="E141" s="502"/>
      <c r="F141" s="502"/>
      <c r="G141" s="502"/>
    </row>
    <row r="142" spans="2:7" x14ac:dyDescent="0.25">
      <c r="B142" s="502"/>
      <c r="C142" s="505"/>
      <c r="D142" s="505"/>
      <c r="E142" s="502"/>
      <c r="F142" s="502"/>
      <c r="G142" s="502"/>
    </row>
    <row r="143" spans="2:7" x14ac:dyDescent="0.25">
      <c r="B143" s="502"/>
      <c r="C143" s="505"/>
      <c r="D143" s="505"/>
      <c r="E143" s="502"/>
      <c r="F143" s="502"/>
      <c r="G143" s="502"/>
    </row>
    <row r="144" spans="2:7" x14ac:dyDescent="0.25">
      <c r="B144" s="502"/>
      <c r="C144" s="505"/>
      <c r="D144" s="505"/>
      <c r="E144" s="502"/>
      <c r="F144" s="502"/>
      <c r="G144" s="502"/>
    </row>
    <row r="145" spans="2:7" x14ac:dyDescent="0.25">
      <c r="B145" s="502"/>
      <c r="C145" s="505"/>
      <c r="D145" s="505"/>
      <c r="E145" s="502"/>
      <c r="F145" s="502"/>
      <c r="G145" s="502"/>
    </row>
    <row r="146" spans="2:7" x14ac:dyDescent="0.25">
      <c r="B146" s="502"/>
      <c r="C146" s="505"/>
      <c r="D146" s="505"/>
      <c r="E146" s="502"/>
      <c r="F146" s="502"/>
      <c r="G146" s="502"/>
    </row>
    <row r="147" spans="2:7" x14ac:dyDescent="0.25">
      <c r="B147" s="502"/>
      <c r="C147" s="505"/>
      <c r="D147" s="505"/>
      <c r="E147" s="502"/>
      <c r="F147" s="502"/>
      <c r="G147" s="502"/>
    </row>
    <row r="148" spans="2:7" x14ac:dyDescent="0.25">
      <c r="B148" s="502"/>
      <c r="C148" s="505"/>
      <c r="D148" s="505"/>
      <c r="E148" s="502"/>
      <c r="F148" s="502"/>
      <c r="G148" s="502"/>
    </row>
    <row r="149" spans="2:7" x14ac:dyDescent="0.25">
      <c r="B149" s="502"/>
      <c r="C149" s="505"/>
      <c r="D149" s="505"/>
      <c r="E149" s="502"/>
      <c r="F149" s="502"/>
      <c r="G149" s="502"/>
    </row>
    <row r="150" spans="2:7" x14ac:dyDescent="0.25">
      <c r="B150" s="502"/>
      <c r="C150" s="505"/>
      <c r="D150" s="505"/>
      <c r="E150" s="502"/>
      <c r="F150" s="502"/>
      <c r="G150" s="502"/>
    </row>
    <row r="151" spans="2:7" x14ac:dyDescent="0.25">
      <c r="B151" s="502"/>
      <c r="C151" s="505"/>
      <c r="D151" s="505"/>
      <c r="E151" s="502"/>
      <c r="F151" s="502"/>
      <c r="G151" s="502"/>
    </row>
    <row r="152" spans="2:7" x14ac:dyDescent="0.25">
      <c r="B152" s="502"/>
      <c r="C152" s="505"/>
      <c r="D152" s="505"/>
      <c r="E152" s="502"/>
      <c r="F152" s="502"/>
      <c r="G152" s="502"/>
    </row>
    <row r="153" spans="2:7" x14ac:dyDescent="0.25">
      <c r="B153" s="502"/>
      <c r="C153" s="505"/>
      <c r="D153" s="505"/>
      <c r="E153" s="502"/>
      <c r="F153" s="502"/>
      <c r="G153" s="502"/>
    </row>
    <row r="154" spans="2:7" x14ac:dyDescent="0.25">
      <c r="B154" s="502"/>
      <c r="C154" s="505"/>
      <c r="D154" s="505"/>
      <c r="E154" s="502"/>
      <c r="F154" s="502"/>
      <c r="G154" s="502"/>
    </row>
    <row r="155" spans="2:7" x14ac:dyDescent="0.25">
      <c r="B155" s="502"/>
      <c r="C155" s="505"/>
      <c r="D155" s="505"/>
      <c r="E155" s="502"/>
      <c r="F155" s="502"/>
      <c r="G155" s="502"/>
    </row>
    <row r="156" spans="2:7" x14ac:dyDescent="0.25">
      <c r="B156" s="502"/>
      <c r="C156" s="505"/>
      <c r="D156" s="505"/>
      <c r="E156" s="502"/>
      <c r="F156" s="502"/>
      <c r="G156" s="502"/>
    </row>
    <row r="157" spans="2:7" x14ac:dyDescent="0.25">
      <c r="B157" s="502"/>
      <c r="C157" s="505"/>
      <c r="D157" s="505"/>
      <c r="E157" s="502"/>
      <c r="F157" s="502"/>
      <c r="G157" s="502"/>
    </row>
    <row r="158" spans="2:7" x14ac:dyDescent="0.25">
      <c r="B158" s="502"/>
      <c r="C158" s="505"/>
      <c r="D158" s="505"/>
      <c r="E158" s="502"/>
      <c r="F158" s="502"/>
      <c r="G158" s="502"/>
    </row>
    <row r="159" spans="2:7" x14ac:dyDescent="0.25">
      <c r="B159" s="502"/>
      <c r="C159" s="505"/>
      <c r="D159" s="505"/>
      <c r="E159" s="502"/>
      <c r="F159" s="502"/>
      <c r="G159" s="502"/>
    </row>
    <row r="160" spans="2:7" x14ac:dyDescent="0.25">
      <c r="B160" s="502"/>
      <c r="C160" s="505"/>
      <c r="D160" s="505"/>
      <c r="E160" s="502"/>
      <c r="F160" s="502"/>
      <c r="G160" s="502"/>
    </row>
    <row r="161" spans="2:7" x14ac:dyDescent="0.25">
      <c r="B161" s="502"/>
      <c r="C161" s="505"/>
      <c r="D161" s="505"/>
      <c r="E161" s="502"/>
      <c r="F161" s="502"/>
      <c r="G161" s="502"/>
    </row>
    <row r="162" spans="2:7" x14ac:dyDescent="0.25">
      <c r="B162" s="502"/>
      <c r="C162" s="505"/>
      <c r="D162" s="505"/>
      <c r="E162" s="502"/>
      <c r="F162" s="502"/>
      <c r="G162" s="502"/>
    </row>
    <row r="163" spans="2:7" x14ac:dyDescent="0.25">
      <c r="B163" s="502"/>
      <c r="C163" s="505"/>
      <c r="D163" s="505"/>
      <c r="E163" s="502"/>
      <c r="F163" s="502"/>
      <c r="G163" s="502"/>
    </row>
    <row r="164" spans="2:7" x14ac:dyDescent="0.25">
      <c r="B164" s="502"/>
      <c r="C164" s="505"/>
      <c r="D164" s="505"/>
      <c r="E164" s="502"/>
      <c r="F164" s="502"/>
      <c r="G164" s="502"/>
    </row>
    <row r="165" spans="2:7" x14ac:dyDescent="0.25">
      <c r="B165" s="502"/>
      <c r="C165" s="505"/>
      <c r="D165" s="505"/>
      <c r="E165" s="502"/>
      <c r="F165" s="502"/>
      <c r="G165" s="502"/>
    </row>
    <row r="166" spans="2:7" x14ac:dyDescent="0.25">
      <c r="B166" s="502"/>
      <c r="C166" s="505"/>
      <c r="D166" s="505"/>
      <c r="E166" s="502"/>
      <c r="F166" s="502"/>
      <c r="G166" s="502"/>
    </row>
    <row r="167" spans="2:7" x14ac:dyDescent="0.25">
      <c r="B167" s="502"/>
      <c r="C167" s="505"/>
      <c r="D167" s="505"/>
      <c r="E167" s="502"/>
      <c r="F167" s="502"/>
      <c r="G167" s="502"/>
    </row>
    <row r="168" spans="2:7" x14ac:dyDescent="0.25">
      <c r="B168" s="502"/>
      <c r="C168" s="505"/>
      <c r="D168" s="505"/>
      <c r="E168" s="502"/>
      <c r="F168" s="502"/>
      <c r="G168" s="502"/>
    </row>
    <row r="169" spans="2:7" x14ac:dyDescent="0.25">
      <c r="B169" s="502"/>
      <c r="C169" s="505"/>
      <c r="D169" s="505"/>
      <c r="E169" s="502"/>
      <c r="F169" s="502"/>
      <c r="G169" s="502"/>
    </row>
    <row r="170" spans="2:7" x14ac:dyDescent="0.25">
      <c r="B170" s="502"/>
      <c r="C170" s="505"/>
      <c r="D170" s="505"/>
      <c r="E170" s="502"/>
      <c r="F170" s="502"/>
      <c r="G170" s="502"/>
    </row>
    <row r="171" spans="2:7" x14ac:dyDescent="0.25">
      <c r="B171" s="502"/>
      <c r="C171" s="505"/>
      <c r="D171" s="505"/>
      <c r="E171" s="502"/>
      <c r="F171" s="502"/>
      <c r="G171" s="502"/>
    </row>
    <row r="172" spans="2:7" x14ac:dyDescent="0.25">
      <c r="B172" s="502"/>
      <c r="C172" s="505"/>
      <c r="D172" s="505"/>
      <c r="E172" s="502"/>
      <c r="F172" s="502"/>
      <c r="G172" s="502"/>
    </row>
    <row r="173" spans="2:7" x14ac:dyDescent="0.25">
      <c r="B173" s="502"/>
      <c r="C173" s="505"/>
      <c r="D173" s="505"/>
      <c r="E173" s="502"/>
      <c r="F173" s="502"/>
      <c r="G173" s="502"/>
    </row>
    <row r="174" spans="2:7" x14ac:dyDescent="0.25">
      <c r="B174" s="502"/>
      <c r="C174" s="505"/>
      <c r="D174" s="505"/>
      <c r="E174" s="502"/>
      <c r="F174" s="502"/>
      <c r="G174" s="502"/>
    </row>
    <row r="175" spans="2:7" x14ac:dyDescent="0.25">
      <c r="B175" s="502"/>
      <c r="C175" s="505"/>
      <c r="D175" s="505"/>
      <c r="E175" s="502"/>
      <c r="F175" s="502"/>
      <c r="G175" s="502"/>
    </row>
    <row r="176" spans="2:7" x14ac:dyDescent="0.25">
      <c r="B176" s="502"/>
      <c r="C176" s="505"/>
      <c r="D176" s="505"/>
      <c r="E176" s="502"/>
      <c r="F176" s="502"/>
      <c r="G176" s="502"/>
    </row>
    <row r="177" spans="2:7" x14ac:dyDescent="0.25">
      <c r="B177" s="502"/>
      <c r="C177" s="505"/>
      <c r="D177" s="505"/>
      <c r="E177" s="502"/>
      <c r="F177" s="502"/>
      <c r="G177" s="502"/>
    </row>
    <row r="178" spans="2:7" x14ac:dyDescent="0.25">
      <c r="B178" s="502"/>
      <c r="C178" s="505"/>
      <c r="D178" s="505"/>
      <c r="E178" s="502"/>
      <c r="F178" s="502"/>
      <c r="G178" s="502"/>
    </row>
    <row r="179" spans="2:7" x14ac:dyDescent="0.25">
      <c r="B179" s="502"/>
      <c r="C179" s="505"/>
      <c r="D179" s="505"/>
      <c r="E179" s="502"/>
      <c r="F179" s="502"/>
      <c r="G179" s="502"/>
    </row>
    <row r="180" spans="2:7" x14ac:dyDescent="0.25">
      <c r="B180" s="502"/>
      <c r="C180" s="505"/>
      <c r="D180" s="505"/>
      <c r="E180" s="502"/>
      <c r="F180" s="502"/>
      <c r="G180" s="502"/>
    </row>
    <row r="181" spans="2:7" x14ac:dyDescent="0.25">
      <c r="B181" s="502"/>
      <c r="C181" s="505"/>
      <c r="D181" s="505"/>
      <c r="E181" s="502"/>
      <c r="F181" s="502"/>
      <c r="G181" s="502"/>
    </row>
    <row r="182" spans="2:7" x14ac:dyDescent="0.25">
      <c r="B182" s="502"/>
      <c r="C182" s="505"/>
      <c r="D182" s="505"/>
      <c r="E182" s="502"/>
      <c r="F182" s="502"/>
      <c r="G182" s="502"/>
    </row>
    <row r="183" spans="2:7" x14ac:dyDescent="0.25">
      <c r="B183" s="502"/>
      <c r="C183" s="505"/>
      <c r="D183" s="505"/>
      <c r="E183" s="502"/>
      <c r="F183" s="502"/>
      <c r="G183" s="502"/>
    </row>
    <row r="184" spans="2:7" x14ac:dyDescent="0.25">
      <c r="B184" s="502"/>
      <c r="C184" s="505"/>
      <c r="D184" s="505"/>
      <c r="E184" s="502"/>
      <c r="F184" s="502"/>
      <c r="G184" s="502"/>
    </row>
    <row r="185" spans="2:7" x14ac:dyDescent="0.25">
      <c r="B185" s="502"/>
      <c r="C185" s="505"/>
      <c r="D185" s="505"/>
      <c r="E185" s="502"/>
      <c r="F185" s="502"/>
      <c r="G185" s="502"/>
    </row>
    <row r="186" spans="2:7" x14ac:dyDescent="0.25">
      <c r="B186" s="502"/>
      <c r="C186" s="505"/>
      <c r="D186" s="505"/>
      <c r="E186" s="502"/>
      <c r="F186" s="502"/>
      <c r="G186" s="502"/>
    </row>
    <row r="187" spans="2:7" x14ac:dyDescent="0.25">
      <c r="B187" s="502"/>
      <c r="C187" s="505"/>
      <c r="D187" s="505"/>
      <c r="E187" s="502"/>
      <c r="F187" s="502"/>
      <c r="G187" s="502"/>
    </row>
    <row r="188" spans="2:7" x14ac:dyDescent="0.25">
      <c r="B188" s="502"/>
      <c r="C188" s="505"/>
      <c r="D188" s="505"/>
      <c r="E188" s="502"/>
      <c r="F188" s="502"/>
      <c r="G188" s="502"/>
    </row>
    <row r="189" spans="2:7" x14ac:dyDescent="0.25">
      <c r="B189" s="502"/>
      <c r="C189" s="505"/>
      <c r="D189" s="505"/>
      <c r="E189" s="502"/>
      <c r="F189" s="502"/>
      <c r="G189" s="502"/>
    </row>
    <row r="190" spans="2:7" x14ac:dyDescent="0.25">
      <c r="B190" s="502"/>
      <c r="C190" s="505"/>
      <c r="D190" s="505"/>
      <c r="E190" s="502"/>
      <c r="F190" s="502"/>
      <c r="G190" s="502"/>
    </row>
    <row r="191" spans="2:7" x14ac:dyDescent="0.25">
      <c r="B191" s="502"/>
      <c r="C191" s="505"/>
      <c r="D191" s="505"/>
      <c r="E191" s="502"/>
      <c r="F191" s="502"/>
      <c r="G191" s="502"/>
    </row>
    <row r="192" spans="2:7" x14ac:dyDescent="0.25">
      <c r="B192" s="502"/>
      <c r="C192" s="505"/>
      <c r="D192" s="505"/>
      <c r="E192" s="502"/>
      <c r="F192" s="502"/>
      <c r="G192" s="502"/>
    </row>
    <row r="193" spans="2:7" x14ac:dyDescent="0.25">
      <c r="B193" s="502"/>
      <c r="C193" s="505"/>
      <c r="D193" s="505"/>
      <c r="E193" s="502"/>
      <c r="F193" s="502"/>
      <c r="G193" s="502"/>
    </row>
    <row r="194" spans="2:7" x14ac:dyDescent="0.25">
      <c r="B194" s="502"/>
      <c r="C194" s="505"/>
      <c r="D194" s="505"/>
      <c r="E194" s="502"/>
      <c r="F194" s="502"/>
      <c r="G194" s="502"/>
    </row>
    <row r="195" spans="2:7" x14ac:dyDescent="0.25">
      <c r="B195" s="502"/>
      <c r="C195" s="505"/>
      <c r="D195" s="505"/>
      <c r="E195" s="502"/>
      <c r="F195" s="502"/>
      <c r="G195" s="502"/>
    </row>
    <row r="196" spans="2:7" x14ac:dyDescent="0.25">
      <c r="B196" s="502"/>
      <c r="C196" s="505"/>
      <c r="D196" s="505"/>
      <c r="E196" s="502"/>
      <c r="F196" s="502"/>
      <c r="G196" s="502"/>
    </row>
    <row r="197" spans="2:7" x14ac:dyDescent="0.25">
      <c r="B197" s="502"/>
      <c r="C197" s="505"/>
      <c r="D197" s="505"/>
      <c r="E197" s="502"/>
      <c r="F197" s="502"/>
      <c r="G197" s="502"/>
    </row>
    <row r="198" spans="2:7" x14ac:dyDescent="0.25">
      <c r="B198" s="502"/>
      <c r="C198" s="505"/>
      <c r="D198" s="505"/>
      <c r="E198" s="502"/>
      <c r="F198" s="502"/>
      <c r="G198" s="502"/>
    </row>
    <row r="199" spans="2:7" x14ac:dyDescent="0.25">
      <c r="B199" s="502"/>
      <c r="C199" s="505"/>
      <c r="D199" s="505"/>
      <c r="E199" s="502"/>
      <c r="F199" s="502"/>
      <c r="G199" s="502"/>
    </row>
    <row r="200" spans="2:7" x14ac:dyDescent="0.25">
      <c r="B200" s="502"/>
      <c r="C200" s="505"/>
      <c r="D200" s="505"/>
      <c r="E200" s="502"/>
      <c r="F200" s="502"/>
      <c r="G200" s="502"/>
    </row>
    <row r="201" spans="2:7" x14ac:dyDescent="0.25">
      <c r="B201" s="502"/>
      <c r="C201" s="505"/>
      <c r="D201" s="505"/>
      <c r="E201" s="502"/>
      <c r="F201" s="502"/>
      <c r="G201" s="502"/>
    </row>
    <row r="202" spans="2:7" x14ac:dyDescent="0.25">
      <c r="B202" s="502"/>
      <c r="C202" s="505"/>
      <c r="D202" s="505"/>
      <c r="E202" s="502"/>
      <c r="F202" s="502"/>
      <c r="G202" s="502"/>
    </row>
    <row r="203" spans="2:7" x14ac:dyDescent="0.25">
      <c r="B203" s="502"/>
      <c r="C203" s="505"/>
      <c r="D203" s="505"/>
      <c r="E203" s="502"/>
      <c r="F203" s="502"/>
      <c r="G203" s="502"/>
    </row>
    <row r="204" spans="2:7" x14ac:dyDescent="0.25">
      <c r="B204" s="502"/>
      <c r="C204" s="505"/>
      <c r="D204" s="505"/>
      <c r="E204" s="502"/>
      <c r="F204" s="502"/>
      <c r="G204" s="502"/>
    </row>
    <row r="205" spans="2:7" x14ac:dyDescent="0.25">
      <c r="B205" s="502"/>
      <c r="C205" s="505"/>
      <c r="D205" s="505"/>
      <c r="E205" s="502"/>
      <c r="F205" s="502"/>
      <c r="G205" s="502"/>
    </row>
    <row r="206" spans="2:7" x14ac:dyDescent="0.25">
      <c r="B206" s="502"/>
      <c r="C206" s="505"/>
      <c r="D206" s="505"/>
      <c r="E206" s="502"/>
      <c r="F206" s="502"/>
      <c r="G206" s="502"/>
    </row>
    <row r="207" spans="2:7" x14ac:dyDescent="0.25">
      <c r="B207" s="502"/>
      <c r="C207" s="505"/>
      <c r="D207" s="505"/>
      <c r="E207" s="502"/>
      <c r="F207" s="502"/>
      <c r="G207" s="502"/>
    </row>
    <row r="208" spans="2:7" x14ac:dyDescent="0.25">
      <c r="B208" s="502"/>
      <c r="C208" s="505"/>
      <c r="D208" s="505"/>
      <c r="E208" s="502"/>
      <c r="F208" s="502"/>
      <c r="G208" s="502"/>
    </row>
    <row r="209" spans="2:7" x14ac:dyDescent="0.25">
      <c r="B209" s="502"/>
      <c r="C209" s="505"/>
      <c r="D209" s="505"/>
      <c r="E209" s="502"/>
      <c r="F209" s="502"/>
      <c r="G209" s="502"/>
    </row>
    <row r="210" spans="2:7" x14ac:dyDescent="0.25">
      <c r="B210" s="502"/>
      <c r="C210" s="505"/>
      <c r="D210" s="505"/>
      <c r="E210" s="502"/>
      <c r="F210" s="502"/>
      <c r="G210" s="502"/>
    </row>
    <row r="211" spans="2:7" x14ac:dyDescent="0.25">
      <c r="B211" s="502"/>
      <c r="C211" s="505"/>
      <c r="D211" s="505"/>
      <c r="E211" s="502"/>
      <c r="F211" s="502"/>
      <c r="G211" s="502"/>
    </row>
    <row r="212" spans="2:7" x14ac:dyDescent="0.25">
      <c r="B212" s="502"/>
      <c r="C212" s="505"/>
      <c r="D212" s="505"/>
      <c r="E212" s="502"/>
      <c r="F212" s="502"/>
      <c r="G212" s="502"/>
    </row>
    <row r="213" spans="2:7" x14ac:dyDescent="0.25">
      <c r="B213" s="502"/>
      <c r="C213" s="505"/>
      <c r="D213" s="505"/>
      <c r="E213" s="502"/>
      <c r="F213" s="502"/>
      <c r="G213" s="502"/>
    </row>
    <row r="214" spans="2:7" x14ac:dyDescent="0.25">
      <c r="B214" s="502"/>
      <c r="C214" s="505"/>
      <c r="D214" s="505"/>
      <c r="E214" s="502"/>
      <c r="F214" s="502"/>
      <c r="G214" s="502"/>
    </row>
    <row r="215" spans="2:7" x14ac:dyDescent="0.25">
      <c r="B215" s="502"/>
      <c r="C215" s="505"/>
      <c r="D215" s="505"/>
      <c r="E215" s="502"/>
      <c r="F215" s="502"/>
      <c r="G215" s="502"/>
    </row>
    <row r="216" spans="2:7" x14ac:dyDescent="0.25">
      <c r="B216" s="502"/>
      <c r="C216" s="505"/>
      <c r="D216" s="505"/>
      <c r="E216" s="502"/>
      <c r="F216" s="502"/>
      <c r="G216" s="502"/>
    </row>
    <row r="217" spans="2:7" x14ac:dyDescent="0.25">
      <c r="B217" s="502"/>
      <c r="C217" s="505"/>
      <c r="D217" s="505"/>
      <c r="E217" s="502"/>
      <c r="F217" s="502"/>
      <c r="G217" s="502"/>
    </row>
    <row r="218" spans="2:7" x14ac:dyDescent="0.25">
      <c r="B218" s="502"/>
      <c r="C218" s="505"/>
      <c r="D218" s="505"/>
      <c r="E218" s="502"/>
      <c r="F218" s="502"/>
      <c r="G218" s="502"/>
    </row>
    <row r="219" spans="2:7" x14ac:dyDescent="0.25">
      <c r="B219" s="502"/>
    </row>
    <row r="220" spans="2:7" x14ac:dyDescent="0.25">
      <c r="B220" s="502"/>
    </row>
  </sheetData>
  <mergeCells count="2">
    <mergeCell ref="B62:G62"/>
    <mergeCell ref="B58:H58"/>
  </mergeCells>
  <pageMargins left="0.75" right="0.75" top="1" bottom="1" header="0.5" footer="0.5"/>
  <pageSetup scale="70" orientation="portrait" horizontalDpi="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52"/>
  <sheetViews>
    <sheetView topLeftCell="A60" workbookViewId="0">
      <selection activeCell="H78" sqref="H78"/>
    </sheetView>
  </sheetViews>
  <sheetFormatPr defaultRowHeight="13.2" x14ac:dyDescent="0.25"/>
  <cols>
    <col min="1" max="1" width="5.88671875" style="492" customWidth="1"/>
    <col min="2" max="2" width="6.44140625" customWidth="1"/>
    <col min="3" max="3" width="26.109375" customWidth="1"/>
    <col min="4" max="4" width="9" customWidth="1"/>
    <col min="5" max="5" width="10.33203125" customWidth="1"/>
    <col min="6" max="6" width="13.88671875" customWidth="1"/>
    <col min="7" max="7" width="20.44140625" customWidth="1"/>
    <col min="8" max="8" width="14.6640625" customWidth="1"/>
    <col min="9" max="9" width="2.6640625" customWidth="1"/>
    <col min="10" max="10" width="16.33203125" customWidth="1"/>
  </cols>
  <sheetData>
    <row r="2" spans="1:11" ht="15.6" x14ac:dyDescent="0.3">
      <c r="B2" s="504" t="s">
        <v>106</v>
      </c>
      <c r="C2" s="505"/>
      <c r="D2" s="505"/>
      <c r="E2" s="502"/>
      <c r="F2" s="502"/>
      <c r="G2" s="506"/>
    </row>
    <row r="3" spans="1:11" ht="15.6" x14ac:dyDescent="0.3">
      <c r="B3" s="504" t="s">
        <v>107</v>
      </c>
      <c r="C3" s="505"/>
      <c r="D3" s="505"/>
      <c r="E3" s="502"/>
      <c r="F3" s="502"/>
      <c r="G3" s="506"/>
    </row>
    <row r="4" spans="1:11" ht="15.6" x14ac:dyDescent="0.3">
      <c r="B4" s="507" t="s">
        <v>154</v>
      </c>
      <c r="C4" s="505"/>
      <c r="D4" s="505"/>
      <c r="E4" s="502"/>
      <c r="F4" s="502"/>
      <c r="G4" s="506"/>
    </row>
    <row r="5" spans="1:11" x14ac:dyDescent="0.25">
      <c r="B5" s="502"/>
      <c r="C5" s="505"/>
      <c r="D5" s="505"/>
      <c r="E5" s="502"/>
      <c r="F5" s="502"/>
      <c r="G5" s="506"/>
      <c r="H5" s="502"/>
    </row>
    <row r="6" spans="1:11" x14ac:dyDescent="0.25">
      <c r="B6" s="502" t="s">
        <v>109</v>
      </c>
      <c r="C6" s="505"/>
      <c r="D6" s="505"/>
      <c r="E6" s="502"/>
      <c r="F6" s="502"/>
      <c r="H6" s="506">
        <v>199691.37</v>
      </c>
    </row>
    <row r="7" spans="1:11" x14ac:dyDescent="0.25">
      <c r="B7" s="502"/>
      <c r="C7" s="505"/>
      <c r="D7" s="505"/>
      <c r="E7" s="502"/>
      <c r="F7" s="502"/>
      <c r="H7" s="506"/>
    </row>
    <row r="8" spans="1:11" x14ac:dyDescent="0.25">
      <c r="B8" s="502" t="s">
        <v>110</v>
      </c>
      <c r="C8" s="505"/>
      <c r="D8" s="505"/>
      <c r="E8" s="502"/>
      <c r="F8" s="502"/>
      <c r="H8" s="502">
        <v>-46009.67</v>
      </c>
      <c r="J8" s="502"/>
    </row>
    <row r="9" spans="1:11" x14ac:dyDescent="0.25">
      <c r="B9" s="502"/>
      <c r="C9" s="505"/>
      <c r="D9" s="505"/>
      <c r="E9" s="502"/>
      <c r="F9" s="502"/>
      <c r="H9" s="501"/>
    </row>
    <row r="10" spans="1:11" x14ac:dyDescent="0.25">
      <c r="B10" s="502" t="s">
        <v>111</v>
      </c>
      <c r="C10" s="505"/>
      <c r="D10" s="505"/>
      <c r="E10" s="502"/>
      <c r="F10" s="502"/>
      <c r="H10" s="506">
        <f>+H8-H6</f>
        <v>-245701.03999999998</v>
      </c>
    </row>
    <row r="11" spans="1:11" x14ac:dyDescent="0.25">
      <c r="B11" s="502"/>
      <c r="C11" s="505"/>
      <c r="D11" s="505"/>
      <c r="E11" s="505"/>
      <c r="F11" s="502"/>
      <c r="H11" s="508"/>
    </row>
    <row r="12" spans="1:11" x14ac:dyDescent="0.25">
      <c r="E12" s="492"/>
      <c r="F12" s="502"/>
      <c r="G12" s="502"/>
      <c r="I12" s="509"/>
      <c r="J12" s="509"/>
    </row>
    <row r="13" spans="1:11" ht="26.4" x14ac:dyDescent="0.25">
      <c r="A13" s="510" t="s">
        <v>112</v>
      </c>
      <c r="B13" s="510" t="s">
        <v>113</v>
      </c>
      <c r="C13" s="510" t="s">
        <v>114</v>
      </c>
      <c r="D13" s="510" t="s">
        <v>115</v>
      </c>
      <c r="E13" s="510" t="s">
        <v>116</v>
      </c>
      <c r="F13" s="511" t="s">
        <v>117</v>
      </c>
      <c r="G13" s="502"/>
      <c r="I13" s="509"/>
      <c r="J13" s="509"/>
    </row>
    <row r="14" spans="1:11" x14ac:dyDescent="0.25">
      <c r="A14" s="510"/>
      <c r="B14" s="510"/>
      <c r="C14" s="510"/>
      <c r="D14" s="510"/>
      <c r="E14" s="510"/>
      <c r="F14" s="511"/>
      <c r="G14" s="502"/>
      <c r="I14" s="509"/>
      <c r="J14" s="509"/>
    </row>
    <row r="15" spans="1:11" x14ac:dyDescent="0.25">
      <c r="A15" s="492" t="s">
        <v>265</v>
      </c>
      <c r="B15" t="s">
        <v>118</v>
      </c>
      <c r="C15" t="s">
        <v>119</v>
      </c>
      <c r="D15" t="s">
        <v>120</v>
      </c>
      <c r="E15" s="492">
        <v>358913.1</v>
      </c>
      <c r="F15" s="496">
        <v>-1926</v>
      </c>
      <c r="G15" s="502">
        <f>SUM(F15)</f>
        <v>-1926</v>
      </c>
      <c r="I15" s="539"/>
      <c r="J15" s="541"/>
      <c r="K15" s="502"/>
    </row>
    <row r="16" spans="1:11" x14ac:dyDescent="0.25">
      <c r="E16" s="492"/>
      <c r="F16" s="496"/>
      <c r="G16" s="502"/>
      <c r="I16" s="539"/>
      <c r="J16" s="541"/>
      <c r="K16" s="502"/>
    </row>
    <row r="17" spans="1:11" x14ac:dyDescent="0.25">
      <c r="A17" s="492" t="s">
        <v>263</v>
      </c>
      <c r="B17" t="s">
        <v>118</v>
      </c>
      <c r="C17" t="s">
        <v>144</v>
      </c>
      <c r="D17" t="s">
        <v>120</v>
      </c>
      <c r="E17" s="492">
        <v>367982.1</v>
      </c>
      <c r="F17" s="496">
        <v>-5383.72</v>
      </c>
      <c r="G17" s="502"/>
      <c r="I17" s="539"/>
      <c r="J17" s="541"/>
      <c r="K17" s="502"/>
    </row>
    <row r="18" spans="1:11" x14ac:dyDescent="0.25">
      <c r="A18" s="492" t="s">
        <v>263</v>
      </c>
      <c r="B18" t="s">
        <v>118</v>
      </c>
      <c r="C18" t="s">
        <v>144</v>
      </c>
      <c r="D18" t="s">
        <v>120</v>
      </c>
      <c r="E18" s="492">
        <v>368286.1</v>
      </c>
      <c r="F18" s="496">
        <v>-32344.400000000001</v>
      </c>
      <c r="G18" s="502"/>
      <c r="I18" s="539"/>
      <c r="J18" s="541"/>
      <c r="K18" s="502"/>
    </row>
    <row r="19" spans="1:11" x14ac:dyDescent="0.25">
      <c r="A19" s="492" t="s">
        <v>263</v>
      </c>
      <c r="B19" t="s">
        <v>118</v>
      </c>
      <c r="C19" t="s">
        <v>144</v>
      </c>
      <c r="D19" t="s">
        <v>120</v>
      </c>
      <c r="E19" s="492">
        <v>368632.1</v>
      </c>
      <c r="F19" s="496">
        <v>-18838.2</v>
      </c>
      <c r="G19" s="502"/>
      <c r="I19" s="539"/>
      <c r="J19" s="541"/>
      <c r="K19" s="502"/>
    </row>
    <row r="20" spans="1:11" x14ac:dyDescent="0.25">
      <c r="A20" s="492" t="s">
        <v>263</v>
      </c>
      <c r="B20" t="s">
        <v>118</v>
      </c>
      <c r="C20" t="s">
        <v>144</v>
      </c>
      <c r="D20" t="s">
        <v>120</v>
      </c>
      <c r="E20" s="492">
        <v>368729.1</v>
      </c>
      <c r="F20" s="496">
        <v>-54259.72</v>
      </c>
      <c r="G20" s="502"/>
      <c r="I20" s="539"/>
      <c r="J20" s="541"/>
      <c r="K20" s="502"/>
    </row>
    <row r="21" spans="1:11" x14ac:dyDescent="0.25">
      <c r="A21" s="492" t="s">
        <v>263</v>
      </c>
      <c r="B21" t="s">
        <v>118</v>
      </c>
      <c r="C21" t="s">
        <v>144</v>
      </c>
      <c r="D21" t="s">
        <v>120</v>
      </c>
      <c r="E21" s="492">
        <v>368761.1</v>
      </c>
      <c r="F21" s="496">
        <v>-27863.7</v>
      </c>
      <c r="G21" s="502"/>
      <c r="I21" s="539"/>
      <c r="J21" s="541"/>
      <c r="K21" s="502"/>
    </row>
    <row r="22" spans="1:11" x14ac:dyDescent="0.25">
      <c r="A22" s="492" t="s">
        <v>263</v>
      </c>
      <c r="B22" t="s">
        <v>118</v>
      </c>
      <c r="C22" t="s">
        <v>144</v>
      </c>
      <c r="D22" t="s">
        <v>120</v>
      </c>
      <c r="E22" s="492">
        <v>368798.1</v>
      </c>
      <c r="F22" s="496">
        <v>-64820</v>
      </c>
      <c r="G22" s="502"/>
      <c r="I22" s="539"/>
      <c r="J22" s="541"/>
      <c r="K22" s="502"/>
    </row>
    <row r="23" spans="1:11" x14ac:dyDescent="0.25">
      <c r="A23" s="492" t="s">
        <v>263</v>
      </c>
      <c r="B23" t="s">
        <v>118</v>
      </c>
      <c r="C23" t="s">
        <v>144</v>
      </c>
      <c r="D23" t="s">
        <v>120</v>
      </c>
      <c r="E23" s="492">
        <v>369001.1</v>
      </c>
      <c r="F23" s="496">
        <v>0</v>
      </c>
      <c r="G23" s="502"/>
      <c r="I23" s="539"/>
      <c r="J23" s="541"/>
      <c r="K23" s="502"/>
    </row>
    <row r="24" spans="1:11" x14ac:dyDescent="0.25">
      <c r="A24" s="492" t="s">
        <v>263</v>
      </c>
      <c r="B24" t="s">
        <v>118</v>
      </c>
      <c r="C24" t="s">
        <v>144</v>
      </c>
      <c r="D24" t="s">
        <v>120</v>
      </c>
      <c r="E24" s="492">
        <v>369006.1</v>
      </c>
      <c r="F24" s="496">
        <v>-18769.57</v>
      </c>
      <c r="G24" s="502"/>
      <c r="I24" s="539"/>
      <c r="J24" s="541"/>
      <c r="K24" s="502"/>
    </row>
    <row r="25" spans="1:11" x14ac:dyDescent="0.25">
      <c r="A25" s="492" t="s">
        <v>263</v>
      </c>
      <c r="B25" t="s">
        <v>118</v>
      </c>
      <c r="C25" t="s">
        <v>144</v>
      </c>
      <c r="D25" t="s">
        <v>120</v>
      </c>
      <c r="E25" s="492">
        <v>369032.1</v>
      </c>
      <c r="F25" s="496">
        <v>-9607</v>
      </c>
      <c r="G25" s="502"/>
      <c r="I25" s="539"/>
      <c r="J25" s="541"/>
      <c r="K25" s="502"/>
    </row>
    <row r="26" spans="1:11" x14ac:dyDescent="0.25">
      <c r="A26" s="492" t="s">
        <v>263</v>
      </c>
      <c r="B26" t="s">
        <v>118</v>
      </c>
      <c r="C26" t="s">
        <v>144</v>
      </c>
      <c r="D26" t="s">
        <v>120</v>
      </c>
      <c r="E26" s="492">
        <v>369039.1</v>
      </c>
      <c r="F26" s="496">
        <v>-16399</v>
      </c>
      <c r="G26" s="502"/>
      <c r="I26" s="539"/>
      <c r="J26" s="541"/>
      <c r="K26" s="502"/>
    </row>
    <row r="27" spans="1:11" x14ac:dyDescent="0.25">
      <c r="A27" s="492" t="s">
        <v>263</v>
      </c>
      <c r="B27" t="s">
        <v>118</v>
      </c>
      <c r="C27" t="s">
        <v>144</v>
      </c>
      <c r="D27" t="s">
        <v>120</v>
      </c>
      <c r="E27" s="492">
        <v>369054.1</v>
      </c>
      <c r="F27" s="496">
        <v>-6532.27</v>
      </c>
      <c r="G27" s="502"/>
      <c r="I27" s="539"/>
      <c r="J27" s="541"/>
      <c r="K27" s="502"/>
    </row>
    <row r="28" spans="1:11" x14ac:dyDescent="0.25">
      <c r="A28" s="492" t="s">
        <v>263</v>
      </c>
      <c r="B28" t="s">
        <v>118</v>
      </c>
      <c r="C28" t="s">
        <v>144</v>
      </c>
      <c r="D28" t="s">
        <v>120</v>
      </c>
      <c r="E28" s="492">
        <v>369063.1</v>
      </c>
      <c r="F28" s="496">
        <v>-40364</v>
      </c>
      <c r="G28" s="502"/>
      <c r="I28" s="539"/>
      <c r="J28" s="541"/>
      <c r="K28" s="502"/>
    </row>
    <row r="29" spans="1:11" x14ac:dyDescent="0.25">
      <c r="A29" s="492" t="s">
        <v>265</v>
      </c>
      <c r="B29" t="s">
        <v>118</v>
      </c>
      <c r="C29" t="s">
        <v>144</v>
      </c>
      <c r="D29" t="s">
        <v>120</v>
      </c>
      <c r="E29" s="492">
        <v>368286.2</v>
      </c>
      <c r="F29" s="496">
        <v>7943.5</v>
      </c>
      <c r="G29" s="502"/>
      <c r="I29" s="539"/>
      <c r="J29" s="541"/>
      <c r="K29" s="502"/>
    </row>
    <row r="30" spans="1:11" x14ac:dyDescent="0.25">
      <c r="A30" s="492" t="s">
        <v>265</v>
      </c>
      <c r="B30" t="s">
        <v>118</v>
      </c>
      <c r="C30" t="s">
        <v>144</v>
      </c>
      <c r="D30" t="s">
        <v>155</v>
      </c>
      <c r="E30" s="492">
        <v>368286.3</v>
      </c>
      <c r="F30" s="496">
        <v>0</v>
      </c>
      <c r="G30" s="502"/>
      <c r="I30" s="539"/>
      <c r="J30" s="541"/>
      <c r="K30" s="502"/>
    </row>
    <row r="31" spans="1:11" x14ac:dyDescent="0.25">
      <c r="A31" s="492" t="s">
        <v>274</v>
      </c>
      <c r="B31" t="s">
        <v>118</v>
      </c>
      <c r="C31" t="s">
        <v>144</v>
      </c>
      <c r="D31" t="s">
        <v>120</v>
      </c>
      <c r="E31" s="492">
        <v>368085.1</v>
      </c>
      <c r="F31" s="496">
        <v>-436.62</v>
      </c>
      <c r="G31" s="502"/>
      <c r="I31" s="539"/>
      <c r="J31" s="541"/>
      <c r="K31" s="502"/>
    </row>
    <row r="32" spans="1:11" x14ac:dyDescent="0.25">
      <c r="A32" s="492" t="s">
        <v>274</v>
      </c>
      <c r="B32" t="s">
        <v>118</v>
      </c>
      <c r="C32" t="s">
        <v>144</v>
      </c>
      <c r="D32" t="s">
        <v>120</v>
      </c>
      <c r="E32" s="492">
        <v>368128.1</v>
      </c>
      <c r="F32" s="496">
        <v>-44.89</v>
      </c>
      <c r="G32" s="502"/>
      <c r="I32" s="539"/>
      <c r="J32" s="541"/>
      <c r="K32" s="502"/>
    </row>
    <row r="33" spans="1:11" x14ac:dyDescent="0.25">
      <c r="A33" s="492" t="s">
        <v>274</v>
      </c>
      <c r="B33" t="s">
        <v>118</v>
      </c>
      <c r="C33" t="s">
        <v>144</v>
      </c>
      <c r="D33" t="s">
        <v>120</v>
      </c>
      <c r="E33" s="492">
        <v>368246.1</v>
      </c>
      <c r="F33" s="496">
        <v>-393.5</v>
      </c>
      <c r="G33" s="502"/>
      <c r="I33" s="539"/>
      <c r="J33" s="541"/>
      <c r="K33" s="502"/>
    </row>
    <row r="34" spans="1:11" x14ac:dyDescent="0.25">
      <c r="A34" s="492" t="s">
        <v>274</v>
      </c>
      <c r="B34" t="s">
        <v>118</v>
      </c>
      <c r="C34" t="s">
        <v>144</v>
      </c>
      <c r="D34" t="s">
        <v>120</v>
      </c>
      <c r="E34" s="492">
        <v>368651.1</v>
      </c>
      <c r="F34" s="496">
        <v>-892.45</v>
      </c>
      <c r="G34" s="502"/>
      <c r="I34" s="539"/>
      <c r="J34" s="541"/>
      <c r="K34" s="502"/>
    </row>
    <row r="35" spans="1:11" x14ac:dyDescent="0.25">
      <c r="A35" s="492" t="s">
        <v>274</v>
      </c>
      <c r="B35" t="s">
        <v>118</v>
      </c>
      <c r="C35" t="s">
        <v>144</v>
      </c>
      <c r="D35" t="s">
        <v>120</v>
      </c>
      <c r="E35" s="492">
        <v>368652.1</v>
      </c>
      <c r="F35" s="496">
        <v>-4769</v>
      </c>
      <c r="G35" s="502"/>
      <c r="I35" s="539"/>
      <c r="J35" s="541"/>
      <c r="K35" s="502"/>
    </row>
    <row r="36" spans="1:11" x14ac:dyDescent="0.25">
      <c r="A36" s="492" t="s">
        <v>274</v>
      </c>
      <c r="B36" t="s">
        <v>118</v>
      </c>
      <c r="C36" t="s">
        <v>144</v>
      </c>
      <c r="D36" t="s">
        <v>120</v>
      </c>
      <c r="E36" s="492">
        <v>368716.1</v>
      </c>
      <c r="F36" s="496">
        <v>-1504.8</v>
      </c>
      <c r="G36" s="502"/>
      <c r="I36" s="539"/>
      <c r="J36" s="541"/>
      <c r="K36" s="502"/>
    </row>
    <row r="37" spans="1:11" x14ac:dyDescent="0.25">
      <c r="A37" s="492" t="s">
        <v>274</v>
      </c>
      <c r="B37" t="s">
        <v>118</v>
      </c>
      <c r="C37" t="s">
        <v>144</v>
      </c>
      <c r="D37" t="s">
        <v>120</v>
      </c>
      <c r="E37" s="492">
        <v>368735.1</v>
      </c>
      <c r="F37" s="496">
        <v>-1954.27</v>
      </c>
      <c r="G37" s="502"/>
      <c r="I37" s="539"/>
      <c r="J37" s="541"/>
      <c r="K37" s="502"/>
    </row>
    <row r="38" spans="1:11" x14ac:dyDescent="0.25">
      <c r="A38" s="492" t="s">
        <v>274</v>
      </c>
      <c r="B38" t="s">
        <v>118</v>
      </c>
      <c r="C38" t="s">
        <v>144</v>
      </c>
      <c r="D38" t="s">
        <v>120</v>
      </c>
      <c r="E38" s="492">
        <v>368744.1</v>
      </c>
      <c r="F38" s="496">
        <v>-6980</v>
      </c>
      <c r="G38" s="502"/>
      <c r="I38" s="539"/>
      <c r="J38" s="541"/>
      <c r="K38" s="502"/>
    </row>
    <row r="39" spans="1:11" x14ac:dyDescent="0.25">
      <c r="A39" s="492" t="s">
        <v>274</v>
      </c>
      <c r="B39" t="s">
        <v>118</v>
      </c>
      <c r="C39" t="s">
        <v>144</v>
      </c>
      <c r="D39" t="s">
        <v>120</v>
      </c>
      <c r="E39" s="492">
        <v>368746.1</v>
      </c>
      <c r="F39" s="496">
        <v>-3237.41</v>
      </c>
      <c r="G39" s="502"/>
      <c r="I39" s="539"/>
      <c r="J39" s="541"/>
      <c r="K39" s="502"/>
    </row>
    <row r="40" spans="1:11" x14ac:dyDescent="0.25">
      <c r="A40" s="492" t="s">
        <v>274</v>
      </c>
      <c r="B40" t="s">
        <v>118</v>
      </c>
      <c r="C40" t="s">
        <v>144</v>
      </c>
      <c r="D40" t="s">
        <v>120</v>
      </c>
      <c r="E40" s="492">
        <v>368869.1</v>
      </c>
      <c r="F40" s="496">
        <v>-2866.26</v>
      </c>
      <c r="G40" s="502"/>
      <c r="I40" s="539"/>
      <c r="J40" s="541"/>
      <c r="K40" s="502"/>
    </row>
    <row r="41" spans="1:11" x14ac:dyDescent="0.25">
      <c r="A41" s="492" t="s">
        <v>274</v>
      </c>
      <c r="B41" t="s">
        <v>118</v>
      </c>
      <c r="C41" t="s">
        <v>144</v>
      </c>
      <c r="D41" t="s">
        <v>120</v>
      </c>
      <c r="E41" s="492">
        <v>369004.1</v>
      </c>
      <c r="F41" s="496">
        <v>-960.84</v>
      </c>
      <c r="G41" s="502"/>
      <c r="I41" s="539"/>
      <c r="J41" s="541"/>
      <c r="K41" s="502"/>
    </row>
    <row r="42" spans="1:11" x14ac:dyDescent="0.25">
      <c r="A42" s="492" t="s">
        <v>274</v>
      </c>
      <c r="B42" t="s">
        <v>118</v>
      </c>
      <c r="C42" t="s">
        <v>144</v>
      </c>
      <c r="D42" t="s">
        <v>120</v>
      </c>
      <c r="E42" s="492">
        <v>369005.1</v>
      </c>
      <c r="F42" s="496">
        <v>-1375</v>
      </c>
      <c r="G42" s="502"/>
      <c r="I42" s="539"/>
      <c r="J42" s="541"/>
      <c r="K42" s="502"/>
    </row>
    <row r="43" spans="1:11" x14ac:dyDescent="0.25">
      <c r="A43" s="492" t="s">
        <v>274</v>
      </c>
      <c r="B43" t="s">
        <v>118</v>
      </c>
      <c r="C43" t="s">
        <v>144</v>
      </c>
      <c r="D43" t="s">
        <v>120</v>
      </c>
      <c r="E43" s="492">
        <v>369014.1</v>
      </c>
      <c r="F43" s="496">
        <v>-1712.61</v>
      </c>
      <c r="G43" s="502"/>
      <c r="I43" s="539"/>
      <c r="J43" s="541"/>
      <c r="K43" s="502"/>
    </row>
    <row r="44" spans="1:11" x14ac:dyDescent="0.25">
      <c r="A44" s="492" t="s">
        <v>274</v>
      </c>
      <c r="B44" t="s">
        <v>118</v>
      </c>
      <c r="C44" t="s">
        <v>144</v>
      </c>
      <c r="D44" t="s">
        <v>120</v>
      </c>
      <c r="E44" s="492">
        <v>369035.1</v>
      </c>
      <c r="F44" s="496">
        <v>-879.43</v>
      </c>
      <c r="G44" s="502"/>
      <c r="I44" s="539"/>
      <c r="J44" s="541"/>
      <c r="K44" s="502"/>
    </row>
    <row r="45" spans="1:11" x14ac:dyDescent="0.25">
      <c r="A45" s="492" t="s">
        <v>274</v>
      </c>
      <c r="B45" t="s">
        <v>118</v>
      </c>
      <c r="C45" t="s">
        <v>144</v>
      </c>
      <c r="D45" t="s">
        <v>120</v>
      </c>
      <c r="E45" s="492">
        <v>369050.1</v>
      </c>
      <c r="F45" s="496">
        <v>-1596</v>
      </c>
      <c r="G45" s="502"/>
      <c r="I45" s="539"/>
      <c r="J45" s="541"/>
      <c r="K45" s="502"/>
    </row>
    <row r="46" spans="1:11" x14ac:dyDescent="0.25">
      <c r="A46" s="492" t="s">
        <v>274</v>
      </c>
      <c r="B46" t="s">
        <v>118</v>
      </c>
      <c r="C46" t="s">
        <v>144</v>
      </c>
      <c r="D46" t="s">
        <v>120</v>
      </c>
      <c r="E46" s="492">
        <v>369062.1</v>
      </c>
      <c r="F46" s="496">
        <v>-1464.4</v>
      </c>
      <c r="G46" s="502"/>
      <c r="I46" s="539"/>
      <c r="J46" s="541"/>
      <c r="K46" s="502"/>
    </row>
    <row r="47" spans="1:11" x14ac:dyDescent="0.25">
      <c r="A47" s="492" t="s">
        <v>274</v>
      </c>
      <c r="B47" t="s">
        <v>118</v>
      </c>
      <c r="C47" t="s">
        <v>144</v>
      </c>
      <c r="D47" t="s">
        <v>120</v>
      </c>
      <c r="E47" s="492">
        <v>369080.1</v>
      </c>
      <c r="F47" s="496">
        <v>-3354.84</v>
      </c>
      <c r="G47" s="502"/>
      <c r="I47" s="539"/>
      <c r="J47" s="541"/>
      <c r="K47" s="502"/>
    </row>
    <row r="48" spans="1:11" x14ac:dyDescent="0.25">
      <c r="A48" s="492" t="s">
        <v>274</v>
      </c>
      <c r="B48" t="s">
        <v>118</v>
      </c>
      <c r="C48" t="s">
        <v>144</v>
      </c>
      <c r="D48" t="s">
        <v>120</v>
      </c>
      <c r="E48" s="492">
        <v>369084.1</v>
      </c>
      <c r="F48" s="496">
        <v>-3083</v>
      </c>
      <c r="G48" s="502">
        <f>SUM(F17:F48)</f>
        <v>-324743.40000000008</v>
      </c>
      <c r="I48" s="539"/>
      <c r="J48" s="541"/>
      <c r="K48" s="502"/>
    </row>
    <row r="49" spans="1:11" x14ac:dyDescent="0.25">
      <c r="E49" s="492"/>
      <c r="F49" s="496"/>
      <c r="G49" s="502"/>
      <c r="I49" s="539"/>
      <c r="J49" s="541"/>
      <c r="K49" s="502"/>
    </row>
    <row r="50" spans="1:11" x14ac:dyDescent="0.25">
      <c r="A50" s="492" t="s">
        <v>263</v>
      </c>
      <c r="B50" t="s">
        <v>118</v>
      </c>
      <c r="C50" t="s">
        <v>121</v>
      </c>
      <c r="D50" t="s">
        <v>123</v>
      </c>
      <c r="E50" s="492">
        <v>367383.1</v>
      </c>
      <c r="F50" s="496">
        <f>--18378</f>
        <v>18378</v>
      </c>
      <c r="G50" s="502"/>
      <c r="I50" s="539" t="s">
        <v>156</v>
      </c>
      <c r="J50" s="541"/>
      <c r="K50" s="502"/>
    </row>
    <row r="51" spans="1:11" x14ac:dyDescent="0.25">
      <c r="A51" s="492" t="s">
        <v>263</v>
      </c>
      <c r="B51" t="s">
        <v>118</v>
      </c>
      <c r="C51" t="s">
        <v>121</v>
      </c>
      <c r="D51" t="s">
        <v>123</v>
      </c>
      <c r="E51" s="492">
        <v>367474.1</v>
      </c>
      <c r="F51" s="496">
        <v>-44188.5</v>
      </c>
      <c r="G51" s="502"/>
      <c r="I51" s="539" t="s">
        <v>156</v>
      </c>
      <c r="J51" s="541"/>
      <c r="K51" s="502"/>
    </row>
    <row r="52" spans="1:11" x14ac:dyDescent="0.25">
      <c r="A52" s="492" t="s">
        <v>263</v>
      </c>
      <c r="B52" t="s">
        <v>118</v>
      </c>
      <c r="C52" t="s">
        <v>121</v>
      </c>
      <c r="D52" t="s">
        <v>120</v>
      </c>
      <c r="E52" s="492">
        <v>389119.1</v>
      </c>
      <c r="F52" s="496">
        <v>-208544.5</v>
      </c>
      <c r="G52" s="502"/>
      <c r="I52" s="539" t="s">
        <v>156</v>
      </c>
      <c r="J52" s="541"/>
      <c r="K52" s="502"/>
    </row>
    <row r="53" spans="1:11" x14ac:dyDescent="0.25">
      <c r="A53" s="492" t="s">
        <v>263</v>
      </c>
      <c r="B53" t="s">
        <v>118</v>
      </c>
      <c r="C53" t="s">
        <v>121</v>
      </c>
      <c r="D53" t="s">
        <v>120</v>
      </c>
      <c r="E53" s="492">
        <v>389119.13</v>
      </c>
      <c r="F53" s="496">
        <v>-23561.87</v>
      </c>
      <c r="G53" s="502"/>
      <c r="I53" s="539" t="s">
        <v>156</v>
      </c>
      <c r="J53" s="541"/>
      <c r="K53" s="502"/>
    </row>
    <row r="54" spans="1:11" x14ac:dyDescent="0.25">
      <c r="A54" s="492" t="s">
        <v>263</v>
      </c>
      <c r="B54" t="s">
        <v>118</v>
      </c>
      <c r="C54" t="s">
        <v>121</v>
      </c>
      <c r="D54" t="s">
        <v>157</v>
      </c>
      <c r="E54" s="492">
        <v>389119.3</v>
      </c>
      <c r="F54" s="496">
        <v>-613241.5</v>
      </c>
      <c r="G54" s="502"/>
      <c r="I54" s="539" t="s">
        <v>156</v>
      </c>
      <c r="J54" s="541"/>
      <c r="K54" s="502"/>
    </row>
    <row r="55" spans="1:11" x14ac:dyDescent="0.25">
      <c r="A55" s="492" t="s">
        <v>263</v>
      </c>
      <c r="B55" t="s">
        <v>118</v>
      </c>
      <c r="C55" t="s">
        <v>121</v>
      </c>
      <c r="D55" t="s">
        <v>120</v>
      </c>
      <c r="E55" s="492">
        <v>389119.4</v>
      </c>
      <c r="F55" s="496">
        <v>-117458.78</v>
      </c>
      <c r="G55" s="502"/>
      <c r="I55" s="539" t="s">
        <v>156</v>
      </c>
      <c r="J55" s="541"/>
      <c r="K55" s="502"/>
    </row>
    <row r="56" spans="1:11" x14ac:dyDescent="0.25">
      <c r="A56" s="492" t="s">
        <v>263</v>
      </c>
      <c r="B56" t="s">
        <v>118</v>
      </c>
      <c r="C56" t="s">
        <v>121</v>
      </c>
      <c r="D56" t="s">
        <v>120</v>
      </c>
      <c r="E56" s="492">
        <v>389119.5</v>
      </c>
      <c r="F56" s="496">
        <v>-268563.25</v>
      </c>
      <c r="G56" s="502"/>
      <c r="I56" s="539" t="s">
        <v>156</v>
      </c>
      <c r="J56" s="541"/>
      <c r="K56" s="502"/>
    </row>
    <row r="57" spans="1:11" x14ac:dyDescent="0.25">
      <c r="A57" s="492" t="s">
        <v>263</v>
      </c>
      <c r="B57" t="s">
        <v>118</v>
      </c>
      <c r="C57" t="s">
        <v>121</v>
      </c>
      <c r="D57" t="s">
        <v>123</v>
      </c>
      <c r="E57" s="492">
        <v>389119.7</v>
      </c>
      <c r="F57" s="496">
        <v>-166545.99</v>
      </c>
      <c r="G57" s="502"/>
      <c r="I57" s="539" t="s">
        <v>156</v>
      </c>
      <c r="J57" s="541"/>
      <c r="K57" s="502"/>
    </row>
    <row r="58" spans="1:11" x14ac:dyDescent="0.25">
      <c r="A58" s="492" t="s">
        <v>263</v>
      </c>
      <c r="B58" t="s">
        <v>118</v>
      </c>
      <c r="C58" t="s">
        <v>121</v>
      </c>
      <c r="D58" t="s">
        <v>120</v>
      </c>
      <c r="E58" s="492">
        <v>395267.1</v>
      </c>
      <c r="F58" s="496">
        <v>-7709.16</v>
      </c>
      <c r="G58" s="502"/>
      <c r="I58" s="539" t="s">
        <v>158</v>
      </c>
      <c r="J58" s="541"/>
      <c r="K58" s="502"/>
    </row>
    <row r="59" spans="1:11" x14ac:dyDescent="0.25">
      <c r="A59" s="492" t="s">
        <v>265</v>
      </c>
      <c r="B59" t="s">
        <v>118</v>
      </c>
      <c r="C59" t="s">
        <v>121</v>
      </c>
      <c r="D59" t="s">
        <v>123</v>
      </c>
      <c r="E59" s="492">
        <v>367476.1</v>
      </c>
      <c r="F59" s="496">
        <f>--67361.03</f>
        <v>67361.03</v>
      </c>
      <c r="G59" s="502"/>
      <c r="I59" s="539"/>
      <c r="J59" s="541"/>
      <c r="K59" s="502"/>
    </row>
    <row r="60" spans="1:11" x14ac:dyDescent="0.25">
      <c r="A60" s="492" t="s">
        <v>265</v>
      </c>
      <c r="B60" t="s">
        <v>118</v>
      </c>
      <c r="C60" t="s">
        <v>121</v>
      </c>
      <c r="D60" t="s">
        <v>120</v>
      </c>
      <c r="E60" s="492">
        <v>389119.1</v>
      </c>
      <c r="F60" s="496">
        <v>356972</v>
      </c>
      <c r="G60" s="502"/>
      <c r="I60" s="539" t="s">
        <v>156</v>
      </c>
      <c r="J60" s="541"/>
      <c r="K60" s="502"/>
    </row>
    <row r="61" spans="1:11" x14ac:dyDescent="0.25">
      <c r="A61" s="492" t="s">
        <v>265</v>
      </c>
      <c r="B61" t="s">
        <v>118</v>
      </c>
      <c r="C61" t="s">
        <v>121</v>
      </c>
      <c r="D61" t="s">
        <v>120</v>
      </c>
      <c r="E61" s="492">
        <v>389119.12</v>
      </c>
      <c r="F61" s="496">
        <v>24384</v>
      </c>
      <c r="G61" s="502"/>
      <c r="I61" s="539" t="s">
        <v>156</v>
      </c>
      <c r="J61" s="541"/>
      <c r="K61" s="502"/>
    </row>
    <row r="62" spans="1:11" x14ac:dyDescent="0.25">
      <c r="A62" s="492" t="s">
        <v>265</v>
      </c>
      <c r="B62" t="s">
        <v>118</v>
      </c>
      <c r="C62" t="s">
        <v>121</v>
      </c>
      <c r="D62" t="s">
        <v>123</v>
      </c>
      <c r="E62" s="492">
        <v>389119.2</v>
      </c>
      <c r="F62" s="496">
        <v>233079</v>
      </c>
      <c r="G62" s="502"/>
      <c r="I62" s="539" t="s">
        <v>156</v>
      </c>
      <c r="J62" s="541"/>
      <c r="K62" s="502"/>
    </row>
    <row r="63" spans="1:11" x14ac:dyDescent="0.25">
      <c r="A63" s="492" t="s">
        <v>265</v>
      </c>
      <c r="B63" t="s">
        <v>118</v>
      </c>
      <c r="C63" t="s">
        <v>121</v>
      </c>
      <c r="D63" t="s">
        <v>123</v>
      </c>
      <c r="E63" s="492">
        <v>389119.6</v>
      </c>
      <c r="F63" s="496">
        <v>140274.99</v>
      </c>
      <c r="G63" s="502"/>
      <c r="I63" s="539" t="s">
        <v>156</v>
      </c>
      <c r="J63" s="541"/>
      <c r="K63" s="502"/>
    </row>
    <row r="64" spans="1:11" x14ac:dyDescent="0.25">
      <c r="A64" s="492" t="s">
        <v>265</v>
      </c>
      <c r="B64" t="s">
        <v>118</v>
      </c>
      <c r="C64" t="s">
        <v>121</v>
      </c>
      <c r="D64" t="s">
        <v>157</v>
      </c>
      <c r="E64" s="492">
        <v>389119.8</v>
      </c>
      <c r="F64" s="496">
        <v>596471.31000000006</v>
      </c>
      <c r="G64" s="502"/>
      <c r="I64" s="539" t="s">
        <v>156</v>
      </c>
      <c r="J64" s="541"/>
      <c r="K64" s="502"/>
    </row>
    <row r="65" spans="1:11" x14ac:dyDescent="0.25">
      <c r="A65" s="492" t="s">
        <v>265</v>
      </c>
      <c r="B65" t="s">
        <v>118</v>
      </c>
      <c r="C65" t="s">
        <v>121</v>
      </c>
      <c r="D65" t="s">
        <v>120</v>
      </c>
      <c r="E65" s="492">
        <v>389119.9</v>
      </c>
      <c r="F65" s="496">
        <v>85565.49</v>
      </c>
      <c r="G65" s="502">
        <f>SUM(F50:F65)</f>
        <v>72672.270000000266</v>
      </c>
      <c r="I65" s="539" t="s">
        <v>156</v>
      </c>
      <c r="J65" s="541"/>
      <c r="K65" s="502"/>
    </row>
    <row r="66" spans="1:11" x14ac:dyDescent="0.25">
      <c r="E66" s="492"/>
      <c r="F66" s="496"/>
      <c r="G66" s="502"/>
      <c r="I66" s="539"/>
      <c r="J66" s="541"/>
      <c r="K66" s="502"/>
    </row>
    <row r="67" spans="1:11" x14ac:dyDescent="0.25">
      <c r="A67" s="492" t="s">
        <v>274</v>
      </c>
      <c r="B67" t="s">
        <v>118</v>
      </c>
      <c r="C67" t="s">
        <v>159</v>
      </c>
      <c r="D67" t="s">
        <v>155</v>
      </c>
      <c r="E67" s="492">
        <v>366536.1</v>
      </c>
      <c r="F67" s="496">
        <v>-1158.78</v>
      </c>
      <c r="G67" s="502"/>
      <c r="I67" s="539"/>
      <c r="J67" s="541"/>
      <c r="K67" s="502"/>
    </row>
    <row r="68" spans="1:11" x14ac:dyDescent="0.25">
      <c r="A68" s="492" t="s">
        <v>274</v>
      </c>
      <c r="B68" t="s">
        <v>118</v>
      </c>
      <c r="C68" t="s">
        <v>159</v>
      </c>
      <c r="D68" t="s">
        <v>155</v>
      </c>
      <c r="E68" s="492">
        <v>369003.1</v>
      </c>
      <c r="F68" s="496">
        <v>-909</v>
      </c>
      <c r="G68" s="502">
        <f>SUM(F67:F68)</f>
        <v>-2067.7799999999997</v>
      </c>
      <c r="H68" s="502">
        <f>SUM(F15:F68)</f>
        <v>-256064.90999999989</v>
      </c>
      <c r="I68" s="539"/>
      <c r="J68" s="541"/>
      <c r="K68" s="502"/>
    </row>
    <row r="69" spans="1:11" x14ac:dyDescent="0.25">
      <c r="E69" s="492"/>
      <c r="F69" s="496"/>
      <c r="G69" s="502"/>
      <c r="H69" s="502"/>
      <c r="I69" s="539"/>
      <c r="J69" s="517"/>
      <c r="K69" s="502"/>
    </row>
    <row r="70" spans="1:11" x14ac:dyDescent="0.25">
      <c r="F70" s="496"/>
      <c r="G70" s="502"/>
      <c r="I70" s="516"/>
      <c r="J70" s="502"/>
      <c r="K70" s="502"/>
    </row>
    <row r="71" spans="1:11" x14ac:dyDescent="0.25">
      <c r="A71" s="492" t="s">
        <v>274</v>
      </c>
      <c r="B71" t="s">
        <v>118</v>
      </c>
      <c r="C71" s="517" t="s">
        <v>125</v>
      </c>
      <c r="D71" s="518"/>
      <c r="E71" s="502"/>
      <c r="F71" s="502">
        <f>39573.1-34712.9</f>
        <v>4860.1999999999971</v>
      </c>
      <c r="H71" s="502"/>
      <c r="I71" s="502"/>
      <c r="J71" s="502"/>
      <c r="K71" s="496"/>
    </row>
    <row r="72" spans="1:11" x14ac:dyDescent="0.25">
      <c r="A72" s="492" t="s">
        <v>274</v>
      </c>
      <c r="B72" s="502" t="s">
        <v>118</v>
      </c>
      <c r="C72" s="518" t="s">
        <v>126</v>
      </c>
      <c r="D72" s="518"/>
      <c r="E72" s="502"/>
      <c r="F72" s="502">
        <v>-9527.0300000000007</v>
      </c>
      <c r="G72" s="496">
        <f>SUM(F71:F72)</f>
        <v>-4666.8300000000036</v>
      </c>
      <c r="H72" s="502"/>
      <c r="I72" s="502"/>
      <c r="J72" s="519"/>
      <c r="K72" s="496"/>
    </row>
    <row r="73" spans="1:11" x14ac:dyDescent="0.25">
      <c r="B73" s="502"/>
      <c r="C73" s="518"/>
      <c r="D73" s="518"/>
      <c r="E73" s="496"/>
      <c r="F73" s="496"/>
      <c r="G73" s="496"/>
      <c r="H73" s="496"/>
      <c r="I73" s="502"/>
      <c r="J73" s="519"/>
      <c r="K73" s="496"/>
    </row>
    <row r="74" spans="1:11" x14ac:dyDescent="0.25">
      <c r="B74" s="502"/>
      <c r="C74" s="518" t="s">
        <v>127</v>
      </c>
      <c r="D74" s="518"/>
      <c r="E74" s="496"/>
      <c r="F74" s="496"/>
      <c r="G74" s="496"/>
      <c r="H74" s="496"/>
      <c r="I74" s="502"/>
      <c r="J74" s="519"/>
      <c r="K74" s="496"/>
    </row>
    <row r="75" spans="1:11" x14ac:dyDescent="0.25">
      <c r="A75" s="492" t="s">
        <v>274</v>
      </c>
      <c r="B75" s="502" t="s">
        <v>118</v>
      </c>
      <c r="C75" s="518" t="s">
        <v>159</v>
      </c>
      <c r="D75" s="518" t="s">
        <v>152</v>
      </c>
      <c r="E75" s="520"/>
      <c r="F75" s="521">
        <v>-866</v>
      </c>
      <c r="H75" s="496">
        <f>+F75/SUM($F$75:$F$76)*$G$72</f>
        <v>-160.61180224933446</v>
      </c>
      <c r="I75" s="502"/>
      <c r="J75" s="519"/>
      <c r="K75" s="522"/>
    </row>
    <row r="76" spans="1:11" x14ac:dyDescent="0.25">
      <c r="A76" s="492" t="s">
        <v>274</v>
      </c>
      <c r="B76" s="502" t="s">
        <v>118</v>
      </c>
      <c r="C76" s="518" t="s">
        <v>144</v>
      </c>
      <c r="D76" s="518" t="s">
        <v>151</v>
      </c>
      <c r="E76" s="523"/>
      <c r="F76" s="521">
        <v>-24297</v>
      </c>
      <c r="H76" s="496">
        <f>+F76/SUM($F$75:$F$76)*$G$72</f>
        <v>-4506.2181977506689</v>
      </c>
      <c r="I76" s="502"/>
      <c r="J76" s="519"/>
      <c r="K76" s="522"/>
    </row>
    <row r="77" spans="1:11" x14ac:dyDescent="0.25">
      <c r="B77" s="502"/>
      <c r="C77" s="518"/>
      <c r="D77" s="518"/>
      <c r="E77" s="523"/>
      <c r="F77" s="521"/>
      <c r="H77" s="496"/>
      <c r="I77" s="502"/>
      <c r="J77" s="519"/>
      <c r="K77" s="522"/>
    </row>
    <row r="78" spans="1:11" x14ac:dyDescent="0.25">
      <c r="A78" s="492" t="s">
        <v>129</v>
      </c>
      <c r="B78" s="502" t="s">
        <v>118</v>
      </c>
      <c r="C78" s="518" t="s">
        <v>153</v>
      </c>
      <c r="D78" s="518"/>
      <c r="E78" s="523"/>
      <c r="F78" s="521"/>
      <c r="H78" s="496">
        <v>35.17</v>
      </c>
      <c r="I78" s="502"/>
      <c r="J78" s="519"/>
      <c r="K78" s="522"/>
    </row>
    <row r="79" spans="1:11" x14ac:dyDescent="0.25">
      <c r="A79" s="492" t="s">
        <v>129</v>
      </c>
      <c r="B79" s="502" t="s">
        <v>118</v>
      </c>
      <c r="C79" s="518" t="s">
        <v>160</v>
      </c>
      <c r="D79" s="518"/>
      <c r="E79" s="502"/>
      <c r="F79" s="502"/>
      <c r="G79" s="502"/>
      <c r="H79" s="502">
        <f>-65684.3+672.61-1</f>
        <v>-65012.69</v>
      </c>
      <c r="I79" s="502"/>
      <c r="J79" s="519"/>
      <c r="K79" s="496"/>
    </row>
    <row r="80" spans="1:11" x14ac:dyDescent="0.25">
      <c r="A80" s="492" t="s">
        <v>129</v>
      </c>
      <c r="B80" s="502" t="s">
        <v>118</v>
      </c>
      <c r="C80" s="518" t="s">
        <v>132</v>
      </c>
      <c r="D80" s="518"/>
      <c r="E80" s="523"/>
      <c r="G80" s="543"/>
      <c r="H80" s="496">
        <f>290870.06</f>
        <v>290870.06</v>
      </c>
      <c r="J80" s="519"/>
      <c r="K80" s="522"/>
    </row>
    <row r="81" spans="1:11" x14ac:dyDescent="0.25">
      <c r="A81" s="492" t="s">
        <v>129</v>
      </c>
      <c r="B81" s="502" t="s">
        <v>118</v>
      </c>
      <c r="C81" s="518" t="s">
        <v>133</v>
      </c>
      <c r="D81" s="518"/>
      <c r="E81" s="523"/>
      <c r="F81" s="523"/>
      <c r="G81" s="383"/>
      <c r="H81" s="496">
        <v>-210861.84</v>
      </c>
      <c r="J81" s="542"/>
      <c r="K81" s="522"/>
    </row>
    <row r="82" spans="1:11" hidden="1" x14ac:dyDescent="0.25">
      <c r="B82" t="s">
        <v>134</v>
      </c>
      <c r="F82" s="496"/>
      <c r="G82" s="502"/>
      <c r="H82" s="502"/>
      <c r="I82" s="516"/>
      <c r="J82" s="549"/>
      <c r="K82" s="522"/>
    </row>
    <row r="83" spans="1:11" x14ac:dyDescent="0.25">
      <c r="B83" s="502"/>
      <c r="C83" s="505"/>
      <c r="D83" s="505"/>
      <c r="E83" s="502"/>
      <c r="F83" s="502"/>
      <c r="H83" s="501">
        <f>SUM(H12:H82)</f>
        <v>-245701.03999999989</v>
      </c>
    </row>
    <row r="84" spans="1:11" ht="12.75" customHeight="1" x14ac:dyDescent="0.25">
      <c r="B84" s="502"/>
      <c r="C84" s="505"/>
      <c r="D84" s="505"/>
      <c r="E84" s="502"/>
      <c r="F84" s="502"/>
      <c r="H84" s="502"/>
    </row>
    <row r="85" spans="1:11" x14ac:dyDescent="0.25">
      <c r="B85" s="502"/>
      <c r="C85" s="505"/>
      <c r="D85" s="505"/>
      <c r="E85" s="502" t="s">
        <v>864</v>
      </c>
      <c r="F85" s="502"/>
      <c r="H85" s="501">
        <f>ROUND(+H10-H83,2)</f>
        <v>0</v>
      </c>
    </row>
    <row r="86" spans="1:11" ht="14.25" customHeight="1" x14ac:dyDescent="0.25">
      <c r="B86" s="502"/>
      <c r="C86" s="505"/>
      <c r="D86" s="505"/>
      <c r="E86" s="502"/>
      <c r="F86" s="502"/>
      <c r="G86" s="502"/>
    </row>
    <row r="87" spans="1:11" x14ac:dyDescent="0.25">
      <c r="B87" s="502"/>
      <c r="C87" s="505"/>
      <c r="D87" s="517" t="s">
        <v>136</v>
      </c>
      <c r="E87" s="502"/>
      <c r="F87" s="502"/>
      <c r="G87" s="502"/>
      <c r="H87" s="502">
        <f>+H83-H82</f>
        <v>-245701.03999999989</v>
      </c>
    </row>
    <row r="88" spans="1:11" x14ac:dyDescent="0.25">
      <c r="B88" s="502"/>
      <c r="C88" s="505"/>
      <c r="D88" s="517" t="s">
        <v>137</v>
      </c>
      <c r="E88" s="502"/>
      <c r="F88" s="502"/>
      <c r="G88" s="502"/>
      <c r="H88" s="502">
        <f>+H82</f>
        <v>0</v>
      </c>
      <c r="I88" s="502"/>
    </row>
    <row r="89" spans="1:11" x14ac:dyDescent="0.25">
      <c r="B89" s="502"/>
      <c r="C89" s="505"/>
      <c r="D89" s="505"/>
      <c r="E89" s="502"/>
      <c r="F89" s="502"/>
      <c r="G89" s="502"/>
      <c r="H89" s="501">
        <f>+H88+H87</f>
        <v>-245701.03999999989</v>
      </c>
    </row>
    <row r="90" spans="1:11" x14ac:dyDescent="0.25">
      <c r="B90" s="538"/>
      <c r="C90" s="505"/>
      <c r="D90" s="505"/>
      <c r="E90" s="502"/>
      <c r="F90" s="502"/>
      <c r="G90" s="502"/>
      <c r="H90" s="502"/>
    </row>
    <row r="91" spans="1:11" x14ac:dyDescent="0.25">
      <c r="B91" s="539" t="s">
        <v>158</v>
      </c>
    </row>
    <row r="92" spans="1:11" x14ac:dyDescent="0.25">
      <c r="B92" s="539" t="s">
        <v>161</v>
      </c>
    </row>
    <row r="93" spans="1:11" x14ac:dyDescent="0.25">
      <c r="B93" s="539"/>
      <c r="C93" s="505"/>
      <c r="D93" s="505"/>
      <c r="E93" s="502"/>
      <c r="F93" s="502"/>
      <c r="G93" s="502"/>
    </row>
    <row r="94" spans="1:11" x14ac:dyDescent="0.25">
      <c r="B94" s="582" t="str">
        <f ca="1">CELL("filename")</f>
        <v>O:\ClntSvc\Ksettle\ACCNTNG\FLASH\2000\0010\[2000010 flash REPORT.xls]Var. Rpt EPMI</v>
      </c>
      <c r="C94" s="582"/>
      <c r="D94" s="582"/>
      <c r="E94" s="582"/>
      <c r="F94" s="582"/>
      <c r="G94" s="582"/>
    </row>
    <row r="95" spans="1:11" x14ac:dyDescent="0.25">
      <c r="B95" s="538"/>
      <c r="C95" s="505"/>
      <c r="D95" s="505"/>
      <c r="E95" s="502"/>
      <c r="F95" s="502"/>
      <c r="G95" s="502"/>
    </row>
    <row r="96" spans="1:11" x14ac:dyDescent="0.25">
      <c r="B96" s="502"/>
      <c r="C96" s="505"/>
      <c r="D96" s="505"/>
      <c r="E96" s="502"/>
      <c r="F96" s="502"/>
      <c r="G96" s="502"/>
    </row>
    <row r="97" spans="2:7" x14ac:dyDescent="0.25">
      <c r="B97" s="502"/>
      <c r="C97" s="505"/>
      <c r="D97" s="505"/>
      <c r="E97" s="502"/>
      <c r="F97" s="502"/>
      <c r="G97" s="502"/>
    </row>
    <row r="98" spans="2:7" x14ac:dyDescent="0.25">
      <c r="B98" s="502"/>
      <c r="C98" s="505"/>
      <c r="D98" s="505"/>
      <c r="E98" s="502"/>
      <c r="F98" s="502"/>
      <c r="G98" s="502"/>
    </row>
    <row r="99" spans="2:7" x14ac:dyDescent="0.25">
      <c r="B99" s="502"/>
      <c r="C99" s="505"/>
      <c r="D99" s="505"/>
      <c r="E99" s="502"/>
      <c r="F99" s="502"/>
      <c r="G99" s="502"/>
    </row>
    <row r="100" spans="2:7" x14ac:dyDescent="0.25">
      <c r="B100" s="502"/>
      <c r="C100" s="505"/>
      <c r="D100" s="505"/>
      <c r="E100" s="502"/>
      <c r="F100" s="502"/>
      <c r="G100" s="502"/>
    </row>
    <row r="101" spans="2:7" x14ac:dyDescent="0.25">
      <c r="B101" s="502"/>
      <c r="C101" s="505"/>
      <c r="D101" s="505"/>
      <c r="E101" s="502"/>
      <c r="F101" s="502"/>
      <c r="G101" s="502"/>
    </row>
    <row r="102" spans="2:7" x14ac:dyDescent="0.25">
      <c r="B102" s="502"/>
      <c r="C102" s="505"/>
      <c r="D102" s="505"/>
      <c r="E102" s="502"/>
      <c r="F102" s="502"/>
      <c r="G102" s="502"/>
    </row>
    <row r="103" spans="2:7" x14ac:dyDescent="0.25">
      <c r="B103" s="502"/>
      <c r="C103" s="505"/>
      <c r="D103" s="505"/>
      <c r="E103" s="502"/>
      <c r="F103" s="502"/>
      <c r="G103" s="502"/>
    </row>
    <row r="104" spans="2:7" x14ac:dyDescent="0.25">
      <c r="B104" s="502"/>
      <c r="C104" s="505"/>
      <c r="D104" s="505"/>
      <c r="E104" s="502"/>
      <c r="F104" s="502"/>
      <c r="G104" s="502"/>
    </row>
    <row r="105" spans="2:7" x14ac:dyDescent="0.25">
      <c r="B105" s="502"/>
      <c r="C105" s="505"/>
      <c r="D105" s="505"/>
      <c r="E105" s="502"/>
      <c r="F105" s="502"/>
      <c r="G105" s="502"/>
    </row>
    <row r="106" spans="2:7" x14ac:dyDescent="0.25">
      <c r="B106" s="502"/>
      <c r="C106" s="505"/>
      <c r="D106" s="505"/>
      <c r="E106" s="502"/>
      <c r="F106" s="502"/>
      <c r="G106" s="502"/>
    </row>
    <row r="107" spans="2:7" x14ac:dyDescent="0.25">
      <c r="B107" s="502"/>
      <c r="C107" s="505"/>
      <c r="D107" s="505"/>
      <c r="E107" s="502"/>
      <c r="F107" s="502"/>
      <c r="G107" s="502"/>
    </row>
    <row r="108" spans="2:7" x14ac:dyDescent="0.25">
      <c r="B108" s="502"/>
      <c r="C108" s="505"/>
      <c r="D108" s="505"/>
      <c r="E108" s="502"/>
      <c r="F108" s="502"/>
      <c r="G108" s="502"/>
    </row>
    <row r="109" spans="2:7" x14ac:dyDescent="0.25">
      <c r="B109" s="502"/>
      <c r="C109" s="505"/>
      <c r="D109" s="505"/>
      <c r="E109" s="502"/>
      <c r="F109" s="502"/>
      <c r="G109" s="502"/>
    </row>
    <row r="110" spans="2:7" x14ac:dyDescent="0.25">
      <c r="B110" s="502"/>
      <c r="C110" s="505"/>
      <c r="D110" s="505"/>
      <c r="E110" s="502"/>
      <c r="F110" s="502"/>
      <c r="G110" s="502"/>
    </row>
    <row r="111" spans="2:7" x14ac:dyDescent="0.25">
      <c r="B111" s="502"/>
      <c r="C111" s="505"/>
      <c r="D111" s="505"/>
      <c r="E111" s="502"/>
      <c r="F111" s="502"/>
      <c r="G111" s="502"/>
    </row>
    <row r="112" spans="2:7" x14ac:dyDescent="0.25">
      <c r="B112" s="502"/>
      <c r="C112" s="505"/>
      <c r="D112" s="505"/>
      <c r="E112" s="502"/>
      <c r="F112" s="502"/>
      <c r="G112" s="502"/>
    </row>
    <row r="113" spans="2:7" x14ac:dyDescent="0.25">
      <c r="B113" s="502"/>
      <c r="C113" s="505"/>
      <c r="D113" s="505"/>
      <c r="E113" s="502"/>
      <c r="F113" s="502"/>
      <c r="G113" s="502"/>
    </row>
    <row r="114" spans="2:7" x14ac:dyDescent="0.25">
      <c r="B114" s="502"/>
      <c r="C114" s="505"/>
      <c r="D114" s="505"/>
      <c r="E114" s="502"/>
      <c r="F114" s="502"/>
      <c r="G114" s="502"/>
    </row>
    <row r="115" spans="2:7" x14ac:dyDescent="0.25">
      <c r="B115" s="502"/>
      <c r="C115" s="505"/>
      <c r="D115" s="505"/>
      <c r="E115" s="502"/>
      <c r="F115" s="502"/>
      <c r="G115" s="502"/>
    </row>
    <row r="116" spans="2:7" x14ac:dyDescent="0.25">
      <c r="B116" s="502"/>
      <c r="C116" s="505"/>
      <c r="D116" s="505"/>
      <c r="E116" s="502"/>
      <c r="F116" s="502"/>
      <c r="G116" s="502"/>
    </row>
    <row r="117" spans="2:7" x14ac:dyDescent="0.25">
      <c r="B117" s="502"/>
      <c r="C117" s="505"/>
      <c r="D117" s="505"/>
      <c r="E117" s="502"/>
      <c r="F117" s="502"/>
      <c r="G117" s="502"/>
    </row>
    <row r="118" spans="2:7" x14ac:dyDescent="0.25">
      <c r="B118" s="502"/>
      <c r="C118" s="505"/>
      <c r="D118" s="505"/>
      <c r="E118" s="502"/>
      <c r="F118" s="502"/>
      <c r="G118" s="502"/>
    </row>
    <row r="119" spans="2:7" x14ac:dyDescent="0.25">
      <c r="B119" s="502"/>
      <c r="C119" s="505"/>
      <c r="D119" s="505"/>
      <c r="E119" s="502"/>
      <c r="F119" s="502"/>
      <c r="G119" s="502"/>
    </row>
    <row r="120" spans="2:7" x14ac:dyDescent="0.25">
      <c r="B120" s="502"/>
      <c r="C120" s="505"/>
      <c r="D120" s="505"/>
      <c r="E120" s="502"/>
      <c r="F120" s="502"/>
      <c r="G120" s="502"/>
    </row>
    <row r="121" spans="2:7" x14ac:dyDescent="0.25">
      <c r="B121" s="502"/>
      <c r="C121" s="505"/>
      <c r="D121" s="505"/>
      <c r="E121" s="502"/>
      <c r="F121" s="502"/>
      <c r="G121" s="502"/>
    </row>
    <row r="122" spans="2:7" x14ac:dyDescent="0.25">
      <c r="B122" s="502"/>
      <c r="C122" s="505"/>
      <c r="D122" s="505"/>
      <c r="E122" s="502"/>
      <c r="F122" s="502"/>
      <c r="G122" s="502"/>
    </row>
    <row r="123" spans="2:7" x14ac:dyDescent="0.25">
      <c r="B123" s="502"/>
      <c r="C123" s="505"/>
      <c r="D123" s="505"/>
      <c r="E123" s="502"/>
      <c r="F123" s="502"/>
      <c r="G123" s="502"/>
    </row>
    <row r="124" spans="2:7" x14ac:dyDescent="0.25">
      <c r="B124" s="502"/>
      <c r="C124" s="505"/>
      <c r="D124" s="505"/>
      <c r="E124" s="502"/>
      <c r="F124" s="502"/>
      <c r="G124" s="502"/>
    </row>
    <row r="125" spans="2:7" x14ac:dyDescent="0.25">
      <c r="B125" s="502"/>
      <c r="C125" s="505"/>
      <c r="D125" s="505"/>
      <c r="E125" s="502"/>
      <c r="F125" s="502"/>
      <c r="G125" s="502"/>
    </row>
    <row r="126" spans="2:7" x14ac:dyDescent="0.25">
      <c r="B126" s="502"/>
      <c r="C126" s="505"/>
      <c r="D126" s="505"/>
      <c r="E126" s="502"/>
      <c r="F126" s="502"/>
      <c r="G126" s="502"/>
    </row>
    <row r="127" spans="2:7" x14ac:dyDescent="0.25">
      <c r="B127" s="502"/>
      <c r="C127" s="505"/>
      <c r="D127" s="505"/>
      <c r="E127" s="502"/>
      <c r="F127" s="502"/>
      <c r="G127" s="502"/>
    </row>
    <row r="128" spans="2:7" x14ac:dyDescent="0.25">
      <c r="B128" s="502"/>
      <c r="C128" s="505"/>
      <c r="D128" s="505"/>
      <c r="E128" s="502"/>
      <c r="F128" s="502"/>
      <c r="G128" s="502"/>
    </row>
    <row r="129" spans="2:7" x14ac:dyDescent="0.25">
      <c r="B129" s="502"/>
      <c r="C129" s="505"/>
      <c r="D129" s="505"/>
      <c r="E129" s="502"/>
      <c r="F129" s="502"/>
      <c r="G129" s="502"/>
    </row>
    <row r="130" spans="2:7" x14ac:dyDescent="0.25">
      <c r="B130" s="502"/>
      <c r="C130" s="505"/>
      <c r="D130" s="505"/>
      <c r="E130" s="502"/>
      <c r="F130" s="502"/>
      <c r="G130" s="502"/>
    </row>
    <row r="131" spans="2:7" x14ac:dyDescent="0.25">
      <c r="B131" s="502"/>
      <c r="C131" s="505"/>
      <c r="D131" s="505"/>
      <c r="E131" s="502"/>
      <c r="F131" s="502"/>
      <c r="G131" s="502"/>
    </row>
    <row r="132" spans="2:7" x14ac:dyDescent="0.25">
      <c r="B132" s="502"/>
      <c r="C132" s="505"/>
      <c r="D132" s="505"/>
      <c r="E132" s="502"/>
      <c r="F132" s="502"/>
      <c r="G132" s="502"/>
    </row>
    <row r="133" spans="2:7" x14ac:dyDescent="0.25">
      <c r="B133" s="502"/>
      <c r="C133" s="505"/>
      <c r="D133" s="505"/>
      <c r="E133" s="502"/>
      <c r="F133" s="502"/>
      <c r="G133" s="502"/>
    </row>
    <row r="134" spans="2:7" x14ac:dyDescent="0.25">
      <c r="B134" s="502"/>
      <c r="C134" s="505"/>
      <c r="D134" s="505"/>
      <c r="E134" s="502"/>
      <c r="F134" s="502"/>
      <c r="G134" s="502"/>
    </row>
    <row r="135" spans="2:7" x14ac:dyDescent="0.25">
      <c r="B135" s="502"/>
      <c r="C135" s="505"/>
      <c r="D135" s="505"/>
      <c r="E135" s="502"/>
      <c r="F135" s="502"/>
      <c r="G135" s="502"/>
    </row>
    <row r="136" spans="2:7" x14ac:dyDescent="0.25">
      <c r="B136" s="502"/>
      <c r="C136" s="505"/>
      <c r="D136" s="505"/>
      <c r="E136" s="502"/>
      <c r="F136" s="502"/>
      <c r="G136" s="502"/>
    </row>
    <row r="137" spans="2:7" x14ac:dyDescent="0.25">
      <c r="B137" s="502"/>
      <c r="C137" s="505"/>
      <c r="D137" s="505"/>
      <c r="E137" s="502"/>
      <c r="F137" s="502"/>
      <c r="G137" s="502"/>
    </row>
    <row r="138" spans="2:7" x14ac:dyDescent="0.25">
      <c r="B138" s="502"/>
      <c r="C138" s="505"/>
      <c r="D138" s="505"/>
      <c r="E138" s="502"/>
      <c r="F138" s="502"/>
      <c r="G138" s="502"/>
    </row>
    <row r="139" spans="2:7" x14ac:dyDescent="0.25">
      <c r="B139" s="502"/>
      <c r="C139" s="505"/>
      <c r="D139" s="505"/>
      <c r="E139" s="502"/>
      <c r="F139" s="502"/>
      <c r="G139" s="502"/>
    </row>
    <row r="140" spans="2:7" x14ac:dyDescent="0.25">
      <c r="B140" s="502"/>
      <c r="C140" s="505"/>
      <c r="D140" s="505"/>
      <c r="E140" s="502"/>
      <c r="F140" s="502"/>
      <c r="G140" s="502"/>
    </row>
    <row r="141" spans="2:7" x14ac:dyDescent="0.25">
      <c r="B141" s="502"/>
      <c r="C141" s="505"/>
      <c r="D141" s="505"/>
      <c r="E141" s="502"/>
      <c r="F141" s="502"/>
      <c r="G141" s="502"/>
    </row>
    <row r="142" spans="2:7" x14ac:dyDescent="0.25">
      <c r="B142" s="502"/>
      <c r="C142" s="505"/>
      <c r="D142" s="505"/>
      <c r="E142" s="502"/>
      <c r="F142" s="502"/>
      <c r="G142" s="502"/>
    </row>
    <row r="143" spans="2:7" x14ac:dyDescent="0.25">
      <c r="B143" s="502"/>
      <c r="C143" s="505"/>
      <c r="D143" s="505"/>
      <c r="E143" s="502"/>
      <c r="F143" s="502"/>
      <c r="G143" s="502"/>
    </row>
    <row r="144" spans="2:7" x14ac:dyDescent="0.25">
      <c r="B144" s="502"/>
      <c r="C144" s="505"/>
      <c r="D144" s="505"/>
      <c r="E144" s="502"/>
      <c r="F144" s="502"/>
      <c r="G144" s="502"/>
    </row>
    <row r="145" spans="2:7" x14ac:dyDescent="0.25">
      <c r="B145" s="502"/>
      <c r="C145" s="505"/>
      <c r="D145" s="505"/>
      <c r="E145" s="502"/>
      <c r="F145" s="502"/>
      <c r="G145" s="502"/>
    </row>
    <row r="146" spans="2:7" x14ac:dyDescent="0.25">
      <c r="B146" s="502"/>
      <c r="C146" s="505"/>
      <c r="D146" s="505"/>
      <c r="E146" s="502"/>
      <c r="F146" s="502"/>
      <c r="G146" s="502"/>
    </row>
    <row r="147" spans="2:7" x14ac:dyDescent="0.25">
      <c r="B147" s="502"/>
      <c r="C147" s="505"/>
      <c r="D147" s="505"/>
      <c r="E147" s="502"/>
      <c r="F147" s="502"/>
      <c r="G147" s="502"/>
    </row>
    <row r="148" spans="2:7" x14ac:dyDescent="0.25">
      <c r="B148" s="502"/>
      <c r="C148" s="505"/>
      <c r="D148" s="505"/>
      <c r="E148" s="502"/>
      <c r="F148" s="502"/>
      <c r="G148" s="502"/>
    </row>
    <row r="149" spans="2:7" x14ac:dyDescent="0.25">
      <c r="B149" s="502"/>
      <c r="C149" s="505"/>
      <c r="D149" s="505"/>
      <c r="E149" s="502"/>
      <c r="F149" s="502"/>
      <c r="G149" s="502"/>
    </row>
    <row r="150" spans="2:7" x14ac:dyDescent="0.25">
      <c r="B150" s="502"/>
      <c r="C150" s="505"/>
      <c r="D150" s="505"/>
      <c r="E150" s="502"/>
      <c r="F150" s="502"/>
      <c r="G150" s="502"/>
    </row>
    <row r="151" spans="2:7" x14ac:dyDescent="0.25">
      <c r="B151" s="502"/>
      <c r="C151" s="505"/>
      <c r="D151" s="505"/>
      <c r="E151" s="502"/>
      <c r="F151" s="502"/>
      <c r="G151" s="502"/>
    </row>
    <row r="152" spans="2:7" x14ac:dyDescent="0.25">
      <c r="B152" s="502"/>
      <c r="C152" s="505"/>
      <c r="D152" s="505"/>
      <c r="E152" s="502"/>
      <c r="F152" s="502"/>
      <c r="G152" s="502"/>
    </row>
    <row r="153" spans="2:7" x14ac:dyDescent="0.25">
      <c r="B153" s="502"/>
      <c r="C153" s="505"/>
      <c r="D153" s="505"/>
      <c r="E153" s="502"/>
      <c r="F153" s="502"/>
      <c r="G153" s="502"/>
    </row>
    <row r="154" spans="2:7" x14ac:dyDescent="0.25">
      <c r="B154" s="502"/>
      <c r="C154" s="505"/>
      <c r="D154" s="505"/>
      <c r="E154" s="502"/>
      <c r="F154" s="502"/>
      <c r="G154" s="502"/>
    </row>
    <row r="155" spans="2:7" x14ac:dyDescent="0.25">
      <c r="B155" s="502"/>
      <c r="C155" s="505"/>
      <c r="D155" s="505"/>
      <c r="E155" s="502"/>
      <c r="F155" s="502"/>
      <c r="G155" s="502"/>
    </row>
    <row r="156" spans="2:7" x14ac:dyDescent="0.25">
      <c r="B156" s="502"/>
      <c r="C156" s="505"/>
      <c r="D156" s="505"/>
      <c r="E156" s="502"/>
      <c r="F156" s="502"/>
      <c r="G156" s="502"/>
    </row>
    <row r="157" spans="2:7" x14ac:dyDescent="0.25">
      <c r="B157" s="502"/>
      <c r="C157" s="505"/>
      <c r="D157" s="505"/>
      <c r="E157" s="502"/>
      <c r="F157" s="502"/>
      <c r="G157" s="502"/>
    </row>
    <row r="158" spans="2:7" x14ac:dyDescent="0.25">
      <c r="B158" s="502"/>
      <c r="C158" s="505"/>
      <c r="D158" s="505"/>
      <c r="E158" s="502"/>
      <c r="F158" s="502"/>
      <c r="G158" s="502"/>
    </row>
    <row r="159" spans="2:7" x14ac:dyDescent="0.25">
      <c r="B159" s="502"/>
      <c r="C159" s="505"/>
      <c r="D159" s="505"/>
      <c r="E159" s="502"/>
      <c r="F159" s="502"/>
      <c r="G159" s="502"/>
    </row>
    <row r="160" spans="2:7" x14ac:dyDescent="0.25">
      <c r="B160" s="502"/>
      <c r="C160" s="505"/>
      <c r="D160" s="505"/>
      <c r="E160" s="502"/>
      <c r="F160" s="502"/>
      <c r="G160" s="502"/>
    </row>
    <row r="161" spans="2:7" x14ac:dyDescent="0.25">
      <c r="B161" s="502"/>
      <c r="C161" s="505"/>
      <c r="D161" s="505"/>
      <c r="E161" s="502"/>
      <c r="F161" s="502"/>
      <c r="G161" s="502"/>
    </row>
    <row r="162" spans="2:7" x14ac:dyDescent="0.25">
      <c r="B162" s="502"/>
      <c r="C162" s="505"/>
      <c r="D162" s="505"/>
      <c r="E162" s="502"/>
      <c r="F162" s="502"/>
      <c r="G162" s="502"/>
    </row>
    <row r="163" spans="2:7" x14ac:dyDescent="0.25">
      <c r="B163" s="502"/>
      <c r="C163" s="505"/>
      <c r="D163" s="505"/>
      <c r="E163" s="502"/>
      <c r="F163" s="502"/>
      <c r="G163" s="502"/>
    </row>
    <row r="164" spans="2:7" x14ac:dyDescent="0.25">
      <c r="B164" s="502"/>
      <c r="C164" s="505"/>
      <c r="D164" s="505"/>
      <c r="E164" s="502"/>
      <c r="F164" s="502"/>
      <c r="G164" s="502"/>
    </row>
    <row r="165" spans="2:7" x14ac:dyDescent="0.25">
      <c r="B165" s="502"/>
      <c r="C165" s="505"/>
      <c r="D165" s="505"/>
      <c r="E165" s="502"/>
      <c r="F165" s="502"/>
      <c r="G165" s="502"/>
    </row>
    <row r="166" spans="2:7" x14ac:dyDescent="0.25">
      <c r="B166" s="502"/>
      <c r="C166" s="505"/>
      <c r="D166" s="505"/>
      <c r="E166" s="502"/>
      <c r="F166" s="502"/>
      <c r="G166" s="502"/>
    </row>
    <row r="167" spans="2:7" x14ac:dyDescent="0.25">
      <c r="B167" s="502"/>
      <c r="C167" s="505"/>
      <c r="D167" s="505"/>
      <c r="E167" s="502"/>
      <c r="F167" s="502"/>
      <c r="G167" s="502"/>
    </row>
    <row r="168" spans="2:7" x14ac:dyDescent="0.25">
      <c r="B168" s="502"/>
      <c r="C168" s="505"/>
      <c r="D168" s="505"/>
      <c r="E168" s="502"/>
      <c r="F168" s="502"/>
      <c r="G168" s="502"/>
    </row>
    <row r="169" spans="2:7" x14ac:dyDescent="0.25">
      <c r="B169" s="502"/>
      <c r="C169" s="505"/>
      <c r="D169" s="505"/>
      <c r="E169" s="502"/>
      <c r="F169" s="502"/>
      <c r="G169" s="502"/>
    </row>
    <row r="170" spans="2:7" x14ac:dyDescent="0.25">
      <c r="B170" s="502"/>
      <c r="C170" s="505"/>
      <c r="D170" s="505"/>
      <c r="E170" s="502"/>
      <c r="F170" s="502"/>
      <c r="G170" s="502"/>
    </row>
    <row r="171" spans="2:7" x14ac:dyDescent="0.25">
      <c r="B171" s="502"/>
      <c r="C171" s="505"/>
      <c r="D171" s="505"/>
      <c r="E171" s="502"/>
      <c r="F171" s="502"/>
      <c r="G171" s="502"/>
    </row>
    <row r="172" spans="2:7" x14ac:dyDescent="0.25">
      <c r="B172" s="502"/>
      <c r="C172" s="505"/>
      <c r="D172" s="505"/>
      <c r="E172" s="502"/>
      <c r="F172" s="502"/>
      <c r="G172" s="502"/>
    </row>
    <row r="173" spans="2:7" x14ac:dyDescent="0.25">
      <c r="B173" s="502"/>
      <c r="C173" s="505"/>
      <c r="D173" s="505"/>
      <c r="E173" s="502"/>
      <c r="F173" s="502"/>
      <c r="G173" s="502"/>
    </row>
    <row r="174" spans="2:7" x14ac:dyDescent="0.25">
      <c r="B174" s="502"/>
      <c r="C174" s="505"/>
      <c r="D174" s="505"/>
      <c r="E174" s="502"/>
      <c r="F174" s="502"/>
      <c r="G174" s="502"/>
    </row>
    <row r="175" spans="2:7" x14ac:dyDescent="0.25">
      <c r="B175" s="502"/>
      <c r="C175" s="505"/>
      <c r="D175" s="505"/>
      <c r="E175" s="502"/>
      <c r="F175" s="502"/>
      <c r="G175" s="502"/>
    </row>
    <row r="176" spans="2:7" x14ac:dyDescent="0.25">
      <c r="B176" s="502"/>
      <c r="C176" s="505"/>
      <c r="D176" s="505"/>
      <c r="E176" s="502"/>
      <c r="F176" s="502"/>
      <c r="G176" s="502"/>
    </row>
    <row r="177" spans="2:7" x14ac:dyDescent="0.25">
      <c r="B177" s="502"/>
      <c r="C177" s="505"/>
      <c r="D177" s="505"/>
      <c r="E177" s="502"/>
      <c r="F177" s="502"/>
      <c r="G177" s="502"/>
    </row>
    <row r="178" spans="2:7" x14ac:dyDescent="0.25">
      <c r="B178" s="502"/>
      <c r="C178" s="505"/>
      <c r="D178" s="505"/>
      <c r="E178" s="502"/>
      <c r="F178" s="502"/>
      <c r="G178" s="502"/>
    </row>
    <row r="179" spans="2:7" x14ac:dyDescent="0.25">
      <c r="B179" s="502"/>
      <c r="C179" s="505"/>
      <c r="D179" s="505"/>
      <c r="E179" s="502"/>
      <c r="F179" s="502"/>
      <c r="G179" s="502"/>
    </row>
    <row r="180" spans="2:7" x14ac:dyDescent="0.25">
      <c r="B180" s="502"/>
      <c r="C180" s="505"/>
      <c r="D180" s="505"/>
      <c r="E180" s="502"/>
      <c r="F180" s="502"/>
      <c r="G180" s="502"/>
    </row>
    <row r="181" spans="2:7" x14ac:dyDescent="0.25">
      <c r="B181" s="502"/>
      <c r="C181" s="505"/>
      <c r="D181" s="505"/>
      <c r="E181" s="502"/>
      <c r="F181" s="502"/>
      <c r="G181" s="502"/>
    </row>
    <row r="182" spans="2:7" x14ac:dyDescent="0.25">
      <c r="B182" s="502"/>
      <c r="C182" s="505"/>
      <c r="D182" s="505"/>
      <c r="E182" s="502"/>
      <c r="F182" s="502"/>
      <c r="G182" s="502"/>
    </row>
    <row r="183" spans="2:7" x14ac:dyDescent="0.25">
      <c r="B183" s="502"/>
      <c r="C183" s="505"/>
      <c r="D183" s="505"/>
      <c r="E183" s="502"/>
      <c r="F183" s="502"/>
      <c r="G183" s="502"/>
    </row>
    <row r="184" spans="2:7" x14ac:dyDescent="0.25">
      <c r="B184" s="502"/>
      <c r="C184" s="505"/>
      <c r="D184" s="505"/>
      <c r="E184" s="502"/>
      <c r="F184" s="502"/>
      <c r="G184" s="502"/>
    </row>
    <row r="185" spans="2:7" x14ac:dyDescent="0.25">
      <c r="B185" s="502"/>
      <c r="C185" s="505"/>
      <c r="D185" s="505"/>
      <c r="E185" s="502"/>
      <c r="F185" s="502"/>
      <c r="G185" s="502"/>
    </row>
    <row r="186" spans="2:7" x14ac:dyDescent="0.25">
      <c r="B186" s="502"/>
      <c r="C186" s="505"/>
      <c r="D186" s="505"/>
      <c r="E186" s="502"/>
      <c r="F186" s="502"/>
      <c r="G186" s="502"/>
    </row>
    <row r="187" spans="2:7" x14ac:dyDescent="0.25">
      <c r="B187" s="502"/>
      <c r="C187" s="505"/>
      <c r="D187" s="505"/>
      <c r="E187" s="502"/>
      <c r="F187" s="502"/>
      <c r="G187" s="502"/>
    </row>
    <row r="188" spans="2:7" x14ac:dyDescent="0.25">
      <c r="B188" s="502"/>
      <c r="C188" s="505"/>
      <c r="D188" s="505"/>
      <c r="E188" s="502"/>
      <c r="F188" s="502"/>
      <c r="G188" s="502"/>
    </row>
    <row r="189" spans="2:7" x14ac:dyDescent="0.25">
      <c r="B189" s="502"/>
      <c r="C189" s="505"/>
      <c r="D189" s="505"/>
      <c r="E189" s="502"/>
      <c r="F189" s="502"/>
      <c r="G189" s="502"/>
    </row>
    <row r="190" spans="2:7" x14ac:dyDescent="0.25">
      <c r="B190" s="502"/>
      <c r="C190" s="505"/>
      <c r="D190" s="505"/>
      <c r="E190" s="502"/>
      <c r="F190" s="502"/>
      <c r="G190" s="502"/>
    </row>
    <row r="191" spans="2:7" x14ac:dyDescent="0.25">
      <c r="B191" s="502"/>
      <c r="C191" s="505"/>
      <c r="D191" s="505"/>
      <c r="E191" s="502"/>
      <c r="F191" s="502"/>
      <c r="G191" s="502"/>
    </row>
    <row r="192" spans="2:7" x14ac:dyDescent="0.25">
      <c r="B192" s="502"/>
      <c r="C192" s="505"/>
      <c r="D192" s="505"/>
      <c r="E192" s="502"/>
      <c r="F192" s="502"/>
      <c r="G192" s="502"/>
    </row>
    <row r="193" spans="2:7" x14ac:dyDescent="0.25">
      <c r="B193" s="502"/>
      <c r="C193" s="505"/>
      <c r="D193" s="505"/>
      <c r="E193" s="502"/>
      <c r="F193" s="502"/>
      <c r="G193" s="502"/>
    </row>
    <row r="194" spans="2:7" x14ac:dyDescent="0.25">
      <c r="B194" s="502"/>
      <c r="C194" s="505"/>
      <c r="D194" s="505"/>
      <c r="E194" s="502"/>
      <c r="F194" s="502"/>
      <c r="G194" s="502"/>
    </row>
    <row r="195" spans="2:7" x14ac:dyDescent="0.25">
      <c r="B195" s="502"/>
      <c r="C195" s="505"/>
      <c r="D195" s="505"/>
      <c r="E195" s="502"/>
      <c r="F195" s="502"/>
      <c r="G195" s="502"/>
    </row>
    <row r="196" spans="2:7" x14ac:dyDescent="0.25">
      <c r="B196" s="502"/>
      <c r="C196" s="505"/>
      <c r="D196" s="505"/>
      <c r="E196" s="502"/>
      <c r="F196" s="502"/>
      <c r="G196" s="502"/>
    </row>
    <row r="197" spans="2:7" x14ac:dyDescent="0.25">
      <c r="B197" s="502"/>
      <c r="C197" s="505"/>
      <c r="D197" s="505"/>
      <c r="E197" s="502"/>
      <c r="F197" s="502"/>
      <c r="G197" s="502"/>
    </row>
    <row r="198" spans="2:7" x14ac:dyDescent="0.25">
      <c r="B198" s="502"/>
      <c r="C198" s="505"/>
      <c r="D198" s="505"/>
      <c r="E198" s="502"/>
      <c r="F198" s="502"/>
      <c r="G198" s="502"/>
    </row>
    <row r="199" spans="2:7" x14ac:dyDescent="0.25">
      <c r="B199" s="502"/>
      <c r="C199" s="505"/>
      <c r="D199" s="505"/>
      <c r="E199" s="502"/>
      <c r="F199" s="502"/>
      <c r="G199" s="502"/>
    </row>
    <row r="200" spans="2:7" x14ac:dyDescent="0.25">
      <c r="B200" s="502"/>
      <c r="C200" s="505"/>
      <c r="D200" s="505"/>
      <c r="E200" s="502"/>
      <c r="F200" s="502"/>
      <c r="G200" s="502"/>
    </row>
    <row r="201" spans="2:7" x14ac:dyDescent="0.25">
      <c r="B201" s="502"/>
      <c r="C201" s="505"/>
      <c r="D201" s="505"/>
      <c r="E201" s="502"/>
      <c r="F201" s="502"/>
      <c r="G201" s="502"/>
    </row>
    <row r="202" spans="2:7" x14ac:dyDescent="0.25">
      <c r="B202" s="502"/>
      <c r="C202" s="505"/>
      <c r="D202" s="505"/>
      <c r="E202" s="502"/>
      <c r="F202" s="502"/>
      <c r="G202" s="502"/>
    </row>
    <row r="203" spans="2:7" x14ac:dyDescent="0.25">
      <c r="B203" s="502"/>
      <c r="C203" s="505"/>
      <c r="D203" s="505"/>
      <c r="E203" s="502"/>
      <c r="F203" s="502"/>
      <c r="G203" s="502"/>
    </row>
    <row r="204" spans="2:7" x14ac:dyDescent="0.25">
      <c r="B204" s="502"/>
      <c r="C204" s="505"/>
      <c r="D204" s="505"/>
      <c r="E204" s="502"/>
      <c r="F204" s="502"/>
      <c r="G204" s="502"/>
    </row>
    <row r="205" spans="2:7" x14ac:dyDescent="0.25">
      <c r="B205" s="502"/>
      <c r="C205" s="505"/>
      <c r="D205" s="505"/>
      <c r="E205" s="502"/>
      <c r="F205" s="502"/>
      <c r="G205" s="502"/>
    </row>
    <row r="206" spans="2:7" x14ac:dyDescent="0.25">
      <c r="B206" s="502"/>
      <c r="C206" s="505"/>
      <c r="D206" s="505"/>
      <c r="E206" s="502"/>
      <c r="F206" s="502"/>
      <c r="G206" s="502"/>
    </row>
    <row r="207" spans="2:7" x14ac:dyDescent="0.25">
      <c r="B207" s="502"/>
      <c r="C207" s="505"/>
      <c r="D207" s="505"/>
      <c r="E207" s="502"/>
      <c r="F207" s="502"/>
      <c r="G207" s="502"/>
    </row>
    <row r="208" spans="2:7" x14ac:dyDescent="0.25">
      <c r="B208" s="502"/>
      <c r="C208" s="505"/>
      <c r="D208" s="505"/>
      <c r="E208" s="502"/>
      <c r="F208" s="502"/>
      <c r="G208" s="502"/>
    </row>
    <row r="209" spans="2:7" x14ac:dyDescent="0.25">
      <c r="B209" s="502"/>
      <c r="C209" s="505"/>
      <c r="D209" s="505"/>
      <c r="E209" s="502"/>
      <c r="F209" s="502"/>
      <c r="G209" s="502"/>
    </row>
    <row r="210" spans="2:7" x14ac:dyDescent="0.25">
      <c r="B210" s="502"/>
      <c r="C210" s="505"/>
      <c r="D210" s="505"/>
      <c r="E210" s="502"/>
      <c r="F210" s="502"/>
      <c r="G210" s="502"/>
    </row>
    <row r="211" spans="2:7" x14ac:dyDescent="0.25">
      <c r="B211" s="502"/>
      <c r="C211" s="505"/>
      <c r="D211" s="505"/>
      <c r="E211" s="502"/>
      <c r="F211" s="502"/>
      <c r="G211" s="502"/>
    </row>
    <row r="212" spans="2:7" x14ac:dyDescent="0.25">
      <c r="B212" s="502"/>
      <c r="C212" s="505"/>
      <c r="D212" s="505"/>
      <c r="E212" s="502"/>
      <c r="F212" s="502"/>
      <c r="G212" s="502"/>
    </row>
    <row r="213" spans="2:7" x14ac:dyDescent="0.25">
      <c r="B213" s="502"/>
      <c r="C213" s="505"/>
      <c r="D213" s="505"/>
      <c r="E213" s="502"/>
      <c r="F213" s="502"/>
      <c r="G213" s="502"/>
    </row>
    <row r="214" spans="2:7" x14ac:dyDescent="0.25">
      <c r="B214" s="502"/>
      <c r="C214" s="505"/>
      <c r="D214" s="505"/>
      <c r="E214" s="502"/>
      <c r="F214" s="502"/>
      <c r="G214" s="502"/>
    </row>
    <row r="215" spans="2:7" x14ac:dyDescent="0.25">
      <c r="B215" s="502"/>
      <c r="C215" s="505"/>
      <c r="D215" s="505"/>
      <c r="E215" s="502"/>
      <c r="F215" s="502"/>
      <c r="G215" s="502"/>
    </row>
    <row r="216" spans="2:7" x14ac:dyDescent="0.25">
      <c r="B216" s="502"/>
      <c r="C216" s="505"/>
      <c r="D216" s="505"/>
      <c r="E216" s="502"/>
      <c r="F216" s="502"/>
      <c r="G216" s="502"/>
    </row>
    <row r="217" spans="2:7" x14ac:dyDescent="0.25">
      <c r="B217" s="502"/>
      <c r="C217" s="505"/>
      <c r="D217" s="505"/>
      <c r="E217" s="502"/>
      <c r="F217" s="502"/>
      <c r="G217" s="502"/>
    </row>
    <row r="218" spans="2:7" x14ac:dyDescent="0.25">
      <c r="B218" s="502"/>
      <c r="C218" s="505"/>
      <c r="D218" s="505"/>
      <c r="E218" s="502"/>
      <c r="F218" s="502"/>
      <c r="G218" s="502"/>
    </row>
    <row r="219" spans="2:7" x14ac:dyDescent="0.25">
      <c r="B219" s="502"/>
      <c r="C219" s="505"/>
      <c r="D219" s="505"/>
      <c r="E219" s="502"/>
      <c r="F219" s="502"/>
      <c r="G219" s="502"/>
    </row>
    <row r="220" spans="2:7" x14ac:dyDescent="0.25">
      <c r="B220" s="502"/>
      <c r="C220" s="505"/>
      <c r="D220" s="505"/>
      <c r="E220" s="502"/>
      <c r="F220" s="502"/>
      <c r="G220" s="502"/>
    </row>
    <row r="221" spans="2:7" x14ac:dyDescent="0.25">
      <c r="B221" s="502"/>
      <c r="C221" s="505"/>
      <c r="D221" s="505"/>
      <c r="E221" s="502"/>
      <c r="F221" s="502"/>
      <c r="G221" s="502"/>
    </row>
    <row r="222" spans="2:7" x14ac:dyDescent="0.25">
      <c r="B222" s="502"/>
      <c r="C222" s="505"/>
      <c r="D222" s="505"/>
      <c r="E222" s="502"/>
      <c r="F222" s="502"/>
      <c r="G222" s="502"/>
    </row>
    <row r="223" spans="2:7" x14ac:dyDescent="0.25">
      <c r="B223" s="502"/>
      <c r="C223" s="505"/>
      <c r="D223" s="505"/>
      <c r="E223" s="502"/>
      <c r="F223" s="502"/>
      <c r="G223" s="502"/>
    </row>
    <row r="224" spans="2:7" x14ac:dyDescent="0.25">
      <c r="B224" s="502"/>
      <c r="C224" s="505"/>
      <c r="D224" s="505"/>
      <c r="E224" s="502"/>
      <c r="F224" s="502"/>
      <c r="G224" s="502"/>
    </row>
    <row r="225" spans="2:7" x14ac:dyDescent="0.25">
      <c r="B225" s="502"/>
      <c r="C225" s="505"/>
      <c r="D225" s="505"/>
      <c r="E225" s="502"/>
      <c r="F225" s="502"/>
      <c r="G225" s="502"/>
    </row>
    <row r="226" spans="2:7" x14ac:dyDescent="0.25">
      <c r="B226" s="502"/>
      <c r="C226" s="505"/>
      <c r="D226" s="505"/>
      <c r="E226" s="502"/>
      <c r="F226" s="502"/>
      <c r="G226" s="502"/>
    </row>
    <row r="227" spans="2:7" x14ac:dyDescent="0.25">
      <c r="B227" s="502"/>
      <c r="C227" s="505"/>
      <c r="D227" s="505"/>
      <c r="E227" s="502"/>
      <c r="F227" s="502"/>
      <c r="G227" s="502"/>
    </row>
    <row r="228" spans="2:7" x14ac:dyDescent="0.25">
      <c r="B228" s="502"/>
      <c r="C228" s="505"/>
      <c r="D228" s="505"/>
      <c r="E228" s="502"/>
      <c r="F228" s="502"/>
      <c r="G228" s="502"/>
    </row>
    <row r="229" spans="2:7" x14ac:dyDescent="0.25">
      <c r="B229" s="502"/>
      <c r="C229" s="505"/>
      <c r="D229" s="505"/>
      <c r="E229" s="502"/>
      <c r="F229" s="502"/>
      <c r="G229" s="502"/>
    </row>
    <row r="230" spans="2:7" x14ac:dyDescent="0.25">
      <c r="B230" s="502"/>
      <c r="C230" s="505"/>
      <c r="D230" s="505"/>
      <c r="E230" s="502"/>
      <c r="F230" s="502"/>
      <c r="G230" s="502"/>
    </row>
    <row r="231" spans="2:7" x14ac:dyDescent="0.25">
      <c r="B231" s="502"/>
      <c r="C231" s="505"/>
      <c r="D231" s="505"/>
      <c r="E231" s="502"/>
      <c r="F231" s="502"/>
      <c r="G231" s="502"/>
    </row>
    <row r="232" spans="2:7" x14ac:dyDescent="0.25">
      <c r="B232" s="502"/>
      <c r="C232" s="505"/>
      <c r="D232" s="505"/>
      <c r="E232" s="502"/>
      <c r="F232" s="502"/>
      <c r="G232" s="502"/>
    </row>
    <row r="233" spans="2:7" x14ac:dyDescent="0.25">
      <c r="B233" s="502"/>
      <c r="C233" s="505"/>
      <c r="D233" s="505"/>
      <c r="E233" s="502"/>
      <c r="F233" s="502"/>
      <c r="G233" s="502"/>
    </row>
    <row r="234" spans="2:7" x14ac:dyDescent="0.25">
      <c r="B234" s="502"/>
      <c r="C234" s="505"/>
      <c r="D234" s="505"/>
      <c r="E234" s="502"/>
      <c r="F234" s="502"/>
      <c r="G234" s="502"/>
    </row>
    <row r="235" spans="2:7" x14ac:dyDescent="0.25">
      <c r="B235" s="502"/>
      <c r="C235" s="505"/>
      <c r="D235" s="505"/>
      <c r="E235" s="502"/>
      <c r="F235" s="502"/>
      <c r="G235" s="502"/>
    </row>
    <row r="236" spans="2:7" x14ac:dyDescent="0.25">
      <c r="B236" s="502"/>
      <c r="C236" s="505"/>
      <c r="D236" s="505"/>
      <c r="E236" s="502"/>
      <c r="F236" s="502"/>
      <c r="G236" s="502"/>
    </row>
    <row r="237" spans="2:7" x14ac:dyDescent="0.25">
      <c r="B237" s="502"/>
      <c r="C237" s="505"/>
      <c r="D237" s="505"/>
      <c r="E237" s="502"/>
      <c r="F237" s="502"/>
      <c r="G237" s="502"/>
    </row>
    <row r="238" spans="2:7" x14ac:dyDescent="0.25">
      <c r="B238" s="502"/>
      <c r="C238" s="505"/>
      <c r="D238" s="505"/>
      <c r="E238" s="502"/>
      <c r="F238" s="502"/>
      <c r="G238" s="502"/>
    </row>
    <row r="239" spans="2:7" x14ac:dyDescent="0.25">
      <c r="B239" s="502"/>
      <c r="C239" s="505"/>
      <c r="D239" s="505"/>
      <c r="E239" s="502"/>
      <c r="F239" s="502"/>
      <c r="G239" s="502"/>
    </row>
    <row r="240" spans="2:7" x14ac:dyDescent="0.25">
      <c r="B240" s="502"/>
      <c r="C240" s="505"/>
      <c r="D240" s="505"/>
      <c r="E240" s="502"/>
      <c r="F240" s="502"/>
      <c r="G240" s="502"/>
    </row>
    <row r="241" spans="2:7" x14ac:dyDescent="0.25">
      <c r="B241" s="502"/>
      <c r="C241" s="505"/>
      <c r="D241" s="505"/>
      <c r="E241" s="502"/>
      <c r="F241" s="502"/>
      <c r="G241" s="502"/>
    </row>
    <row r="242" spans="2:7" x14ac:dyDescent="0.25">
      <c r="B242" s="502"/>
      <c r="C242" s="505"/>
      <c r="D242" s="505"/>
      <c r="E242" s="502"/>
      <c r="F242" s="502"/>
      <c r="G242" s="502"/>
    </row>
    <row r="243" spans="2:7" x14ac:dyDescent="0.25">
      <c r="B243" s="502"/>
      <c r="C243" s="505"/>
      <c r="D243" s="505"/>
      <c r="E243" s="502"/>
      <c r="F243" s="502"/>
      <c r="G243" s="502"/>
    </row>
    <row r="244" spans="2:7" x14ac:dyDescent="0.25">
      <c r="B244" s="502"/>
      <c r="C244" s="505"/>
      <c r="D244" s="505"/>
      <c r="E244" s="502"/>
      <c r="F244" s="502"/>
      <c r="G244" s="502"/>
    </row>
    <row r="245" spans="2:7" x14ac:dyDescent="0.25">
      <c r="B245" s="502"/>
      <c r="C245" s="505"/>
      <c r="D245" s="505"/>
      <c r="E245" s="502"/>
      <c r="F245" s="502"/>
      <c r="G245" s="502"/>
    </row>
    <row r="246" spans="2:7" x14ac:dyDescent="0.25">
      <c r="B246" s="502"/>
      <c r="C246" s="505"/>
      <c r="D246" s="505"/>
      <c r="E246" s="502"/>
      <c r="F246" s="502"/>
      <c r="G246" s="502"/>
    </row>
    <row r="247" spans="2:7" x14ac:dyDescent="0.25">
      <c r="B247" s="502"/>
      <c r="C247" s="505"/>
      <c r="D247" s="505"/>
      <c r="E247" s="502"/>
      <c r="F247" s="502"/>
      <c r="G247" s="502"/>
    </row>
    <row r="248" spans="2:7" x14ac:dyDescent="0.25">
      <c r="B248" s="502"/>
      <c r="C248" s="505"/>
      <c r="D248" s="505"/>
      <c r="E248" s="502"/>
      <c r="F248" s="502"/>
      <c r="G248" s="502"/>
    </row>
    <row r="249" spans="2:7" x14ac:dyDescent="0.25">
      <c r="B249" s="502"/>
      <c r="C249" s="505"/>
      <c r="D249" s="505"/>
      <c r="E249" s="502"/>
      <c r="F249" s="502"/>
      <c r="G249" s="502"/>
    </row>
    <row r="250" spans="2:7" x14ac:dyDescent="0.25">
      <c r="B250" s="502"/>
      <c r="C250" s="505"/>
      <c r="D250" s="505"/>
      <c r="E250" s="502"/>
      <c r="F250" s="502"/>
      <c r="G250" s="502"/>
    </row>
    <row r="251" spans="2:7" x14ac:dyDescent="0.25">
      <c r="B251" s="502"/>
    </row>
    <row r="252" spans="2:7" x14ac:dyDescent="0.25">
      <c r="B252" s="502"/>
    </row>
  </sheetData>
  <mergeCells count="1">
    <mergeCell ref="B94:G94"/>
  </mergeCells>
  <pageMargins left="0.75" right="0.75" top="1" bottom="1" header="0.5" footer="0.5"/>
  <pageSetup scale="55" orientation="portrait"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346"/>
  <sheetViews>
    <sheetView topLeftCell="A150" workbookViewId="0">
      <selection activeCell="H173" sqref="H172:H173"/>
    </sheetView>
  </sheetViews>
  <sheetFormatPr defaultRowHeight="13.2" x14ac:dyDescent="0.25"/>
  <cols>
    <col min="1" max="1" width="5.88671875" style="492" customWidth="1"/>
    <col min="2" max="2" width="6.44140625" customWidth="1"/>
    <col min="3" max="3" width="26.109375" customWidth="1"/>
    <col min="4" max="4" width="9" customWidth="1"/>
    <col min="5" max="5" width="10.33203125" customWidth="1"/>
    <col min="6" max="6" width="13.88671875" customWidth="1"/>
    <col min="7" max="7" width="20.44140625" customWidth="1"/>
    <col min="8" max="8" width="14.6640625" customWidth="1"/>
    <col min="9" max="9" width="2.6640625" customWidth="1"/>
    <col min="10" max="10" width="16.33203125" customWidth="1"/>
    <col min="11" max="11" width="11.33203125" bestFit="1" customWidth="1"/>
  </cols>
  <sheetData>
    <row r="2" spans="1:10" ht="15.6" x14ac:dyDescent="0.3">
      <c r="B2" s="504" t="s">
        <v>106</v>
      </c>
      <c r="C2" s="505"/>
      <c r="D2" s="505"/>
      <c r="E2" s="502"/>
      <c r="F2" s="502"/>
      <c r="G2" s="506"/>
    </row>
    <row r="3" spans="1:10" ht="15.6" x14ac:dyDescent="0.3">
      <c r="B3" s="504" t="s">
        <v>107</v>
      </c>
      <c r="C3" s="505"/>
      <c r="D3" s="505"/>
      <c r="E3" s="502"/>
      <c r="F3" s="502"/>
      <c r="G3" s="506"/>
    </row>
    <row r="4" spans="1:10" ht="15.6" x14ac:dyDescent="0.3">
      <c r="B4" s="507" t="s">
        <v>150</v>
      </c>
      <c r="C4" s="505"/>
      <c r="D4" s="505"/>
      <c r="E4" s="502"/>
      <c r="F4" s="502"/>
      <c r="G4" s="506"/>
    </row>
    <row r="5" spans="1:10" x14ac:dyDescent="0.25">
      <c r="B5" s="502"/>
      <c r="C5" s="505"/>
      <c r="D5" s="505"/>
      <c r="E5" s="502"/>
      <c r="F5" s="502"/>
      <c r="G5" s="506"/>
      <c r="H5" s="502"/>
    </row>
    <row r="6" spans="1:10" x14ac:dyDescent="0.25">
      <c r="B6" s="502" t="s">
        <v>109</v>
      </c>
      <c r="C6" s="505"/>
      <c r="D6" s="505"/>
      <c r="E6" s="502"/>
      <c r="F6" s="502"/>
      <c r="H6" s="506">
        <v>1331221.52</v>
      </c>
    </row>
    <row r="7" spans="1:10" x14ac:dyDescent="0.25">
      <c r="B7" s="502"/>
      <c r="C7" s="505"/>
      <c r="D7" s="505"/>
      <c r="E7" s="502"/>
      <c r="F7" s="502"/>
      <c r="H7" s="506"/>
    </row>
    <row r="8" spans="1:10" x14ac:dyDescent="0.25">
      <c r="B8" s="502" t="s">
        <v>110</v>
      </c>
      <c r="C8" s="505"/>
      <c r="D8" s="505"/>
      <c r="E8" s="502"/>
      <c r="F8" s="502"/>
      <c r="H8" s="502">
        <v>1493837.48</v>
      </c>
      <c r="J8" s="502"/>
    </row>
    <row r="9" spans="1:10" x14ac:dyDescent="0.25">
      <c r="B9" s="502"/>
      <c r="C9" s="505"/>
      <c r="D9" s="505"/>
      <c r="E9" s="502"/>
      <c r="F9" s="502"/>
      <c r="H9" s="501"/>
    </row>
    <row r="10" spans="1:10" x14ac:dyDescent="0.25">
      <c r="B10" s="502" t="s">
        <v>111</v>
      </c>
      <c r="C10" s="505"/>
      <c r="D10" s="505"/>
      <c r="E10" s="502"/>
      <c r="F10" s="502"/>
      <c r="H10" s="506">
        <f>+H8-H6</f>
        <v>162615.95999999996</v>
      </c>
    </row>
    <row r="11" spans="1:10" x14ac:dyDescent="0.25">
      <c r="B11" s="502"/>
      <c r="C11" s="505"/>
      <c r="D11" s="505"/>
      <c r="E11" s="505"/>
      <c r="F11" s="502"/>
      <c r="H11" s="508"/>
    </row>
    <row r="12" spans="1:10" x14ac:dyDescent="0.25">
      <c r="E12" s="492"/>
      <c r="F12" s="502"/>
      <c r="G12" s="502"/>
      <c r="I12" s="509"/>
      <c r="J12" s="509"/>
    </row>
    <row r="13" spans="1:10" ht="26.4" x14ac:dyDescent="0.25">
      <c r="A13" s="510" t="s">
        <v>112</v>
      </c>
      <c r="B13" s="510" t="s">
        <v>113</v>
      </c>
      <c r="C13" s="510" t="s">
        <v>114</v>
      </c>
      <c r="D13" s="510" t="s">
        <v>115</v>
      </c>
      <c r="E13" s="510" t="s">
        <v>116</v>
      </c>
      <c r="F13" s="511" t="s">
        <v>117</v>
      </c>
      <c r="G13" s="502"/>
      <c r="I13" s="509"/>
      <c r="J13" s="509"/>
    </row>
    <row r="14" spans="1:10" x14ac:dyDescent="0.25">
      <c r="A14" s="510" t="s">
        <v>265</v>
      </c>
      <c r="B14" s="510" t="s">
        <v>118</v>
      </c>
      <c r="C14" s="512" t="s">
        <v>741</v>
      </c>
      <c r="D14" s="512" t="s">
        <v>123</v>
      </c>
      <c r="E14" s="510">
        <v>376061.1</v>
      </c>
      <c r="F14" s="513">
        <v>96723</v>
      </c>
      <c r="G14" s="502">
        <f>SUM(F14)</f>
        <v>96723</v>
      </c>
      <c r="I14" s="509"/>
      <c r="J14" s="514"/>
    </row>
    <row r="15" spans="1:10" x14ac:dyDescent="0.25">
      <c r="A15" s="510"/>
      <c r="B15" s="510"/>
      <c r="C15" s="512"/>
      <c r="D15" s="512"/>
      <c r="E15" s="510"/>
      <c r="F15" s="513"/>
      <c r="G15" s="502"/>
      <c r="I15" s="509"/>
      <c r="J15" s="514"/>
    </row>
    <row r="16" spans="1:10" x14ac:dyDescent="0.25">
      <c r="A16" s="510" t="s">
        <v>263</v>
      </c>
      <c r="B16" s="510" t="s">
        <v>118</v>
      </c>
      <c r="C16" s="512" t="s">
        <v>141</v>
      </c>
      <c r="D16" s="512" t="s">
        <v>120</v>
      </c>
      <c r="E16" s="510">
        <v>378536.2</v>
      </c>
      <c r="F16" s="513">
        <v>-7422.09</v>
      </c>
      <c r="G16" s="502"/>
      <c r="I16" s="509"/>
      <c r="J16" s="514" t="s">
        <v>122</v>
      </c>
    </row>
    <row r="17" spans="1:10" x14ac:dyDescent="0.25">
      <c r="A17" s="510" t="s">
        <v>263</v>
      </c>
      <c r="B17" s="510" t="s">
        <v>118</v>
      </c>
      <c r="C17" s="512" t="s">
        <v>141</v>
      </c>
      <c r="D17" s="512" t="s">
        <v>120</v>
      </c>
      <c r="E17" s="510">
        <v>378567.2</v>
      </c>
      <c r="F17" s="513">
        <v>-23983.32</v>
      </c>
      <c r="G17" s="502"/>
      <c r="I17" s="509"/>
      <c r="J17" s="514" t="s">
        <v>122</v>
      </c>
    </row>
    <row r="18" spans="1:10" x14ac:dyDescent="0.25">
      <c r="A18" s="510" t="s">
        <v>263</v>
      </c>
      <c r="B18" s="510" t="s">
        <v>118</v>
      </c>
      <c r="C18" s="512" t="s">
        <v>141</v>
      </c>
      <c r="D18" s="512" t="s">
        <v>120</v>
      </c>
      <c r="E18" s="510">
        <v>378583.2</v>
      </c>
      <c r="F18" s="513">
        <v>-24027.759999999998</v>
      </c>
      <c r="G18" s="502"/>
      <c r="I18" s="509"/>
      <c r="J18" s="514" t="s">
        <v>122</v>
      </c>
    </row>
    <row r="19" spans="1:10" x14ac:dyDescent="0.25">
      <c r="A19" s="510" t="s">
        <v>263</v>
      </c>
      <c r="B19" s="510" t="s">
        <v>118</v>
      </c>
      <c r="C19" s="512" t="s">
        <v>141</v>
      </c>
      <c r="D19" s="512" t="s">
        <v>120</v>
      </c>
      <c r="E19" s="510">
        <v>378586.2</v>
      </c>
      <c r="F19" s="513">
        <v>-336734.5</v>
      </c>
      <c r="G19" s="502"/>
      <c r="I19" s="509"/>
      <c r="J19" s="514" t="s">
        <v>122</v>
      </c>
    </row>
    <row r="20" spans="1:10" x14ac:dyDescent="0.25">
      <c r="A20" s="510" t="s">
        <v>263</v>
      </c>
      <c r="B20" s="510" t="s">
        <v>118</v>
      </c>
      <c r="C20" s="512" t="s">
        <v>141</v>
      </c>
      <c r="D20" s="512" t="s">
        <v>120</v>
      </c>
      <c r="E20" s="510">
        <v>378587.2</v>
      </c>
      <c r="F20" s="513">
        <v>-33740.85</v>
      </c>
      <c r="G20" s="502"/>
      <c r="I20" s="509"/>
      <c r="J20" s="514" t="s">
        <v>122</v>
      </c>
    </row>
    <row r="21" spans="1:10" x14ac:dyDescent="0.25">
      <c r="A21" s="510" t="s">
        <v>263</v>
      </c>
      <c r="B21" s="510" t="s">
        <v>118</v>
      </c>
      <c r="C21" s="512" t="s">
        <v>141</v>
      </c>
      <c r="D21" s="512" t="s">
        <v>120</v>
      </c>
      <c r="E21" s="510">
        <v>378589.2</v>
      </c>
      <c r="F21" s="513">
        <v>-674.76</v>
      </c>
      <c r="G21" s="502"/>
      <c r="I21" s="509"/>
      <c r="J21" s="514" t="s">
        <v>122</v>
      </c>
    </row>
    <row r="22" spans="1:10" x14ac:dyDescent="0.25">
      <c r="A22" s="510" t="s">
        <v>263</v>
      </c>
      <c r="B22" s="510" t="s">
        <v>118</v>
      </c>
      <c r="C22" s="512" t="s">
        <v>141</v>
      </c>
      <c r="D22" s="512" t="s">
        <v>120</v>
      </c>
      <c r="E22" s="510">
        <v>378590.2</v>
      </c>
      <c r="F22" s="513">
        <v>-33749.699999999997</v>
      </c>
      <c r="G22" s="502"/>
      <c r="I22" s="509"/>
      <c r="J22" s="514" t="s">
        <v>122</v>
      </c>
    </row>
    <row r="23" spans="1:10" x14ac:dyDescent="0.25">
      <c r="A23" s="510" t="s">
        <v>263</v>
      </c>
      <c r="B23" s="510" t="s">
        <v>118</v>
      </c>
      <c r="C23" s="512" t="s">
        <v>141</v>
      </c>
      <c r="D23" s="512" t="s">
        <v>120</v>
      </c>
      <c r="E23" s="510">
        <v>378591.2</v>
      </c>
      <c r="F23" s="513">
        <v>-61959.6</v>
      </c>
      <c r="G23" s="502"/>
      <c r="I23" s="509"/>
      <c r="J23" s="514" t="s">
        <v>122</v>
      </c>
    </row>
    <row r="24" spans="1:10" x14ac:dyDescent="0.25">
      <c r="A24" s="510" t="s">
        <v>263</v>
      </c>
      <c r="B24" s="510" t="s">
        <v>118</v>
      </c>
      <c r="C24" s="512" t="s">
        <v>141</v>
      </c>
      <c r="D24" s="512" t="s">
        <v>120</v>
      </c>
      <c r="E24" s="510">
        <v>378596.2</v>
      </c>
      <c r="F24" s="513">
        <v>-33736.65</v>
      </c>
      <c r="G24" s="502"/>
      <c r="I24" s="509"/>
      <c r="J24" s="514" t="s">
        <v>122</v>
      </c>
    </row>
    <row r="25" spans="1:10" x14ac:dyDescent="0.25">
      <c r="A25" s="510" t="s">
        <v>263</v>
      </c>
      <c r="B25" s="510" t="s">
        <v>118</v>
      </c>
      <c r="C25" s="512" t="s">
        <v>141</v>
      </c>
      <c r="D25" s="512" t="s">
        <v>120</v>
      </c>
      <c r="E25" s="510">
        <v>378597.2</v>
      </c>
      <c r="F25" s="513">
        <v>-24816.76</v>
      </c>
      <c r="G25" s="502"/>
      <c r="I25" s="509"/>
      <c r="J25" s="514" t="s">
        <v>122</v>
      </c>
    </row>
    <row r="26" spans="1:10" x14ac:dyDescent="0.25">
      <c r="A26" s="510" t="s">
        <v>263</v>
      </c>
      <c r="B26" s="510" t="s">
        <v>118</v>
      </c>
      <c r="C26" s="512" t="s">
        <v>141</v>
      </c>
      <c r="D26" s="512" t="s">
        <v>120</v>
      </c>
      <c r="E26" s="510">
        <v>378625.2</v>
      </c>
      <c r="F26" s="513">
        <v>-23997.08</v>
      </c>
      <c r="G26" s="502"/>
      <c r="I26" s="509"/>
      <c r="J26" s="514" t="s">
        <v>122</v>
      </c>
    </row>
    <row r="27" spans="1:10" x14ac:dyDescent="0.25">
      <c r="A27" s="510" t="s">
        <v>263</v>
      </c>
      <c r="B27" s="510" t="s">
        <v>118</v>
      </c>
      <c r="C27" s="512" t="s">
        <v>141</v>
      </c>
      <c r="D27" s="512" t="s">
        <v>120</v>
      </c>
      <c r="E27" s="510">
        <v>378627.2</v>
      </c>
      <c r="F27" s="513">
        <v>-24016.86</v>
      </c>
      <c r="G27" s="502"/>
      <c r="I27" s="509"/>
      <c r="J27" s="514" t="s">
        <v>122</v>
      </c>
    </row>
    <row r="28" spans="1:10" x14ac:dyDescent="0.25">
      <c r="A28" s="510" t="s">
        <v>263</v>
      </c>
      <c r="B28" s="510" t="s">
        <v>118</v>
      </c>
      <c r="C28" s="512" t="s">
        <v>141</v>
      </c>
      <c r="D28" s="512" t="s">
        <v>120</v>
      </c>
      <c r="E28" s="510">
        <v>378628.2</v>
      </c>
      <c r="F28" s="513">
        <v>-24016.86</v>
      </c>
      <c r="G28" s="502"/>
      <c r="I28" s="509"/>
      <c r="J28" s="514" t="s">
        <v>122</v>
      </c>
    </row>
    <row r="29" spans="1:10" x14ac:dyDescent="0.25">
      <c r="A29" s="510" t="s">
        <v>263</v>
      </c>
      <c r="B29" s="510" t="s">
        <v>118</v>
      </c>
      <c r="C29" s="512" t="s">
        <v>141</v>
      </c>
      <c r="D29" s="512" t="s">
        <v>120</v>
      </c>
      <c r="E29" s="510">
        <v>378650.2</v>
      </c>
      <c r="F29" s="513">
        <v>-61964.25</v>
      </c>
      <c r="G29" s="502"/>
      <c r="I29" s="509"/>
      <c r="J29" s="514" t="s">
        <v>122</v>
      </c>
    </row>
    <row r="30" spans="1:10" x14ac:dyDescent="0.25">
      <c r="A30" s="510" t="s">
        <v>263</v>
      </c>
      <c r="B30" s="510" t="s">
        <v>118</v>
      </c>
      <c r="C30" s="512" t="s">
        <v>141</v>
      </c>
      <c r="D30" s="512" t="s">
        <v>120</v>
      </c>
      <c r="E30" s="510">
        <v>378659.2</v>
      </c>
      <c r="F30" s="513">
        <v>-61966.95</v>
      </c>
      <c r="G30" s="502"/>
      <c r="I30" s="509"/>
      <c r="J30" s="514" t="s">
        <v>122</v>
      </c>
    </row>
    <row r="31" spans="1:10" x14ac:dyDescent="0.25">
      <c r="A31" s="510" t="s">
        <v>263</v>
      </c>
      <c r="B31" s="510" t="s">
        <v>118</v>
      </c>
      <c r="C31" s="512" t="s">
        <v>141</v>
      </c>
      <c r="D31" s="512" t="s">
        <v>120</v>
      </c>
      <c r="E31" s="510">
        <v>378661.2</v>
      </c>
      <c r="F31" s="513">
        <v>-61966.85</v>
      </c>
      <c r="G31" s="502"/>
      <c r="I31" s="509"/>
      <c r="J31" s="514" t="s">
        <v>122</v>
      </c>
    </row>
    <row r="32" spans="1:10" x14ac:dyDescent="0.25">
      <c r="A32" s="510" t="s">
        <v>263</v>
      </c>
      <c r="B32" s="510" t="s">
        <v>118</v>
      </c>
      <c r="C32" s="512" t="s">
        <v>141</v>
      </c>
      <c r="D32" s="512" t="s">
        <v>120</v>
      </c>
      <c r="E32" s="510">
        <v>378665.2</v>
      </c>
      <c r="F32" s="513">
        <v>-61968.4</v>
      </c>
      <c r="G32" s="502"/>
      <c r="I32" s="509"/>
      <c r="J32" s="514" t="s">
        <v>122</v>
      </c>
    </row>
    <row r="33" spans="1:10" x14ac:dyDescent="0.25">
      <c r="A33" s="510" t="s">
        <v>263</v>
      </c>
      <c r="B33" s="510" t="s">
        <v>118</v>
      </c>
      <c r="C33" s="512" t="s">
        <v>141</v>
      </c>
      <c r="D33" s="512" t="s">
        <v>120</v>
      </c>
      <c r="E33" s="510">
        <v>378670.2</v>
      </c>
      <c r="F33" s="513">
        <v>-59898.45</v>
      </c>
      <c r="G33" s="502"/>
      <c r="I33" s="509"/>
      <c r="J33" s="514" t="s">
        <v>122</v>
      </c>
    </row>
    <row r="34" spans="1:10" x14ac:dyDescent="0.25">
      <c r="A34" s="510" t="s">
        <v>263</v>
      </c>
      <c r="B34" s="510" t="s">
        <v>118</v>
      </c>
      <c r="C34" s="512" t="s">
        <v>141</v>
      </c>
      <c r="D34" s="512" t="s">
        <v>120</v>
      </c>
      <c r="E34" s="510">
        <v>378675.20000000001</v>
      </c>
      <c r="F34" s="513">
        <v>-33749.699999999997</v>
      </c>
      <c r="G34" s="502"/>
      <c r="I34" s="509"/>
      <c r="J34" s="514" t="s">
        <v>122</v>
      </c>
    </row>
    <row r="35" spans="1:10" x14ac:dyDescent="0.25">
      <c r="A35" s="510" t="s">
        <v>263</v>
      </c>
      <c r="B35" s="510" t="s">
        <v>118</v>
      </c>
      <c r="C35" s="512" t="s">
        <v>141</v>
      </c>
      <c r="D35" s="512" t="s">
        <v>120</v>
      </c>
      <c r="E35" s="510">
        <v>378676.2</v>
      </c>
      <c r="F35" s="513">
        <v>-33738.300000000003</v>
      </c>
      <c r="G35" s="502"/>
      <c r="I35" s="509"/>
      <c r="J35" s="514" t="s">
        <v>122</v>
      </c>
    </row>
    <row r="36" spans="1:10" x14ac:dyDescent="0.25">
      <c r="A36" s="510" t="s">
        <v>263</v>
      </c>
      <c r="B36" s="510" t="s">
        <v>118</v>
      </c>
      <c r="C36" s="512" t="s">
        <v>141</v>
      </c>
      <c r="D36" s="512" t="s">
        <v>120</v>
      </c>
      <c r="E36" s="510">
        <v>378679.2</v>
      </c>
      <c r="F36" s="513">
        <v>-33735.75</v>
      </c>
      <c r="G36" s="502"/>
      <c r="I36" s="509"/>
      <c r="J36" s="514" t="s">
        <v>122</v>
      </c>
    </row>
    <row r="37" spans="1:10" x14ac:dyDescent="0.25">
      <c r="A37" s="510" t="s">
        <v>263</v>
      </c>
      <c r="B37" s="510" t="s">
        <v>118</v>
      </c>
      <c r="C37" s="512" t="s">
        <v>141</v>
      </c>
      <c r="D37" s="512" t="s">
        <v>120</v>
      </c>
      <c r="E37" s="510">
        <v>378688.2</v>
      </c>
      <c r="F37" s="513">
        <v>-61959.6</v>
      </c>
      <c r="G37" s="502"/>
      <c r="I37" s="509"/>
      <c r="J37" s="514" t="s">
        <v>122</v>
      </c>
    </row>
    <row r="38" spans="1:10" x14ac:dyDescent="0.25">
      <c r="A38" s="510" t="s">
        <v>263</v>
      </c>
      <c r="B38" s="510" t="s">
        <v>118</v>
      </c>
      <c r="C38" s="512" t="s">
        <v>141</v>
      </c>
      <c r="D38" s="512" t="s">
        <v>120</v>
      </c>
      <c r="E38" s="510">
        <v>378695.2</v>
      </c>
      <c r="F38" s="513">
        <v>-61964.25</v>
      </c>
      <c r="G38" s="502"/>
      <c r="I38" s="509"/>
      <c r="J38" s="514" t="s">
        <v>122</v>
      </c>
    </row>
    <row r="39" spans="1:10" x14ac:dyDescent="0.25">
      <c r="A39" s="510" t="s">
        <v>263</v>
      </c>
      <c r="B39" s="510" t="s">
        <v>118</v>
      </c>
      <c r="C39" s="512" t="s">
        <v>141</v>
      </c>
      <c r="D39" s="512" t="s">
        <v>120</v>
      </c>
      <c r="E39" s="510">
        <v>378702.2</v>
      </c>
      <c r="F39" s="513">
        <v>-61956.2</v>
      </c>
      <c r="G39" s="502"/>
      <c r="I39" s="509"/>
      <c r="J39" s="514" t="s">
        <v>122</v>
      </c>
    </row>
    <row r="40" spans="1:10" x14ac:dyDescent="0.25">
      <c r="A40" s="510" t="s">
        <v>263</v>
      </c>
      <c r="B40" s="510" t="s">
        <v>118</v>
      </c>
      <c r="C40" s="512" t="s">
        <v>141</v>
      </c>
      <c r="D40" s="512" t="s">
        <v>120</v>
      </c>
      <c r="E40" s="510">
        <v>378703.2</v>
      </c>
      <c r="F40" s="513">
        <v>-61963.9</v>
      </c>
      <c r="G40" s="502"/>
      <c r="I40" s="509"/>
      <c r="J40" s="514" t="s">
        <v>122</v>
      </c>
    </row>
    <row r="41" spans="1:10" x14ac:dyDescent="0.25">
      <c r="A41" s="510" t="s">
        <v>263</v>
      </c>
      <c r="B41" s="510" t="s">
        <v>118</v>
      </c>
      <c r="C41" s="512" t="s">
        <v>141</v>
      </c>
      <c r="D41" s="512" t="s">
        <v>120</v>
      </c>
      <c r="E41" s="510">
        <v>378705.2</v>
      </c>
      <c r="F41" s="513">
        <v>-24020.46</v>
      </c>
      <c r="G41" s="502"/>
      <c r="I41" s="509"/>
      <c r="J41" s="514" t="s">
        <v>122</v>
      </c>
    </row>
    <row r="42" spans="1:10" x14ac:dyDescent="0.25">
      <c r="A42" s="510" t="s">
        <v>263</v>
      </c>
      <c r="B42" s="510" t="s">
        <v>118</v>
      </c>
      <c r="C42" s="512" t="s">
        <v>141</v>
      </c>
      <c r="D42" s="512" t="s">
        <v>120</v>
      </c>
      <c r="E42" s="510">
        <v>378706.2</v>
      </c>
      <c r="F42" s="513">
        <v>-24028.400000000001</v>
      </c>
      <c r="G42" s="502"/>
      <c r="I42" s="509"/>
      <c r="J42" s="514" t="s">
        <v>122</v>
      </c>
    </row>
    <row r="43" spans="1:10" x14ac:dyDescent="0.25">
      <c r="A43" s="510" t="s">
        <v>263</v>
      </c>
      <c r="B43" s="510" t="s">
        <v>118</v>
      </c>
      <c r="C43" s="512" t="s">
        <v>141</v>
      </c>
      <c r="D43" s="512" t="s">
        <v>120</v>
      </c>
      <c r="E43" s="510">
        <v>378707.20000000001</v>
      </c>
      <c r="F43" s="513">
        <v>-33735.75</v>
      </c>
      <c r="G43" s="502"/>
      <c r="I43" s="509"/>
      <c r="J43" s="514" t="s">
        <v>122</v>
      </c>
    </row>
    <row r="44" spans="1:10" x14ac:dyDescent="0.25">
      <c r="A44" s="510" t="s">
        <v>263</v>
      </c>
      <c r="B44" s="510" t="s">
        <v>118</v>
      </c>
      <c r="C44" s="512" t="s">
        <v>141</v>
      </c>
      <c r="D44" s="512" t="s">
        <v>120</v>
      </c>
      <c r="E44" s="510">
        <v>378709.2</v>
      </c>
      <c r="F44" s="513">
        <v>-24767.86</v>
      </c>
      <c r="G44" s="502"/>
      <c r="I44" s="509"/>
      <c r="J44" s="514" t="s">
        <v>122</v>
      </c>
    </row>
    <row r="45" spans="1:10" x14ac:dyDescent="0.25">
      <c r="A45" s="510" t="s">
        <v>263</v>
      </c>
      <c r="B45" s="510" t="s">
        <v>118</v>
      </c>
      <c r="C45" s="512" t="s">
        <v>141</v>
      </c>
      <c r="D45" s="512" t="s">
        <v>120</v>
      </c>
      <c r="E45" s="510">
        <v>378710.2</v>
      </c>
      <c r="F45" s="513">
        <v>-23983.32</v>
      </c>
      <c r="G45" s="502"/>
      <c r="I45" s="509"/>
      <c r="J45" s="514" t="s">
        <v>122</v>
      </c>
    </row>
    <row r="46" spans="1:10" x14ac:dyDescent="0.25">
      <c r="A46" s="510" t="s">
        <v>263</v>
      </c>
      <c r="B46" s="510" t="s">
        <v>118</v>
      </c>
      <c r="C46" s="512" t="s">
        <v>141</v>
      </c>
      <c r="D46" s="512" t="s">
        <v>120</v>
      </c>
      <c r="E46" s="510">
        <v>378711.2</v>
      </c>
      <c r="F46" s="513">
        <v>-24020.46</v>
      </c>
      <c r="G46" s="502"/>
      <c r="I46" s="509"/>
      <c r="J46" s="514" t="s">
        <v>122</v>
      </c>
    </row>
    <row r="47" spans="1:10" x14ac:dyDescent="0.25">
      <c r="A47" s="510" t="s">
        <v>263</v>
      </c>
      <c r="B47" s="510" t="s">
        <v>118</v>
      </c>
      <c r="C47" s="512" t="s">
        <v>141</v>
      </c>
      <c r="D47" s="512" t="s">
        <v>120</v>
      </c>
      <c r="E47" s="510">
        <v>378712.2</v>
      </c>
      <c r="F47" s="513">
        <v>-24027.759999999998</v>
      </c>
      <c r="G47" s="502"/>
      <c r="I47" s="509"/>
      <c r="J47" s="514" t="s">
        <v>122</v>
      </c>
    </row>
    <row r="48" spans="1:10" x14ac:dyDescent="0.25">
      <c r="A48" s="510" t="s">
        <v>263</v>
      </c>
      <c r="B48" s="510" t="s">
        <v>118</v>
      </c>
      <c r="C48" s="512" t="s">
        <v>141</v>
      </c>
      <c r="D48" s="512" t="s">
        <v>120</v>
      </c>
      <c r="E48" s="510">
        <v>378713.2</v>
      </c>
      <c r="F48" s="513">
        <v>-33735.75</v>
      </c>
      <c r="G48" s="502"/>
      <c r="I48" s="509"/>
      <c r="J48" s="514" t="s">
        <v>122</v>
      </c>
    </row>
    <row r="49" spans="1:11" x14ac:dyDescent="0.25">
      <c r="A49" s="510" t="s">
        <v>263</v>
      </c>
      <c r="B49" s="510" t="s">
        <v>118</v>
      </c>
      <c r="C49" s="512" t="s">
        <v>141</v>
      </c>
      <c r="D49" s="512" t="s">
        <v>120</v>
      </c>
      <c r="E49" s="510">
        <v>378718.2</v>
      </c>
      <c r="F49" s="513">
        <v>-336734.5</v>
      </c>
      <c r="G49" s="502"/>
      <c r="I49" s="509"/>
      <c r="J49" s="514" t="s">
        <v>122</v>
      </c>
    </row>
    <row r="50" spans="1:11" x14ac:dyDescent="0.25">
      <c r="A50" s="510" t="s">
        <v>263</v>
      </c>
      <c r="B50" s="510" t="s">
        <v>118</v>
      </c>
      <c r="C50" s="512" t="s">
        <v>141</v>
      </c>
      <c r="D50" s="512" t="s">
        <v>120</v>
      </c>
      <c r="E50" s="510">
        <v>378720.2</v>
      </c>
      <c r="F50" s="513">
        <v>-23959.38</v>
      </c>
      <c r="G50" s="502"/>
      <c r="I50" s="509"/>
      <c r="J50" s="514" t="s">
        <v>122</v>
      </c>
    </row>
    <row r="51" spans="1:11" x14ac:dyDescent="0.25">
      <c r="A51" s="510" t="s">
        <v>263</v>
      </c>
      <c r="B51" s="510" t="s">
        <v>118</v>
      </c>
      <c r="C51" s="512" t="s">
        <v>141</v>
      </c>
      <c r="D51" s="512" t="s">
        <v>120</v>
      </c>
      <c r="E51" s="510">
        <v>378721.2</v>
      </c>
      <c r="F51" s="513">
        <v>-24008</v>
      </c>
      <c r="G51" s="502"/>
      <c r="I51" s="509"/>
      <c r="J51" s="514" t="s">
        <v>122</v>
      </c>
    </row>
    <row r="52" spans="1:11" x14ac:dyDescent="0.25">
      <c r="A52" s="510" t="s">
        <v>263</v>
      </c>
      <c r="B52" s="510" t="s">
        <v>118</v>
      </c>
      <c r="C52" s="512" t="s">
        <v>141</v>
      </c>
      <c r="D52" s="512" t="s">
        <v>120</v>
      </c>
      <c r="E52" s="510">
        <v>378722.2</v>
      </c>
      <c r="F52" s="513">
        <v>-23925.8</v>
      </c>
      <c r="G52" s="502"/>
      <c r="I52" s="509"/>
      <c r="J52" s="514" t="s">
        <v>122</v>
      </c>
    </row>
    <row r="53" spans="1:11" x14ac:dyDescent="0.25">
      <c r="A53" s="510" t="s">
        <v>263</v>
      </c>
      <c r="B53" s="510" t="s">
        <v>118</v>
      </c>
      <c r="C53" s="512" t="s">
        <v>141</v>
      </c>
      <c r="D53" s="512" t="s">
        <v>120</v>
      </c>
      <c r="E53" s="510">
        <v>378724.2</v>
      </c>
      <c r="F53" s="513">
        <v>-24360.14</v>
      </c>
      <c r="G53" s="502"/>
      <c r="I53" s="509"/>
      <c r="J53" s="514" t="s">
        <v>122</v>
      </c>
    </row>
    <row r="54" spans="1:11" x14ac:dyDescent="0.25">
      <c r="A54" s="510" t="s">
        <v>263</v>
      </c>
      <c r="B54" s="510" t="s">
        <v>118</v>
      </c>
      <c r="C54" s="512" t="s">
        <v>141</v>
      </c>
      <c r="D54" s="512" t="s">
        <v>120</v>
      </c>
      <c r="E54" s="510">
        <v>378725.2</v>
      </c>
      <c r="F54" s="513">
        <v>-24220.84</v>
      </c>
      <c r="G54" s="502"/>
      <c r="I54" s="509"/>
      <c r="J54" s="514" t="s">
        <v>122</v>
      </c>
    </row>
    <row r="55" spans="1:11" x14ac:dyDescent="0.25">
      <c r="A55" s="510" t="s">
        <v>263</v>
      </c>
      <c r="B55" s="510" t="s">
        <v>118</v>
      </c>
      <c r="C55" s="512" t="s">
        <v>141</v>
      </c>
      <c r="D55" s="512" t="s">
        <v>120</v>
      </c>
      <c r="E55" s="510">
        <v>378726.2</v>
      </c>
      <c r="F55" s="513">
        <v>-24008</v>
      </c>
      <c r="G55" s="502"/>
      <c r="I55" s="509"/>
      <c r="J55" s="514" t="s">
        <v>122</v>
      </c>
    </row>
    <row r="56" spans="1:11" x14ac:dyDescent="0.25">
      <c r="A56" s="510" t="s">
        <v>263</v>
      </c>
      <c r="B56" s="510" t="s">
        <v>118</v>
      </c>
      <c r="C56" s="512" t="s">
        <v>141</v>
      </c>
      <c r="D56" s="512" t="s">
        <v>120</v>
      </c>
      <c r="E56" s="510">
        <v>378729.2</v>
      </c>
      <c r="F56" s="513">
        <v>-24011.5</v>
      </c>
      <c r="G56" s="502"/>
      <c r="I56" s="509"/>
      <c r="J56" s="514" t="s">
        <v>122</v>
      </c>
    </row>
    <row r="57" spans="1:11" x14ac:dyDescent="0.25">
      <c r="A57" s="510" t="s">
        <v>263</v>
      </c>
      <c r="B57" s="510" t="s">
        <v>118</v>
      </c>
      <c r="C57" s="512" t="s">
        <v>141</v>
      </c>
      <c r="D57" s="512" t="s">
        <v>120</v>
      </c>
      <c r="E57" s="510">
        <v>378730.2</v>
      </c>
      <c r="F57" s="513">
        <v>-23959.38</v>
      </c>
      <c r="G57" s="502"/>
      <c r="I57" s="509"/>
      <c r="J57" s="514" t="s">
        <v>122</v>
      </c>
    </row>
    <row r="58" spans="1:11" x14ac:dyDescent="0.25">
      <c r="A58" s="510" t="s">
        <v>263</v>
      </c>
      <c r="B58" s="510" t="s">
        <v>118</v>
      </c>
      <c r="C58" s="512" t="s">
        <v>141</v>
      </c>
      <c r="D58" s="512" t="s">
        <v>120</v>
      </c>
      <c r="E58" s="510">
        <v>378731.2</v>
      </c>
      <c r="F58" s="513">
        <v>-20241.45</v>
      </c>
      <c r="G58" s="502"/>
      <c r="I58" s="509"/>
      <c r="J58" s="514" t="s">
        <v>122</v>
      </c>
    </row>
    <row r="59" spans="1:11" x14ac:dyDescent="0.25">
      <c r="A59" s="510" t="s">
        <v>263</v>
      </c>
      <c r="B59" s="510" t="s">
        <v>118</v>
      </c>
      <c r="C59" s="512" t="s">
        <v>141</v>
      </c>
      <c r="D59" s="512" t="s">
        <v>120</v>
      </c>
      <c r="E59" s="510">
        <v>378737.2</v>
      </c>
      <c r="F59" s="513">
        <v>-20241.990000000002</v>
      </c>
      <c r="G59" s="502"/>
      <c r="I59" s="509"/>
      <c r="J59" s="514" t="s">
        <v>122</v>
      </c>
    </row>
    <row r="60" spans="1:11" x14ac:dyDescent="0.25">
      <c r="A60" s="510" t="s">
        <v>263</v>
      </c>
      <c r="B60" s="510" t="s">
        <v>118</v>
      </c>
      <c r="C60" s="512" t="s">
        <v>141</v>
      </c>
      <c r="D60" s="512" t="s">
        <v>120</v>
      </c>
      <c r="E60" s="510">
        <v>378738.2</v>
      </c>
      <c r="F60" s="513">
        <v>-20241.45</v>
      </c>
      <c r="G60" s="502"/>
      <c r="I60" s="509"/>
      <c r="J60" s="514" t="s">
        <v>122</v>
      </c>
    </row>
    <row r="61" spans="1:11" x14ac:dyDescent="0.25">
      <c r="A61" s="510" t="s">
        <v>263</v>
      </c>
      <c r="B61" s="510" t="s">
        <v>118</v>
      </c>
      <c r="C61" s="512" t="s">
        <v>141</v>
      </c>
      <c r="D61" s="512" t="s">
        <v>120</v>
      </c>
      <c r="E61" s="510">
        <v>378739.20000000001</v>
      </c>
      <c r="F61" s="513">
        <v>-23853.599999999999</v>
      </c>
      <c r="G61" s="502"/>
      <c r="I61" s="509"/>
      <c r="J61" s="514" t="s">
        <v>122</v>
      </c>
      <c r="K61" s="502"/>
    </row>
    <row r="62" spans="1:11" x14ac:dyDescent="0.25">
      <c r="A62" s="510" t="s">
        <v>263</v>
      </c>
      <c r="B62" s="510" t="s">
        <v>118</v>
      </c>
      <c r="C62" s="512" t="s">
        <v>141</v>
      </c>
      <c r="D62" s="512" t="s">
        <v>120</v>
      </c>
      <c r="E62" s="510">
        <v>378740.2</v>
      </c>
      <c r="F62" s="513">
        <v>-70633.95</v>
      </c>
      <c r="G62" s="502">
        <f>SUM(F16:F62)</f>
        <v>-2206429.13</v>
      </c>
      <c r="I62" s="509"/>
      <c r="J62" s="514" t="s">
        <v>122</v>
      </c>
    </row>
    <row r="63" spans="1:11" x14ac:dyDescent="0.25">
      <c r="A63" s="510" t="s">
        <v>265</v>
      </c>
      <c r="B63" s="510" t="s">
        <v>118</v>
      </c>
      <c r="C63" s="512" t="s">
        <v>141</v>
      </c>
      <c r="D63" s="512" t="s">
        <v>120</v>
      </c>
      <c r="E63" s="510">
        <v>378536.3</v>
      </c>
      <c r="F63" s="513">
        <v>7529.72</v>
      </c>
      <c r="G63" s="502"/>
      <c r="I63" s="509"/>
      <c r="J63" s="514" t="s">
        <v>122</v>
      </c>
    </row>
    <row r="64" spans="1:11" x14ac:dyDescent="0.25">
      <c r="A64" s="510" t="s">
        <v>265</v>
      </c>
      <c r="B64" s="510" t="s">
        <v>118</v>
      </c>
      <c r="C64" s="512" t="s">
        <v>141</v>
      </c>
      <c r="D64" s="512" t="s">
        <v>120</v>
      </c>
      <c r="E64" s="510">
        <v>378567.3</v>
      </c>
      <c r="F64" s="513">
        <v>23563.78</v>
      </c>
      <c r="G64" s="502"/>
      <c r="I64" s="509"/>
      <c r="J64" s="514" t="s">
        <v>122</v>
      </c>
    </row>
    <row r="65" spans="1:10" x14ac:dyDescent="0.25">
      <c r="A65" s="510" t="s">
        <v>265</v>
      </c>
      <c r="B65" s="510" t="s">
        <v>118</v>
      </c>
      <c r="C65" s="512" t="s">
        <v>141</v>
      </c>
      <c r="D65" s="512" t="s">
        <v>120</v>
      </c>
      <c r="E65" s="510">
        <v>378583.3</v>
      </c>
      <c r="F65" s="513">
        <v>23563.78</v>
      </c>
      <c r="G65" s="502"/>
      <c r="I65" s="509"/>
      <c r="J65" s="514" t="s">
        <v>122</v>
      </c>
    </row>
    <row r="66" spans="1:10" x14ac:dyDescent="0.25">
      <c r="A66" s="510" t="s">
        <v>265</v>
      </c>
      <c r="B66" s="510" t="s">
        <v>118</v>
      </c>
      <c r="C66" s="512" t="s">
        <v>141</v>
      </c>
      <c r="D66" s="512" t="s">
        <v>120</v>
      </c>
      <c r="E66" s="510">
        <v>378586.3</v>
      </c>
      <c r="F66" s="513">
        <v>336802.5</v>
      </c>
      <c r="G66" s="502"/>
      <c r="I66" s="509"/>
      <c r="J66" s="514" t="s">
        <v>122</v>
      </c>
    </row>
    <row r="67" spans="1:10" x14ac:dyDescent="0.25">
      <c r="A67" s="510" t="s">
        <v>265</v>
      </c>
      <c r="B67" s="510" t="s">
        <v>118</v>
      </c>
      <c r="C67" s="512" t="s">
        <v>141</v>
      </c>
      <c r="D67" s="512" t="s">
        <v>120</v>
      </c>
      <c r="E67" s="510">
        <v>378587.3</v>
      </c>
      <c r="F67" s="513">
        <v>33738.699999999997</v>
      </c>
      <c r="G67" s="502"/>
      <c r="I67" s="509"/>
      <c r="J67" s="514" t="s">
        <v>122</v>
      </c>
    </row>
    <row r="68" spans="1:10" x14ac:dyDescent="0.25">
      <c r="A68" s="510" t="s">
        <v>265</v>
      </c>
      <c r="B68" s="510" t="s">
        <v>118</v>
      </c>
      <c r="C68" s="512" t="s">
        <v>141</v>
      </c>
      <c r="D68" s="512" t="s">
        <v>120</v>
      </c>
      <c r="E68" s="510">
        <v>378589.3</v>
      </c>
      <c r="F68" s="513">
        <v>674.46</v>
      </c>
      <c r="G68" s="502"/>
      <c r="I68" s="509"/>
      <c r="J68" s="514" t="s">
        <v>122</v>
      </c>
    </row>
    <row r="69" spans="1:10" x14ac:dyDescent="0.25">
      <c r="A69" s="510" t="s">
        <v>265</v>
      </c>
      <c r="B69" s="510" t="s">
        <v>118</v>
      </c>
      <c r="C69" s="512" t="s">
        <v>141</v>
      </c>
      <c r="D69" s="512" t="s">
        <v>120</v>
      </c>
      <c r="E69" s="510">
        <v>378590.3</v>
      </c>
      <c r="F69" s="513">
        <v>33734.050000000003</v>
      </c>
      <c r="G69" s="502"/>
      <c r="I69" s="509"/>
      <c r="J69" s="514" t="s">
        <v>122</v>
      </c>
    </row>
    <row r="70" spans="1:10" x14ac:dyDescent="0.25">
      <c r="A70" s="510" t="s">
        <v>265</v>
      </c>
      <c r="B70" s="510" t="s">
        <v>118</v>
      </c>
      <c r="C70" s="512" t="s">
        <v>141</v>
      </c>
      <c r="D70" s="512" t="s">
        <v>120</v>
      </c>
      <c r="E70" s="510">
        <v>378591.3</v>
      </c>
      <c r="F70" s="513">
        <v>61952.05</v>
      </c>
      <c r="G70" s="502"/>
      <c r="I70" s="509"/>
      <c r="J70" s="514" t="s">
        <v>122</v>
      </c>
    </row>
    <row r="71" spans="1:10" x14ac:dyDescent="0.25">
      <c r="A71" s="510" t="s">
        <v>265</v>
      </c>
      <c r="B71" s="510" t="s">
        <v>118</v>
      </c>
      <c r="C71" s="512" t="s">
        <v>141</v>
      </c>
      <c r="D71" s="512" t="s">
        <v>120</v>
      </c>
      <c r="E71" s="510">
        <v>378596.3</v>
      </c>
      <c r="F71" s="513">
        <v>33723.35</v>
      </c>
      <c r="G71" s="502"/>
      <c r="I71" s="509"/>
      <c r="J71" s="514" t="s">
        <v>122</v>
      </c>
    </row>
    <row r="72" spans="1:10" x14ac:dyDescent="0.25">
      <c r="A72" s="510" t="s">
        <v>265</v>
      </c>
      <c r="B72" s="510" t="s">
        <v>118</v>
      </c>
      <c r="C72" s="512" t="s">
        <v>141</v>
      </c>
      <c r="D72" s="512" t="s">
        <v>120</v>
      </c>
      <c r="E72" s="510">
        <v>378597.3</v>
      </c>
      <c r="F72" s="513">
        <v>23626.9</v>
      </c>
      <c r="G72" s="502"/>
      <c r="I72" s="509"/>
      <c r="J72" s="514" t="s">
        <v>122</v>
      </c>
    </row>
    <row r="73" spans="1:10" x14ac:dyDescent="0.25">
      <c r="A73" s="510" t="s">
        <v>265</v>
      </c>
      <c r="B73" s="510" t="s">
        <v>118</v>
      </c>
      <c r="C73" s="512" t="s">
        <v>141</v>
      </c>
      <c r="D73" s="512" t="s">
        <v>120</v>
      </c>
      <c r="E73" s="510">
        <v>378625.3</v>
      </c>
      <c r="F73" s="513">
        <v>23626.9</v>
      </c>
      <c r="G73" s="502"/>
      <c r="I73" s="509"/>
      <c r="J73" s="514" t="s">
        <v>122</v>
      </c>
    </row>
    <row r="74" spans="1:10" x14ac:dyDescent="0.25">
      <c r="A74" s="510" t="s">
        <v>265</v>
      </c>
      <c r="B74" s="510" t="s">
        <v>118</v>
      </c>
      <c r="C74" s="512" t="s">
        <v>141</v>
      </c>
      <c r="D74" s="512" t="s">
        <v>120</v>
      </c>
      <c r="E74" s="510">
        <v>378627.3</v>
      </c>
      <c r="F74" s="513">
        <v>23626.9</v>
      </c>
      <c r="G74" s="502"/>
      <c r="I74" s="509"/>
      <c r="J74" s="514" t="s">
        <v>122</v>
      </c>
    </row>
    <row r="75" spans="1:10" x14ac:dyDescent="0.25">
      <c r="A75" s="510" t="s">
        <v>265</v>
      </c>
      <c r="B75" s="510" t="s">
        <v>118</v>
      </c>
      <c r="C75" s="512" t="s">
        <v>141</v>
      </c>
      <c r="D75" s="512" t="s">
        <v>120</v>
      </c>
      <c r="E75" s="510">
        <v>378628.3</v>
      </c>
      <c r="F75" s="513">
        <v>23626.9</v>
      </c>
      <c r="G75" s="502"/>
      <c r="I75" s="509"/>
      <c r="J75" s="514" t="s">
        <v>122</v>
      </c>
    </row>
    <row r="76" spans="1:10" x14ac:dyDescent="0.25">
      <c r="A76" s="510" t="s">
        <v>265</v>
      </c>
      <c r="B76" s="510" t="s">
        <v>118</v>
      </c>
      <c r="C76" s="512" t="s">
        <v>141</v>
      </c>
      <c r="D76" s="512" t="s">
        <v>120</v>
      </c>
      <c r="E76" s="510">
        <v>378650.3</v>
      </c>
      <c r="F76" s="513">
        <v>61959.85</v>
      </c>
      <c r="G76" s="502"/>
      <c r="I76" s="509"/>
      <c r="J76" s="514" t="s">
        <v>122</v>
      </c>
    </row>
    <row r="77" spans="1:10" x14ac:dyDescent="0.25">
      <c r="A77" s="510" t="s">
        <v>265</v>
      </c>
      <c r="B77" s="510" t="s">
        <v>118</v>
      </c>
      <c r="C77" s="512" t="s">
        <v>141</v>
      </c>
      <c r="D77" s="512" t="s">
        <v>120</v>
      </c>
      <c r="E77" s="510">
        <v>378659.3</v>
      </c>
      <c r="F77" s="513">
        <v>61959.85</v>
      </c>
      <c r="G77" s="502"/>
      <c r="I77" s="509"/>
      <c r="J77" s="514" t="s">
        <v>122</v>
      </c>
    </row>
    <row r="78" spans="1:10" x14ac:dyDescent="0.25">
      <c r="A78" s="510" t="s">
        <v>265</v>
      </c>
      <c r="B78" s="510" t="s">
        <v>118</v>
      </c>
      <c r="C78" s="512" t="s">
        <v>141</v>
      </c>
      <c r="D78" s="512" t="s">
        <v>120</v>
      </c>
      <c r="E78" s="510">
        <v>378661.3</v>
      </c>
      <c r="F78" s="513">
        <v>61959.85</v>
      </c>
      <c r="G78" s="502"/>
      <c r="I78" s="509"/>
      <c r="J78" s="514" t="s">
        <v>122</v>
      </c>
    </row>
    <row r="79" spans="1:10" x14ac:dyDescent="0.25">
      <c r="A79" s="510" t="s">
        <v>265</v>
      </c>
      <c r="B79" s="510" t="s">
        <v>118</v>
      </c>
      <c r="C79" s="512" t="s">
        <v>141</v>
      </c>
      <c r="D79" s="512" t="s">
        <v>120</v>
      </c>
      <c r="E79" s="510">
        <v>378665.3</v>
      </c>
      <c r="F79" s="513">
        <v>61959.85</v>
      </c>
      <c r="G79" s="502"/>
      <c r="I79" s="509"/>
      <c r="J79" s="514" t="s">
        <v>122</v>
      </c>
    </row>
    <row r="80" spans="1:10" x14ac:dyDescent="0.25">
      <c r="A80" s="510" t="s">
        <v>265</v>
      </c>
      <c r="B80" s="510" t="s">
        <v>118</v>
      </c>
      <c r="C80" s="512" t="s">
        <v>141</v>
      </c>
      <c r="D80" s="512" t="s">
        <v>120</v>
      </c>
      <c r="E80" s="510">
        <v>378670.3</v>
      </c>
      <c r="F80" s="513">
        <v>61946.85</v>
      </c>
      <c r="G80" s="502"/>
      <c r="I80" s="509"/>
      <c r="J80" s="514" t="s">
        <v>122</v>
      </c>
    </row>
    <row r="81" spans="1:10" x14ac:dyDescent="0.25">
      <c r="A81" s="510" t="s">
        <v>265</v>
      </c>
      <c r="B81" s="510" t="s">
        <v>118</v>
      </c>
      <c r="C81" s="512" t="s">
        <v>141</v>
      </c>
      <c r="D81" s="512" t="s">
        <v>120</v>
      </c>
      <c r="E81" s="510">
        <v>378675.3</v>
      </c>
      <c r="F81" s="513">
        <v>33733.599999999999</v>
      </c>
      <c r="G81" s="502"/>
      <c r="I81" s="509"/>
      <c r="J81" s="514" t="s">
        <v>122</v>
      </c>
    </row>
    <row r="82" spans="1:10" x14ac:dyDescent="0.25">
      <c r="A82" s="510" t="s">
        <v>265</v>
      </c>
      <c r="B82" s="510" t="s">
        <v>118</v>
      </c>
      <c r="C82" s="512" t="s">
        <v>141</v>
      </c>
      <c r="D82" s="512" t="s">
        <v>120</v>
      </c>
      <c r="E82" s="510">
        <v>378676.3</v>
      </c>
      <c r="F82" s="513">
        <v>33733.599999999999</v>
      </c>
      <c r="G82" s="502"/>
      <c r="I82" s="509"/>
      <c r="J82" s="514" t="s">
        <v>122</v>
      </c>
    </row>
    <row r="83" spans="1:10" x14ac:dyDescent="0.25">
      <c r="A83" s="510" t="s">
        <v>265</v>
      </c>
      <c r="B83" s="510" t="s">
        <v>118</v>
      </c>
      <c r="C83" s="512" t="s">
        <v>141</v>
      </c>
      <c r="D83" s="512" t="s">
        <v>120</v>
      </c>
      <c r="E83" s="510">
        <v>378679.3</v>
      </c>
      <c r="F83" s="513">
        <v>33733.599999999999</v>
      </c>
      <c r="G83" s="502"/>
      <c r="I83" s="509"/>
      <c r="J83" s="514" t="s">
        <v>122</v>
      </c>
    </row>
    <row r="84" spans="1:10" x14ac:dyDescent="0.25">
      <c r="A84" s="510" t="s">
        <v>265</v>
      </c>
      <c r="B84" s="510" t="s">
        <v>118</v>
      </c>
      <c r="C84" s="512" t="s">
        <v>141</v>
      </c>
      <c r="D84" s="512" t="s">
        <v>120</v>
      </c>
      <c r="E84" s="510">
        <v>378688.3</v>
      </c>
      <c r="F84" s="513">
        <v>59067.25</v>
      </c>
      <c r="G84" s="502"/>
      <c r="I84" s="509"/>
      <c r="J84" s="514" t="s">
        <v>122</v>
      </c>
    </row>
    <row r="85" spans="1:10" x14ac:dyDescent="0.25">
      <c r="A85" s="510" t="s">
        <v>265</v>
      </c>
      <c r="B85" s="510" t="s">
        <v>118</v>
      </c>
      <c r="C85" s="512" t="s">
        <v>141</v>
      </c>
      <c r="D85" s="512" t="s">
        <v>120</v>
      </c>
      <c r="E85" s="510">
        <v>378695.3</v>
      </c>
      <c r="F85" s="513">
        <v>59067.25</v>
      </c>
      <c r="G85" s="502"/>
      <c r="I85" s="509"/>
      <c r="J85" s="514" t="s">
        <v>122</v>
      </c>
    </row>
    <row r="86" spans="1:10" x14ac:dyDescent="0.25">
      <c r="A86" s="510" t="s">
        <v>265</v>
      </c>
      <c r="B86" s="510" t="s">
        <v>118</v>
      </c>
      <c r="C86" s="512" t="s">
        <v>141</v>
      </c>
      <c r="D86" s="512" t="s">
        <v>120</v>
      </c>
      <c r="E86" s="510">
        <v>378702.3</v>
      </c>
      <c r="F86" s="513">
        <v>59067.25</v>
      </c>
      <c r="G86" s="502"/>
      <c r="I86" s="509"/>
      <c r="J86" s="514" t="s">
        <v>122</v>
      </c>
    </row>
    <row r="87" spans="1:10" x14ac:dyDescent="0.25">
      <c r="A87" s="510" t="s">
        <v>265</v>
      </c>
      <c r="B87" s="510" t="s">
        <v>118</v>
      </c>
      <c r="C87" s="512" t="s">
        <v>141</v>
      </c>
      <c r="D87" s="512" t="s">
        <v>120</v>
      </c>
      <c r="E87" s="510">
        <v>378703.3</v>
      </c>
      <c r="F87" s="513">
        <v>59067.25</v>
      </c>
      <c r="G87" s="502"/>
      <c r="I87" s="509"/>
      <c r="J87" s="514" t="s">
        <v>122</v>
      </c>
    </row>
    <row r="88" spans="1:10" x14ac:dyDescent="0.25">
      <c r="A88" s="510" t="s">
        <v>265</v>
      </c>
      <c r="B88" s="510" t="s">
        <v>118</v>
      </c>
      <c r="C88" s="512" t="s">
        <v>141</v>
      </c>
      <c r="D88" s="512" t="s">
        <v>120</v>
      </c>
      <c r="E88" s="510">
        <v>378705.3</v>
      </c>
      <c r="F88" s="513">
        <v>23735.38</v>
      </c>
      <c r="G88" s="502"/>
      <c r="I88" s="509"/>
      <c r="J88" s="514" t="s">
        <v>122</v>
      </c>
    </row>
    <row r="89" spans="1:10" x14ac:dyDescent="0.25">
      <c r="A89" s="510" t="s">
        <v>265</v>
      </c>
      <c r="B89" s="510" t="s">
        <v>118</v>
      </c>
      <c r="C89" s="512" t="s">
        <v>141</v>
      </c>
      <c r="D89" s="512" t="s">
        <v>120</v>
      </c>
      <c r="E89" s="510">
        <v>378706.3</v>
      </c>
      <c r="F89" s="513">
        <v>23735.38</v>
      </c>
      <c r="G89" s="502"/>
      <c r="I89" s="509"/>
      <c r="J89" s="514" t="s">
        <v>122</v>
      </c>
    </row>
    <row r="90" spans="1:10" x14ac:dyDescent="0.25">
      <c r="A90" s="510" t="s">
        <v>265</v>
      </c>
      <c r="B90" s="510" t="s">
        <v>118</v>
      </c>
      <c r="C90" s="512" t="s">
        <v>141</v>
      </c>
      <c r="D90" s="512" t="s">
        <v>120</v>
      </c>
      <c r="E90" s="510">
        <v>378707.3</v>
      </c>
      <c r="F90" s="513">
        <v>33736.15</v>
      </c>
      <c r="G90" s="502"/>
      <c r="I90" s="509"/>
      <c r="J90" s="514" t="s">
        <v>122</v>
      </c>
    </row>
    <row r="91" spans="1:10" x14ac:dyDescent="0.25">
      <c r="A91" s="510" t="s">
        <v>265</v>
      </c>
      <c r="B91" s="510" t="s">
        <v>118</v>
      </c>
      <c r="C91" s="512" t="s">
        <v>141</v>
      </c>
      <c r="D91" s="512" t="s">
        <v>120</v>
      </c>
      <c r="E91" s="510">
        <v>378709.3</v>
      </c>
      <c r="F91" s="513">
        <v>23683.88</v>
      </c>
      <c r="G91" s="502"/>
      <c r="I91" s="509"/>
      <c r="J91" s="514" t="s">
        <v>122</v>
      </c>
    </row>
    <row r="92" spans="1:10" x14ac:dyDescent="0.25">
      <c r="A92" s="510" t="s">
        <v>265</v>
      </c>
      <c r="B92" s="510" t="s">
        <v>118</v>
      </c>
      <c r="C92" s="512" t="s">
        <v>141</v>
      </c>
      <c r="D92" s="512" t="s">
        <v>120</v>
      </c>
      <c r="E92" s="510">
        <v>378710.3</v>
      </c>
      <c r="F92" s="513">
        <v>23683.88</v>
      </c>
      <c r="G92" s="502"/>
      <c r="I92" s="509"/>
      <c r="J92" s="514" t="s">
        <v>122</v>
      </c>
    </row>
    <row r="93" spans="1:10" x14ac:dyDescent="0.25">
      <c r="A93" s="510" t="s">
        <v>265</v>
      </c>
      <c r="B93" s="510" t="s">
        <v>118</v>
      </c>
      <c r="C93" s="512" t="s">
        <v>141</v>
      </c>
      <c r="D93" s="512" t="s">
        <v>120</v>
      </c>
      <c r="E93" s="510">
        <v>378711.3</v>
      </c>
      <c r="F93" s="513">
        <v>23683.88</v>
      </c>
      <c r="G93" s="502"/>
      <c r="I93" s="509"/>
      <c r="J93" s="514" t="s">
        <v>122</v>
      </c>
    </row>
    <row r="94" spans="1:10" x14ac:dyDescent="0.25">
      <c r="A94" s="510" t="s">
        <v>265</v>
      </c>
      <c r="B94" s="510" t="s">
        <v>118</v>
      </c>
      <c r="C94" s="512" t="s">
        <v>141</v>
      </c>
      <c r="D94" s="512" t="s">
        <v>120</v>
      </c>
      <c r="E94" s="510">
        <v>378712.3</v>
      </c>
      <c r="F94" s="513">
        <v>23683.88</v>
      </c>
      <c r="G94" s="502"/>
      <c r="I94" s="509"/>
      <c r="J94" s="514" t="s">
        <v>122</v>
      </c>
    </row>
    <row r="95" spans="1:10" x14ac:dyDescent="0.25">
      <c r="A95" s="510" t="s">
        <v>265</v>
      </c>
      <c r="B95" s="510" t="s">
        <v>118</v>
      </c>
      <c r="C95" s="512" t="s">
        <v>141</v>
      </c>
      <c r="D95" s="512" t="s">
        <v>120</v>
      </c>
      <c r="E95" s="510">
        <v>378713.3</v>
      </c>
      <c r="F95" s="513">
        <v>33729.15</v>
      </c>
      <c r="G95" s="502"/>
      <c r="I95" s="509"/>
      <c r="J95" s="514" t="s">
        <v>122</v>
      </c>
    </row>
    <row r="96" spans="1:10" x14ac:dyDescent="0.25">
      <c r="A96" s="510" t="s">
        <v>265</v>
      </c>
      <c r="B96" s="510" t="s">
        <v>118</v>
      </c>
      <c r="C96" s="512" t="s">
        <v>141</v>
      </c>
      <c r="D96" s="512" t="s">
        <v>120</v>
      </c>
      <c r="E96" s="510">
        <v>378718.3</v>
      </c>
      <c r="F96" s="513">
        <v>336819</v>
      </c>
      <c r="G96" s="502"/>
      <c r="I96" s="509"/>
      <c r="J96" s="514" t="s">
        <v>122</v>
      </c>
    </row>
    <row r="97" spans="1:10" x14ac:dyDescent="0.25">
      <c r="A97" s="510" t="s">
        <v>265</v>
      </c>
      <c r="B97" s="510" t="s">
        <v>118</v>
      </c>
      <c r="C97" s="512" t="s">
        <v>141</v>
      </c>
      <c r="D97" s="512" t="s">
        <v>120</v>
      </c>
      <c r="E97" s="510">
        <v>378720.3</v>
      </c>
      <c r="F97" s="513">
        <v>23721.759999999998</v>
      </c>
      <c r="G97" s="502"/>
      <c r="I97" s="509"/>
      <c r="J97" s="514" t="s">
        <v>122</v>
      </c>
    </row>
    <row r="98" spans="1:10" x14ac:dyDescent="0.25">
      <c r="A98" s="510" t="s">
        <v>265</v>
      </c>
      <c r="B98" s="510" t="s">
        <v>118</v>
      </c>
      <c r="C98" s="512" t="s">
        <v>141</v>
      </c>
      <c r="D98" s="512" t="s">
        <v>120</v>
      </c>
      <c r="E98" s="510">
        <v>378721.3</v>
      </c>
      <c r="F98" s="513">
        <v>23721.759999999998</v>
      </c>
      <c r="G98" s="502"/>
      <c r="I98" s="509"/>
      <c r="J98" s="514" t="s">
        <v>122</v>
      </c>
    </row>
    <row r="99" spans="1:10" x14ac:dyDescent="0.25">
      <c r="A99" s="510" t="s">
        <v>265</v>
      </c>
      <c r="B99" s="510" t="s">
        <v>118</v>
      </c>
      <c r="C99" s="512" t="s">
        <v>141</v>
      </c>
      <c r="D99" s="512" t="s">
        <v>120</v>
      </c>
      <c r="E99" s="510">
        <v>378722.3</v>
      </c>
      <c r="F99" s="513">
        <v>23673.66</v>
      </c>
      <c r="G99" s="502"/>
      <c r="I99" s="509"/>
      <c r="J99" s="514" t="s">
        <v>122</v>
      </c>
    </row>
    <row r="100" spans="1:10" x14ac:dyDescent="0.25">
      <c r="A100" s="510" t="s">
        <v>265</v>
      </c>
      <c r="B100" s="510" t="s">
        <v>118</v>
      </c>
      <c r="C100" s="512" t="s">
        <v>141</v>
      </c>
      <c r="D100" s="512" t="s">
        <v>120</v>
      </c>
      <c r="E100" s="510">
        <v>378724.3</v>
      </c>
      <c r="F100" s="513">
        <v>23673.66</v>
      </c>
      <c r="G100" s="502"/>
      <c r="I100" s="509"/>
      <c r="J100" s="514" t="s">
        <v>122</v>
      </c>
    </row>
    <row r="101" spans="1:10" x14ac:dyDescent="0.25">
      <c r="A101" s="510" t="s">
        <v>265</v>
      </c>
      <c r="B101" s="510" t="s">
        <v>118</v>
      </c>
      <c r="C101" s="512" t="s">
        <v>141</v>
      </c>
      <c r="D101" s="512" t="s">
        <v>120</v>
      </c>
      <c r="E101" s="510">
        <v>378725.3</v>
      </c>
      <c r="F101" s="513">
        <v>23673.66</v>
      </c>
      <c r="G101" s="502"/>
      <c r="I101" s="509"/>
      <c r="J101" s="514" t="s">
        <v>122</v>
      </c>
    </row>
    <row r="102" spans="1:10" x14ac:dyDescent="0.25">
      <c r="A102" s="510" t="s">
        <v>265</v>
      </c>
      <c r="B102" s="510" t="s">
        <v>118</v>
      </c>
      <c r="C102" s="512" t="s">
        <v>141</v>
      </c>
      <c r="D102" s="512" t="s">
        <v>120</v>
      </c>
      <c r="E102" s="510">
        <v>378726.3</v>
      </c>
      <c r="F102" s="513">
        <v>23673.66</v>
      </c>
      <c r="G102" s="502"/>
      <c r="I102" s="509"/>
      <c r="J102" s="514" t="s">
        <v>122</v>
      </c>
    </row>
    <row r="103" spans="1:10" x14ac:dyDescent="0.25">
      <c r="A103" s="510" t="s">
        <v>265</v>
      </c>
      <c r="B103" s="510" t="s">
        <v>118</v>
      </c>
      <c r="C103" s="512" t="s">
        <v>141</v>
      </c>
      <c r="D103" s="512" t="s">
        <v>120</v>
      </c>
      <c r="E103" s="510">
        <v>378729.3</v>
      </c>
      <c r="F103" s="513">
        <v>23642.14</v>
      </c>
      <c r="G103" s="502"/>
      <c r="I103" s="509"/>
      <c r="J103" s="514" t="s">
        <v>122</v>
      </c>
    </row>
    <row r="104" spans="1:10" x14ac:dyDescent="0.25">
      <c r="A104" s="510" t="s">
        <v>265</v>
      </c>
      <c r="B104" s="510" t="s">
        <v>118</v>
      </c>
      <c r="C104" s="512" t="s">
        <v>141</v>
      </c>
      <c r="D104" s="512" t="s">
        <v>120</v>
      </c>
      <c r="E104" s="510">
        <v>378730.3</v>
      </c>
      <c r="F104" s="513">
        <v>23642.14</v>
      </c>
      <c r="G104" s="502"/>
      <c r="I104" s="509"/>
      <c r="J104" s="514" t="s">
        <v>122</v>
      </c>
    </row>
    <row r="105" spans="1:10" x14ac:dyDescent="0.25">
      <c r="A105" s="510" t="s">
        <v>265</v>
      </c>
      <c r="B105" s="510" t="s">
        <v>118</v>
      </c>
      <c r="C105" s="512" t="s">
        <v>141</v>
      </c>
      <c r="D105" s="512" t="s">
        <v>120</v>
      </c>
      <c r="E105" s="510">
        <v>378731.3</v>
      </c>
      <c r="F105" s="513">
        <v>20242.71</v>
      </c>
      <c r="G105" s="502"/>
      <c r="I105" s="509"/>
      <c r="J105" s="514" t="s">
        <v>122</v>
      </c>
    </row>
    <row r="106" spans="1:10" x14ac:dyDescent="0.25">
      <c r="A106" s="510" t="s">
        <v>265</v>
      </c>
      <c r="B106" s="510" t="s">
        <v>118</v>
      </c>
      <c r="C106" s="512" t="s">
        <v>141</v>
      </c>
      <c r="D106" s="512" t="s">
        <v>120</v>
      </c>
      <c r="E106" s="510">
        <v>378737.3</v>
      </c>
      <c r="F106" s="513">
        <v>20233.169999999998</v>
      </c>
      <c r="G106" s="502"/>
      <c r="I106" s="509"/>
      <c r="J106" s="514" t="s">
        <v>122</v>
      </c>
    </row>
    <row r="107" spans="1:10" x14ac:dyDescent="0.25">
      <c r="A107" s="510" t="s">
        <v>265</v>
      </c>
      <c r="B107" s="510" t="s">
        <v>118</v>
      </c>
      <c r="C107" s="512" t="s">
        <v>141</v>
      </c>
      <c r="D107" s="512" t="s">
        <v>120</v>
      </c>
      <c r="E107" s="510">
        <v>378738.3</v>
      </c>
      <c r="F107" s="513">
        <v>20233.169999999998</v>
      </c>
      <c r="G107" s="502"/>
      <c r="I107" s="509"/>
      <c r="J107" s="514" t="s">
        <v>122</v>
      </c>
    </row>
    <row r="108" spans="1:10" x14ac:dyDescent="0.25">
      <c r="A108" s="510" t="s">
        <v>265</v>
      </c>
      <c r="B108" s="510" t="s">
        <v>118</v>
      </c>
      <c r="C108" s="512" t="s">
        <v>141</v>
      </c>
      <c r="D108" s="512" t="s">
        <v>120</v>
      </c>
      <c r="E108" s="510">
        <v>378739.3</v>
      </c>
      <c r="F108" s="513">
        <v>23619.759999999998</v>
      </c>
      <c r="G108" s="502"/>
      <c r="I108" s="509"/>
      <c r="J108" s="514" t="s">
        <v>122</v>
      </c>
    </row>
    <row r="109" spans="1:10" x14ac:dyDescent="0.25">
      <c r="A109" s="510" t="s">
        <v>265</v>
      </c>
      <c r="B109" s="510" t="s">
        <v>118</v>
      </c>
      <c r="C109" s="512" t="s">
        <v>141</v>
      </c>
      <c r="D109" s="512" t="s">
        <v>120</v>
      </c>
      <c r="E109" s="510">
        <v>378740.3</v>
      </c>
      <c r="F109" s="513">
        <v>79690.53</v>
      </c>
      <c r="G109" s="502"/>
      <c r="I109" s="509"/>
      <c r="J109" s="514" t="s">
        <v>122</v>
      </c>
    </row>
    <row r="110" spans="1:10" x14ac:dyDescent="0.25">
      <c r="A110" s="510" t="s">
        <v>143</v>
      </c>
      <c r="B110" s="510" t="s">
        <v>118</v>
      </c>
      <c r="C110" s="512" t="s">
        <v>141</v>
      </c>
      <c r="D110" s="512" t="s">
        <v>120</v>
      </c>
      <c r="E110" s="510">
        <v>378536.1</v>
      </c>
      <c r="F110" s="513">
        <v>110</v>
      </c>
      <c r="G110" s="502"/>
      <c r="I110" s="509"/>
      <c r="J110" s="514" t="s">
        <v>122</v>
      </c>
    </row>
    <row r="111" spans="1:10" x14ac:dyDescent="0.25">
      <c r="A111" s="510" t="s">
        <v>143</v>
      </c>
      <c r="B111" s="510" t="s">
        <v>118</v>
      </c>
      <c r="C111" s="512" t="s">
        <v>141</v>
      </c>
      <c r="D111" s="512" t="s">
        <v>120</v>
      </c>
      <c r="E111" s="510">
        <v>378567.1</v>
      </c>
      <c r="F111" s="513">
        <v>2238.14</v>
      </c>
      <c r="G111" s="502"/>
      <c r="I111" s="509"/>
      <c r="J111" s="514" t="s">
        <v>122</v>
      </c>
    </row>
    <row r="112" spans="1:10" x14ac:dyDescent="0.25">
      <c r="A112" s="510" t="s">
        <v>143</v>
      </c>
      <c r="B112" s="510" t="s">
        <v>118</v>
      </c>
      <c r="C112" s="512" t="s">
        <v>141</v>
      </c>
      <c r="D112" s="512" t="s">
        <v>120</v>
      </c>
      <c r="E112" s="510">
        <v>378583.1</v>
      </c>
      <c r="F112" s="513">
        <v>2205.52</v>
      </c>
      <c r="G112" s="502"/>
      <c r="I112" s="509"/>
      <c r="J112" s="514" t="s">
        <v>122</v>
      </c>
    </row>
    <row r="113" spans="1:10" x14ac:dyDescent="0.25">
      <c r="A113" s="510" t="s">
        <v>143</v>
      </c>
      <c r="B113" s="510" t="s">
        <v>118</v>
      </c>
      <c r="C113" s="512" t="s">
        <v>141</v>
      </c>
      <c r="D113" s="512" t="s">
        <v>120</v>
      </c>
      <c r="E113" s="510">
        <v>378586.1</v>
      </c>
      <c r="F113" s="513">
        <v>7853.5</v>
      </c>
      <c r="G113" s="502"/>
      <c r="I113" s="509"/>
      <c r="J113" s="514" t="s">
        <v>122</v>
      </c>
    </row>
    <row r="114" spans="1:10" x14ac:dyDescent="0.25">
      <c r="A114" s="510" t="s">
        <v>143</v>
      </c>
      <c r="B114" s="510" t="s">
        <v>118</v>
      </c>
      <c r="C114" s="512" t="s">
        <v>141</v>
      </c>
      <c r="D114" s="512" t="s">
        <v>120</v>
      </c>
      <c r="E114" s="510">
        <v>378587.1</v>
      </c>
      <c r="F114" s="513">
        <v>263.05</v>
      </c>
      <c r="G114" s="502"/>
      <c r="I114" s="509"/>
      <c r="J114" s="514" t="s">
        <v>122</v>
      </c>
    </row>
    <row r="115" spans="1:10" x14ac:dyDescent="0.25">
      <c r="A115" s="510" t="s">
        <v>143</v>
      </c>
      <c r="B115" s="510" t="s">
        <v>118</v>
      </c>
      <c r="C115" s="512" t="s">
        <v>141</v>
      </c>
      <c r="D115" s="512" t="s">
        <v>120</v>
      </c>
      <c r="E115" s="510">
        <v>378589.1</v>
      </c>
      <c r="F115" s="513">
        <v>10</v>
      </c>
      <c r="G115" s="502"/>
      <c r="I115" s="509"/>
      <c r="J115" s="514" t="s">
        <v>122</v>
      </c>
    </row>
    <row r="116" spans="1:10" x14ac:dyDescent="0.25">
      <c r="A116" s="510" t="s">
        <v>143</v>
      </c>
      <c r="B116" s="510" t="s">
        <v>118</v>
      </c>
      <c r="C116" s="512" t="s">
        <v>141</v>
      </c>
      <c r="D116" s="512" t="s">
        <v>120</v>
      </c>
      <c r="E116" s="510">
        <v>378590.1</v>
      </c>
      <c r="F116" s="513">
        <v>310.89999999999998</v>
      </c>
      <c r="G116" s="502"/>
      <c r="I116" s="509"/>
      <c r="J116" s="514" t="s">
        <v>122</v>
      </c>
    </row>
    <row r="117" spans="1:10" x14ac:dyDescent="0.25">
      <c r="A117" s="510" t="s">
        <v>143</v>
      </c>
      <c r="B117" s="510" t="s">
        <v>118</v>
      </c>
      <c r="C117" s="512" t="s">
        <v>141</v>
      </c>
      <c r="D117" s="512" t="s">
        <v>120</v>
      </c>
      <c r="E117" s="510">
        <v>378591.1</v>
      </c>
      <c r="F117" s="513">
        <v>1576.85</v>
      </c>
      <c r="G117" s="502"/>
      <c r="I117" s="509"/>
      <c r="J117" s="514" t="s">
        <v>122</v>
      </c>
    </row>
    <row r="118" spans="1:10" x14ac:dyDescent="0.25">
      <c r="A118" s="510" t="s">
        <v>143</v>
      </c>
      <c r="B118" s="510" t="s">
        <v>118</v>
      </c>
      <c r="C118" s="512" t="s">
        <v>141</v>
      </c>
      <c r="D118" s="512" t="s">
        <v>120</v>
      </c>
      <c r="E118" s="510">
        <v>378596.1</v>
      </c>
      <c r="F118" s="513">
        <v>500.35</v>
      </c>
      <c r="G118" s="502"/>
      <c r="I118" s="509"/>
      <c r="J118" s="514" t="s">
        <v>122</v>
      </c>
    </row>
    <row r="119" spans="1:10" x14ac:dyDescent="0.25">
      <c r="A119" s="510" t="s">
        <v>143</v>
      </c>
      <c r="B119" s="510" t="s">
        <v>118</v>
      </c>
      <c r="C119" s="512" t="s">
        <v>141</v>
      </c>
      <c r="D119" s="512" t="s">
        <v>120</v>
      </c>
      <c r="E119" s="510">
        <v>378597.1</v>
      </c>
      <c r="F119" s="513">
        <v>2239.56</v>
      </c>
      <c r="G119" s="502"/>
      <c r="I119" s="509"/>
      <c r="J119" s="514" t="s">
        <v>122</v>
      </c>
    </row>
    <row r="120" spans="1:10" x14ac:dyDescent="0.25">
      <c r="A120" s="510" t="s">
        <v>143</v>
      </c>
      <c r="B120" s="510" t="s">
        <v>118</v>
      </c>
      <c r="C120" s="512" t="s">
        <v>141</v>
      </c>
      <c r="D120" s="512" t="s">
        <v>120</v>
      </c>
      <c r="E120" s="510">
        <v>378625.1</v>
      </c>
      <c r="F120" s="513">
        <v>2386.2399999999998</v>
      </c>
      <c r="G120" s="502"/>
      <c r="I120" s="509"/>
      <c r="J120" s="514" t="s">
        <v>122</v>
      </c>
    </row>
    <row r="121" spans="1:10" x14ac:dyDescent="0.25">
      <c r="A121" s="510" t="s">
        <v>143</v>
      </c>
      <c r="B121" s="510" t="s">
        <v>118</v>
      </c>
      <c r="C121" s="512" t="s">
        <v>141</v>
      </c>
      <c r="D121" s="512" t="s">
        <v>120</v>
      </c>
      <c r="E121" s="510">
        <v>378627.1</v>
      </c>
      <c r="F121" s="513">
        <v>2434.58</v>
      </c>
      <c r="G121" s="502"/>
      <c r="I121" s="509"/>
      <c r="J121" s="514" t="s">
        <v>122</v>
      </c>
    </row>
    <row r="122" spans="1:10" x14ac:dyDescent="0.25">
      <c r="A122" s="510" t="s">
        <v>143</v>
      </c>
      <c r="B122" s="510" t="s">
        <v>118</v>
      </c>
      <c r="C122" s="512" t="s">
        <v>141</v>
      </c>
      <c r="D122" s="512" t="s">
        <v>120</v>
      </c>
      <c r="E122" s="510">
        <v>378628.1</v>
      </c>
      <c r="F122" s="513">
        <v>2434.58</v>
      </c>
      <c r="G122" s="502"/>
      <c r="I122" s="509"/>
      <c r="J122" s="514" t="s">
        <v>122</v>
      </c>
    </row>
    <row r="123" spans="1:10" x14ac:dyDescent="0.25">
      <c r="A123" s="510" t="s">
        <v>143</v>
      </c>
      <c r="B123" s="510" t="s">
        <v>118</v>
      </c>
      <c r="C123" s="512" t="s">
        <v>141</v>
      </c>
      <c r="D123" s="512" t="s">
        <v>120</v>
      </c>
      <c r="E123" s="510">
        <v>378650.1</v>
      </c>
      <c r="F123" s="513">
        <v>728.8</v>
      </c>
      <c r="G123" s="502"/>
      <c r="I123" s="509"/>
      <c r="J123" s="514" t="s">
        <v>122</v>
      </c>
    </row>
    <row r="124" spans="1:10" x14ac:dyDescent="0.25">
      <c r="A124" s="510" t="s">
        <v>143</v>
      </c>
      <c r="B124" s="510" t="s">
        <v>118</v>
      </c>
      <c r="C124" s="512" t="s">
        <v>141</v>
      </c>
      <c r="D124" s="512" t="s">
        <v>120</v>
      </c>
      <c r="E124" s="510">
        <v>378659.1</v>
      </c>
      <c r="F124" s="513">
        <v>609.75</v>
      </c>
      <c r="G124" s="502"/>
      <c r="I124" s="509"/>
      <c r="J124" s="514" t="s">
        <v>122</v>
      </c>
    </row>
    <row r="125" spans="1:10" x14ac:dyDescent="0.25">
      <c r="A125" s="510" t="s">
        <v>143</v>
      </c>
      <c r="B125" s="510" t="s">
        <v>118</v>
      </c>
      <c r="C125" s="512" t="s">
        <v>141</v>
      </c>
      <c r="D125" s="512" t="s">
        <v>120</v>
      </c>
      <c r="E125" s="510">
        <v>378661.1</v>
      </c>
      <c r="F125" s="513">
        <v>583.45000000000005</v>
      </c>
      <c r="G125" s="502"/>
      <c r="I125" s="509"/>
      <c r="J125" s="514" t="s">
        <v>122</v>
      </c>
    </row>
    <row r="126" spans="1:10" x14ac:dyDescent="0.25">
      <c r="A126" s="510" t="s">
        <v>143</v>
      </c>
      <c r="B126" s="510" t="s">
        <v>118</v>
      </c>
      <c r="C126" s="512" t="s">
        <v>141</v>
      </c>
      <c r="D126" s="512" t="s">
        <v>120</v>
      </c>
      <c r="E126" s="510">
        <v>378665.1</v>
      </c>
      <c r="F126" s="513">
        <v>541</v>
      </c>
      <c r="G126" s="502"/>
      <c r="I126" s="509"/>
      <c r="J126" s="514" t="s">
        <v>122</v>
      </c>
    </row>
    <row r="127" spans="1:10" x14ac:dyDescent="0.25">
      <c r="A127" s="510" t="s">
        <v>143</v>
      </c>
      <c r="B127" s="510" t="s">
        <v>118</v>
      </c>
      <c r="C127" s="512" t="s">
        <v>141</v>
      </c>
      <c r="D127" s="512" t="s">
        <v>120</v>
      </c>
      <c r="E127" s="510">
        <v>378670.1</v>
      </c>
      <c r="F127" s="513">
        <v>644.20000000000005</v>
      </c>
      <c r="G127" s="502"/>
      <c r="I127" s="509"/>
      <c r="J127" s="514" t="s">
        <v>122</v>
      </c>
    </row>
    <row r="128" spans="1:10" x14ac:dyDescent="0.25">
      <c r="A128" s="510" t="s">
        <v>143</v>
      </c>
      <c r="B128" s="510" t="s">
        <v>118</v>
      </c>
      <c r="C128" s="512" t="s">
        <v>141</v>
      </c>
      <c r="D128" s="512" t="s">
        <v>120</v>
      </c>
      <c r="E128" s="510">
        <v>378675.1</v>
      </c>
      <c r="F128" s="513">
        <v>267.10000000000002</v>
      </c>
      <c r="G128" s="502"/>
      <c r="I128" s="509"/>
      <c r="J128" s="514" t="s">
        <v>122</v>
      </c>
    </row>
    <row r="129" spans="1:10" x14ac:dyDescent="0.25">
      <c r="A129" s="510" t="s">
        <v>143</v>
      </c>
      <c r="B129" s="510" t="s">
        <v>118</v>
      </c>
      <c r="C129" s="512" t="s">
        <v>141</v>
      </c>
      <c r="D129" s="512" t="s">
        <v>120</v>
      </c>
      <c r="E129" s="510">
        <v>378676.1</v>
      </c>
      <c r="F129" s="513">
        <v>469.2</v>
      </c>
      <c r="G129" s="502"/>
      <c r="I129" s="509"/>
      <c r="J129" s="514" t="s">
        <v>122</v>
      </c>
    </row>
    <row r="130" spans="1:10" x14ac:dyDescent="0.25">
      <c r="A130" s="510" t="s">
        <v>143</v>
      </c>
      <c r="B130" s="510" t="s">
        <v>118</v>
      </c>
      <c r="C130" s="512" t="s">
        <v>141</v>
      </c>
      <c r="D130" s="512" t="s">
        <v>120</v>
      </c>
      <c r="E130" s="510">
        <v>378679.1</v>
      </c>
      <c r="F130" s="513">
        <v>666.95</v>
      </c>
      <c r="G130" s="502"/>
      <c r="I130" s="509"/>
      <c r="J130" s="514" t="s">
        <v>122</v>
      </c>
    </row>
    <row r="131" spans="1:10" x14ac:dyDescent="0.25">
      <c r="A131" s="510" t="s">
        <v>143</v>
      </c>
      <c r="B131" s="510" t="s">
        <v>118</v>
      </c>
      <c r="C131" s="512" t="s">
        <v>141</v>
      </c>
      <c r="D131" s="512" t="s">
        <v>120</v>
      </c>
      <c r="E131" s="510">
        <v>378688.1</v>
      </c>
      <c r="F131" s="513">
        <v>1640.1</v>
      </c>
      <c r="G131" s="502"/>
      <c r="I131" s="509"/>
      <c r="J131" s="514" t="s">
        <v>122</v>
      </c>
    </row>
    <row r="132" spans="1:10" x14ac:dyDescent="0.25">
      <c r="A132" s="510" t="s">
        <v>143</v>
      </c>
      <c r="B132" s="510" t="s">
        <v>118</v>
      </c>
      <c r="C132" s="512" t="s">
        <v>141</v>
      </c>
      <c r="D132" s="512" t="s">
        <v>120</v>
      </c>
      <c r="E132" s="510">
        <v>378695.1</v>
      </c>
      <c r="F132" s="513">
        <v>1334.05</v>
      </c>
      <c r="G132" s="502"/>
      <c r="I132" s="509"/>
      <c r="J132" s="514" t="s">
        <v>122</v>
      </c>
    </row>
    <row r="133" spans="1:10" x14ac:dyDescent="0.25">
      <c r="A133" s="510" t="s">
        <v>143</v>
      </c>
      <c r="B133" s="510" t="s">
        <v>118</v>
      </c>
      <c r="C133" s="512" t="s">
        <v>141</v>
      </c>
      <c r="D133" s="512" t="s">
        <v>120</v>
      </c>
      <c r="E133" s="510">
        <v>378702.1</v>
      </c>
      <c r="F133" s="513">
        <v>1832.15</v>
      </c>
      <c r="G133" s="502"/>
      <c r="I133" s="509"/>
      <c r="J133" s="514" t="s">
        <v>122</v>
      </c>
    </row>
    <row r="134" spans="1:10" x14ac:dyDescent="0.25">
      <c r="A134" s="510" t="s">
        <v>143</v>
      </c>
      <c r="B134" s="510" t="s">
        <v>118</v>
      </c>
      <c r="C134" s="512" t="s">
        <v>141</v>
      </c>
      <c r="D134" s="512" t="s">
        <v>120</v>
      </c>
      <c r="E134" s="510">
        <v>378703.1</v>
      </c>
      <c r="F134" s="513">
        <v>1389</v>
      </c>
      <c r="G134" s="502"/>
      <c r="I134" s="509"/>
      <c r="J134" s="514" t="s">
        <v>122</v>
      </c>
    </row>
    <row r="135" spans="1:10" x14ac:dyDescent="0.25">
      <c r="A135" s="510" t="s">
        <v>143</v>
      </c>
      <c r="B135" s="510" t="s">
        <v>118</v>
      </c>
      <c r="C135" s="512" t="s">
        <v>141</v>
      </c>
      <c r="D135" s="512" t="s">
        <v>120</v>
      </c>
      <c r="E135" s="510">
        <v>378705.1</v>
      </c>
      <c r="F135" s="513">
        <v>1792.16</v>
      </c>
      <c r="G135" s="502"/>
      <c r="I135" s="509"/>
      <c r="J135" s="514" t="s">
        <v>122</v>
      </c>
    </row>
    <row r="136" spans="1:10" x14ac:dyDescent="0.25">
      <c r="A136" s="510" t="s">
        <v>143</v>
      </c>
      <c r="B136" s="510" t="s">
        <v>118</v>
      </c>
      <c r="C136" s="512" t="s">
        <v>141</v>
      </c>
      <c r="D136" s="512" t="s">
        <v>120</v>
      </c>
      <c r="E136" s="510">
        <v>378706.1</v>
      </c>
      <c r="F136" s="513">
        <v>1750.16</v>
      </c>
      <c r="G136" s="502"/>
      <c r="I136" s="509"/>
      <c r="J136" s="514" t="s">
        <v>122</v>
      </c>
    </row>
    <row r="137" spans="1:10" x14ac:dyDescent="0.25">
      <c r="A137" s="510" t="s">
        <v>143</v>
      </c>
      <c r="B137" s="510" t="s">
        <v>118</v>
      </c>
      <c r="C137" s="512" t="s">
        <v>141</v>
      </c>
      <c r="D137" s="512" t="s">
        <v>120</v>
      </c>
      <c r="E137" s="510">
        <v>378707.1</v>
      </c>
      <c r="F137" s="513">
        <v>390.25</v>
      </c>
      <c r="G137" s="502"/>
      <c r="I137" s="509"/>
      <c r="J137" s="514" t="s">
        <v>122</v>
      </c>
    </row>
    <row r="138" spans="1:10" x14ac:dyDescent="0.25">
      <c r="A138" s="510" t="s">
        <v>143</v>
      </c>
      <c r="B138" s="510" t="s">
        <v>118</v>
      </c>
      <c r="C138" s="512" t="s">
        <v>141</v>
      </c>
      <c r="D138" s="512" t="s">
        <v>120</v>
      </c>
      <c r="E138" s="510">
        <v>378709.1</v>
      </c>
      <c r="F138" s="513">
        <v>2356.2399999999998</v>
      </c>
      <c r="G138" s="502"/>
      <c r="I138" s="509"/>
      <c r="J138" s="514" t="s">
        <v>122</v>
      </c>
    </row>
    <row r="139" spans="1:10" x14ac:dyDescent="0.25">
      <c r="A139" s="510" t="s">
        <v>143</v>
      </c>
      <c r="B139" s="510" t="s">
        <v>118</v>
      </c>
      <c r="C139" s="512" t="s">
        <v>141</v>
      </c>
      <c r="D139" s="512" t="s">
        <v>120</v>
      </c>
      <c r="E139" s="510">
        <v>378710.1</v>
      </c>
      <c r="F139" s="513">
        <v>2517.34</v>
      </c>
      <c r="G139" s="502"/>
      <c r="I139" s="509"/>
      <c r="J139" s="514" t="s">
        <v>122</v>
      </c>
    </row>
    <row r="140" spans="1:10" x14ac:dyDescent="0.25">
      <c r="A140" s="510" t="s">
        <v>143</v>
      </c>
      <c r="B140" s="510" t="s">
        <v>118</v>
      </c>
      <c r="C140" s="512" t="s">
        <v>141</v>
      </c>
      <c r="D140" s="512" t="s">
        <v>120</v>
      </c>
      <c r="E140" s="510">
        <v>378711.1</v>
      </c>
      <c r="F140" s="513">
        <v>2522.86</v>
      </c>
      <c r="G140" s="502"/>
      <c r="I140" s="509"/>
      <c r="J140" s="514" t="s">
        <v>122</v>
      </c>
    </row>
    <row r="141" spans="1:10" x14ac:dyDescent="0.25">
      <c r="A141" s="510" t="s">
        <v>143</v>
      </c>
      <c r="B141" s="510" t="s">
        <v>118</v>
      </c>
      <c r="C141" s="512" t="s">
        <v>141</v>
      </c>
      <c r="D141" s="512" t="s">
        <v>120</v>
      </c>
      <c r="E141" s="510">
        <v>378712.1</v>
      </c>
      <c r="F141" s="513">
        <v>2484.7199999999998</v>
      </c>
      <c r="G141" s="502"/>
      <c r="I141" s="509"/>
      <c r="J141" s="514" t="s">
        <v>122</v>
      </c>
    </row>
    <row r="142" spans="1:10" x14ac:dyDescent="0.25">
      <c r="A142" s="510" t="s">
        <v>143</v>
      </c>
      <c r="B142" s="510" t="s">
        <v>118</v>
      </c>
      <c r="C142" s="512" t="s">
        <v>141</v>
      </c>
      <c r="D142" s="512" t="s">
        <v>120</v>
      </c>
      <c r="E142" s="510">
        <v>378713.1</v>
      </c>
      <c r="F142" s="513">
        <v>622.6</v>
      </c>
      <c r="G142" s="502"/>
      <c r="I142" s="509"/>
      <c r="J142" s="514" t="s">
        <v>122</v>
      </c>
    </row>
    <row r="143" spans="1:10" x14ac:dyDescent="0.25">
      <c r="A143" s="510" t="s">
        <v>143</v>
      </c>
      <c r="B143" s="510" t="s">
        <v>118</v>
      </c>
      <c r="C143" s="512" t="s">
        <v>141</v>
      </c>
      <c r="D143" s="512" t="s">
        <v>120</v>
      </c>
      <c r="E143" s="510">
        <v>378718.1</v>
      </c>
      <c r="F143" s="513">
        <v>2631.5</v>
      </c>
      <c r="G143" s="502"/>
      <c r="I143" s="509"/>
      <c r="J143" s="514" t="s">
        <v>122</v>
      </c>
    </row>
    <row r="144" spans="1:10" x14ac:dyDescent="0.25">
      <c r="A144" s="510" t="s">
        <v>143</v>
      </c>
      <c r="B144" s="510" t="s">
        <v>118</v>
      </c>
      <c r="C144" s="512" t="s">
        <v>141</v>
      </c>
      <c r="D144" s="512" t="s">
        <v>120</v>
      </c>
      <c r="E144" s="510">
        <v>378720.1</v>
      </c>
      <c r="F144" s="513">
        <v>2171.1799999999998</v>
      </c>
      <c r="G144" s="502"/>
      <c r="I144" s="509"/>
      <c r="J144" s="514" t="s">
        <v>122</v>
      </c>
    </row>
    <row r="145" spans="1:10" x14ac:dyDescent="0.25">
      <c r="A145" s="510" t="s">
        <v>143</v>
      </c>
      <c r="B145" s="510" t="s">
        <v>118</v>
      </c>
      <c r="C145" s="512" t="s">
        <v>141</v>
      </c>
      <c r="D145" s="512" t="s">
        <v>120</v>
      </c>
      <c r="E145" s="510">
        <v>378721.1</v>
      </c>
      <c r="F145" s="513">
        <v>2171.1799999999998</v>
      </c>
      <c r="G145" s="502"/>
      <c r="I145" s="509"/>
      <c r="J145" s="514" t="s">
        <v>122</v>
      </c>
    </row>
    <row r="146" spans="1:10" x14ac:dyDescent="0.25">
      <c r="A146" s="510" t="s">
        <v>143</v>
      </c>
      <c r="B146" s="510" t="s">
        <v>118</v>
      </c>
      <c r="C146" s="512" t="s">
        <v>141</v>
      </c>
      <c r="D146" s="512" t="s">
        <v>120</v>
      </c>
      <c r="E146" s="510">
        <v>378722.1</v>
      </c>
      <c r="F146" s="513">
        <v>2325.7399999999998</v>
      </c>
      <c r="G146" s="502"/>
      <c r="I146" s="509"/>
      <c r="J146" s="514" t="s">
        <v>122</v>
      </c>
    </row>
    <row r="147" spans="1:10" x14ac:dyDescent="0.25">
      <c r="A147" s="510" t="s">
        <v>143</v>
      </c>
      <c r="B147" s="510" t="s">
        <v>118</v>
      </c>
      <c r="C147" s="512" t="s">
        <v>141</v>
      </c>
      <c r="D147" s="512" t="s">
        <v>120</v>
      </c>
      <c r="E147" s="510">
        <v>378724.1</v>
      </c>
      <c r="F147" s="513">
        <v>2445.8200000000002</v>
      </c>
      <c r="G147" s="502"/>
      <c r="I147" s="509"/>
      <c r="J147" s="514" t="s">
        <v>122</v>
      </c>
    </row>
    <row r="148" spans="1:10" x14ac:dyDescent="0.25">
      <c r="A148" s="510" t="s">
        <v>143</v>
      </c>
      <c r="B148" s="510" t="s">
        <v>118</v>
      </c>
      <c r="C148" s="512" t="s">
        <v>141</v>
      </c>
      <c r="D148" s="512" t="s">
        <v>120</v>
      </c>
      <c r="E148" s="510">
        <v>378725.1</v>
      </c>
      <c r="F148" s="513">
        <v>2423.56</v>
      </c>
      <c r="G148" s="502"/>
      <c r="I148" s="509"/>
      <c r="J148" s="514" t="s">
        <v>122</v>
      </c>
    </row>
    <row r="149" spans="1:10" x14ac:dyDescent="0.25">
      <c r="A149" s="510" t="s">
        <v>143</v>
      </c>
      <c r="B149" s="510" t="s">
        <v>118</v>
      </c>
      <c r="C149" s="512" t="s">
        <v>141</v>
      </c>
      <c r="D149" s="512" t="s">
        <v>120</v>
      </c>
      <c r="E149" s="510">
        <v>378726.1</v>
      </c>
      <c r="F149" s="513">
        <v>2489.12</v>
      </c>
      <c r="G149" s="502"/>
      <c r="I149" s="509"/>
      <c r="J149" s="514" t="s">
        <v>122</v>
      </c>
    </row>
    <row r="150" spans="1:10" x14ac:dyDescent="0.25">
      <c r="A150" s="510" t="s">
        <v>143</v>
      </c>
      <c r="B150" s="510" t="s">
        <v>118</v>
      </c>
      <c r="C150" s="512" t="s">
        <v>141</v>
      </c>
      <c r="D150" s="512" t="s">
        <v>120</v>
      </c>
      <c r="E150" s="510">
        <v>378729.1</v>
      </c>
      <c r="F150" s="513">
        <v>2533.52</v>
      </c>
      <c r="G150" s="502"/>
      <c r="I150" s="509"/>
      <c r="J150" s="514" t="s">
        <v>122</v>
      </c>
    </row>
    <row r="151" spans="1:10" x14ac:dyDescent="0.25">
      <c r="A151" s="510" t="s">
        <v>143</v>
      </c>
      <c r="B151" s="510" t="s">
        <v>118</v>
      </c>
      <c r="C151" s="512" t="s">
        <v>141</v>
      </c>
      <c r="D151" s="512" t="s">
        <v>120</v>
      </c>
      <c r="E151" s="510">
        <v>378730.1</v>
      </c>
      <c r="F151" s="513">
        <v>2542.04</v>
      </c>
      <c r="G151" s="502"/>
      <c r="I151" s="509"/>
      <c r="J151" s="514" t="s">
        <v>122</v>
      </c>
    </row>
    <row r="152" spans="1:10" x14ac:dyDescent="0.25">
      <c r="A152" s="510" t="s">
        <v>143</v>
      </c>
      <c r="B152" s="510" t="s">
        <v>118</v>
      </c>
      <c r="C152" s="512" t="s">
        <v>141</v>
      </c>
      <c r="D152" s="512" t="s">
        <v>120</v>
      </c>
      <c r="E152" s="510">
        <v>378731.1</v>
      </c>
      <c r="F152" s="513">
        <v>345.18</v>
      </c>
      <c r="G152" s="502"/>
      <c r="I152" s="509"/>
      <c r="J152" s="514" t="s">
        <v>122</v>
      </c>
    </row>
    <row r="153" spans="1:10" x14ac:dyDescent="0.25">
      <c r="A153" s="510" t="s">
        <v>143</v>
      </c>
      <c r="B153" s="510" t="s">
        <v>118</v>
      </c>
      <c r="C153" s="512" t="s">
        <v>141</v>
      </c>
      <c r="D153" s="512" t="s">
        <v>120</v>
      </c>
      <c r="E153" s="510">
        <v>378737.1</v>
      </c>
      <c r="F153" s="513">
        <v>300</v>
      </c>
      <c r="G153" s="502"/>
      <c r="I153" s="509"/>
      <c r="J153" s="514" t="s">
        <v>122</v>
      </c>
    </row>
    <row r="154" spans="1:10" x14ac:dyDescent="0.25">
      <c r="A154" s="510" t="s">
        <v>143</v>
      </c>
      <c r="B154" s="510" t="s">
        <v>118</v>
      </c>
      <c r="C154" s="512" t="s">
        <v>141</v>
      </c>
      <c r="D154" s="512" t="s">
        <v>120</v>
      </c>
      <c r="E154" s="510">
        <v>378738.1</v>
      </c>
      <c r="F154" s="513">
        <v>345.87</v>
      </c>
      <c r="G154" s="502"/>
      <c r="I154" s="509"/>
      <c r="J154" s="514" t="s">
        <v>122</v>
      </c>
    </row>
    <row r="155" spans="1:10" x14ac:dyDescent="0.25">
      <c r="A155" s="510" t="s">
        <v>143</v>
      </c>
      <c r="B155" s="510" t="s">
        <v>118</v>
      </c>
      <c r="C155" s="512" t="s">
        <v>141</v>
      </c>
      <c r="D155" s="512" t="s">
        <v>120</v>
      </c>
      <c r="E155" s="510">
        <v>378739.1</v>
      </c>
      <c r="F155" s="513">
        <v>1121.8599999999999</v>
      </c>
      <c r="G155" s="502"/>
      <c r="I155" s="509"/>
      <c r="J155" s="514" t="s">
        <v>122</v>
      </c>
    </row>
    <row r="156" spans="1:10" x14ac:dyDescent="0.25">
      <c r="A156" s="510" t="s">
        <v>143</v>
      </c>
      <c r="B156" s="510" t="s">
        <v>118</v>
      </c>
      <c r="C156" s="512" t="s">
        <v>141</v>
      </c>
      <c r="D156" s="512" t="s">
        <v>120</v>
      </c>
      <c r="E156" s="510">
        <v>378740.1</v>
      </c>
      <c r="F156" s="513">
        <v>171</v>
      </c>
      <c r="G156" s="502">
        <f>SUM(F16:F156)</f>
        <v>64272.190000000453</v>
      </c>
      <c r="I156" s="509"/>
      <c r="J156" s="514" t="s">
        <v>122</v>
      </c>
    </row>
    <row r="157" spans="1:10" x14ac:dyDescent="0.25">
      <c r="A157" s="510"/>
      <c r="B157" s="510"/>
      <c r="C157" s="512"/>
      <c r="D157" s="512"/>
      <c r="E157" s="510"/>
      <c r="F157" s="513"/>
      <c r="G157" s="502"/>
      <c r="I157" s="509"/>
      <c r="J157" s="514"/>
    </row>
    <row r="158" spans="1:10" x14ac:dyDescent="0.25">
      <c r="A158" s="510" t="s">
        <v>265</v>
      </c>
      <c r="B158" s="510" t="s">
        <v>118</v>
      </c>
      <c r="C158" s="512" t="s">
        <v>119</v>
      </c>
      <c r="D158" s="512" t="s">
        <v>120</v>
      </c>
      <c r="E158" s="510">
        <v>367699.1</v>
      </c>
      <c r="F158" s="513">
        <v>-171</v>
      </c>
      <c r="G158" s="502"/>
      <c r="I158" s="509"/>
      <c r="J158" s="514"/>
    </row>
    <row r="159" spans="1:10" x14ac:dyDescent="0.25">
      <c r="A159" s="510" t="s">
        <v>265</v>
      </c>
      <c r="B159" s="510" t="s">
        <v>118</v>
      </c>
      <c r="C159" s="512" t="s">
        <v>119</v>
      </c>
      <c r="D159" s="512" t="s">
        <v>120</v>
      </c>
      <c r="E159" s="510">
        <v>383086.1</v>
      </c>
      <c r="F159" s="513">
        <v>-2117</v>
      </c>
      <c r="G159" s="502">
        <f>SUM(F158:F159)</f>
        <v>-2288</v>
      </c>
      <c r="I159" s="509"/>
      <c r="J159" s="514"/>
    </row>
    <row r="160" spans="1:10" x14ac:dyDescent="0.25">
      <c r="A160" s="510"/>
      <c r="B160" s="510"/>
      <c r="C160" s="512"/>
      <c r="D160" s="512"/>
      <c r="E160" s="510"/>
      <c r="F160" s="513"/>
      <c r="G160" s="502"/>
      <c r="I160" s="509"/>
      <c r="J160" s="514"/>
    </row>
    <row r="161" spans="1:11" x14ac:dyDescent="0.25">
      <c r="A161" s="510" t="s">
        <v>265</v>
      </c>
      <c r="B161" s="510" t="s">
        <v>118</v>
      </c>
      <c r="C161" s="512" t="s">
        <v>146</v>
      </c>
      <c r="D161" s="512" t="s">
        <v>123</v>
      </c>
      <c r="E161" s="510">
        <v>382177.1</v>
      </c>
      <c r="F161" s="513">
        <v>71005.62</v>
      </c>
      <c r="G161" s="502">
        <f>SUM(F161)</f>
        <v>71005.62</v>
      </c>
      <c r="H161" s="502">
        <f>SUM(F14:F161)</f>
        <v>229712.81000000093</v>
      </c>
      <c r="I161" s="509"/>
      <c r="J161" s="514"/>
    </row>
    <row r="162" spans="1:11" x14ac:dyDescent="0.25">
      <c r="F162" s="548"/>
      <c r="G162" s="502"/>
      <c r="I162" s="516"/>
      <c r="J162" s="502"/>
      <c r="K162" s="502"/>
    </row>
    <row r="163" spans="1:11" x14ac:dyDescent="0.25">
      <c r="A163" s="492" t="s">
        <v>274</v>
      </c>
      <c r="B163" t="s">
        <v>118</v>
      </c>
      <c r="C163" s="517" t="s">
        <v>125</v>
      </c>
      <c r="D163" s="518"/>
      <c r="E163" s="502"/>
      <c r="F163" s="502">
        <f>23271.2-27735.16</f>
        <v>-4463.9599999999991</v>
      </c>
      <c r="H163" s="502"/>
      <c r="I163" s="502"/>
      <c r="J163" s="502"/>
      <c r="K163" s="496"/>
    </row>
    <row r="164" spans="1:11" x14ac:dyDescent="0.25">
      <c r="A164" s="492" t="s">
        <v>274</v>
      </c>
      <c r="B164" s="502" t="s">
        <v>118</v>
      </c>
      <c r="C164" s="518" t="s">
        <v>126</v>
      </c>
      <c r="D164" s="518"/>
      <c r="E164" s="502"/>
      <c r="F164" s="502">
        <v>-13122.55</v>
      </c>
      <c r="G164" s="496">
        <f>SUM(F163:F164)</f>
        <v>-17586.509999999998</v>
      </c>
      <c r="H164" s="502"/>
      <c r="I164" s="502"/>
      <c r="J164" s="519"/>
      <c r="K164" s="496"/>
    </row>
    <row r="165" spans="1:11" x14ac:dyDescent="0.25">
      <c r="B165" s="502"/>
      <c r="C165" s="518"/>
      <c r="D165" s="518"/>
      <c r="E165" s="496"/>
      <c r="F165" s="496"/>
      <c r="G165" s="496"/>
      <c r="H165" s="496"/>
      <c r="I165" s="502"/>
      <c r="J165" s="519"/>
      <c r="K165" s="496"/>
    </row>
    <row r="166" spans="1:11" x14ac:dyDescent="0.25">
      <c r="B166" s="502"/>
      <c r="C166" s="518" t="s">
        <v>127</v>
      </c>
      <c r="D166" s="518"/>
      <c r="E166" s="496"/>
      <c r="F166" s="496"/>
      <c r="G166" s="496"/>
      <c r="H166" s="496"/>
      <c r="I166" s="502"/>
      <c r="J166" s="519"/>
      <c r="K166" s="496"/>
    </row>
    <row r="167" spans="1:11" ht="25.5" customHeight="1" x14ac:dyDescent="0.25">
      <c r="A167" s="492" t="s">
        <v>274</v>
      </c>
      <c r="B167" s="502" t="s">
        <v>118</v>
      </c>
      <c r="C167" s="518" t="s">
        <v>144</v>
      </c>
      <c r="D167" s="518" t="s">
        <v>151</v>
      </c>
      <c r="E167" s="520"/>
      <c r="F167" s="521">
        <v>-4100</v>
      </c>
      <c r="H167" s="496">
        <f>+F167/SUM($F$167:$F$168)*$G$164</f>
        <v>-3240.6602696629207</v>
      </c>
      <c r="I167" s="502"/>
      <c r="J167" s="542"/>
      <c r="K167" s="522"/>
    </row>
    <row r="168" spans="1:11" ht="12.75" customHeight="1" x14ac:dyDescent="0.25">
      <c r="A168" s="492" t="s">
        <v>274</v>
      </c>
      <c r="B168" s="502" t="s">
        <v>118</v>
      </c>
      <c r="C168" s="518" t="s">
        <v>144</v>
      </c>
      <c r="D168" s="518" t="s">
        <v>152</v>
      </c>
      <c r="E168" s="523"/>
      <c r="F168" s="521">
        <v>-18150</v>
      </c>
      <c r="H168" s="496">
        <f>+F168/SUM($F$167:$F$168)*$G$164</f>
        <v>-14345.849730337079</v>
      </c>
      <c r="I168" s="502"/>
      <c r="J168" s="542"/>
      <c r="K168" s="522"/>
    </row>
    <row r="169" spans="1:11" x14ac:dyDescent="0.25">
      <c r="B169" s="502"/>
      <c r="C169" s="518"/>
      <c r="D169" s="518"/>
      <c r="E169" s="523"/>
      <c r="F169" s="521"/>
      <c r="H169" s="496"/>
      <c r="I169" s="502"/>
      <c r="J169" s="542"/>
      <c r="K169" s="522"/>
    </row>
    <row r="170" spans="1:11" x14ac:dyDescent="0.25">
      <c r="A170" s="492" t="s">
        <v>129</v>
      </c>
      <c r="B170" s="502" t="s">
        <v>118</v>
      </c>
      <c r="C170" s="518" t="s">
        <v>153</v>
      </c>
      <c r="D170" s="518"/>
      <c r="E170" s="523"/>
      <c r="F170" s="521"/>
      <c r="H170" s="496">
        <v>25.16</v>
      </c>
      <c r="I170" s="502"/>
      <c r="J170" s="542"/>
      <c r="K170" s="522"/>
    </row>
    <row r="171" spans="1:11" x14ac:dyDescent="0.25">
      <c r="A171" s="492" t="s">
        <v>129</v>
      </c>
      <c r="B171" s="502" t="s">
        <v>118</v>
      </c>
      <c r="C171" s="518" t="s">
        <v>122</v>
      </c>
      <c r="D171" s="518"/>
      <c r="E171" s="523"/>
      <c r="F171" s="521"/>
      <c r="H171" s="496">
        <f>72988.13-64272.19</f>
        <v>8715.9400000000023</v>
      </c>
      <c r="I171" s="502"/>
      <c r="J171" s="542"/>
      <c r="K171" s="522"/>
    </row>
    <row r="172" spans="1:11" x14ac:dyDescent="0.25">
      <c r="A172" s="492" t="s">
        <v>129</v>
      </c>
      <c r="B172" s="502" t="s">
        <v>118</v>
      </c>
      <c r="C172" s="518" t="s">
        <v>132</v>
      </c>
      <c r="D172" s="518"/>
      <c r="E172" s="523"/>
      <c r="G172" s="543"/>
      <c r="H172" s="496">
        <f>51660.39</f>
        <v>51660.39</v>
      </c>
      <c r="J172" s="542"/>
      <c r="K172" s="522"/>
    </row>
    <row r="173" spans="1:11" x14ac:dyDescent="0.25">
      <c r="A173" s="492" t="s">
        <v>129</v>
      </c>
      <c r="B173" s="502" t="s">
        <v>118</v>
      </c>
      <c r="C173" s="518" t="s">
        <v>133</v>
      </c>
      <c r="D173" s="518"/>
      <c r="E173" s="523"/>
      <c r="G173" s="543"/>
      <c r="H173" s="496">
        <f>-51429.22</f>
        <v>-51429.22</v>
      </c>
      <c r="J173" s="542"/>
      <c r="K173" s="522"/>
    </row>
    <row r="174" spans="1:11" x14ac:dyDescent="0.25">
      <c r="A174" s="492" t="s">
        <v>129</v>
      </c>
      <c r="B174" s="502" t="s">
        <v>118</v>
      </c>
      <c r="C174" s="518" t="s">
        <v>131</v>
      </c>
      <c r="D174" s="518"/>
      <c r="E174" s="523"/>
      <c r="F174" s="523"/>
      <c r="G174" s="383"/>
      <c r="H174" s="496">
        <f>-58482.61</f>
        <v>-58482.61</v>
      </c>
      <c r="J174" s="542"/>
      <c r="K174" s="522"/>
    </row>
    <row r="175" spans="1:11" x14ac:dyDescent="0.25">
      <c r="A175" s="492" t="s">
        <v>263</v>
      </c>
      <c r="B175" t="s">
        <v>134</v>
      </c>
      <c r="F175" s="496"/>
      <c r="G175" s="502"/>
      <c r="H175" s="502"/>
      <c r="I175" s="516"/>
      <c r="J175" s="549"/>
      <c r="K175" s="522"/>
    </row>
    <row r="176" spans="1:11" x14ac:dyDescent="0.25">
      <c r="B176" s="502"/>
      <c r="C176" s="505"/>
      <c r="D176" s="505"/>
      <c r="E176" s="502"/>
      <c r="F176" s="502"/>
      <c r="H176" s="501">
        <f>SUM(H12:H175)</f>
        <v>162615.96000000095</v>
      </c>
    </row>
    <row r="177" spans="2:9" x14ac:dyDescent="0.25">
      <c r="B177" s="502"/>
      <c r="C177" s="505"/>
      <c r="D177" s="505"/>
      <c r="E177" s="502"/>
      <c r="F177" s="502"/>
      <c r="H177" s="502"/>
    </row>
    <row r="178" spans="2:9" x14ac:dyDescent="0.25">
      <c r="B178" s="502"/>
      <c r="C178" s="505"/>
      <c r="D178" s="505"/>
      <c r="E178" s="502" t="s">
        <v>864</v>
      </c>
      <c r="F178" s="502"/>
      <c r="H178" s="501">
        <f>ROUND(+H10-H176,2)</f>
        <v>0</v>
      </c>
    </row>
    <row r="179" spans="2:9" x14ac:dyDescent="0.25">
      <c r="B179" s="502"/>
      <c r="C179" s="505"/>
      <c r="D179" s="505"/>
      <c r="E179" s="502"/>
      <c r="F179" s="502"/>
      <c r="G179" s="502"/>
    </row>
    <row r="180" spans="2:9" x14ac:dyDescent="0.25">
      <c r="B180" s="502"/>
      <c r="C180" s="505"/>
      <c r="D180" s="517" t="s">
        <v>136</v>
      </c>
      <c r="E180" s="502"/>
      <c r="F180" s="502"/>
      <c r="G180" s="502"/>
      <c r="H180" s="502">
        <f>+H176-H175</f>
        <v>162615.96000000095</v>
      </c>
    </row>
    <row r="181" spans="2:9" x14ac:dyDescent="0.25">
      <c r="B181" s="502"/>
      <c r="C181" s="505"/>
      <c r="D181" s="517" t="s">
        <v>137</v>
      </c>
      <c r="E181" s="502"/>
      <c r="F181" s="502"/>
      <c r="G181" s="502"/>
      <c r="H181" s="502">
        <f>+H175</f>
        <v>0</v>
      </c>
      <c r="I181" s="502"/>
    </row>
    <row r="182" spans="2:9" x14ac:dyDescent="0.25">
      <c r="B182" s="502"/>
      <c r="C182" s="505"/>
      <c r="D182" s="505"/>
      <c r="E182" s="502"/>
      <c r="F182" s="502"/>
      <c r="G182" s="502"/>
      <c r="H182" s="501">
        <f>+H181+H180</f>
        <v>162615.96000000095</v>
      </c>
    </row>
    <row r="183" spans="2:9" x14ac:dyDescent="0.25">
      <c r="B183" s="538"/>
      <c r="C183" s="505"/>
      <c r="D183" s="505"/>
      <c r="E183" s="502"/>
      <c r="F183" s="502"/>
      <c r="G183" s="502"/>
      <c r="H183" s="502"/>
    </row>
    <row r="184" spans="2:9" x14ac:dyDescent="0.25">
      <c r="B184" s="539" t="s">
        <v>138</v>
      </c>
    </row>
    <row r="185" spans="2:9" x14ac:dyDescent="0.25">
      <c r="B185" s="539" t="s">
        <v>139</v>
      </c>
    </row>
    <row r="186" spans="2:9" ht="12.75" customHeight="1" x14ac:dyDescent="0.25">
      <c r="B186" s="539"/>
      <c r="C186" s="540"/>
      <c r="D186" s="540"/>
      <c r="E186" s="540"/>
      <c r="F186" s="540"/>
      <c r="G186" s="540"/>
      <c r="H186" s="540"/>
    </row>
    <row r="187" spans="2:9" x14ac:dyDescent="0.25">
      <c r="B187" s="539"/>
      <c r="C187" s="505"/>
      <c r="D187" s="505"/>
      <c r="E187" s="502"/>
      <c r="F187" s="502"/>
      <c r="G187" s="502"/>
    </row>
    <row r="188" spans="2:9" ht="14.25" customHeight="1" x14ac:dyDescent="0.25">
      <c r="B188" s="582" t="str">
        <f ca="1">CELL("filename")</f>
        <v>O:\ClntSvc\Ksettle\ACCNTNG\FLASH\2000\0010\[2000010 flash REPORT.xls]Var. Rpt EPMI</v>
      </c>
      <c r="C188" s="582"/>
      <c r="D188" s="582"/>
      <c r="E188" s="582"/>
      <c r="F188" s="582"/>
      <c r="G188" s="582"/>
    </row>
    <row r="189" spans="2:9" x14ac:dyDescent="0.25">
      <c r="B189" s="538"/>
      <c r="C189" s="505"/>
      <c r="D189" s="505"/>
      <c r="E189" s="502"/>
      <c r="F189" s="502"/>
      <c r="G189" s="502"/>
    </row>
    <row r="190" spans="2:9" x14ac:dyDescent="0.25">
      <c r="B190" s="502"/>
      <c r="C190" s="505"/>
      <c r="D190" s="505"/>
      <c r="E190" s="502"/>
      <c r="F190" s="502"/>
      <c r="G190" s="502"/>
    </row>
    <row r="191" spans="2:9" x14ac:dyDescent="0.25">
      <c r="B191" s="502"/>
      <c r="C191" s="505"/>
      <c r="D191" s="505"/>
      <c r="E191" s="502"/>
      <c r="F191" s="502"/>
      <c r="G191" s="502"/>
    </row>
    <row r="192" spans="2:9" x14ac:dyDescent="0.25">
      <c r="B192" s="502"/>
      <c r="C192" s="505"/>
      <c r="D192" s="505"/>
      <c r="E192" s="502"/>
      <c r="F192" s="502"/>
      <c r="G192" s="502"/>
    </row>
    <row r="193" spans="2:7" x14ac:dyDescent="0.25">
      <c r="B193" s="502"/>
      <c r="C193" s="505"/>
      <c r="D193" s="505"/>
      <c r="E193" s="502"/>
      <c r="F193" s="502"/>
      <c r="G193" s="502"/>
    </row>
    <row r="194" spans="2:7" x14ac:dyDescent="0.25">
      <c r="B194" s="502"/>
      <c r="C194" s="505"/>
      <c r="D194" s="505"/>
      <c r="E194" s="502"/>
      <c r="F194" s="502"/>
      <c r="G194" s="502"/>
    </row>
    <row r="195" spans="2:7" x14ac:dyDescent="0.25">
      <c r="B195" s="502"/>
      <c r="C195" s="505"/>
      <c r="D195" s="505"/>
      <c r="E195" s="502"/>
      <c r="F195" s="502"/>
      <c r="G195" s="502"/>
    </row>
    <row r="196" spans="2:7" x14ac:dyDescent="0.25">
      <c r="B196" s="502"/>
      <c r="C196" s="505"/>
      <c r="D196" s="505"/>
      <c r="E196" s="502"/>
      <c r="F196" s="502"/>
      <c r="G196" s="502"/>
    </row>
    <row r="197" spans="2:7" x14ac:dyDescent="0.25">
      <c r="B197" s="502"/>
      <c r="C197" s="505"/>
      <c r="D197" s="505"/>
      <c r="E197" s="502"/>
      <c r="F197" s="502"/>
      <c r="G197" s="502"/>
    </row>
    <row r="198" spans="2:7" x14ac:dyDescent="0.25">
      <c r="B198" s="502"/>
      <c r="C198" s="505"/>
      <c r="D198" s="505"/>
      <c r="E198" s="502"/>
      <c r="F198" s="502"/>
      <c r="G198" s="502"/>
    </row>
    <row r="199" spans="2:7" x14ac:dyDescent="0.25">
      <c r="B199" s="502"/>
      <c r="C199" s="505"/>
      <c r="D199" s="505"/>
      <c r="E199" s="502"/>
      <c r="F199" s="502"/>
      <c r="G199" s="502"/>
    </row>
    <row r="200" spans="2:7" x14ac:dyDescent="0.25">
      <c r="B200" s="502"/>
      <c r="C200" s="505"/>
      <c r="D200" s="505"/>
      <c r="E200" s="502"/>
      <c r="F200" s="502"/>
      <c r="G200" s="502"/>
    </row>
    <row r="201" spans="2:7" x14ac:dyDescent="0.25">
      <c r="B201" s="502"/>
      <c r="C201" s="505"/>
      <c r="D201" s="505"/>
      <c r="E201" s="502"/>
      <c r="F201" s="502"/>
      <c r="G201" s="502"/>
    </row>
    <row r="202" spans="2:7" x14ac:dyDescent="0.25">
      <c r="B202" s="502"/>
      <c r="C202" s="505"/>
      <c r="D202" s="505"/>
      <c r="E202" s="502"/>
      <c r="F202" s="502"/>
      <c r="G202" s="502"/>
    </row>
    <row r="203" spans="2:7" x14ac:dyDescent="0.25">
      <c r="B203" s="502"/>
      <c r="C203" s="505"/>
      <c r="D203" s="505"/>
      <c r="E203" s="502"/>
      <c r="F203" s="502"/>
      <c r="G203" s="502"/>
    </row>
    <row r="204" spans="2:7" x14ac:dyDescent="0.25">
      <c r="B204" s="502"/>
      <c r="C204" s="505"/>
      <c r="D204" s="505"/>
      <c r="E204" s="502"/>
      <c r="F204" s="502"/>
      <c r="G204" s="502"/>
    </row>
    <row r="205" spans="2:7" x14ac:dyDescent="0.25">
      <c r="B205" s="502"/>
      <c r="C205" s="505"/>
      <c r="D205" s="505"/>
      <c r="E205" s="502"/>
      <c r="F205" s="502"/>
      <c r="G205" s="502"/>
    </row>
    <row r="206" spans="2:7" x14ac:dyDescent="0.25">
      <c r="B206" s="502"/>
      <c r="C206" s="505"/>
      <c r="D206" s="505"/>
      <c r="E206" s="502"/>
      <c r="F206" s="502"/>
      <c r="G206" s="502"/>
    </row>
    <row r="207" spans="2:7" x14ac:dyDescent="0.25">
      <c r="B207" s="502"/>
      <c r="C207" s="505"/>
      <c r="D207" s="505"/>
      <c r="E207" s="502"/>
      <c r="F207" s="502"/>
      <c r="G207" s="502"/>
    </row>
    <row r="208" spans="2:7" x14ac:dyDescent="0.25">
      <c r="B208" s="502"/>
      <c r="C208" s="505"/>
      <c r="D208" s="505"/>
      <c r="E208" s="502"/>
      <c r="F208" s="502"/>
      <c r="G208" s="502"/>
    </row>
    <row r="209" spans="2:7" x14ac:dyDescent="0.25">
      <c r="B209" s="502"/>
      <c r="C209" s="505"/>
      <c r="D209" s="505"/>
      <c r="E209" s="502"/>
      <c r="F209" s="502"/>
      <c r="G209" s="502"/>
    </row>
    <row r="210" spans="2:7" x14ac:dyDescent="0.25">
      <c r="B210" s="502"/>
      <c r="C210" s="505"/>
      <c r="D210" s="505"/>
      <c r="E210" s="502"/>
      <c r="F210" s="502"/>
      <c r="G210" s="502"/>
    </row>
    <row r="211" spans="2:7" x14ac:dyDescent="0.25">
      <c r="B211" s="502"/>
      <c r="C211" s="505"/>
      <c r="D211" s="505"/>
      <c r="E211" s="502"/>
      <c r="F211" s="502"/>
      <c r="G211" s="502"/>
    </row>
    <row r="212" spans="2:7" x14ac:dyDescent="0.25">
      <c r="B212" s="502"/>
      <c r="C212" s="505"/>
      <c r="D212" s="505"/>
      <c r="E212" s="502"/>
      <c r="F212" s="502"/>
      <c r="G212" s="502"/>
    </row>
    <row r="213" spans="2:7" x14ac:dyDescent="0.25">
      <c r="B213" s="502"/>
      <c r="C213" s="505"/>
      <c r="D213" s="505"/>
      <c r="E213" s="502"/>
      <c r="F213" s="502"/>
      <c r="G213" s="502"/>
    </row>
    <row r="214" spans="2:7" x14ac:dyDescent="0.25">
      <c r="B214" s="502"/>
      <c r="C214" s="505"/>
      <c r="D214" s="505"/>
      <c r="E214" s="502"/>
      <c r="F214" s="502"/>
      <c r="G214" s="502"/>
    </row>
    <row r="215" spans="2:7" x14ac:dyDescent="0.25">
      <c r="B215" s="502"/>
      <c r="C215" s="505"/>
      <c r="D215" s="505"/>
      <c r="E215" s="502"/>
      <c r="F215" s="502"/>
      <c r="G215" s="502"/>
    </row>
    <row r="216" spans="2:7" x14ac:dyDescent="0.25">
      <c r="B216" s="502"/>
      <c r="C216" s="505"/>
      <c r="D216" s="505"/>
      <c r="E216" s="502"/>
      <c r="F216" s="502"/>
      <c r="G216" s="502"/>
    </row>
    <row r="217" spans="2:7" x14ac:dyDescent="0.25">
      <c r="B217" s="502"/>
      <c r="C217" s="505"/>
      <c r="D217" s="505"/>
      <c r="E217" s="502"/>
      <c r="F217" s="502"/>
      <c r="G217" s="502"/>
    </row>
    <row r="218" spans="2:7" x14ac:dyDescent="0.25">
      <c r="B218" s="502"/>
      <c r="C218" s="505"/>
      <c r="D218" s="505"/>
      <c r="E218" s="502"/>
      <c r="F218" s="502"/>
      <c r="G218" s="502"/>
    </row>
    <row r="219" spans="2:7" x14ac:dyDescent="0.25">
      <c r="B219" s="502"/>
      <c r="C219" s="505"/>
      <c r="D219" s="505"/>
      <c r="E219" s="502"/>
      <c r="F219" s="502"/>
      <c r="G219" s="502"/>
    </row>
    <row r="220" spans="2:7" x14ac:dyDescent="0.25">
      <c r="B220" s="502"/>
      <c r="C220" s="505"/>
      <c r="D220" s="505"/>
      <c r="E220" s="502"/>
      <c r="F220" s="502"/>
      <c r="G220" s="502"/>
    </row>
    <row r="221" spans="2:7" x14ac:dyDescent="0.25">
      <c r="B221" s="502"/>
      <c r="C221" s="505"/>
      <c r="D221" s="505"/>
      <c r="E221" s="502"/>
      <c r="F221" s="502"/>
      <c r="G221" s="502"/>
    </row>
    <row r="222" spans="2:7" x14ac:dyDescent="0.25">
      <c r="B222" s="502"/>
      <c r="C222" s="505"/>
      <c r="D222" s="505"/>
      <c r="E222" s="502"/>
      <c r="F222" s="502"/>
      <c r="G222" s="502"/>
    </row>
    <row r="223" spans="2:7" x14ac:dyDescent="0.25">
      <c r="B223" s="502"/>
      <c r="C223" s="505"/>
      <c r="D223" s="505"/>
      <c r="E223" s="502"/>
      <c r="F223" s="502"/>
      <c r="G223" s="502"/>
    </row>
    <row r="224" spans="2:7" x14ac:dyDescent="0.25">
      <c r="B224" s="502"/>
      <c r="C224" s="505"/>
      <c r="D224" s="505"/>
      <c r="E224" s="502"/>
      <c r="F224" s="502"/>
      <c r="G224" s="502"/>
    </row>
    <row r="225" spans="2:7" x14ac:dyDescent="0.25">
      <c r="B225" s="502"/>
      <c r="C225" s="505"/>
      <c r="D225" s="505"/>
      <c r="E225" s="502"/>
      <c r="F225" s="502"/>
      <c r="G225" s="502"/>
    </row>
    <row r="226" spans="2:7" x14ac:dyDescent="0.25">
      <c r="B226" s="502"/>
      <c r="C226" s="505"/>
      <c r="D226" s="505"/>
      <c r="E226" s="502"/>
      <c r="F226" s="502"/>
      <c r="G226" s="502"/>
    </row>
    <row r="227" spans="2:7" x14ac:dyDescent="0.25">
      <c r="B227" s="502"/>
      <c r="C227" s="505"/>
      <c r="D227" s="505"/>
      <c r="E227" s="502"/>
      <c r="F227" s="502"/>
      <c r="G227" s="502"/>
    </row>
    <row r="228" spans="2:7" x14ac:dyDescent="0.25">
      <c r="B228" s="502"/>
      <c r="C228" s="505"/>
      <c r="D228" s="505"/>
      <c r="E228" s="502"/>
      <c r="F228" s="502"/>
      <c r="G228" s="502"/>
    </row>
    <row r="229" spans="2:7" x14ac:dyDescent="0.25">
      <c r="B229" s="502"/>
      <c r="C229" s="505"/>
      <c r="D229" s="505"/>
      <c r="E229" s="502"/>
      <c r="F229" s="502"/>
      <c r="G229" s="502"/>
    </row>
    <row r="230" spans="2:7" x14ac:dyDescent="0.25">
      <c r="B230" s="502"/>
      <c r="C230" s="505"/>
      <c r="D230" s="505"/>
      <c r="E230" s="502"/>
      <c r="F230" s="502"/>
      <c r="G230" s="502"/>
    </row>
    <row r="231" spans="2:7" x14ac:dyDescent="0.25">
      <c r="B231" s="502"/>
      <c r="C231" s="505"/>
      <c r="D231" s="505"/>
      <c r="E231" s="502"/>
      <c r="F231" s="502"/>
      <c r="G231" s="502"/>
    </row>
    <row r="232" spans="2:7" x14ac:dyDescent="0.25">
      <c r="B232" s="502"/>
      <c r="C232" s="505"/>
      <c r="D232" s="505"/>
      <c r="E232" s="502"/>
      <c r="F232" s="502"/>
      <c r="G232" s="502"/>
    </row>
    <row r="233" spans="2:7" x14ac:dyDescent="0.25">
      <c r="B233" s="502"/>
      <c r="C233" s="505"/>
      <c r="D233" s="505"/>
      <c r="E233" s="502"/>
      <c r="F233" s="502"/>
      <c r="G233" s="502"/>
    </row>
    <row r="234" spans="2:7" x14ac:dyDescent="0.25">
      <c r="B234" s="502"/>
      <c r="C234" s="505"/>
      <c r="D234" s="505"/>
      <c r="E234" s="502"/>
      <c r="F234" s="502"/>
      <c r="G234" s="502"/>
    </row>
    <row r="235" spans="2:7" x14ac:dyDescent="0.25">
      <c r="B235" s="502"/>
      <c r="C235" s="505"/>
      <c r="D235" s="505"/>
      <c r="E235" s="502"/>
      <c r="F235" s="502"/>
      <c r="G235" s="502"/>
    </row>
    <row r="236" spans="2:7" x14ac:dyDescent="0.25">
      <c r="B236" s="502"/>
      <c r="C236" s="505"/>
      <c r="D236" s="505"/>
      <c r="E236" s="502"/>
      <c r="F236" s="502"/>
      <c r="G236" s="502"/>
    </row>
    <row r="237" spans="2:7" x14ac:dyDescent="0.25">
      <c r="B237" s="502"/>
      <c r="C237" s="505"/>
      <c r="D237" s="505"/>
      <c r="E237" s="502"/>
      <c r="F237" s="502"/>
      <c r="G237" s="502"/>
    </row>
    <row r="238" spans="2:7" x14ac:dyDescent="0.25">
      <c r="B238" s="502"/>
      <c r="C238" s="505"/>
      <c r="D238" s="505"/>
      <c r="E238" s="502"/>
      <c r="F238" s="502"/>
      <c r="G238" s="502"/>
    </row>
    <row r="239" spans="2:7" x14ac:dyDescent="0.25">
      <c r="B239" s="502"/>
      <c r="C239" s="505"/>
      <c r="D239" s="505"/>
      <c r="E239" s="502"/>
      <c r="F239" s="502"/>
      <c r="G239" s="502"/>
    </row>
    <row r="240" spans="2:7" x14ac:dyDescent="0.25">
      <c r="B240" s="502"/>
      <c r="C240" s="505"/>
      <c r="D240" s="505"/>
      <c r="E240" s="502"/>
      <c r="F240" s="502"/>
      <c r="G240" s="502"/>
    </row>
    <row r="241" spans="2:7" x14ac:dyDescent="0.25">
      <c r="B241" s="502"/>
      <c r="C241" s="505"/>
      <c r="D241" s="505"/>
      <c r="E241" s="502"/>
      <c r="F241" s="502"/>
      <c r="G241" s="502"/>
    </row>
    <row r="242" spans="2:7" x14ac:dyDescent="0.25">
      <c r="B242" s="502"/>
      <c r="C242" s="505"/>
      <c r="D242" s="505"/>
      <c r="E242" s="502"/>
      <c r="F242" s="502"/>
      <c r="G242" s="502"/>
    </row>
    <row r="243" spans="2:7" x14ac:dyDescent="0.25">
      <c r="B243" s="502"/>
      <c r="C243" s="505"/>
      <c r="D243" s="505"/>
      <c r="E243" s="502"/>
      <c r="F243" s="502"/>
      <c r="G243" s="502"/>
    </row>
    <row r="244" spans="2:7" x14ac:dyDescent="0.25">
      <c r="B244" s="502"/>
      <c r="C244" s="505"/>
      <c r="D244" s="505"/>
      <c r="E244" s="502"/>
      <c r="F244" s="502"/>
      <c r="G244" s="502"/>
    </row>
    <row r="245" spans="2:7" x14ac:dyDescent="0.25">
      <c r="B245" s="502"/>
      <c r="C245" s="505"/>
      <c r="D245" s="505"/>
      <c r="E245" s="502"/>
      <c r="F245" s="502"/>
      <c r="G245" s="502"/>
    </row>
    <row r="246" spans="2:7" x14ac:dyDescent="0.25">
      <c r="B246" s="502"/>
      <c r="C246" s="505"/>
      <c r="D246" s="505"/>
      <c r="E246" s="502"/>
      <c r="F246" s="502"/>
      <c r="G246" s="502"/>
    </row>
    <row r="247" spans="2:7" x14ac:dyDescent="0.25">
      <c r="B247" s="502"/>
      <c r="C247" s="505"/>
      <c r="D247" s="505"/>
      <c r="E247" s="502"/>
      <c r="F247" s="502"/>
      <c r="G247" s="502"/>
    </row>
    <row r="248" spans="2:7" x14ac:dyDescent="0.25">
      <c r="B248" s="502"/>
      <c r="C248" s="505"/>
      <c r="D248" s="505"/>
      <c r="E248" s="502"/>
      <c r="F248" s="502"/>
      <c r="G248" s="502"/>
    </row>
    <row r="249" spans="2:7" x14ac:dyDescent="0.25">
      <c r="B249" s="502"/>
      <c r="C249" s="505"/>
      <c r="D249" s="505"/>
      <c r="E249" s="502"/>
      <c r="F249" s="502"/>
      <c r="G249" s="502"/>
    </row>
    <row r="250" spans="2:7" x14ac:dyDescent="0.25">
      <c r="B250" s="502"/>
      <c r="C250" s="505"/>
      <c r="D250" s="505"/>
      <c r="E250" s="502"/>
      <c r="F250" s="502"/>
      <c r="G250" s="502"/>
    </row>
    <row r="251" spans="2:7" x14ac:dyDescent="0.25">
      <c r="B251" s="502"/>
      <c r="C251" s="505"/>
      <c r="D251" s="505"/>
      <c r="E251" s="502"/>
      <c r="F251" s="502"/>
      <c r="G251" s="502"/>
    </row>
    <row r="252" spans="2:7" x14ac:dyDescent="0.25">
      <c r="B252" s="502"/>
      <c r="C252" s="505"/>
      <c r="D252" s="505"/>
      <c r="E252" s="502"/>
      <c r="F252" s="502"/>
      <c r="G252" s="502"/>
    </row>
    <row r="253" spans="2:7" x14ac:dyDescent="0.25">
      <c r="B253" s="502"/>
      <c r="C253" s="505"/>
      <c r="D253" s="505"/>
      <c r="E253" s="502"/>
      <c r="F253" s="502"/>
      <c r="G253" s="502"/>
    </row>
    <row r="254" spans="2:7" x14ac:dyDescent="0.25">
      <c r="B254" s="502"/>
      <c r="C254" s="505"/>
      <c r="D254" s="505"/>
      <c r="E254" s="502"/>
      <c r="F254" s="502"/>
      <c r="G254" s="502"/>
    </row>
    <row r="255" spans="2:7" x14ac:dyDescent="0.25">
      <c r="B255" s="502"/>
      <c r="C255" s="505"/>
      <c r="D255" s="505"/>
      <c r="E255" s="502"/>
      <c r="F255" s="502"/>
      <c r="G255" s="502"/>
    </row>
    <row r="256" spans="2:7" x14ac:dyDescent="0.25">
      <c r="B256" s="502"/>
      <c r="C256" s="505"/>
      <c r="D256" s="505"/>
      <c r="E256" s="502"/>
      <c r="F256" s="502"/>
      <c r="G256" s="502"/>
    </row>
    <row r="257" spans="2:7" x14ac:dyDescent="0.25">
      <c r="B257" s="502"/>
      <c r="C257" s="505"/>
      <c r="D257" s="505"/>
      <c r="E257" s="502"/>
      <c r="F257" s="502"/>
      <c r="G257" s="502"/>
    </row>
    <row r="258" spans="2:7" x14ac:dyDescent="0.25">
      <c r="B258" s="502"/>
      <c r="C258" s="505"/>
      <c r="D258" s="505"/>
      <c r="E258" s="502"/>
      <c r="F258" s="502"/>
      <c r="G258" s="502"/>
    </row>
    <row r="259" spans="2:7" x14ac:dyDescent="0.25">
      <c r="B259" s="502"/>
      <c r="C259" s="505"/>
      <c r="D259" s="505"/>
      <c r="E259" s="502"/>
      <c r="F259" s="502"/>
      <c r="G259" s="502"/>
    </row>
    <row r="260" spans="2:7" x14ac:dyDescent="0.25">
      <c r="B260" s="502"/>
      <c r="C260" s="505"/>
      <c r="D260" s="505"/>
      <c r="E260" s="502"/>
      <c r="F260" s="502"/>
      <c r="G260" s="502"/>
    </row>
    <row r="261" spans="2:7" x14ac:dyDescent="0.25">
      <c r="B261" s="502"/>
      <c r="C261" s="505"/>
      <c r="D261" s="505"/>
      <c r="E261" s="502"/>
      <c r="F261" s="502"/>
      <c r="G261" s="502"/>
    </row>
    <row r="262" spans="2:7" x14ac:dyDescent="0.25">
      <c r="B262" s="502"/>
      <c r="C262" s="505"/>
      <c r="D262" s="505"/>
      <c r="E262" s="502"/>
      <c r="F262" s="502"/>
      <c r="G262" s="502"/>
    </row>
    <row r="263" spans="2:7" x14ac:dyDescent="0.25">
      <c r="B263" s="502"/>
      <c r="C263" s="505"/>
      <c r="D263" s="505"/>
      <c r="E263" s="502"/>
      <c r="F263" s="502"/>
      <c r="G263" s="502"/>
    </row>
    <row r="264" spans="2:7" x14ac:dyDescent="0.25">
      <c r="B264" s="502"/>
      <c r="C264" s="505"/>
      <c r="D264" s="505"/>
      <c r="E264" s="502"/>
      <c r="F264" s="502"/>
      <c r="G264" s="502"/>
    </row>
    <row r="265" spans="2:7" x14ac:dyDescent="0.25">
      <c r="B265" s="502"/>
      <c r="C265" s="505"/>
      <c r="D265" s="505"/>
      <c r="E265" s="502"/>
      <c r="F265" s="502"/>
      <c r="G265" s="502"/>
    </row>
    <row r="266" spans="2:7" x14ac:dyDescent="0.25">
      <c r="B266" s="502"/>
      <c r="C266" s="505"/>
      <c r="D266" s="505"/>
      <c r="E266" s="502"/>
      <c r="F266" s="502"/>
      <c r="G266" s="502"/>
    </row>
    <row r="267" spans="2:7" x14ac:dyDescent="0.25">
      <c r="B267" s="502"/>
      <c r="C267" s="505"/>
      <c r="D267" s="505"/>
      <c r="E267" s="502"/>
      <c r="F267" s="502"/>
      <c r="G267" s="502"/>
    </row>
    <row r="268" spans="2:7" x14ac:dyDescent="0.25">
      <c r="B268" s="502"/>
      <c r="C268" s="505"/>
      <c r="D268" s="505"/>
      <c r="E268" s="502"/>
      <c r="F268" s="502"/>
      <c r="G268" s="502"/>
    </row>
    <row r="269" spans="2:7" x14ac:dyDescent="0.25">
      <c r="B269" s="502"/>
      <c r="C269" s="505"/>
      <c r="D269" s="505"/>
      <c r="E269" s="502"/>
      <c r="F269" s="502"/>
      <c r="G269" s="502"/>
    </row>
    <row r="270" spans="2:7" x14ac:dyDescent="0.25">
      <c r="B270" s="502"/>
      <c r="C270" s="505"/>
      <c r="D270" s="505"/>
      <c r="E270" s="502"/>
      <c r="F270" s="502"/>
      <c r="G270" s="502"/>
    </row>
    <row r="271" spans="2:7" x14ac:dyDescent="0.25">
      <c r="B271" s="502"/>
      <c r="C271" s="505"/>
      <c r="D271" s="505"/>
      <c r="E271" s="502"/>
      <c r="F271" s="502"/>
      <c r="G271" s="502"/>
    </row>
    <row r="272" spans="2:7" x14ac:dyDescent="0.25">
      <c r="B272" s="502"/>
      <c r="C272" s="505"/>
      <c r="D272" s="505"/>
      <c r="E272" s="502"/>
      <c r="F272" s="502"/>
      <c r="G272" s="502"/>
    </row>
    <row r="273" spans="2:7" x14ac:dyDescent="0.25">
      <c r="B273" s="502"/>
      <c r="C273" s="505"/>
      <c r="D273" s="505"/>
      <c r="E273" s="502"/>
      <c r="F273" s="502"/>
      <c r="G273" s="502"/>
    </row>
    <row r="274" spans="2:7" x14ac:dyDescent="0.25">
      <c r="B274" s="502"/>
      <c r="C274" s="505"/>
      <c r="D274" s="505"/>
      <c r="E274" s="502"/>
      <c r="F274" s="502"/>
      <c r="G274" s="502"/>
    </row>
    <row r="275" spans="2:7" x14ac:dyDescent="0.25">
      <c r="B275" s="502"/>
      <c r="C275" s="505"/>
      <c r="D275" s="505"/>
      <c r="E275" s="502"/>
      <c r="F275" s="502"/>
      <c r="G275" s="502"/>
    </row>
    <row r="276" spans="2:7" x14ac:dyDescent="0.25">
      <c r="B276" s="502"/>
      <c r="C276" s="505"/>
      <c r="D276" s="505"/>
      <c r="E276" s="502"/>
      <c r="F276" s="502"/>
      <c r="G276" s="502"/>
    </row>
    <row r="277" spans="2:7" x14ac:dyDescent="0.25">
      <c r="B277" s="502"/>
      <c r="C277" s="505"/>
      <c r="D277" s="505"/>
      <c r="E277" s="502"/>
      <c r="F277" s="502"/>
      <c r="G277" s="502"/>
    </row>
    <row r="278" spans="2:7" x14ac:dyDescent="0.25">
      <c r="B278" s="502"/>
      <c r="C278" s="505"/>
      <c r="D278" s="505"/>
      <c r="E278" s="502"/>
      <c r="F278" s="502"/>
      <c r="G278" s="502"/>
    </row>
    <row r="279" spans="2:7" x14ac:dyDescent="0.25">
      <c r="B279" s="502"/>
      <c r="C279" s="505"/>
      <c r="D279" s="505"/>
      <c r="E279" s="502"/>
      <c r="F279" s="502"/>
      <c r="G279" s="502"/>
    </row>
    <row r="280" spans="2:7" x14ac:dyDescent="0.25">
      <c r="B280" s="502"/>
      <c r="C280" s="505"/>
      <c r="D280" s="505"/>
      <c r="E280" s="502"/>
      <c r="F280" s="502"/>
      <c r="G280" s="502"/>
    </row>
    <row r="281" spans="2:7" x14ac:dyDescent="0.25">
      <c r="B281" s="502"/>
      <c r="C281" s="505"/>
      <c r="D281" s="505"/>
      <c r="E281" s="502"/>
      <c r="F281" s="502"/>
      <c r="G281" s="502"/>
    </row>
    <row r="282" spans="2:7" x14ac:dyDescent="0.25">
      <c r="B282" s="502"/>
      <c r="C282" s="505"/>
      <c r="D282" s="505"/>
      <c r="E282" s="502"/>
      <c r="F282" s="502"/>
      <c r="G282" s="502"/>
    </row>
    <row r="283" spans="2:7" x14ac:dyDescent="0.25">
      <c r="B283" s="502"/>
      <c r="C283" s="505"/>
      <c r="D283" s="505"/>
      <c r="E283" s="502"/>
      <c r="F283" s="502"/>
      <c r="G283" s="502"/>
    </row>
    <row r="284" spans="2:7" x14ac:dyDescent="0.25">
      <c r="B284" s="502"/>
      <c r="C284" s="505"/>
      <c r="D284" s="505"/>
      <c r="E284" s="502"/>
      <c r="F284" s="502"/>
      <c r="G284" s="502"/>
    </row>
    <row r="285" spans="2:7" x14ac:dyDescent="0.25">
      <c r="B285" s="502"/>
      <c r="C285" s="505"/>
      <c r="D285" s="505"/>
      <c r="E285" s="502"/>
      <c r="F285" s="502"/>
      <c r="G285" s="502"/>
    </row>
    <row r="286" spans="2:7" x14ac:dyDescent="0.25">
      <c r="B286" s="502"/>
      <c r="C286" s="505"/>
      <c r="D286" s="505"/>
      <c r="E286" s="502"/>
      <c r="F286" s="502"/>
      <c r="G286" s="502"/>
    </row>
    <row r="287" spans="2:7" x14ac:dyDescent="0.25">
      <c r="B287" s="502"/>
      <c r="C287" s="505"/>
      <c r="D287" s="505"/>
      <c r="E287" s="502"/>
      <c r="F287" s="502"/>
      <c r="G287" s="502"/>
    </row>
    <row r="288" spans="2:7" x14ac:dyDescent="0.25">
      <c r="B288" s="502"/>
      <c r="C288" s="505"/>
      <c r="D288" s="505"/>
      <c r="E288" s="502"/>
      <c r="F288" s="502"/>
      <c r="G288" s="502"/>
    </row>
    <row r="289" spans="2:7" x14ac:dyDescent="0.25">
      <c r="B289" s="502"/>
      <c r="C289" s="505"/>
      <c r="D289" s="505"/>
      <c r="E289" s="502"/>
      <c r="F289" s="502"/>
      <c r="G289" s="502"/>
    </row>
    <row r="290" spans="2:7" x14ac:dyDescent="0.25">
      <c r="B290" s="502"/>
      <c r="C290" s="505"/>
      <c r="D290" s="505"/>
      <c r="E290" s="502"/>
      <c r="F290" s="502"/>
      <c r="G290" s="502"/>
    </row>
    <row r="291" spans="2:7" x14ac:dyDescent="0.25">
      <c r="B291" s="502"/>
      <c r="C291" s="505"/>
      <c r="D291" s="505"/>
      <c r="E291" s="502"/>
      <c r="F291" s="502"/>
      <c r="G291" s="502"/>
    </row>
    <row r="292" spans="2:7" x14ac:dyDescent="0.25">
      <c r="B292" s="502"/>
      <c r="C292" s="505"/>
      <c r="D292" s="505"/>
      <c r="E292" s="502"/>
      <c r="F292" s="502"/>
      <c r="G292" s="502"/>
    </row>
    <row r="293" spans="2:7" x14ac:dyDescent="0.25">
      <c r="B293" s="502"/>
      <c r="C293" s="505"/>
      <c r="D293" s="505"/>
      <c r="E293" s="502"/>
      <c r="F293" s="502"/>
      <c r="G293" s="502"/>
    </row>
    <row r="294" spans="2:7" x14ac:dyDescent="0.25">
      <c r="B294" s="502"/>
      <c r="C294" s="505"/>
      <c r="D294" s="505"/>
      <c r="E294" s="502"/>
      <c r="F294" s="502"/>
      <c r="G294" s="502"/>
    </row>
    <row r="295" spans="2:7" x14ac:dyDescent="0.25">
      <c r="B295" s="502"/>
      <c r="C295" s="505"/>
      <c r="D295" s="505"/>
      <c r="E295" s="502"/>
      <c r="F295" s="502"/>
      <c r="G295" s="502"/>
    </row>
    <row r="296" spans="2:7" x14ac:dyDescent="0.25">
      <c r="B296" s="502"/>
      <c r="C296" s="505"/>
      <c r="D296" s="505"/>
      <c r="E296" s="502"/>
      <c r="F296" s="502"/>
      <c r="G296" s="502"/>
    </row>
    <row r="297" spans="2:7" x14ac:dyDescent="0.25">
      <c r="B297" s="502"/>
      <c r="C297" s="505"/>
      <c r="D297" s="505"/>
      <c r="E297" s="502"/>
      <c r="F297" s="502"/>
      <c r="G297" s="502"/>
    </row>
    <row r="298" spans="2:7" x14ac:dyDescent="0.25">
      <c r="B298" s="502"/>
      <c r="C298" s="505"/>
      <c r="D298" s="505"/>
      <c r="E298" s="502"/>
      <c r="F298" s="502"/>
      <c r="G298" s="502"/>
    </row>
    <row r="299" spans="2:7" x14ac:dyDescent="0.25">
      <c r="B299" s="502"/>
      <c r="C299" s="505"/>
      <c r="D299" s="505"/>
      <c r="E299" s="502"/>
      <c r="F299" s="502"/>
      <c r="G299" s="502"/>
    </row>
    <row r="300" spans="2:7" x14ac:dyDescent="0.25">
      <c r="B300" s="502"/>
      <c r="C300" s="505"/>
      <c r="D300" s="505"/>
      <c r="E300" s="502"/>
      <c r="F300" s="502"/>
      <c r="G300" s="502"/>
    </row>
    <row r="301" spans="2:7" x14ac:dyDescent="0.25">
      <c r="B301" s="502"/>
      <c r="C301" s="505"/>
      <c r="D301" s="505"/>
      <c r="E301" s="502"/>
      <c r="F301" s="502"/>
      <c r="G301" s="502"/>
    </row>
    <row r="302" spans="2:7" x14ac:dyDescent="0.25">
      <c r="B302" s="502"/>
      <c r="C302" s="505"/>
      <c r="D302" s="505"/>
      <c r="E302" s="502"/>
      <c r="F302" s="502"/>
      <c r="G302" s="502"/>
    </row>
    <row r="303" spans="2:7" x14ac:dyDescent="0.25">
      <c r="B303" s="502"/>
      <c r="C303" s="505"/>
      <c r="D303" s="505"/>
      <c r="E303" s="502"/>
      <c r="F303" s="502"/>
      <c r="G303" s="502"/>
    </row>
    <row r="304" spans="2:7" x14ac:dyDescent="0.25">
      <c r="B304" s="502"/>
      <c r="C304" s="505"/>
      <c r="D304" s="505"/>
      <c r="E304" s="502"/>
      <c r="F304" s="502"/>
      <c r="G304" s="502"/>
    </row>
    <row r="305" spans="2:7" x14ac:dyDescent="0.25">
      <c r="B305" s="502"/>
      <c r="C305" s="505"/>
      <c r="D305" s="505"/>
      <c r="E305" s="502"/>
      <c r="F305" s="502"/>
      <c r="G305" s="502"/>
    </row>
    <row r="306" spans="2:7" x14ac:dyDescent="0.25">
      <c r="B306" s="502"/>
      <c r="C306" s="505"/>
      <c r="D306" s="505"/>
      <c r="E306" s="502"/>
      <c r="F306" s="502"/>
      <c r="G306" s="502"/>
    </row>
    <row r="307" spans="2:7" x14ac:dyDescent="0.25">
      <c r="B307" s="502"/>
      <c r="C307" s="505"/>
      <c r="D307" s="505"/>
      <c r="E307" s="502"/>
      <c r="F307" s="502"/>
      <c r="G307" s="502"/>
    </row>
    <row r="308" spans="2:7" x14ac:dyDescent="0.25">
      <c r="B308" s="502"/>
      <c r="C308" s="505"/>
      <c r="D308" s="505"/>
      <c r="E308" s="502"/>
      <c r="F308" s="502"/>
      <c r="G308" s="502"/>
    </row>
    <row r="309" spans="2:7" x14ac:dyDescent="0.25">
      <c r="B309" s="502"/>
      <c r="C309" s="505"/>
      <c r="D309" s="505"/>
      <c r="E309" s="502"/>
      <c r="F309" s="502"/>
      <c r="G309" s="502"/>
    </row>
    <row r="310" spans="2:7" x14ac:dyDescent="0.25">
      <c r="B310" s="502"/>
      <c r="C310" s="505"/>
      <c r="D310" s="505"/>
      <c r="E310" s="502"/>
      <c r="F310" s="502"/>
      <c r="G310" s="502"/>
    </row>
    <row r="311" spans="2:7" x14ac:dyDescent="0.25">
      <c r="B311" s="502"/>
      <c r="C311" s="505"/>
      <c r="D311" s="505"/>
      <c r="E311" s="502"/>
      <c r="F311" s="502"/>
      <c r="G311" s="502"/>
    </row>
    <row r="312" spans="2:7" x14ac:dyDescent="0.25">
      <c r="B312" s="502"/>
      <c r="C312" s="505"/>
      <c r="D312" s="505"/>
      <c r="E312" s="502"/>
      <c r="F312" s="502"/>
      <c r="G312" s="502"/>
    </row>
    <row r="313" spans="2:7" x14ac:dyDescent="0.25">
      <c r="B313" s="502"/>
      <c r="C313" s="505"/>
      <c r="D313" s="505"/>
      <c r="E313" s="502"/>
      <c r="F313" s="502"/>
      <c r="G313" s="502"/>
    </row>
    <row r="314" spans="2:7" x14ac:dyDescent="0.25">
      <c r="B314" s="502"/>
      <c r="C314" s="505"/>
      <c r="D314" s="505"/>
      <c r="E314" s="502"/>
      <c r="F314" s="502"/>
      <c r="G314" s="502"/>
    </row>
    <row r="315" spans="2:7" x14ac:dyDescent="0.25">
      <c r="B315" s="502"/>
      <c r="C315" s="505"/>
      <c r="D315" s="505"/>
      <c r="E315" s="502"/>
      <c r="F315" s="502"/>
      <c r="G315" s="502"/>
    </row>
    <row r="316" spans="2:7" x14ac:dyDescent="0.25">
      <c r="B316" s="502"/>
      <c r="C316" s="505"/>
      <c r="D316" s="505"/>
      <c r="E316" s="502"/>
      <c r="F316" s="502"/>
      <c r="G316" s="502"/>
    </row>
    <row r="317" spans="2:7" x14ac:dyDescent="0.25">
      <c r="B317" s="502"/>
      <c r="C317" s="505"/>
      <c r="D317" s="505"/>
      <c r="E317" s="502"/>
      <c r="F317" s="502"/>
      <c r="G317" s="502"/>
    </row>
    <row r="318" spans="2:7" x14ac:dyDescent="0.25">
      <c r="B318" s="502"/>
      <c r="C318" s="505"/>
      <c r="D318" s="505"/>
      <c r="E318" s="502"/>
      <c r="F318" s="502"/>
      <c r="G318" s="502"/>
    </row>
    <row r="319" spans="2:7" x14ac:dyDescent="0.25">
      <c r="B319" s="502"/>
      <c r="C319" s="505"/>
      <c r="D319" s="505"/>
      <c r="E319" s="502"/>
      <c r="F319" s="502"/>
      <c r="G319" s="502"/>
    </row>
    <row r="320" spans="2:7" x14ac:dyDescent="0.25">
      <c r="B320" s="502"/>
      <c r="C320" s="505"/>
      <c r="D320" s="505"/>
      <c r="E320" s="502"/>
      <c r="F320" s="502"/>
      <c r="G320" s="502"/>
    </row>
    <row r="321" spans="2:7" x14ac:dyDescent="0.25">
      <c r="B321" s="502"/>
      <c r="C321" s="505"/>
      <c r="D321" s="505"/>
      <c r="E321" s="502"/>
      <c r="F321" s="502"/>
      <c r="G321" s="502"/>
    </row>
    <row r="322" spans="2:7" x14ac:dyDescent="0.25">
      <c r="B322" s="502"/>
      <c r="C322" s="505"/>
      <c r="D322" s="505"/>
      <c r="E322" s="502"/>
      <c r="F322" s="502"/>
      <c r="G322" s="502"/>
    </row>
    <row r="323" spans="2:7" x14ac:dyDescent="0.25">
      <c r="B323" s="502"/>
      <c r="C323" s="505"/>
      <c r="D323" s="505"/>
      <c r="E323" s="502"/>
      <c r="F323" s="502"/>
      <c r="G323" s="502"/>
    </row>
    <row r="324" spans="2:7" x14ac:dyDescent="0.25">
      <c r="B324" s="502"/>
      <c r="C324" s="505"/>
      <c r="D324" s="505"/>
      <c r="E324" s="502"/>
      <c r="F324" s="502"/>
      <c r="G324" s="502"/>
    </row>
    <row r="325" spans="2:7" x14ac:dyDescent="0.25">
      <c r="B325" s="502"/>
      <c r="C325" s="505"/>
      <c r="D325" s="505"/>
      <c r="E325" s="502"/>
      <c r="F325" s="502"/>
      <c r="G325" s="502"/>
    </row>
    <row r="326" spans="2:7" x14ac:dyDescent="0.25">
      <c r="B326" s="502"/>
      <c r="C326" s="505"/>
      <c r="D326" s="505"/>
      <c r="E326" s="502"/>
      <c r="F326" s="502"/>
      <c r="G326" s="502"/>
    </row>
    <row r="327" spans="2:7" x14ac:dyDescent="0.25">
      <c r="B327" s="502"/>
      <c r="C327" s="505"/>
      <c r="D327" s="505"/>
      <c r="E327" s="502"/>
      <c r="F327" s="502"/>
      <c r="G327" s="502"/>
    </row>
    <row r="328" spans="2:7" x14ac:dyDescent="0.25">
      <c r="B328" s="502"/>
      <c r="C328" s="505"/>
      <c r="D328" s="505"/>
      <c r="E328" s="502"/>
      <c r="F328" s="502"/>
      <c r="G328" s="502"/>
    </row>
    <row r="329" spans="2:7" x14ac:dyDescent="0.25">
      <c r="B329" s="502"/>
      <c r="C329" s="505"/>
      <c r="D329" s="505"/>
      <c r="E329" s="502"/>
      <c r="F329" s="502"/>
      <c r="G329" s="502"/>
    </row>
    <row r="330" spans="2:7" x14ac:dyDescent="0.25">
      <c r="B330" s="502"/>
      <c r="C330" s="505"/>
      <c r="D330" s="505"/>
      <c r="E330" s="502"/>
      <c r="F330" s="502"/>
      <c r="G330" s="502"/>
    </row>
    <row r="331" spans="2:7" x14ac:dyDescent="0.25">
      <c r="B331" s="502"/>
      <c r="C331" s="505"/>
      <c r="D331" s="505"/>
      <c r="E331" s="502"/>
      <c r="F331" s="502"/>
      <c r="G331" s="502"/>
    </row>
    <row r="332" spans="2:7" x14ac:dyDescent="0.25">
      <c r="B332" s="502"/>
      <c r="C332" s="505"/>
      <c r="D332" s="505"/>
      <c r="E332" s="502"/>
      <c r="F332" s="502"/>
      <c r="G332" s="502"/>
    </row>
    <row r="333" spans="2:7" x14ac:dyDescent="0.25">
      <c r="B333" s="502"/>
      <c r="C333" s="505"/>
      <c r="D333" s="505"/>
      <c r="E333" s="502"/>
      <c r="F333" s="502"/>
      <c r="G333" s="502"/>
    </row>
    <row r="334" spans="2:7" x14ac:dyDescent="0.25">
      <c r="B334" s="502"/>
      <c r="C334" s="505"/>
      <c r="D334" s="505"/>
      <c r="E334" s="502"/>
      <c r="F334" s="502"/>
      <c r="G334" s="502"/>
    </row>
    <row r="335" spans="2:7" x14ac:dyDescent="0.25">
      <c r="B335" s="502"/>
      <c r="C335" s="505"/>
      <c r="D335" s="505"/>
      <c r="E335" s="502"/>
      <c r="F335" s="502"/>
      <c r="G335" s="502"/>
    </row>
    <row r="336" spans="2:7" x14ac:dyDescent="0.25">
      <c r="B336" s="502"/>
      <c r="C336" s="505"/>
      <c r="D336" s="505"/>
      <c r="E336" s="502"/>
      <c r="F336" s="502"/>
      <c r="G336" s="502"/>
    </row>
    <row r="337" spans="2:7" x14ac:dyDescent="0.25">
      <c r="B337" s="502"/>
      <c r="C337" s="505"/>
      <c r="D337" s="505"/>
      <c r="E337" s="502"/>
      <c r="F337" s="502"/>
      <c r="G337" s="502"/>
    </row>
    <row r="338" spans="2:7" x14ac:dyDescent="0.25">
      <c r="B338" s="502"/>
      <c r="C338" s="505"/>
      <c r="D338" s="505"/>
      <c r="E338" s="502"/>
      <c r="F338" s="502"/>
      <c r="G338" s="502"/>
    </row>
    <row r="339" spans="2:7" x14ac:dyDescent="0.25">
      <c r="B339" s="502"/>
      <c r="C339" s="505"/>
      <c r="D339" s="505"/>
      <c r="E339" s="502"/>
      <c r="F339" s="502"/>
      <c r="G339" s="502"/>
    </row>
    <row r="340" spans="2:7" x14ac:dyDescent="0.25">
      <c r="B340" s="502"/>
      <c r="C340" s="505"/>
      <c r="D340" s="505"/>
      <c r="E340" s="502"/>
      <c r="F340" s="502"/>
      <c r="G340" s="502"/>
    </row>
    <row r="341" spans="2:7" x14ac:dyDescent="0.25">
      <c r="B341" s="502"/>
      <c r="C341" s="505"/>
      <c r="D341" s="505"/>
      <c r="E341" s="502"/>
      <c r="F341" s="502"/>
      <c r="G341" s="502"/>
    </row>
    <row r="342" spans="2:7" x14ac:dyDescent="0.25">
      <c r="B342" s="502"/>
      <c r="C342" s="505"/>
      <c r="D342" s="505"/>
      <c r="E342" s="502"/>
      <c r="F342" s="502"/>
      <c r="G342" s="502"/>
    </row>
    <row r="343" spans="2:7" x14ac:dyDescent="0.25">
      <c r="B343" s="502"/>
      <c r="C343" s="505"/>
      <c r="D343" s="505"/>
      <c r="E343" s="502"/>
      <c r="F343" s="502"/>
      <c r="G343" s="502"/>
    </row>
    <row r="344" spans="2:7" x14ac:dyDescent="0.25">
      <c r="B344" s="502"/>
      <c r="C344" s="505"/>
      <c r="D344" s="505"/>
      <c r="E344" s="502"/>
      <c r="F344" s="502"/>
      <c r="G344" s="502"/>
    </row>
    <row r="345" spans="2:7" x14ac:dyDescent="0.25">
      <c r="B345" s="502"/>
    </row>
    <row r="346" spans="2:7" x14ac:dyDescent="0.25">
      <c r="B346" s="502"/>
    </row>
  </sheetData>
  <mergeCells count="1">
    <mergeCell ref="B188:G188"/>
  </mergeCells>
  <pageMargins left="0.75" right="0.75" top="1" bottom="1" header="0.5" footer="0.5"/>
  <pageSetup scale="70" orientation="portrait" horizontalDpi="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338"/>
  <sheetViews>
    <sheetView workbookViewId="0"/>
  </sheetViews>
  <sheetFormatPr defaultRowHeight="13.2" x14ac:dyDescent="0.25"/>
  <cols>
    <col min="1" max="1" width="5.88671875" style="492" customWidth="1"/>
    <col min="2" max="2" width="6.44140625" customWidth="1"/>
    <col min="3" max="3" width="26.109375" customWidth="1"/>
    <col min="4" max="4" width="9" customWidth="1"/>
    <col min="5" max="5" width="10.33203125" customWidth="1"/>
    <col min="6" max="6" width="13.88671875" customWidth="1"/>
    <col min="7" max="7" width="20.44140625" customWidth="1"/>
    <col min="8" max="8" width="14.6640625" customWidth="1"/>
    <col min="9" max="9" width="2.6640625" customWidth="1"/>
    <col min="10" max="10" width="16.33203125" customWidth="1"/>
  </cols>
  <sheetData>
    <row r="2" spans="1:11" ht="15.6" x14ac:dyDescent="0.3">
      <c r="B2" s="504" t="s">
        <v>106</v>
      </c>
      <c r="C2" s="505"/>
      <c r="D2" s="505"/>
      <c r="E2" s="502"/>
      <c r="F2" s="502"/>
      <c r="G2" s="506"/>
    </row>
    <row r="3" spans="1:11" ht="15.6" x14ac:dyDescent="0.3">
      <c r="B3" s="504" t="s">
        <v>107</v>
      </c>
      <c r="C3" s="505"/>
      <c r="D3" s="505"/>
      <c r="E3" s="502"/>
      <c r="F3" s="502"/>
      <c r="G3" s="506"/>
    </row>
    <row r="4" spans="1:11" ht="15.6" x14ac:dyDescent="0.3">
      <c r="B4" s="507" t="s">
        <v>140</v>
      </c>
      <c r="C4" s="505"/>
      <c r="D4" s="505"/>
      <c r="E4" s="502"/>
      <c r="F4" s="502"/>
      <c r="G4" s="506"/>
    </row>
    <row r="5" spans="1:11" x14ac:dyDescent="0.25">
      <c r="B5" s="502"/>
      <c r="C5" s="505"/>
      <c r="D5" s="505"/>
      <c r="E5" s="502"/>
      <c r="F5" s="502"/>
      <c r="G5" s="506"/>
      <c r="H5" s="502"/>
    </row>
    <row r="6" spans="1:11" x14ac:dyDescent="0.25">
      <c r="B6" s="502" t="s">
        <v>109</v>
      </c>
      <c r="C6" s="505"/>
      <c r="D6" s="505"/>
      <c r="E6" s="502"/>
      <c r="F6" s="502"/>
      <c r="H6" s="506">
        <v>5569294.9200000027</v>
      </c>
    </row>
    <row r="7" spans="1:11" x14ac:dyDescent="0.25">
      <c r="B7" s="502"/>
      <c r="C7" s="505"/>
      <c r="D7" s="505"/>
      <c r="E7" s="502"/>
      <c r="F7" s="502"/>
      <c r="H7" s="506"/>
    </row>
    <row r="8" spans="1:11" x14ac:dyDescent="0.25">
      <c r="B8" s="502" t="s">
        <v>110</v>
      </c>
      <c r="C8" s="505"/>
      <c r="D8" s="505"/>
      <c r="E8" s="502"/>
      <c r="F8" s="502"/>
      <c r="H8" s="502">
        <f>--5794396.17</f>
        <v>5794396.1699999999</v>
      </c>
      <c r="J8" s="502"/>
    </row>
    <row r="9" spans="1:11" x14ac:dyDescent="0.25">
      <c r="B9" s="502"/>
      <c r="C9" s="505"/>
      <c r="D9" s="505"/>
      <c r="E9" s="502"/>
      <c r="F9" s="502"/>
      <c r="H9" s="501"/>
    </row>
    <row r="10" spans="1:11" x14ac:dyDescent="0.25">
      <c r="B10" s="502" t="s">
        <v>111</v>
      </c>
      <c r="C10" s="505"/>
      <c r="D10" s="505"/>
      <c r="E10" s="502"/>
      <c r="F10" s="502"/>
      <c r="H10" s="506">
        <f>+H8-H6</f>
        <v>225101.24999999721</v>
      </c>
    </row>
    <row r="11" spans="1:11" x14ac:dyDescent="0.25">
      <c r="B11" s="502"/>
      <c r="C11" s="505"/>
      <c r="D11" s="505"/>
      <c r="E11" s="505"/>
      <c r="F11" s="502"/>
      <c r="H11" s="508"/>
    </row>
    <row r="12" spans="1:11" x14ac:dyDescent="0.25">
      <c r="E12" s="492"/>
      <c r="F12" s="502"/>
      <c r="G12" s="502"/>
      <c r="I12" s="509"/>
      <c r="J12" s="509"/>
    </row>
    <row r="13" spans="1:11" ht="26.4" x14ac:dyDescent="0.25">
      <c r="A13" s="510" t="s">
        <v>112</v>
      </c>
      <c r="B13" s="510" t="s">
        <v>113</v>
      </c>
      <c r="C13" s="510" t="s">
        <v>114</v>
      </c>
      <c r="D13" s="510" t="s">
        <v>115</v>
      </c>
      <c r="E13" s="510" t="s">
        <v>116</v>
      </c>
      <c r="F13" s="511" t="s">
        <v>117</v>
      </c>
      <c r="G13" s="502"/>
      <c r="I13" s="509"/>
      <c r="J13" s="509"/>
    </row>
    <row r="14" spans="1:11" x14ac:dyDescent="0.25">
      <c r="A14" s="510" t="s">
        <v>263</v>
      </c>
      <c r="B14" s="510"/>
      <c r="C14" s="512" t="s">
        <v>141</v>
      </c>
      <c r="D14" s="512" t="s">
        <v>120</v>
      </c>
      <c r="E14" s="510">
        <v>385246.2</v>
      </c>
      <c r="F14" s="513">
        <v>-44971.47</v>
      </c>
      <c r="G14" s="502"/>
      <c r="I14" s="509"/>
      <c r="J14" s="514" t="s">
        <v>122</v>
      </c>
    </row>
    <row r="15" spans="1:11" x14ac:dyDescent="0.25">
      <c r="A15" s="510" t="s">
        <v>263</v>
      </c>
      <c r="C15" s="512" t="s">
        <v>141</v>
      </c>
      <c r="D15" s="512" t="s">
        <v>120</v>
      </c>
      <c r="E15" s="492">
        <v>385256.2</v>
      </c>
      <c r="F15" s="496">
        <v>-133507</v>
      </c>
      <c r="G15" s="502"/>
      <c r="I15" s="539"/>
      <c r="J15" s="514" t="s">
        <v>122</v>
      </c>
      <c r="K15" s="502"/>
    </row>
    <row r="16" spans="1:11" x14ac:dyDescent="0.25">
      <c r="A16" s="510" t="s">
        <v>263</v>
      </c>
      <c r="C16" s="512" t="s">
        <v>141</v>
      </c>
      <c r="D16" s="512" t="s">
        <v>120</v>
      </c>
      <c r="E16" s="492">
        <v>385259.2</v>
      </c>
      <c r="F16" s="496">
        <v>-69652.679999999993</v>
      </c>
      <c r="G16" s="502"/>
      <c r="I16" s="539"/>
      <c r="J16" s="514" t="s">
        <v>122</v>
      </c>
      <c r="K16" s="502"/>
    </row>
    <row r="17" spans="1:11" x14ac:dyDescent="0.25">
      <c r="A17" s="510" t="s">
        <v>263</v>
      </c>
      <c r="C17" s="512" t="s">
        <v>141</v>
      </c>
      <c r="D17" s="512" t="s">
        <v>120</v>
      </c>
      <c r="E17" s="492">
        <v>385263.2</v>
      </c>
      <c r="F17" s="496">
        <v>-346033.4</v>
      </c>
      <c r="G17" s="502"/>
      <c r="I17" s="539"/>
      <c r="J17" s="514" t="s">
        <v>122</v>
      </c>
      <c r="K17" s="502"/>
    </row>
    <row r="18" spans="1:11" x14ac:dyDescent="0.25">
      <c r="A18" s="510" t="s">
        <v>263</v>
      </c>
      <c r="C18" s="512" t="s">
        <v>141</v>
      </c>
      <c r="D18" s="512" t="s">
        <v>120</v>
      </c>
      <c r="E18" s="492">
        <v>385265.2</v>
      </c>
      <c r="F18" s="496">
        <v>-133404.4</v>
      </c>
      <c r="G18" s="502"/>
      <c r="I18" s="539"/>
      <c r="J18" s="514" t="s">
        <v>122</v>
      </c>
      <c r="K18" s="502"/>
    </row>
    <row r="19" spans="1:11" x14ac:dyDescent="0.25">
      <c r="A19" s="510" t="s">
        <v>263</v>
      </c>
      <c r="C19" s="512" t="s">
        <v>141</v>
      </c>
      <c r="D19" s="512" t="s">
        <v>120</v>
      </c>
      <c r="E19" s="492">
        <v>385268.2</v>
      </c>
      <c r="F19" s="496">
        <v>-226762.57</v>
      </c>
      <c r="G19" s="502"/>
      <c r="I19" s="539"/>
      <c r="J19" s="514" t="s">
        <v>122</v>
      </c>
      <c r="K19" s="502"/>
    </row>
    <row r="20" spans="1:11" x14ac:dyDescent="0.25">
      <c r="A20" s="510" t="s">
        <v>263</v>
      </c>
      <c r="C20" s="512" t="s">
        <v>141</v>
      </c>
      <c r="D20" s="512" t="s">
        <v>120</v>
      </c>
      <c r="E20" s="492">
        <v>385284.2</v>
      </c>
      <c r="F20" s="496">
        <v>-133461.20000000001</v>
      </c>
      <c r="G20" s="502"/>
      <c r="I20" s="539"/>
      <c r="J20" s="514" t="s">
        <v>122</v>
      </c>
      <c r="K20" s="502"/>
    </row>
    <row r="21" spans="1:11" x14ac:dyDescent="0.25">
      <c r="A21" s="510" t="s">
        <v>263</v>
      </c>
      <c r="C21" s="512" t="s">
        <v>141</v>
      </c>
      <c r="D21" s="512" t="s">
        <v>120</v>
      </c>
      <c r="E21" s="492">
        <v>385288.2</v>
      </c>
      <c r="F21" s="496">
        <v>-273427.99</v>
      </c>
      <c r="G21" s="502"/>
      <c r="I21" s="539"/>
      <c r="J21" s="514" t="s">
        <v>122</v>
      </c>
      <c r="K21" s="502"/>
    </row>
    <row r="22" spans="1:11" x14ac:dyDescent="0.25">
      <c r="A22" s="510" t="s">
        <v>263</v>
      </c>
      <c r="C22" s="512" t="s">
        <v>141</v>
      </c>
      <c r="D22" s="512" t="s">
        <v>120</v>
      </c>
      <c r="E22" s="492">
        <v>385291.2</v>
      </c>
      <c r="F22" s="496">
        <v>-22688.12</v>
      </c>
      <c r="G22" s="502"/>
      <c r="I22" s="539"/>
      <c r="J22" s="514" t="s">
        <v>122</v>
      </c>
      <c r="K22" s="502"/>
    </row>
    <row r="23" spans="1:11" x14ac:dyDescent="0.25">
      <c r="A23" s="510" t="s">
        <v>263</v>
      </c>
      <c r="C23" s="512" t="s">
        <v>141</v>
      </c>
      <c r="D23" s="512" t="s">
        <v>120</v>
      </c>
      <c r="E23" s="492">
        <v>385293.2</v>
      </c>
      <c r="F23" s="496">
        <v>-122839.16</v>
      </c>
      <c r="G23" s="502"/>
      <c r="I23" s="539"/>
      <c r="J23" s="514" t="s">
        <v>122</v>
      </c>
      <c r="K23" s="502"/>
    </row>
    <row r="24" spans="1:11" x14ac:dyDescent="0.25">
      <c r="A24" s="510" t="s">
        <v>263</v>
      </c>
      <c r="C24" s="512" t="s">
        <v>141</v>
      </c>
      <c r="D24" s="512" t="s">
        <v>120</v>
      </c>
      <c r="E24" s="492">
        <v>385296.2</v>
      </c>
      <c r="F24" s="496">
        <v>-47378.76</v>
      </c>
      <c r="G24" s="502"/>
      <c r="I24" s="539"/>
      <c r="J24" s="514" t="s">
        <v>122</v>
      </c>
      <c r="K24" s="502"/>
    </row>
    <row r="25" spans="1:11" x14ac:dyDescent="0.25">
      <c r="A25" s="510" t="s">
        <v>263</v>
      </c>
      <c r="C25" s="512" t="s">
        <v>141</v>
      </c>
      <c r="D25" s="512" t="s">
        <v>120</v>
      </c>
      <c r="E25" s="492">
        <v>385311.2</v>
      </c>
      <c r="F25" s="496">
        <v>-346025.8</v>
      </c>
      <c r="G25" s="502"/>
      <c r="I25" s="539"/>
      <c r="J25" s="514" t="s">
        <v>122</v>
      </c>
      <c r="K25" s="502"/>
    </row>
    <row r="26" spans="1:11" x14ac:dyDescent="0.25">
      <c r="A26" s="510" t="s">
        <v>263</v>
      </c>
      <c r="C26" s="512" t="s">
        <v>141</v>
      </c>
      <c r="D26" s="512" t="s">
        <v>120</v>
      </c>
      <c r="E26" s="492">
        <v>385358.2</v>
      </c>
      <c r="F26" s="496">
        <v>-133461.20000000001</v>
      </c>
      <c r="G26" s="502"/>
      <c r="I26" s="539"/>
      <c r="J26" s="514" t="s">
        <v>122</v>
      </c>
      <c r="K26" s="502"/>
    </row>
    <row r="27" spans="1:11" x14ac:dyDescent="0.25">
      <c r="A27" s="510" t="s">
        <v>263</v>
      </c>
      <c r="C27" s="512" t="s">
        <v>141</v>
      </c>
      <c r="D27" s="512" t="s">
        <v>120</v>
      </c>
      <c r="E27" s="492">
        <v>385364.2</v>
      </c>
      <c r="F27" s="496">
        <v>-137607</v>
      </c>
      <c r="G27" s="502"/>
      <c r="I27" s="539"/>
      <c r="J27" s="514" t="s">
        <v>122</v>
      </c>
      <c r="K27" s="502"/>
    </row>
    <row r="28" spans="1:11" x14ac:dyDescent="0.25">
      <c r="A28" s="510" t="s">
        <v>263</v>
      </c>
      <c r="C28" s="512" t="s">
        <v>141</v>
      </c>
      <c r="D28" s="512" t="s">
        <v>120</v>
      </c>
      <c r="E28" s="492">
        <v>385370.2</v>
      </c>
      <c r="F28" s="496">
        <v>-347900.4</v>
      </c>
      <c r="G28" s="502"/>
      <c r="I28" s="539"/>
      <c r="J28" s="514" t="s">
        <v>122</v>
      </c>
      <c r="K28" s="502"/>
    </row>
    <row r="29" spans="1:11" x14ac:dyDescent="0.25">
      <c r="A29" s="510" t="s">
        <v>263</v>
      </c>
      <c r="C29" s="512" t="s">
        <v>141</v>
      </c>
      <c r="D29" s="512" t="s">
        <v>120</v>
      </c>
      <c r="E29" s="492">
        <v>385371.2</v>
      </c>
      <c r="F29" s="496">
        <v>-345959.2</v>
      </c>
      <c r="G29" s="502"/>
      <c r="I29" s="539"/>
      <c r="J29" s="514" t="s">
        <v>122</v>
      </c>
      <c r="K29" s="502"/>
    </row>
    <row r="30" spans="1:11" x14ac:dyDescent="0.25">
      <c r="A30" s="510" t="s">
        <v>263</v>
      </c>
      <c r="C30" s="512" t="s">
        <v>141</v>
      </c>
      <c r="D30" s="512" t="s">
        <v>120</v>
      </c>
      <c r="E30" s="492">
        <v>385372.2</v>
      </c>
      <c r="F30" s="496">
        <v>-133387</v>
      </c>
      <c r="G30" s="502"/>
      <c r="I30" s="539"/>
      <c r="J30" s="514" t="s">
        <v>122</v>
      </c>
      <c r="K30" s="502"/>
    </row>
    <row r="31" spans="1:11" x14ac:dyDescent="0.25">
      <c r="A31" s="510" t="s">
        <v>263</v>
      </c>
      <c r="C31" s="512" t="s">
        <v>141</v>
      </c>
      <c r="D31" s="512" t="s">
        <v>120</v>
      </c>
      <c r="E31" s="492">
        <v>385968.2</v>
      </c>
      <c r="F31" s="496">
        <v>-348906.8</v>
      </c>
      <c r="G31" s="502"/>
      <c r="I31" s="539"/>
      <c r="J31" s="514" t="s">
        <v>122</v>
      </c>
      <c r="K31" s="502"/>
    </row>
    <row r="32" spans="1:11" x14ac:dyDescent="0.25">
      <c r="A32" s="510" t="s">
        <v>263</v>
      </c>
      <c r="C32" s="512" t="s">
        <v>141</v>
      </c>
      <c r="D32" s="512" t="s">
        <v>120</v>
      </c>
      <c r="E32" s="492">
        <v>385971.20000000001</v>
      </c>
      <c r="F32" s="496">
        <v>-346071.8</v>
      </c>
      <c r="G32" s="502"/>
      <c r="I32" s="539"/>
      <c r="J32" s="514" t="s">
        <v>122</v>
      </c>
      <c r="K32" s="502"/>
    </row>
    <row r="33" spans="1:11" x14ac:dyDescent="0.25">
      <c r="A33" s="510" t="s">
        <v>263</v>
      </c>
      <c r="C33" s="512" t="s">
        <v>141</v>
      </c>
      <c r="D33" s="512" t="s">
        <v>120</v>
      </c>
      <c r="E33" s="492">
        <v>385973.2</v>
      </c>
      <c r="F33" s="496">
        <v>-845751</v>
      </c>
      <c r="G33" s="502"/>
      <c r="I33" s="539"/>
      <c r="J33" s="514" t="s">
        <v>122</v>
      </c>
      <c r="K33" s="502"/>
    </row>
    <row r="34" spans="1:11" x14ac:dyDescent="0.25">
      <c r="A34" s="510" t="s">
        <v>263</v>
      </c>
      <c r="C34" s="512" t="s">
        <v>141</v>
      </c>
      <c r="D34" s="512" t="s">
        <v>120</v>
      </c>
      <c r="E34" s="492">
        <v>385978.2</v>
      </c>
      <c r="F34" s="496">
        <v>-339610.6</v>
      </c>
      <c r="G34" s="502"/>
      <c r="I34" s="539"/>
      <c r="J34" s="514" t="s">
        <v>122</v>
      </c>
      <c r="K34" s="502"/>
    </row>
    <row r="35" spans="1:11" x14ac:dyDescent="0.25">
      <c r="A35" s="510" t="s">
        <v>263</v>
      </c>
      <c r="C35" s="512" t="s">
        <v>141</v>
      </c>
      <c r="D35" s="512" t="s">
        <v>120</v>
      </c>
      <c r="E35" s="492">
        <v>385981.2</v>
      </c>
      <c r="F35" s="496">
        <v>-168107.26</v>
      </c>
      <c r="G35" s="502"/>
      <c r="I35" s="539"/>
      <c r="J35" s="514" t="s">
        <v>122</v>
      </c>
      <c r="K35" s="502"/>
    </row>
    <row r="36" spans="1:11" x14ac:dyDescent="0.25">
      <c r="A36" s="510" t="s">
        <v>263</v>
      </c>
      <c r="C36" s="512" t="s">
        <v>141</v>
      </c>
      <c r="D36" s="512" t="s">
        <v>120</v>
      </c>
      <c r="E36" s="492">
        <v>385989.2</v>
      </c>
      <c r="F36" s="496">
        <v>-347577.4</v>
      </c>
      <c r="G36" s="502"/>
      <c r="I36" s="539"/>
      <c r="J36" s="514" t="s">
        <v>122</v>
      </c>
      <c r="K36" s="502"/>
    </row>
    <row r="37" spans="1:11" x14ac:dyDescent="0.25">
      <c r="A37" s="510" t="s">
        <v>263</v>
      </c>
      <c r="C37" s="512" t="s">
        <v>141</v>
      </c>
      <c r="D37" s="512" t="s">
        <v>120</v>
      </c>
      <c r="E37" s="492">
        <v>385995.2</v>
      </c>
      <c r="F37" s="496">
        <v>-160850.95000000001</v>
      </c>
      <c r="G37" s="502"/>
      <c r="I37" s="539"/>
      <c r="J37" s="514" t="s">
        <v>122</v>
      </c>
      <c r="K37" s="502"/>
    </row>
    <row r="38" spans="1:11" x14ac:dyDescent="0.25">
      <c r="A38" s="510" t="s">
        <v>263</v>
      </c>
      <c r="C38" s="512" t="s">
        <v>141</v>
      </c>
      <c r="D38" s="512" t="s">
        <v>120</v>
      </c>
      <c r="E38" s="492">
        <v>385996.2</v>
      </c>
      <c r="F38" s="496">
        <v>-133511.4</v>
      </c>
      <c r="G38" s="502"/>
      <c r="I38" s="539"/>
      <c r="J38" s="514" t="s">
        <v>122</v>
      </c>
      <c r="K38" s="502"/>
    </row>
    <row r="39" spans="1:11" x14ac:dyDescent="0.25">
      <c r="A39" s="510" t="s">
        <v>263</v>
      </c>
      <c r="C39" s="512" t="s">
        <v>141</v>
      </c>
      <c r="D39" s="512" t="s">
        <v>120</v>
      </c>
      <c r="E39" s="492">
        <v>386002.2</v>
      </c>
      <c r="F39" s="496">
        <v>-133407.4</v>
      </c>
      <c r="G39" s="502"/>
      <c r="I39" s="539"/>
      <c r="J39" s="514" t="s">
        <v>122</v>
      </c>
      <c r="K39" s="502"/>
    </row>
    <row r="40" spans="1:11" x14ac:dyDescent="0.25">
      <c r="A40" s="510" t="s">
        <v>263</v>
      </c>
      <c r="C40" s="512" t="s">
        <v>141</v>
      </c>
      <c r="D40" s="512" t="s">
        <v>120</v>
      </c>
      <c r="E40" s="492">
        <v>386003.20000000001</v>
      </c>
      <c r="F40" s="496">
        <v>-345880.2</v>
      </c>
      <c r="G40" s="502"/>
      <c r="I40" s="539"/>
      <c r="J40" s="514" t="s">
        <v>122</v>
      </c>
      <c r="K40" s="502"/>
    </row>
    <row r="41" spans="1:11" x14ac:dyDescent="0.25">
      <c r="A41" s="510" t="s">
        <v>263</v>
      </c>
      <c r="C41" s="512" t="s">
        <v>141</v>
      </c>
      <c r="D41" s="512" t="s">
        <v>120</v>
      </c>
      <c r="E41" s="492">
        <v>386004.2</v>
      </c>
      <c r="F41" s="496">
        <v>-133510</v>
      </c>
      <c r="G41" s="502"/>
      <c r="I41" s="539"/>
      <c r="J41" s="514" t="s">
        <v>122</v>
      </c>
      <c r="K41" s="502"/>
    </row>
    <row r="42" spans="1:11" x14ac:dyDescent="0.25">
      <c r="A42" s="510" t="s">
        <v>263</v>
      </c>
      <c r="C42" s="512" t="s">
        <v>141</v>
      </c>
      <c r="D42" s="512" t="s">
        <v>120</v>
      </c>
      <c r="E42" s="492">
        <v>386006.2</v>
      </c>
      <c r="F42" s="496">
        <v>-345892.8</v>
      </c>
      <c r="G42" s="502"/>
      <c r="I42" s="539"/>
      <c r="J42" s="514" t="s">
        <v>122</v>
      </c>
      <c r="K42" s="502"/>
    </row>
    <row r="43" spans="1:11" x14ac:dyDescent="0.25">
      <c r="A43" s="510" t="s">
        <v>263</v>
      </c>
      <c r="C43" s="512" t="s">
        <v>141</v>
      </c>
      <c r="D43" s="512" t="s">
        <v>120</v>
      </c>
      <c r="E43" s="492">
        <v>386009.2</v>
      </c>
      <c r="F43" s="496">
        <v>-133406</v>
      </c>
      <c r="G43" s="502"/>
      <c r="I43" s="539"/>
      <c r="J43" s="514" t="s">
        <v>122</v>
      </c>
      <c r="K43" s="502"/>
    </row>
    <row r="44" spans="1:11" x14ac:dyDescent="0.25">
      <c r="A44" s="510" t="s">
        <v>263</v>
      </c>
      <c r="C44" s="512" t="s">
        <v>141</v>
      </c>
      <c r="D44" s="512" t="s">
        <v>120</v>
      </c>
      <c r="E44" s="492">
        <v>386010.2</v>
      </c>
      <c r="F44" s="496">
        <v>-133859.4</v>
      </c>
      <c r="G44" s="502"/>
      <c r="I44" s="539"/>
      <c r="J44" s="514" t="s">
        <v>122</v>
      </c>
      <c r="K44" s="502"/>
    </row>
    <row r="45" spans="1:11" x14ac:dyDescent="0.25">
      <c r="A45" s="510" t="s">
        <v>263</v>
      </c>
      <c r="C45" s="512" t="s">
        <v>141</v>
      </c>
      <c r="D45" s="512" t="s">
        <v>120</v>
      </c>
      <c r="E45" s="492">
        <v>386012.2</v>
      </c>
      <c r="F45" s="496">
        <v>-345945.59999999998</v>
      </c>
      <c r="G45" s="502"/>
      <c r="I45" s="539"/>
      <c r="J45" s="514" t="s">
        <v>122</v>
      </c>
      <c r="K45" s="502"/>
    </row>
    <row r="46" spans="1:11" x14ac:dyDescent="0.25">
      <c r="A46" s="510" t="s">
        <v>263</v>
      </c>
      <c r="C46" s="512" t="s">
        <v>141</v>
      </c>
      <c r="D46" s="512" t="s">
        <v>120</v>
      </c>
      <c r="E46" s="492">
        <v>386028.2</v>
      </c>
      <c r="F46" s="496">
        <v>-133513.4</v>
      </c>
      <c r="G46" s="502"/>
      <c r="I46" s="539"/>
      <c r="J46" s="514" t="s">
        <v>122</v>
      </c>
      <c r="K46" s="502"/>
    </row>
    <row r="47" spans="1:11" x14ac:dyDescent="0.25">
      <c r="A47" s="510" t="s">
        <v>263</v>
      </c>
      <c r="C47" s="512" t="s">
        <v>141</v>
      </c>
      <c r="D47" s="512" t="s">
        <v>120</v>
      </c>
      <c r="E47" s="492">
        <v>386035.20000000001</v>
      </c>
      <c r="F47" s="496">
        <v>-115945.60000000001</v>
      </c>
      <c r="G47" s="502"/>
      <c r="I47" s="539"/>
      <c r="J47" s="514" t="s">
        <v>122</v>
      </c>
      <c r="K47" s="502"/>
    </row>
    <row r="48" spans="1:11" x14ac:dyDescent="0.25">
      <c r="A48" s="510" t="s">
        <v>263</v>
      </c>
      <c r="C48" s="512" t="s">
        <v>141</v>
      </c>
      <c r="D48" s="512" t="s">
        <v>120</v>
      </c>
      <c r="E48" s="492">
        <v>386038.2</v>
      </c>
      <c r="F48" s="496">
        <v>-27359.14</v>
      </c>
      <c r="G48" s="502"/>
      <c r="I48" s="539"/>
      <c r="J48" s="514" t="s">
        <v>122</v>
      </c>
      <c r="K48" s="502"/>
    </row>
    <row r="49" spans="1:11" x14ac:dyDescent="0.25">
      <c r="A49" s="510" t="s">
        <v>263</v>
      </c>
      <c r="C49" s="512" t="s">
        <v>141</v>
      </c>
      <c r="D49" s="512" t="s">
        <v>120</v>
      </c>
      <c r="E49" s="492">
        <v>386040.2</v>
      </c>
      <c r="F49" s="496">
        <v>-349018.8</v>
      </c>
      <c r="G49" s="502"/>
      <c r="I49" s="539"/>
      <c r="J49" s="514" t="s">
        <v>122</v>
      </c>
      <c r="K49" s="502"/>
    </row>
    <row r="50" spans="1:11" x14ac:dyDescent="0.25">
      <c r="A50" s="510" t="s">
        <v>263</v>
      </c>
      <c r="C50" s="512" t="s">
        <v>141</v>
      </c>
      <c r="D50" s="512" t="s">
        <v>120</v>
      </c>
      <c r="E50" s="492">
        <v>386042.2</v>
      </c>
      <c r="F50" s="496">
        <v>-137660.20000000001</v>
      </c>
      <c r="G50" s="502"/>
      <c r="I50" s="539"/>
      <c r="J50" s="514" t="s">
        <v>122</v>
      </c>
      <c r="K50" s="502"/>
    </row>
    <row r="51" spans="1:11" x14ac:dyDescent="0.25">
      <c r="A51" s="510" t="s">
        <v>263</v>
      </c>
      <c r="C51" s="512" t="s">
        <v>141</v>
      </c>
      <c r="D51" s="512" t="s">
        <v>120</v>
      </c>
      <c r="E51" s="492">
        <v>386043.2</v>
      </c>
      <c r="F51" s="496">
        <v>-349018.8</v>
      </c>
      <c r="G51" s="502"/>
      <c r="I51" s="539"/>
      <c r="J51" s="514" t="s">
        <v>122</v>
      </c>
      <c r="K51" s="502"/>
    </row>
    <row r="52" spans="1:11" x14ac:dyDescent="0.25">
      <c r="A52" s="510" t="s">
        <v>263</v>
      </c>
      <c r="C52" s="512" t="s">
        <v>141</v>
      </c>
      <c r="D52" s="512" t="s">
        <v>120</v>
      </c>
      <c r="E52" s="492">
        <v>386052.2</v>
      </c>
      <c r="F52" s="496">
        <v>-23402.22</v>
      </c>
      <c r="G52" s="502"/>
      <c r="I52" s="539"/>
      <c r="J52" s="514" t="s">
        <v>122</v>
      </c>
      <c r="K52" s="502"/>
    </row>
    <row r="53" spans="1:11" x14ac:dyDescent="0.25">
      <c r="A53" s="510" t="s">
        <v>263</v>
      </c>
      <c r="C53" s="512" t="s">
        <v>141</v>
      </c>
      <c r="D53" s="512" t="s">
        <v>120</v>
      </c>
      <c r="E53" s="492">
        <v>386054.2</v>
      </c>
      <c r="F53" s="496">
        <v>-133407.4</v>
      </c>
      <c r="G53" s="502"/>
      <c r="I53" s="539"/>
      <c r="J53" s="514" t="s">
        <v>122</v>
      </c>
      <c r="K53" s="502"/>
    </row>
    <row r="54" spans="1:11" x14ac:dyDescent="0.25">
      <c r="A54" s="492" t="s">
        <v>142</v>
      </c>
      <c r="C54" s="512" t="s">
        <v>141</v>
      </c>
      <c r="D54" s="512" t="s">
        <v>120</v>
      </c>
      <c r="E54" s="492">
        <v>386040.1</v>
      </c>
      <c r="F54" s="496">
        <v>-2600.4</v>
      </c>
      <c r="G54" s="502"/>
      <c r="I54" s="539"/>
      <c r="J54" s="514" t="s">
        <v>122</v>
      </c>
      <c r="K54" s="502"/>
    </row>
    <row r="55" spans="1:11" x14ac:dyDescent="0.25">
      <c r="A55" s="492" t="s">
        <v>142</v>
      </c>
      <c r="C55" s="512" t="s">
        <v>141</v>
      </c>
      <c r="D55" s="512" t="s">
        <v>120</v>
      </c>
      <c r="E55" s="492">
        <v>386042.1</v>
      </c>
      <c r="F55" s="496">
        <v>-3083.4</v>
      </c>
      <c r="G55" s="502"/>
      <c r="I55" s="539"/>
      <c r="J55" s="514" t="s">
        <v>122</v>
      </c>
      <c r="K55" s="502"/>
    </row>
    <row r="56" spans="1:11" x14ac:dyDescent="0.25">
      <c r="A56" s="492" t="s">
        <v>265</v>
      </c>
      <c r="C56" s="512" t="s">
        <v>141</v>
      </c>
      <c r="D56" s="512" t="s">
        <v>120</v>
      </c>
      <c r="E56" s="492">
        <v>385246.3</v>
      </c>
      <c r="F56" s="496">
        <v>43856.36</v>
      </c>
      <c r="G56" s="502"/>
      <c r="I56" s="539"/>
      <c r="J56" s="514" t="s">
        <v>122</v>
      </c>
      <c r="K56" s="502"/>
    </row>
    <row r="57" spans="1:11" x14ac:dyDescent="0.25">
      <c r="A57" s="492" t="s">
        <v>265</v>
      </c>
      <c r="C57" s="512" t="s">
        <v>141</v>
      </c>
      <c r="D57" s="512" t="s">
        <v>120</v>
      </c>
      <c r="E57" s="492">
        <v>385256.3</v>
      </c>
      <c r="F57" s="496">
        <v>133496.6</v>
      </c>
      <c r="G57" s="502"/>
      <c r="I57" s="539"/>
      <c r="J57" s="514" t="s">
        <v>122</v>
      </c>
      <c r="K57" s="502"/>
    </row>
    <row r="58" spans="1:11" x14ac:dyDescent="0.25">
      <c r="A58" s="492" t="s">
        <v>265</v>
      </c>
      <c r="C58" s="512" t="s">
        <v>141</v>
      </c>
      <c r="D58" s="512" t="s">
        <v>120</v>
      </c>
      <c r="E58" s="492">
        <v>385259.3</v>
      </c>
      <c r="F58" s="496">
        <v>67220.52</v>
      </c>
      <c r="G58" s="502"/>
      <c r="I58" s="539"/>
      <c r="J58" s="514" t="s">
        <v>122</v>
      </c>
      <c r="K58" s="502"/>
    </row>
    <row r="59" spans="1:11" x14ac:dyDescent="0.25">
      <c r="A59" s="492" t="s">
        <v>265</v>
      </c>
      <c r="C59" s="512" t="s">
        <v>141</v>
      </c>
      <c r="D59" s="512" t="s">
        <v>120</v>
      </c>
      <c r="E59" s="492">
        <v>385263.3</v>
      </c>
      <c r="F59" s="496">
        <v>336697</v>
      </c>
      <c r="G59" s="502"/>
      <c r="I59" s="539"/>
      <c r="J59" s="514" t="s">
        <v>122</v>
      </c>
      <c r="K59" s="502"/>
    </row>
    <row r="60" spans="1:11" x14ac:dyDescent="0.25">
      <c r="A60" s="492" t="s">
        <v>265</v>
      </c>
      <c r="C60" s="512" t="s">
        <v>141</v>
      </c>
      <c r="D60" s="512" t="s">
        <v>120</v>
      </c>
      <c r="E60" s="492">
        <v>385265.3</v>
      </c>
      <c r="F60" s="496">
        <v>133548.20000000001</v>
      </c>
      <c r="G60" s="502"/>
      <c r="I60" s="539"/>
      <c r="J60" s="514" t="s">
        <v>122</v>
      </c>
      <c r="K60" s="502"/>
    </row>
    <row r="61" spans="1:11" x14ac:dyDescent="0.25">
      <c r="A61" s="492" t="s">
        <v>265</v>
      </c>
      <c r="C61" s="512" t="s">
        <v>141</v>
      </c>
      <c r="D61" s="512" t="s">
        <v>120</v>
      </c>
      <c r="E61" s="492">
        <v>385268.3</v>
      </c>
      <c r="F61" s="496">
        <v>226684.63</v>
      </c>
      <c r="G61" s="502"/>
      <c r="I61" s="539"/>
      <c r="J61" s="514" t="s">
        <v>122</v>
      </c>
      <c r="K61" s="502"/>
    </row>
    <row r="62" spans="1:11" x14ac:dyDescent="0.25">
      <c r="A62" s="492" t="s">
        <v>265</v>
      </c>
      <c r="C62" s="512" t="s">
        <v>141</v>
      </c>
      <c r="D62" s="512" t="s">
        <v>120</v>
      </c>
      <c r="E62" s="492">
        <v>385284.3</v>
      </c>
      <c r="F62" s="496">
        <v>133461.4</v>
      </c>
      <c r="G62" s="502"/>
      <c r="I62" s="539"/>
      <c r="J62" s="514" t="s">
        <v>122</v>
      </c>
      <c r="K62" s="502"/>
    </row>
    <row r="63" spans="1:11" x14ac:dyDescent="0.25">
      <c r="A63" s="492" t="s">
        <v>265</v>
      </c>
      <c r="C63" s="512" t="s">
        <v>141</v>
      </c>
      <c r="D63" s="512" t="s">
        <v>120</v>
      </c>
      <c r="E63" s="492">
        <v>385288.3</v>
      </c>
      <c r="F63" s="496">
        <v>273010.25</v>
      </c>
      <c r="G63" s="502"/>
      <c r="I63" s="539"/>
      <c r="J63" s="514" t="s">
        <v>122</v>
      </c>
      <c r="K63" s="502"/>
    </row>
    <row r="64" spans="1:11" x14ac:dyDescent="0.25">
      <c r="A64" s="492" t="s">
        <v>265</v>
      </c>
      <c r="C64" s="512" t="s">
        <v>141</v>
      </c>
      <c r="D64" s="512" t="s">
        <v>120</v>
      </c>
      <c r="E64" s="492">
        <v>385291.3</v>
      </c>
      <c r="F64" s="496">
        <v>22688.63</v>
      </c>
      <c r="G64" s="502"/>
      <c r="I64" s="539"/>
      <c r="J64" s="514" t="s">
        <v>122</v>
      </c>
      <c r="K64" s="502"/>
    </row>
    <row r="65" spans="1:11" x14ac:dyDescent="0.25">
      <c r="A65" s="492" t="s">
        <v>265</v>
      </c>
      <c r="C65" s="512" t="s">
        <v>141</v>
      </c>
      <c r="D65" s="512" t="s">
        <v>120</v>
      </c>
      <c r="E65" s="492">
        <v>385293.3</v>
      </c>
      <c r="F65" s="496">
        <v>122817.02</v>
      </c>
      <c r="G65" s="502"/>
      <c r="I65" s="539"/>
      <c r="J65" s="514" t="s">
        <v>122</v>
      </c>
      <c r="K65" s="502"/>
    </row>
    <row r="66" spans="1:11" x14ac:dyDescent="0.25">
      <c r="A66" s="492" t="s">
        <v>265</v>
      </c>
      <c r="C66" s="512" t="s">
        <v>141</v>
      </c>
      <c r="D66" s="512" t="s">
        <v>120</v>
      </c>
      <c r="E66" s="492">
        <v>385296.3</v>
      </c>
      <c r="F66" s="496">
        <v>47379.77</v>
      </c>
      <c r="G66" s="502"/>
      <c r="I66" s="539"/>
      <c r="J66" s="514" t="s">
        <v>122</v>
      </c>
      <c r="K66" s="502"/>
    </row>
    <row r="67" spans="1:11" x14ac:dyDescent="0.25">
      <c r="A67" s="492" t="s">
        <v>265</v>
      </c>
      <c r="C67" s="512" t="s">
        <v>141</v>
      </c>
      <c r="D67" s="512" t="s">
        <v>120</v>
      </c>
      <c r="E67" s="492">
        <v>385311.3</v>
      </c>
      <c r="F67" s="496">
        <v>345989.4</v>
      </c>
      <c r="G67" s="502"/>
      <c r="I67" s="539"/>
      <c r="J67" s="514" t="s">
        <v>122</v>
      </c>
      <c r="K67" s="502"/>
    </row>
    <row r="68" spans="1:11" x14ac:dyDescent="0.25">
      <c r="A68" s="492" t="s">
        <v>265</v>
      </c>
      <c r="C68" s="512" t="s">
        <v>141</v>
      </c>
      <c r="D68" s="512" t="s">
        <v>120</v>
      </c>
      <c r="E68" s="492">
        <v>385358.3</v>
      </c>
      <c r="F68" s="496">
        <v>133462.79999999999</v>
      </c>
      <c r="G68" s="502"/>
      <c r="I68" s="539"/>
      <c r="J68" s="514" t="s">
        <v>122</v>
      </c>
      <c r="K68" s="502"/>
    </row>
    <row r="69" spans="1:11" x14ac:dyDescent="0.25">
      <c r="A69" s="492" t="s">
        <v>265</v>
      </c>
      <c r="C69" s="512" t="s">
        <v>141</v>
      </c>
      <c r="D69" s="512" t="s">
        <v>120</v>
      </c>
      <c r="E69" s="492">
        <v>385364.3</v>
      </c>
      <c r="F69" s="496">
        <v>133570.79999999999</v>
      </c>
      <c r="G69" s="502"/>
      <c r="I69" s="539"/>
      <c r="J69" s="514" t="s">
        <v>122</v>
      </c>
      <c r="K69" s="502"/>
    </row>
    <row r="70" spans="1:11" x14ac:dyDescent="0.25">
      <c r="A70" s="492" t="s">
        <v>265</v>
      </c>
      <c r="C70" s="512" t="s">
        <v>141</v>
      </c>
      <c r="D70" s="512" t="s">
        <v>120</v>
      </c>
      <c r="E70" s="492">
        <v>385370.3</v>
      </c>
      <c r="F70" s="496">
        <v>338601.2</v>
      </c>
      <c r="G70" s="502"/>
      <c r="I70" s="539"/>
      <c r="J70" s="514" t="s">
        <v>122</v>
      </c>
      <c r="K70" s="502"/>
    </row>
    <row r="71" spans="1:11" x14ac:dyDescent="0.25">
      <c r="A71" s="492" t="s">
        <v>265</v>
      </c>
      <c r="C71" s="512" t="s">
        <v>141</v>
      </c>
      <c r="D71" s="512" t="s">
        <v>120</v>
      </c>
      <c r="E71" s="492">
        <v>385371.3</v>
      </c>
      <c r="F71" s="496">
        <v>336779.8</v>
      </c>
      <c r="G71" s="502"/>
      <c r="I71" s="539"/>
      <c r="J71" s="514" t="s">
        <v>122</v>
      </c>
      <c r="K71" s="502"/>
    </row>
    <row r="72" spans="1:11" x14ac:dyDescent="0.25">
      <c r="A72" s="492" t="s">
        <v>265</v>
      </c>
      <c r="C72" s="512" t="s">
        <v>141</v>
      </c>
      <c r="D72" s="512" t="s">
        <v>120</v>
      </c>
      <c r="E72" s="492">
        <v>385372.3</v>
      </c>
      <c r="F72" s="496">
        <v>133570.79999999999</v>
      </c>
      <c r="G72" s="502"/>
      <c r="I72" s="539"/>
      <c r="J72" s="514" t="s">
        <v>122</v>
      </c>
      <c r="K72" s="502"/>
    </row>
    <row r="73" spans="1:11" x14ac:dyDescent="0.25">
      <c r="A73" s="492" t="s">
        <v>265</v>
      </c>
      <c r="C73" s="512" t="s">
        <v>141</v>
      </c>
      <c r="D73" s="512" t="s">
        <v>120</v>
      </c>
      <c r="E73" s="492">
        <v>385968.3</v>
      </c>
      <c r="F73" s="496">
        <v>336102.6</v>
      </c>
      <c r="G73" s="502"/>
      <c r="I73" s="539"/>
      <c r="J73" s="514" t="s">
        <v>122</v>
      </c>
      <c r="K73" s="502"/>
    </row>
    <row r="74" spans="1:11" x14ac:dyDescent="0.25">
      <c r="A74" s="492" t="s">
        <v>265</v>
      </c>
      <c r="C74" s="512" t="s">
        <v>141</v>
      </c>
      <c r="D74" s="512" t="s">
        <v>120</v>
      </c>
      <c r="E74" s="492">
        <v>385971.3</v>
      </c>
      <c r="F74" s="496">
        <v>337356.6</v>
      </c>
      <c r="G74" s="502"/>
      <c r="I74" s="539"/>
      <c r="J74" s="514" t="s">
        <v>122</v>
      </c>
      <c r="K74" s="502"/>
    </row>
    <row r="75" spans="1:11" x14ac:dyDescent="0.25">
      <c r="A75" s="492" t="s">
        <v>265</v>
      </c>
      <c r="C75" s="512" t="s">
        <v>141</v>
      </c>
      <c r="D75" s="512" t="s">
        <v>120</v>
      </c>
      <c r="E75" s="492">
        <v>385973.3</v>
      </c>
      <c r="F75" s="496">
        <v>845186</v>
      </c>
      <c r="G75" s="502"/>
      <c r="I75" s="539"/>
      <c r="J75" s="514" t="s">
        <v>122</v>
      </c>
      <c r="K75" s="502"/>
    </row>
    <row r="76" spans="1:11" x14ac:dyDescent="0.25">
      <c r="A76" s="492" t="s">
        <v>265</v>
      </c>
      <c r="C76" s="512" t="s">
        <v>141</v>
      </c>
      <c r="D76" s="512" t="s">
        <v>120</v>
      </c>
      <c r="E76" s="492">
        <v>385978.3</v>
      </c>
      <c r="F76" s="496">
        <v>338072</v>
      </c>
      <c r="G76" s="502"/>
      <c r="I76" s="539"/>
      <c r="J76" s="514" t="s">
        <v>122</v>
      </c>
      <c r="K76" s="502"/>
    </row>
    <row r="77" spans="1:11" x14ac:dyDescent="0.25">
      <c r="A77" s="492" t="s">
        <v>265</v>
      </c>
      <c r="C77" s="512" t="s">
        <v>141</v>
      </c>
      <c r="D77" s="512" t="s">
        <v>120</v>
      </c>
      <c r="E77" s="492">
        <v>385981.3</v>
      </c>
      <c r="F77" s="496">
        <v>167346.82999999999</v>
      </c>
      <c r="G77" s="502"/>
      <c r="I77" s="539"/>
      <c r="J77" s="514" t="s">
        <v>122</v>
      </c>
      <c r="K77" s="502"/>
    </row>
    <row r="78" spans="1:11" x14ac:dyDescent="0.25">
      <c r="A78" s="492" t="s">
        <v>265</v>
      </c>
      <c r="C78" s="512" t="s">
        <v>141</v>
      </c>
      <c r="D78" s="512" t="s">
        <v>120</v>
      </c>
      <c r="E78" s="492">
        <v>385989.3</v>
      </c>
      <c r="F78" s="496">
        <v>345126.6</v>
      </c>
      <c r="G78" s="502"/>
      <c r="I78" s="539"/>
      <c r="J78" s="514" t="s">
        <v>122</v>
      </c>
      <c r="K78" s="502"/>
    </row>
    <row r="79" spans="1:11" x14ac:dyDescent="0.25">
      <c r="A79" s="492" t="s">
        <v>265</v>
      </c>
      <c r="C79" s="512" t="s">
        <v>141</v>
      </c>
      <c r="D79" s="512" t="s">
        <v>120</v>
      </c>
      <c r="E79" s="492">
        <v>385995.3</v>
      </c>
      <c r="F79" s="496">
        <v>156870.84</v>
      </c>
      <c r="G79" s="502"/>
      <c r="I79" s="539"/>
      <c r="J79" s="514" t="s">
        <v>122</v>
      </c>
      <c r="K79" s="502"/>
    </row>
    <row r="80" spans="1:11" x14ac:dyDescent="0.25">
      <c r="A80" s="492" t="s">
        <v>265</v>
      </c>
      <c r="C80" s="512" t="s">
        <v>141</v>
      </c>
      <c r="D80" s="512" t="s">
        <v>120</v>
      </c>
      <c r="E80" s="492">
        <v>385996.3</v>
      </c>
      <c r="F80" s="496">
        <v>133496.6</v>
      </c>
      <c r="G80" s="502"/>
      <c r="I80" s="539"/>
      <c r="J80" s="514" t="s">
        <v>122</v>
      </c>
      <c r="K80" s="502"/>
    </row>
    <row r="81" spans="1:11" x14ac:dyDescent="0.25">
      <c r="A81" s="492" t="s">
        <v>265</v>
      </c>
      <c r="C81" s="512" t="s">
        <v>141</v>
      </c>
      <c r="D81" s="512" t="s">
        <v>120</v>
      </c>
      <c r="E81" s="492">
        <v>386002.3</v>
      </c>
      <c r="F81" s="496">
        <v>133497.4</v>
      </c>
      <c r="G81" s="502"/>
      <c r="I81" s="539"/>
      <c r="J81" s="514" t="s">
        <v>122</v>
      </c>
      <c r="K81" s="502"/>
    </row>
    <row r="82" spans="1:11" x14ac:dyDescent="0.25">
      <c r="A82" s="492" t="s">
        <v>265</v>
      </c>
      <c r="C82" s="512" t="s">
        <v>141</v>
      </c>
      <c r="D82" s="512" t="s">
        <v>120</v>
      </c>
      <c r="E82" s="492">
        <v>386003.3</v>
      </c>
      <c r="F82" s="496">
        <v>336779.8</v>
      </c>
      <c r="G82" s="502"/>
      <c r="I82" s="539"/>
      <c r="J82" s="514" t="s">
        <v>122</v>
      </c>
      <c r="K82" s="502"/>
    </row>
    <row r="83" spans="1:11" x14ac:dyDescent="0.25">
      <c r="A83" s="492" t="s">
        <v>265</v>
      </c>
      <c r="C83" s="512" t="s">
        <v>141</v>
      </c>
      <c r="D83" s="512" t="s">
        <v>120</v>
      </c>
      <c r="E83" s="492">
        <v>386004.3</v>
      </c>
      <c r="F83" s="496">
        <v>133570.79999999999</v>
      </c>
      <c r="G83" s="502"/>
      <c r="I83" s="539"/>
      <c r="J83" s="514" t="s">
        <v>122</v>
      </c>
      <c r="K83" s="502"/>
    </row>
    <row r="84" spans="1:11" x14ac:dyDescent="0.25">
      <c r="A84" s="492" t="s">
        <v>265</v>
      </c>
      <c r="C84" s="512" t="s">
        <v>141</v>
      </c>
      <c r="D84" s="512" t="s">
        <v>120</v>
      </c>
      <c r="E84" s="492">
        <v>386006.3</v>
      </c>
      <c r="F84" s="496">
        <v>336779.8</v>
      </c>
      <c r="G84" s="502"/>
      <c r="I84" s="539"/>
      <c r="J84" s="514" t="s">
        <v>122</v>
      </c>
      <c r="K84" s="502"/>
    </row>
    <row r="85" spans="1:11" x14ac:dyDescent="0.25">
      <c r="A85" s="492" t="s">
        <v>265</v>
      </c>
      <c r="C85" s="512" t="s">
        <v>141</v>
      </c>
      <c r="D85" s="512" t="s">
        <v>120</v>
      </c>
      <c r="E85" s="492">
        <v>386009.3</v>
      </c>
      <c r="F85" s="496">
        <v>133570.79999999999</v>
      </c>
      <c r="G85" s="502"/>
      <c r="I85" s="539"/>
      <c r="J85" s="514" t="s">
        <v>122</v>
      </c>
      <c r="K85" s="502"/>
    </row>
    <row r="86" spans="1:11" x14ac:dyDescent="0.25">
      <c r="A86" s="492" t="s">
        <v>265</v>
      </c>
      <c r="C86" s="512" t="s">
        <v>141</v>
      </c>
      <c r="D86" s="512" t="s">
        <v>120</v>
      </c>
      <c r="E86" s="492">
        <v>386010.3</v>
      </c>
      <c r="F86" s="496">
        <v>133713.79999999999</v>
      </c>
      <c r="G86" s="502"/>
      <c r="I86" s="539"/>
      <c r="J86" s="514" t="s">
        <v>122</v>
      </c>
      <c r="K86" s="502"/>
    </row>
    <row r="87" spans="1:11" x14ac:dyDescent="0.25">
      <c r="A87" s="492" t="s">
        <v>265</v>
      </c>
      <c r="C87" s="512" t="s">
        <v>141</v>
      </c>
      <c r="D87" s="512" t="s">
        <v>120</v>
      </c>
      <c r="E87" s="492">
        <v>386012.3</v>
      </c>
      <c r="F87" s="496">
        <v>336697</v>
      </c>
      <c r="G87" s="502"/>
      <c r="I87" s="539"/>
      <c r="J87" s="514" t="s">
        <v>122</v>
      </c>
      <c r="K87" s="502"/>
    </row>
    <row r="88" spans="1:11" x14ac:dyDescent="0.25">
      <c r="A88" s="492" t="s">
        <v>265</v>
      </c>
      <c r="C88" s="512" t="s">
        <v>141</v>
      </c>
      <c r="D88" s="512" t="s">
        <v>120</v>
      </c>
      <c r="E88" s="492">
        <v>386028.3</v>
      </c>
      <c r="F88" s="496">
        <v>133548.20000000001</v>
      </c>
      <c r="G88" s="502"/>
      <c r="I88" s="539"/>
      <c r="J88" s="514" t="s">
        <v>122</v>
      </c>
      <c r="K88" s="502"/>
    </row>
    <row r="89" spans="1:11" x14ac:dyDescent="0.25">
      <c r="A89" s="492" t="s">
        <v>265</v>
      </c>
      <c r="C89" s="512" t="s">
        <v>141</v>
      </c>
      <c r="D89" s="512" t="s">
        <v>120</v>
      </c>
      <c r="E89" s="492">
        <v>386035.3</v>
      </c>
      <c r="F89" s="496">
        <v>115769.74</v>
      </c>
      <c r="G89" s="502"/>
      <c r="I89" s="539"/>
      <c r="J89" s="514" t="s">
        <v>122</v>
      </c>
      <c r="K89" s="502"/>
    </row>
    <row r="90" spans="1:11" x14ac:dyDescent="0.25">
      <c r="A90" s="492" t="s">
        <v>265</v>
      </c>
      <c r="C90" s="512" t="s">
        <v>141</v>
      </c>
      <c r="D90" s="512" t="s">
        <v>120</v>
      </c>
      <c r="E90" s="492">
        <v>386038.3</v>
      </c>
      <c r="F90" s="496">
        <v>27360.04</v>
      </c>
      <c r="G90" s="502"/>
      <c r="I90" s="539"/>
      <c r="J90" s="514" t="s">
        <v>122</v>
      </c>
      <c r="K90" s="502"/>
    </row>
    <row r="91" spans="1:11" x14ac:dyDescent="0.25">
      <c r="A91" s="492" t="s">
        <v>265</v>
      </c>
      <c r="C91" s="512" t="s">
        <v>141</v>
      </c>
      <c r="D91" s="512" t="s">
        <v>120</v>
      </c>
      <c r="E91" s="492">
        <v>386040.3</v>
      </c>
      <c r="F91" s="496">
        <v>350060.4</v>
      </c>
      <c r="G91" s="502"/>
      <c r="I91" s="539"/>
      <c r="J91" s="514" t="s">
        <v>122</v>
      </c>
      <c r="K91" s="502"/>
    </row>
    <row r="92" spans="1:11" x14ac:dyDescent="0.25">
      <c r="A92" s="492" t="s">
        <v>265</v>
      </c>
      <c r="C92" s="512" t="s">
        <v>141</v>
      </c>
      <c r="D92" s="512" t="s">
        <v>120</v>
      </c>
      <c r="E92" s="492">
        <v>386042.3</v>
      </c>
      <c r="F92" s="496">
        <v>138639.20000000001</v>
      </c>
      <c r="G92" s="502"/>
      <c r="I92" s="539"/>
      <c r="J92" s="514" t="s">
        <v>122</v>
      </c>
      <c r="K92" s="502"/>
    </row>
    <row r="93" spans="1:11" x14ac:dyDescent="0.25">
      <c r="A93" s="492" t="s">
        <v>265</v>
      </c>
      <c r="C93" s="512" t="s">
        <v>141</v>
      </c>
      <c r="D93" s="512" t="s">
        <v>120</v>
      </c>
      <c r="E93" s="492">
        <v>386043.3</v>
      </c>
      <c r="F93" s="496">
        <v>336697</v>
      </c>
      <c r="G93" s="502"/>
      <c r="I93" s="539"/>
      <c r="J93" s="514" t="s">
        <v>122</v>
      </c>
      <c r="K93" s="502"/>
    </row>
    <row r="94" spans="1:11" x14ac:dyDescent="0.25">
      <c r="A94" s="492" t="s">
        <v>265</v>
      </c>
      <c r="C94" s="512" t="s">
        <v>141</v>
      </c>
      <c r="D94" s="512" t="s">
        <v>120</v>
      </c>
      <c r="E94" s="492">
        <v>386052.3</v>
      </c>
      <c r="F94" s="496">
        <v>22703.16</v>
      </c>
      <c r="G94" s="502"/>
      <c r="I94" s="539"/>
      <c r="J94" s="514" t="s">
        <v>122</v>
      </c>
      <c r="K94" s="502"/>
    </row>
    <row r="95" spans="1:11" x14ac:dyDescent="0.25">
      <c r="A95" s="492" t="s">
        <v>265</v>
      </c>
      <c r="C95" s="512" t="s">
        <v>141</v>
      </c>
      <c r="D95" s="512" t="s">
        <v>120</v>
      </c>
      <c r="E95" s="492">
        <v>386054.3</v>
      </c>
      <c r="F95" s="496">
        <v>133497.4</v>
      </c>
      <c r="G95" s="502"/>
      <c r="I95" s="539"/>
      <c r="J95" s="514" t="s">
        <v>122</v>
      </c>
      <c r="K95" s="502"/>
    </row>
    <row r="96" spans="1:11" x14ac:dyDescent="0.25">
      <c r="A96" s="492" t="s">
        <v>143</v>
      </c>
      <c r="C96" s="512" t="s">
        <v>141</v>
      </c>
      <c r="D96" s="512" t="s">
        <v>120</v>
      </c>
      <c r="E96" s="492">
        <v>385246.1</v>
      </c>
      <c r="F96" s="496">
        <v>2080</v>
      </c>
      <c r="G96" s="502"/>
      <c r="I96" s="539"/>
      <c r="J96" s="514" t="s">
        <v>122</v>
      </c>
      <c r="K96" s="502"/>
    </row>
    <row r="97" spans="1:11" x14ac:dyDescent="0.25">
      <c r="A97" s="492" t="s">
        <v>143</v>
      </c>
      <c r="C97" s="512" t="s">
        <v>141</v>
      </c>
      <c r="D97" s="512" t="s">
        <v>120</v>
      </c>
      <c r="E97" s="492">
        <v>385256.1</v>
      </c>
      <c r="F97" s="496">
        <v>6974</v>
      </c>
      <c r="G97" s="502"/>
      <c r="I97" s="539"/>
      <c r="J97" s="514" t="s">
        <v>122</v>
      </c>
      <c r="K97" s="502"/>
    </row>
    <row r="98" spans="1:11" x14ac:dyDescent="0.25">
      <c r="A98" s="492" t="s">
        <v>143</v>
      </c>
      <c r="C98" s="512" t="s">
        <v>141</v>
      </c>
      <c r="D98" s="512" t="s">
        <v>120</v>
      </c>
      <c r="E98" s="492">
        <v>385259.1</v>
      </c>
      <c r="F98" s="496">
        <v>8000</v>
      </c>
      <c r="G98" s="502"/>
      <c r="I98" s="539"/>
      <c r="J98" s="514" t="s">
        <v>122</v>
      </c>
      <c r="K98" s="502"/>
    </row>
    <row r="99" spans="1:11" x14ac:dyDescent="0.25">
      <c r="A99" s="492" t="s">
        <v>143</v>
      </c>
      <c r="C99" s="512" t="s">
        <v>141</v>
      </c>
      <c r="D99" s="512" t="s">
        <v>120</v>
      </c>
      <c r="E99" s="492">
        <v>385263.1</v>
      </c>
      <c r="F99" s="496">
        <v>16484.400000000001</v>
      </c>
      <c r="G99" s="502"/>
      <c r="I99" s="539"/>
      <c r="J99" s="514" t="s">
        <v>122</v>
      </c>
      <c r="K99" s="502"/>
    </row>
    <row r="100" spans="1:11" x14ac:dyDescent="0.25">
      <c r="A100" s="492" t="s">
        <v>143</v>
      </c>
      <c r="C100" s="512" t="s">
        <v>141</v>
      </c>
      <c r="D100" s="512" t="s">
        <v>120</v>
      </c>
      <c r="E100" s="492">
        <v>385265.1</v>
      </c>
      <c r="F100" s="496">
        <v>6667</v>
      </c>
      <c r="G100" s="502"/>
      <c r="I100" s="539"/>
      <c r="J100" s="514" t="s">
        <v>122</v>
      </c>
      <c r="K100" s="502"/>
    </row>
    <row r="101" spans="1:11" x14ac:dyDescent="0.25">
      <c r="A101" s="492" t="s">
        <v>143</v>
      </c>
      <c r="C101" s="512" t="s">
        <v>141</v>
      </c>
      <c r="D101" s="512" t="s">
        <v>120</v>
      </c>
      <c r="E101" s="492">
        <v>385268.1</v>
      </c>
      <c r="F101" s="496">
        <v>1310</v>
      </c>
      <c r="G101" s="502"/>
      <c r="I101" s="539"/>
      <c r="J101" s="514" t="s">
        <v>122</v>
      </c>
      <c r="K101" s="502"/>
    </row>
    <row r="102" spans="1:11" x14ac:dyDescent="0.25">
      <c r="A102" s="492" t="s">
        <v>143</v>
      </c>
      <c r="C102" s="512" t="s">
        <v>141</v>
      </c>
      <c r="D102" s="512" t="s">
        <v>120</v>
      </c>
      <c r="E102" s="492">
        <v>385284.1</v>
      </c>
      <c r="F102" s="496">
        <v>1253.4000000000001</v>
      </c>
      <c r="G102" s="502"/>
      <c r="I102" s="539"/>
      <c r="J102" s="514" t="s">
        <v>122</v>
      </c>
      <c r="K102" s="502"/>
    </row>
    <row r="103" spans="1:11" x14ac:dyDescent="0.25">
      <c r="A103" s="492" t="s">
        <v>143</v>
      </c>
      <c r="C103" s="512" t="s">
        <v>141</v>
      </c>
      <c r="D103" s="512" t="s">
        <v>120</v>
      </c>
      <c r="E103" s="492">
        <v>385288.1</v>
      </c>
      <c r="F103" s="496">
        <v>1580</v>
      </c>
      <c r="G103" s="502"/>
      <c r="I103" s="539"/>
      <c r="J103" s="514" t="s">
        <v>122</v>
      </c>
      <c r="K103" s="502"/>
    </row>
    <row r="104" spans="1:11" x14ac:dyDescent="0.25">
      <c r="A104" s="492" t="s">
        <v>143</v>
      </c>
      <c r="C104" s="512" t="s">
        <v>141</v>
      </c>
      <c r="D104" s="512" t="s">
        <v>120</v>
      </c>
      <c r="E104" s="492">
        <v>385291.1</v>
      </c>
      <c r="F104" s="496">
        <v>510</v>
      </c>
      <c r="G104" s="502"/>
      <c r="I104" s="539"/>
      <c r="J104" s="514" t="s">
        <v>122</v>
      </c>
      <c r="K104" s="502"/>
    </row>
    <row r="105" spans="1:11" x14ac:dyDescent="0.25">
      <c r="A105" s="492" t="s">
        <v>143</v>
      </c>
      <c r="C105" s="512" t="s">
        <v>141</v>
      </c>
      <c r="D105" s="512" t="s">
        <v>120</v>
      </c>
      <c r="E105" s="492">
        <v>385293.1</v>
      </c>
      <c r="F105" s="496">
        <v>1065</v>
      </c>
      <c r="G105" s="502"/>
      <c r="I105" s="539"/>
      <c r="J105" s="514" t="s">
        <v>122</v>
      </c>
      <c r="K105" s="502"/>
    </row>
    <row r="106" spans="1:11" x14ac:dyDescent="0.25">
      <c r="A106" s="492" t="s">
        <v>143</v>
      </c>
      <c r="C106" s="512" t="s">
        <v>141</v>
      </c>
      <c r="D106" s="512" t="s">
        <v>120</v>
      </c>
      <c r="E106" s="492">
        <v>385296.1</v>
      </c>
      <c r="F106" s="496">
        <v>1065</v>
      </c>
      <c r="G106" s="502"/>
      <c r="I106" s="539"/>
      <c r="J106" s="514" t="s">
        <v>122</v>
      </c>
      <c r="K106" s="502"/>
    </row>
    <row r="107" spans="1:11" x14ac:dyDescent="0.25">
      <c r="A107" s="492" t="s">
        <v>143</v>
      </c>
      <c r="C107" s="512" t="s">
        <v>141</v>
      </c>
      <c r="D107" s="512" t="s">
        <v>120</v>
      </c>
      <c r="E107" s="492">
        <v>385311.1</v>
      </c>
      <c r="F107" s="496">
        <v>3350.4</v>
      </c>
      <c r="G107" s="502"/>
      <c r="I107" s="539"/>
      <c r="J107" s="514" t="s">
        <v>122</v>
      </c>
      <c r="K107" s="502"/>
    </row>
    <row r="108" spans="1:11" x14ac:dyDescent="0.25">
      <c r="A108" s="492" t="s">
        <v>143</v>
      </c>
      <c r="C108" s="512" t="s">
        <v>141</v>
      </c>
      <c r="D108" s="512" t="s">
        <v>120</v>
      </c>
      <c r="E108" s="492">
        <v>385358.1</v>
      </c>
      <c r="F108" s="496">
        <v>3387.8</v>
      </c>
      <c r="G108" s="502"/>
      <c r="I108" s="539"/>
      <c r="J108" s="514" t="s">
        <v>122</v>
      </c>
      <c r="K108" s="502"/>
    </row>
    <row r="109" spans="1:11" x14ac:dyDescent="0.25">
      <c r="A109" s="492" t="s">
        <v>143</v>
      </c>
      <c r="C109" s="512" t="s">
        <v>141</v>
      </c>
      <c r="D109" s="512" t="s">
        <v>120</v>
      </c>
      <c r="E109" s="492">
        <v>385364.1</v>
      </c>
      <c r="F109" s="496">
        <v>18499.2</v>
      </c>
      <c r="G109" s="502"/>
      <c r="I109" s="539"/>
      <c r="J109" s="514" t="s">
        <v>122</v>
      </c>
      <c r="K109" s="502"/>
    </row>
    <row r="110" spans="1:11" x14ac:dyDescent="0.25">
      <c r="A110" s="492" t="s">
        <v>143</v>
      </c>
      <c r="C110" s="512" t="s">
        <v>141</v>
      </c>
      <c r="D110" s="512" t="s">
        <v>120</v>
      </c>
      <c r="E110" s="492">
        <v>385370.1</v>
      </c>
      <c r="F110" s="496">
        <v>25757.599999999999</v>
      </c>
      <c r="G110" s="502"/>
      <c r="I110" s="539"/>
      <c r="J110" s="514" t="s">
        <v>122</v>
      </c>
      <c r="K110" s="502"/>
    </row>
    <row r="111" spans="1:11" x14ac:dyDescent="0.25">
      <c r="A111" s="492" t="s">
        <v>143</v>
      </c>
      <c r="C111" s="512" t="s">
        <v>141</v>
      </c>
      <c r="D111" s="512" t="s">
        <v>120</v>
      </c>
      <c r="E111" s="492">
        <v>385371.1</v>
      </c>
      <c r="F111" s="496">
        <v>16463</v>
      </c>
      <c r="G111" s="502"/>
      <c r="I111" s="539"/>
      <c r="J111" s="514" t="s">
        <v>122</v>
      </c>
      <c r="K111" s="502"/>
    </row>
    <row r="112" spans="1:11" x14ac:dyDescent="0.25">
      <c r="A112" s="492" t="s">
        <v>143</v>
      </c>
      <c r="C112" s="512" t="s">
        <v>141</v>
      </c>
      <c r="D112" s="512" t="s">
        <v>120</v>
      </c>
      <c r="E112" s="492">
        <v>385372.1</v>
      </c>
      <c r="F112" s="496">
        <v>6690</v>
      </c>
      <c r="G112" s="502"/>
      <c r="I112" s="539"/>
      <c r="J112" s="514" t="s">
        <v>122</v>
      </c>
      <c r="K112" s="502"/>
    </row>
    <row r="113" spans="1:11" x14ac:dyDescent="0.25">
      <c r="A113" s="492" t="s">
        <v>143</v>
      </c>
      <c r="C113" s="512" t="s">
        <v>141</v>
      </c>
      <c r="D113" s="512" t="s">
        <v>120</v>
      </c>
      <c r="E113" s="492">
        <v>385968.1</v>
      </c>
      <c r="F113" s="496">
        <v>40517</v>
      </c>
      <c r="G113" s="502"/>
      <c r="I113" s="539"/>
      <c r="J113" s="514" t="s">
        <v>122</v>
      </c>
      <c r="K113" s="502"/>
    </row>
    <row r="114" spans="1:11" x14ac:dyDescent="0.25">
      <c r="A114" s="492" t="s">
        <v>143</v>
      </c>
      <c r="C114" s="512" t="s">
        <v>141</v>
      </c>
      <c r="D114" s="512" t="s">
        <v>120</v>
      </c>
      <c r="E114" s="492">
        <v>385971.1</v>
      </c>
      <c r="F114" s="496">
        <v>16221.2</v>
      </c>
      <c r="G114" s="502"/>
      <c r="I114" s="539"/>
      <c r="J114" s="514" t="s">
        <v>122</v>
      </c>
      <c r="K114" s="502"/>
    </row>
    <row r="115" spans="1:11" x14ac:dyDescent="0.25">
      <c r="A115" s="492" t="s">
        <v>143</v>
      </c>
      <c r="C115" s="512" t="s">
        <v>141</v>
      </c>
      <c r="D115" s="512" t="s">
        <v>120</v>
      </c>
      <c r="E115" s="492">
        <v>385973.1</v>
      </c>
      <c r="F115" s="496">
        <v>5738</v>
      </c>
      <c r="G115" s="502"/>
      <c r="I115" s="539"/>
      <c r="J115" s="514" t="s">
        <v>122</v>
      </c>
      <c r="K115" s="502"/>
    </row>
    <row r="116" spans="1:11" x14ac:dyDescent="0.25">
      <c r="A116" s="492" t="s">
        <v>143</v>
      </c>
      <c r="C116" s="512" t="s">
        <v>141</v>
      </c>
      <c r="D116" s="512" t="s">
        <v>120</v>
      </c>
      <c r="E116" s="492">
        <v>385978.1</v>
      </c>
      <c r="F116" s="496">
        <v>2432.6</v>
      </c>
      <c r="G116" s="502"/>
      <c r="I116" s="539"/>
      <c r="J116" s="514" t="s">
        <v>122</v>
      </c>
      <c r="K116" s="502"/>
    </row>
    <row r="117" spans="1:11" x14ac:dyDescent="0.25">
      <c r="A117" s="492" t="s">
        <v>143</v>
      </c>
      <c r="C117" s="512" t="s">
        <v>141</v>
      </c>
      <c r="D117" s="512" t="s">
        <v>120</v>
      </c>
      <c r="E117" s="492">
        <v>385981.1</v>
      </c>
      <c r="F117" s="496">
        <v>1386</v>
      </c>
      <c r="G117" s="502"/>
      <c r="I117" s="539"/>
      <c r="J117" s="514" t="s">
        <v>122</v>
      </c>
      <c r="K117" s="502"/>
    </row>
    <row r="118" spans="1:11" x14ac:dyDescent="0.25">
      <c r="A118" s="492" t="s">
        <v>143</v>
      </c>
      <c r="C118" s="512" t="s">
        <v>141</v>
      </c>
      <c r="D118" s="512" t="s">
        <v>120</v>
      </c>
      <c r="E118" s="492">
        <v>385989.1</v>
      </c>
      <c r="F118" s="496">
        <v>5190</v>
      </c>
      <c r="G118" s="502"/>
      <c r="I118" s="539"/>
      <c r="J118" s="514" t="s">
        <v>122</v>
      </c>
      <c r="K118" s="502"/>
    </row>
    <row r="119" spans="1:11" x14ac:dyDescent="0.25">
      <c r="A119" s="492" t="s">
        <v>143</v>
      </c>
      <c r="C119" s="512" t="s">
        <v>141</v>
      </c>
      <c r="D119" s="512" t="s">
        <v>120</v>
      </c>
      <c r="E119" s="492">
        <v>385995.1</v>
      </c>
      <c r="F119" s="496">
        <v>7440</v>
      </c>
      <c r="G119" s="502"/>
      <c r="I119" s="539"/>
      <c r="J119" s="514" t="s">
        <v>122</v>
      </c>
      <c r="K119" s="502"/>
    </row>
    <row r="120" spans="1:11" x14ac:dyDescent="0.25">
      <c r="A120" s="492" t="s">
        <v>143</v>
      </c>
      <c r="C120" s="512" t="s">
        <v>141</v>
      </c>
      <c r="D120" s="512" t="s">
        <v>120</v>
      </c>
      <c r="E120" s="492">
        <v>385996.1</v>
      </c>
      <c r="F120" s="496">
        <v>6009.2</v>
      </c>
      <c r="G120" s="502"/>
      <c r="I120" s="539"/>
      <c r="J120" s="514" t="s">
        <v>122</v>
      </c>
      <c r="K120" s="502"/>
    </row>
    <row r="121" spans="1:11" x14ac:dyDescent="0.25">
      <c r="A121" s="492" t="s">
        <v>143</v>
      </c>
      <c r="C121" s="512" t="s">
        <v>141</v>
      </c>
      <c r="D121" s="512" t="s">
        <v>120</v>
      </c>
      <c r="E121" s="492">
        <v>386002.1</v>
      </c>
      <c r="F121" s="496">
        <v>6375.2</v>
      </c>
      <c r="G121" s="502"/>
      <c r="I121" s="539"/>
      <c r="J121" s="514" t="s">
        <v>122</v>
      </c>
      <c r="K121" s="502"/>
    </row>
    <row r="122" spans="1:11" x14ac:dyDescent="0.25">
      <c r="A122" s="492" t="s">
        <v>143</v>
      </c>
      <c r="C122" s="512" t="s">
        <v>141</v>
      </c>
      <c r="D122" s="512" t="s">
        <v>120</v>
      </c>
      <c r="E122" s="492">
        <v>386003.1</v>
      </c>
      <c r="F122" s="496">
        <v>16427.400000000001</v>
      </c>
      <c r="G122" s="502"/>
      <c r="I122" s="539"/>
      <c r="J122" s="514" t="s">
        <v>122</v>
      </c>
      <c r="K122" s="502"/>
    </row>
    <row r="123" spans="1:11" x14ac:dyDescent="0.25">
      <c r="A123" s="492" t="s">
        <v>143</v>
      </c>
      <c r="C123" s="512" t="s">
        <v>141</v>
      </c>
      <c r="D123" s="512" t="s">
        <v>120</v>
      </c>
      <c r="E123" s="492">
        <v>386004.1</v>
      </c>
      <c r="F123" s="496">
        <v>6406.2</v>
      </c>
      <c r="G123" s="502"/>
      <c r="I123" s="539"/>
      <c r="J123" s="514" t="s">
        <v>122</v>
      </c>
      <c r="K123" s="502"/>
    </row>
    <row r="124" spans="1:11" x14ac:dyDescent="0.25">
      <c r="A124" s="492" t="s">
        <v>143</v>
      </c>
      <c r="C124" s="512" t="s">
        <v>141</v>
      </c>
      <c r="D124" s="512" t="s">
        <v>120</v>
      </c>
      <c r="E124" s="492">
        <v>386006.1</v>
      </c>
      <c r="F124" s="496">
        <v>16230.8</v>
      </c>
      <c r="G124" s="502"/>
      <c r="I124" s="539"/>
      <c r="J124" s="514" t="s">
        <v>122</v>
      </c>
      <c r="K124" s="502"/>
    </row>
    <row r="125" spans="1:11" x14ac:dyDescent="0.25">
      <c r="A125" s="492" t="s">
        <v>143</v>
      </c>
      <c r="C125" s="512" t="s">
        <v>141</v>
      </c>
      <c r="D125" s="512" t="s">
        <v>120</v>
      </c>
      <c r="E125" s="492">
        <v>386009.1</v>
      </c>
      <c r="F125" s="496">
        <v>6574</v>
      </c>
      <c r="G125" s="502"/>
      <c r="I125" s="539"/>
      <c r="J125" s="514" t="s">
        <v>122</v>
      </c>
      <c r="K125" s="502"/>
    </row>
    <row r="126" spans="1:11" x14ac:dyDescent="0.25">
      <c r="A126" s="492" t="s">
        <v>143</v>
      </c>
      <c r="C126" s="512" t="s">
        <v>141</v>
      </c>
      <c r="D126" s="512" t="s">
        <v>120</v>
      </c>
      <c r="E126" s="492">
        <v>386010.1</v>
      </c>
      <c r="F126" s="496">
        <v>4368.2</v>
      </c>
      <c r="G126" s="502"/>
      <c r="I126" s="539"/>
      <c r="J126" s="514" t="s">
        <v>122</v>
      </c>
      <c r="K126" s="502"/>
    </row>
    <row r="127" spans="1:11" x14ac:dyDescent="0.25">
      <c r="A127" s="492" t="s">
        <v>143</v>
      </c>
      <c r="C127" s="512" t="s">
        <v>141</v>
      </c>
      <c r="D127" s="512" t="s">
        <v>120</v>
      </c>
      <c r="E127" s="492">
        <v>386012.1</v>
      </c>
      <c r="F127" s="496">
        <v>16521.8</v>
      </c>
      <c r="G127" s="502"/>
      <c r="I127" s="539"/>
      <c r="J127" s="514" t="s">
        <v>122</v>
      </c>
      <c r="K127" s="502"/>
    </row>
    <row r="128" spans="1:11" x14ac:dyDescent="0.25">
      <c r="A128" s="492" t="s">
        <v>143</v>
      </c>
      <c r="C128" s="512" t="s">
        <v>141</v>
      </c>
      <c r="D128" s="512" t="s">
        <v>120</v>
      </c>
      <c r="E128" s="492">
        <v>386028.1</v>
      </c>
      <c r="F128" s="496">
        <v>6314.4</v>
      </c>
      <c r="G128" s="502"/>
      <c r="I128" s="539"/>
      <c r="J128" s="514" t="s">
        <v>122</v>
      </c>
      <c r="K128" s="502"/>
    </row>
    <row r="129" spans="1:11" x14ac:dyDescent="0.25">
      <c r="A129" s="492" t="s">
        <v>143</v>
      </c>
      <c r="C129" s="512" t="s">
        <v>141</v>
      </c>
      <c r="D129" s="512" t="s">
        <v>120</v>
      </c>
      <c r="E129" s="492">
        <v>386035.1</v>
      </c>
      <c r="F129" s="496">
        <v>670</v>
      </c>
      <c r="G129" s="502"/>
      <c r="I129" s="539"/>
      <c r="J129" s="514" t="s">
        <v>122</v>
      </c>
      <c r="K129" s="502"/>
    </row>
    <row r="130" spans="1:11" x14ac:dyDescent="0.25">
      <c r="A130" s="492" t="s">
        <v>143</v>
      </c>
      <c r="C130" s="512" t="s">
        <v>141</v>
      </c>
      <c r="D130" s="512" t="s">
        <v>120</v>
      </c>
      <c r="E130" s="492">
        <v>386038.1</v>
      </c>
      <c r="F130" s="496">
        <v>410</v>
      </c>
      <c r="G130" s="502"/>
      <c r="I130" s="539"/>
      <c r="J130" s="514" t="s">
        <v>122</v>
      </c>
      <c r="K130" s="502"/>
    </row>
    <row r="131" spans="1:11" x14ac:dyDescent="0.25">
      <c r="A131" s="492" t="s">
        <v>143</v>
      </c>
      <c r="C131" s="512" t="s">
        <v>141</v>
      </c>
      <c r="D131" s="512" t="s">
        <v>120</v>
      </c>
      <c r="E131" s="492">
        <v>386043.1</v>
      </c>
      <c r="F131" s="496">
        <v>40693.800000000003</v>
      </c>
      <c r="G131" s="502"/>
      <c r="I131" s="539"/>
      <c r="J131" s="514" t="s">
        <v>122</v>
      </c>
      <c r="K131" s="502"/>
    </row>
    <row r="132" spans="1:11" x14ac:dyDescent="0.25">
      <c r="A132" s="492" t="s">
        <v>143</v>
      </c>
      <c r="C132" s="512" t="s">
        <v>141</v>
      </c>
      <c r="D132" s="512" t="s">
        <v>120</v>
      </c>
      <c r="E132" s="492">
        <v>386052.1</v>
      </c>
      <c r="F132" s="496">
        <v>3400</v>
      </c>
      <c r="G132" s="502"/>
      <c r="I132" s="539"/>
      <c r="J132" s="514" t="s">
        <v>122</v>
      </c>
      <c r="K132" s="502"/>
    </row>
    <row r="133" spans="1:11" x14ac:dyDescent="0.25">
      <c r="A133" s="492" t="s">
        <v>143</v>
      </c>
      <c r="C133" s="512" t="s">
        <v>141</v>
      </c>
      <c r="D133" s="512" t="s">
        <v>120</v>
      </c>
      <c r="E133" s="492">
        <v>386054.1</v>
      </c>
      <c r="F133" s="496">
        <v>6375.2</v>
      </c>
      <c r="G133" s="502">
        <f>SUM(F14:F133)</f>
        <v>226350.26999999664</v>
      </c>
      <c r="I133" s="539"/>
      <c r="J133" s="514" t="s">
        <v>122</v>
      </c>
      <c r="K133" s="502"/>
    </row>
    <row r="134" spans="1:11" x14ac:dyDescent="0.25">
      <c r="C134" s="512"/>
      <c r="D134" s="512"/>
      <c r="E134" s="492"/>
      <c r="F134" s="496"/>
      <c r="G134" s="502"/>
      <c r="I134" s="539"/>
      <c r="J134" s="514"/>
      <c r="K134" s="502"/>
    </row>
    <row r="135" spans="1:11" x14ac:dyDescent="0.25">
      <c r="C135" s="512"/>
      <c r="D135" s="512"/>
      <c r="E135" s="492"/>
      <c r="F135" s="496"/>
      <c r="G135" s="502"/>
      <c r="I135" s="539"/>
      <c r="J135" s="541"/>
      <c r="K135" s="502"/>
    </row>
    <row r="136" spans="1:11" x14ac:dyDescent="0.25">
      <c r="A136" s="492" t="s">
        <v>265</v>
      </c>
      <c r="C136" s="512" t="s">
        <v>119</v>
      </c>
      <c r="D136" s="512" t="s">
        <v>120</v>
      </c>
      <c r="E136" s="492">
        <v>386233.1</v>
      </c>
      <c r="F136" s="496">
        <v>-88</v>
      </c>
      <c r="G136" s="502"/>
      <c r="I136" s="539"/>
      <c r="J136" s="541"/>
      <c r="K136" s="502"/>
    </row>
    <row r="137" spans="1:11" x14ac:dyDescent="0.25">
      <c r="A137" s="492" t="s">
        <v>265</v>
      </c>
      <c r="C137" s="512" t="s">
        <v>119</v>
      </c>
      <c r="D137" s="512" t="s">
        <v>120</v>
      </c>
      <c r="E137" s="492">
        <v>402153.1</v>
      </c>
      <c r="F137" s="496">
        <v>2762</v>
      </c>
      <c r="G137" s="502"/>
      <c r="I137" s="539"/>
      <c r="J137" s="541"/>
      <c r="K137" s="502"/>
    </row>
    <row r="138" spans="1:11" x14ac:dyDescent="0.25">
      <c r="A138" s="492" t="s">
        <v>265</v>
      </c>
      <c r="C138" s="512" t="s">
        <v>119</v>
      </c>
      <c r="D138" s="512" t="s">
        <v>120</v>
      </c>
      <c r="E138" s="492">
        <v>404609.1</v>
      </c>
      <c r="F138" s="496">
        <v>-6079.31</v>
      </c>
      <c r="G138" s="502">
        <f>SUM(F136:F138)</f>
        <v>-3405.3100000000004</v>
      </c>
      <c r="I138" s="539"/>
      <c r="J138" s="541"/>
      <c r="K138" s="502"/>
    </row>
    <row r="139" spans="1:11" x14ac:dyDescent="0.25">
      <c r="C139" s="512"/>
      <c r="D139" s="512"/>
      <c r="E139" s="492"/>
      <c r="F139" s="496"/>
      <c r="G139" s="502"/>
      <c r="I139" s="539"/>
      <c r="J139" s="541"/>
      <c r="K139" s="502"/>
    </row>
    <row r="140" spans="1:11" x14ac:dyDescent="0.25">
      <c r="A140" s="492" t="s">
        <v>263</v>
      </c>
      <c r="C140" s="512" t="s">
        <v>144</v>
      </c>
      <c r="D140" s="512" t="s">
        <v>120</v>
      </c>
      <c r="E140" s="492">
        <v>391287.1</v>
      </c>
      <c r="F140" s="496">
        <v>-15</v>
      </c>
      <c r="G140" s="502"/>
      <c r="I140" s="539"/>
      <c r="J140" s="541"/>
      <c r="K140" s="502"/>
    </row>
    <row r="141" spans="1:11" x14ac:dyDescent="0.25">
      <c r="A141" s="492" t="s">
        <v>263</v>
      </c>
      <c r="C141" s="512" t="s">
        <v>144</v>
      </c>
      <c r="D141" s="512" t="s">
        <v>120</v>
      </c>
      <c r="E141" s="492">
        <v>393099.1</v>
      </c>
      <c r="F141" s="496">
        <v>-205</v>
      </c>
      <c r="G141" s="502"/>
      <c r="I141" s="539"/>
      <c r="J141" s="541"/>
      <c r="K141" s="502"/>
    </row>
    <row r="142" spans="1:11" x14ac:dyDescent="0.25">
      <c r="A142" s="492" t="s">
        <v>263</v>
      </c>
      <c r="C142" s="512" t="s">
        <v>144</v>
      </c>
      <c r="D142" s="512" t="s">
        <v>120</v>
      </c>
      <c r="E142" s="492">
        <v>393434.1</v>
      </c>
      <c r="F142" s="496">
        <v>-63.220000000001164</v>
      </c>
      <c r="G142" s="502"/>
      <c r="I142" s="539"/>
      <c r="J142" s="541"/>
      <c r="K142" s="502"/>
    </row>
    <row r="143" spans="1:11" x14ac:dyDescent="0.25">
      <c r="A143" s="492" t="s">
        <v>265</v>
      </c>
      <c r="C143" s="512" t="s">
        <v>144</v>
      </c>
      <c r="D143" s="512" t="s">
        <v>120</v>
      </c>
      <c r="E143" s="492">
        <v>391133.1</v>
      </c>
      <c r="F143" s="496">
        <v>175.79999999998836</v>
      </c>
      <c r="G143" s="502"/>
      <c r="I143" s="539"/>
      <c r="J143" s="541"/>
      <c r="K143" s="502"/>
    </row>
    <row r="144" spans="1:11" x14ac:dyDescent="0.25">
      <c r="A144" s="492" t="s">
        <v>265</v>
      </c>
      <c r="C144" s="512" t="s">
        <v>144</v>
      </c>
      <c r="D144" s="512" t="s">
        <v>120</v>
      </c>
      <c r="E144" s="492">
        <v>392489.1</v>
      </c>
      <c r="F144" s="496">
        <v>78.590000000000146</v>
      </c>
      <c r="G144" s="502">
        <f>SUM(F140:F144)</f>
        <v>-28.83000000001266</v>
      </c>
      <c r="I144" s="539"/>
      <c r="J144" s="541"/>
      <c r="K144" s="502"/>
    </row>
    <row r="145" spans="1:11" x14ac:dyDescent="0.25">
      <c r="C145" s="512"/>
      <c r="D145" s="512"/>
      <c r="E145" s="492"/>
      <c r="F145" s="496"/>
      <c r="G145" s="502"/>
      <c r="I145" s="539"/>
      <c r="J145" s="541"/>
      <c r="K145" s="502"/>
    </row>
    <row r="146" spans="1:11" x14ac:dyDescent="0.25">
      <c r="A146" s="492" t="s">
        <v>265</v>
      </c>
      <c r="C146" s="512" t="s">
        <v>121</v>
      </c>
      <c r="D146" s="512" t="s">
        <v>120</v>
      </c>
      <c r="E146" s="492">
        <v>391144.1</v>
      </c>
      <c r="F146" s="496">
        <v>43</v>
      </c>
      <c r="G146" s="502"/>
      <c r="I146" s="539"/>
      <c r="J146" s="541"/>
      <c r="K146" s="502"/>
    </row>
    <row r="147" spans="1:11" x14ac:dyDescent="0.25">
      <c r="A147" s="492" t="s">
        <v>265</v>
      </c>
      <c r="C147" s="512" t="s">
        <v>121</v>
      </c>
      <c r="D147" s="512" t="s">
        <v>123</v>
      </c>
      <c r="E147" s="492">
        <v>388054.2</v>
      </c>
      <c r="F147" s="496">
        <v>70394.100000000006</v>
      </c>
      <c r="G147" s="502"/>
      <c r="I147" s="539" t="s">
        <v>145</v>
      </c>
      <c r="J147" s="541" t="s">
        <v>124</v>
      </c>
      <c r="K147" s="502"/>
    </row>
    <row r="148" spans="1:11" x14ac:dyDescent="0.25">
      <c r="A148" s="492" t="s">
        <v>265</v>
      </c>
      <c r="C148" s="512" t="s">
        <v>121</v>
      </c>
      <c r="D148" s="512" t="s">
        <v>123</v>
      </c>
      <c r="E148" s="492">
        <v>386396.1</v>
      </c>
      <c r="F148" s="496">
        <v>-123135</v>
      </c>
      <c r="G148" s="502">
        <f>SUM(F146:F148)</f>
        <v>-52697.899999999994</v>
      </c>
      <c r="I148" s="539" t="s">
        <v>145</v>
      </c>
      <c r="J148" s="541" t="s">
        <v>124</v>
      </c>
      <c r="K148" s="502"/>
    </row>
    <row r="149" spans="1:11" x14ac:dyDescent="0.25">
      <c r="C149" s="512"/>
      <c r="D149" s="512"/>
      <c r="E149" s="492"/>
      <c r="F149" s="496"/>
      <c r="G149" s="502"/>
      <c r="I149" s="539"/>
      <c r="J149" s="541"/>
      <c r="K149" s="502"/>
    </row>
    <row r="150" spans="1:11" x14ac:dyDescent="0.25">
      <c r="A150" s="492" t="s">
        <v>265</v>
      </c>
      <c r="C150" s="512" t="s">
        <v>146</v>
      </c>
      <c r="D150" s="512" t="s">
        <v>123</v>
      </c>
      <c r="E150" s="492">
        <v>383570.1</v>
      </c>
      <c r="F150" s="496">
        <v>50921.64</v>
      </c>
      <c r="G150" s="502"/>
      <c r="I150" s="539"/>
      <c r="J150" s="541"/>
      <c r="K150" s="502"/>
    </row>
    <row r="151" spans="1:11" x14ac:dyDescent="0.25">
      <c r="A151" s="492" t="s">
        <v>265</v>
      </c>
      <c r="C151" s="512" t="s">
        <v>146</v>
      </c>
      <c r="D151" s="512" t="s">
        <v>123</v>
      </c>
      <c r="E151" s="492">
        <v>384430.1</v>
      </c>
      <c r="F151" s="496">
        <v>54569.22</v>
      </c>
      <c r="G151" s="502"/>
      <c r="I151" s="539"/>
      <c r="J151" s="541"/>
      <c r="K151" s="502"/>
    </row>
    <row r="152" spans="1:11" x14ac:dyDescent="0.25">
      <c r="A152" s="492" t="s">
        <v>265</v>
      </c>
      <c r="C152" s="512" t="s">
        <v>146</v>
      </c>
      <c r="D152" s="512" t="s">
        <v>123</v>
      </c>
      <c r="E152" s="492">
        <v>385249.1</v>
      </c>
      <c r="F152" s="496">
        <v>54467.11</v>
      </c>
      <c r="G152" s="502"/>
      <c r="I152" s="539"/>
      <c r="J152" s="541"/>
      <c r="K152" s="502"/>
    </row>
    <row r="153" spans="1:11" x14ac:dyDescent="0.25">
      <c r="A153" s="492" t="s">
        <v>265</v>
      </c>
      <c r="C153" s="512" t="s">
        <v>146</v>
      </c>
      <c r="D153" s="512" t="s">
        <v>123</v>
      </c>
      <c r="E153" s="492">
        <v>386154.1</v>
      </c>
      <c r="F153" s="496">
        <v>46929.4</v>
      </c>
      <c r="G153" s="502">
        <f>SUM(F150:F153)</f>
        <v>206887.37</v>
      </c>
      <c r="H153" s="502">
        <f>SUM(F14:F153)</f>
        <v>377105.5999999966</v>
      </c>
      <c r="I153" s="539"/>
      <c r="J153" s="541"/>
      <c r="K153" s="502"/>
    </row>
    <row r="154" spans="1:11" x14ac:dyDescent="0.25">
      <c r="F154" s="496"/>
      <c r="G154" s="502"/>
      <c r="I154" s="516"/>
      <c r="J154" s="502"/>
      <c r="K154" s="502"/>
    </row>
    <row r="155" spans="1:11" x14ac:dyDescent="0.25">
      <c r="A155" s="492" t="s">
        <v>274</v>
      </c>
      <c r="B155" t="s">
        <v>118</v>
      </c>
      <c r="C155" s="517" t="s">
        <v>125</v>
      </c>
      <c r="D155" s="518"/>
      <c r="E155" s="502"/>
      <c r="F155" s="502">
        <f>7785.48-7663.13</f>
        <v>122.34999999999945</v>
      </c>
      <c r="H155" s="502"/>
      <c r="I155" s="502"/>
      <c r="J155" s="502"/>
      <c r="K155" s="496"/>
    </row>
    <row r="156" spans="1:11" x14ac:dyDescent="0.25">
      <c r="A156" s="492" t="s">
        <v>274</v>
      </c>
      <c r="B156" s="502" t="s">
        <v>118</v>
      </c>
      <c r="C156" s="518" t="s">
        <v>126</v>
      </c>
      <c r="D156" s="518"/>
      <c r="E156" s="502"/>
      <c r="F156" s="502">
        <v>-3228.6</v>
      </c>
      <c r="G156" s="496">
        <f>SUM(F155:F156)</f>
        <v>-3106.2500000000005</v>
      </c>
      <c r="H156" s="502"/>
      <c r="I156" s="502"/>
      <c r="J156" s="519"/>
      <c r="K156" s="496"/>
    </row>
    <row r="157" spans="1:11" x14ac:dyDescent="0.25">
      <c r="B157" s="502"/>
      <c r="C157" s="518"/>
      <c r="D157" s="518"/>
      <c r="E157" s="496"/>
      <c r="F157" s="496"/>
      <c r="G157" s="496"/>
      <c r="H157" s="496"/>
      <c r="I157" s="502"/>
      <c r="J157" s="519"/>
      <c r="K157" s="496"/>
    </row>
    <row r="158" spans="1:11" x14ac:dyDescent="0.25">
      <c r="B158" s="502"/>
      <c r="C158" s="518" t="s">
        <v>127</v>
      </c>
      <c r="D158" s="518"/>
      <c r="E158" s="496"/>
      <c r="F158" s="496"/>
      <c r="G158" s="496"/>
      <c r="H158" s="496"/>
      <c r="I158" s="502"/>
      <c r="J158" s="542"/>
      <c r="K158" s="496"/>
    </row>
    <row r="159" spans="1:11" ht="25.5" customHeight="1" x14ac:dyDescent="0.25">
      <c r="A159" s="492" t="s">
        <v>274</v>
      </c>
      <c r="B159" s="502" t="s">
        <v>118</v>
      </c>
      <c r="C159" s="518" t="s">
        <v>128</v>
      </c>
      <c r="D159" s="518" t="s">
        <v>128</v>
      </c>
      <c r="E159" s="520" t="s">
        <v>128</v>
      </c>
      <c r="F159" s="521">
        <v>1</v>
      </c>
      <c r="H159" s="496">
        <f>+F159/SUM($F$159:$F$160)*$G$156</f>
        <v>-3106.2500000000005</v>
      </c>
      <c r="I159" s="502"/>
      <c r="J159" s="542"/>
      <c r="K159" s="522"/>
    </row>
    <row r="160" spans="1:11" ht="12.75" customHeight="1" x14ac:dyDescent="0.25">
      <c r="A160" s="492" t="s">
        <v>274</v>
      </c>
      <c r="B160" s="502" t="s">
        <v>118</v>
      </c>
      <c r="C160" s="518"/>
      <c r="D160" s="518"/>
      <c r="E160" s="523"/>
      <c r="F160" s="521"/>
      <c r="H160" s="496">
        <f>+F160/SUM($F$159:$F$160)*$G$156</f>
        <v>0</v>
      </c>
      <c r="I160" s="502"/>
      <c r="J160" s="542"/>
      <c r="K160" s="522"/>
    </row>
    <row r="161" spans="1:11" x14ac:dyDescent="0.25">
      <c r="B161" s="502"/>
      <c r="C161" s="518"/>
      <c r="D161" s="518"/>
      <c r="E161" s="523"/>
      <c r="F161" s="521"/>
      <c r="H161" s="496"/>
      <c r="I161" s="502"/>
      <c r="J161" s="542"/>
      <c r="K161" s="522"/>
    </row>
    <row r="162" spans="1:11" x14ac:dyDescent="0.25">
      <c r="A162" s="492" t="s">
        <v>129</v>
      </c>
      <c r="B162" s="502" t="s">
        <v>118</v>
      </c>
      <c r="C162" s="518" t="s">
        <v>122</v>
      </c>
      <c r="D162" s="518"/>
      <c r="E162" s="523"/>
      <c r="F162" s="521"/>
      <c r="H162" s="496">
        <f>226155.01-226350.269999997</f>
        <v>-195.25999999698251</v>
      </c>
      <c r="I162" s="502"/>
      <c r="J162" s="542"/>
      <c r="K162" s="522"/>
    </row>
    <row r="163" spans="1:11" x14ac:dyDescent="0.25">
      <c r="A163" s="492" t="s">
        <v>129</v>
      </c>
      <c r="B163" s="502" t="s">
        <v>118</v>
      </c>
      <c r="C163" s="518" t="s">
        <v>131</v>
      </c>
      <c r="D163" s="518"/>
      <c r="E163" s="502"/>
      <c r="F163" s="502"/>
      <c r="G163" s="502"/>
      <c r="H163" s="502">
        <v>-82230.28</v>
      </c>
      <c r="I163" s="502"/>
      <c r="J163" s="519"/>
      <c r="K163" s="496"/>
    </row>
    <row r="164" spans="1:11" x14ac:dyDescent="0.25">
      <c r="A164" s="492" t="s">
        <v>129</v>
      </c>
      <c r="B164" s="502" t="s">
        <v>118</v>
      </c>
      <c r="C164" s="518" t="s">
        <v>132</v>
      </c>
      <c r="D164" s="518"/>
      <c r="E164" s="523"/>
      <c r="G164" s="543"/>
      <c r="H164" s="496">
        <v>-93085.759999999995</v>
      </c>
      <c r="J164" s="542"/>
      <c r="K164" s="522"/>
    </row>
    <row r="165" spans="1:11" x14ac:dyDescent="0.25">
      <c r="A165" s="492" t="s">
        <v>129</v>
      </c>
      <c r="B165" s="502" t="s">
        <v>118</v>
      </c>
      <c r="C165" s="518" t="s">
        <v>133</v>
      </c>
      <c r="D165" s="518"/>
      <c r="E165" s="523"/>
      <c r="F165" s="523"/>
      <c r="G165" s="383"/>
      <c r="H165" s="496">
        <v>160127.9</v>
      </c>
      <c r="J165" s="542"/>
      <c r="K165" s="522"/>
    </row>
    <row r="166" spans="1:11" s="533" customFormat="1" x14ac:dyDescent="0.25">
      <c r="A166" s="532" t="s">
        <v>263</v>
      </c>
      <c r="B166" s="533" t="s">
        <v>134</v>
      </c>
      <c r="C166" s="544" t="s">
        <v>147</v>
      </c>
      <c r="D166" s="544"/>
      <c r="E166" s="545"/>
      <c r="F166" s="545"/>
      <c r="H166" s="534">
        <v>-144727.88</v>
      </c>
      <c r="J166" s="546"/>
      <c r="K166" s="537"/>
    </row>
    <row r="167" spans="1:11" s="533" customFormat="1" x14ac:dyDescent="0.25">
      <c r="A167" s="532" t="s">
        <v>263</v>
      </c>
      <c r="B167" s="533" t="s">
        <v>134</v>
      </c>
      <c r="C167" s="547" t="s">
        <v>148</v>
      </c>
      <c r="F167" s="534"/>
      <c r="G167" s="534"/>
      <c r="H167" s="534">
        <v>11213.18</v>
      </c>
      <c r="I167" s="535"/>
      <c r="J167" s="536"/>
      <c r="K167" s="537"/>
    </row>
    <row r="168" spans="1:11" x14ac:dyDescent="0.25">
      <c r="B168" s="502"/>
      <c r="C168" s="505"/>
      <c r="D168" s="505"/>
      <c r="E168" s="502"/>
      <c r="F168" s="502"/>
      <c r="H168" s="501">
        <f>SUM(H12:H167)</f>
        <v>225101.24999999959</v>
      </c>
    </row>
    <row r="169" spans="1:11" x14ac:dyDescent="0.25">
      <c r="B169" s="502"/>
      <c r="C169" s="505"/>
      <c r="D169" s="505"/>
      <c r="E169" s="502"/>
      <c r="F169" s="502"/>
      <c r="H169" s="502"/>
    </row>
    <row r="170" spans="1:11" x14ac:dyDescent="0.25">
      <c r="B170" s="502"/>
      <c r="C170" s="505"/>
      <c r="D170" s="505"/>
      <c r="E170" s="502" t="s">
        <v>864</v>
      </c>
      <c r="F170" s="502"/>
      <c r="H170" s="501">
        <f>ROUND(+H10-H168,2)</f>
        <v>0</v>
      </c>
    </row>
    <row r="171" spans="1:11" x14ac:dyDescent="0.25">
      <c r="B171" s="502"/>
      <c r="C171" s="505"/>
      <c r="D171" s="505"/>
      <c r="E171" s="502"/>
      <c r="F171" s="502"/>
      <c r="G171" s="502"/>
    </row>
    <row r="172" spans="1:11" x14ac:dyDescent="0.25">
      <c r="B172" s="502"/>
      <c r="C172" s="505"/>
      <c r="D172" s="517" t="s">
        <v>136</v>
      </c>
      <c r="E172" s="502"/>
      <c r="F172" s="502"/>
      <c r="G172" s="502"/>
      <c r="H172" s="502">
        <f>+H168-H167</f>
        <v>213888.0699999996</v>
      </c>
    </row>
    <row r="173" spans="1:11" x14ac:dyDescent="0.25">
      <c r="B173" s="502"/>
      <c r="C173" s="505"/>
      <c r="D173" s="517" t="s">
        <v>137</v>
      </c>
      <c r="E173" s="502"/>
      <c r="F173" s="502"/>
      <c r="G173" s="502"/>
      <c r="H173" s="502">
        <f>+H167</f>
        <v>11213.18</v>
      </c>
      <c r="I173" s="502"/>
    </row>
    <row r="174" spans="1:11" x14ac:dyDescent="0.25">
      <c r="B174" s="502"/>
      <c r="C174" s="505"/>
      <c r="D174" s="505"/>
      <c r="E174" s="502"/>
      <c r="F174" s="502"/>
      <c r="G174" s="502"/>
      <c r="H174" s="501">
        <f>+H173+H172</f>
        <v>225101.24999999959</v>
      </c>
    </row>
    <row r="175" spans="1:11" x14ac:dyDescent="0.25">
      <c r="B175" s="538"/>
      <c r="C175" s="505"/>
      <c r="D175" s="505"/>
      <c r="E175" s="502"/>
      <c r="F175" s="502"/>
      <c r="G175" s="502"/>
      <c r="H175" s="502"/>
    </row>
    <row r="176" spans="1:11" x14ac:dyDescent="0.25">
      <c r="B176" s="539" t="s">
        <v>138</v>
      </c>
    </row>
    <row r="177" spans="2:8" x14ac:dyDescent="0.25">
      <c r="B177" s="539" t="s">
        <v>149</v>
      </c>
    </row>
    <row r="178" spans="2:8" ht="12.75" customHeight="1" x14ac:dyDescent="0.25">
      <c r="B178" s="539"/>
      <c r="C178" s="540"/>
      <c r="D178" s="540"/>
      <c r="E178" s="540"/>
      <c r="F178" s="540"/>
      <c r="G178" s="540"/>
      <c r="H178" s="540"/>
    </row>
    <row r="179" spans="2:8" x14ac:dyDescent="0.25">
      <c r="B179" s="539"/>
      <c r="C179" s="505"/>
      <c r="D179" s="505"/>
      <c r="E179" s="502"/>
      <c r="F179" s="502"/>
      <c r="G179" s="502"/>
    </row>
    <row r="180" spans="2:8" ht="14.25" customHeight="1" x14ac:dyDescent="0.25">
      <c r="B180" s="582" t="str">
        <f ca="1">CELL("filename")</f>
        <v>O:\ClntSvc\Ksettle\ACCNTNG\FLASH\2000\0010\[2000010 flash REPORT.xls]Var. Rpt EPMI</v>
      </c>
      <c r="C180" s="582"/>
      <c r="D180" s="582"/>
      <c r="E180" s="582"/>
      <c r="F180" s="582"/>
      <c r="G180" s="582"/>
    </row>
    <row r="181" spans="2:8" x14ac:dyDescent="0.25">
      <c r="B181" s="538"/>
      <c r="C181" s="505"/>
      <c r="D181" s="505"/>
      <c r="E181" s="502"/>
      <c r="F181" s="502"/>
      <c r="G181" s="502"/>
    </row>
    <row r="182" spans="2:8" x14ac:dyDescent="0.25">
      <c r="B182" s="502"/>
      <c r="C182" s="505"/>
      <c r="D182" s="505"/>
      <c r="E182" s="502"/>
      <c r="F182" s="502"/>
      <c r="G182" s="502"/>
    </row>
    <row r="183" spans="2:8" x14ac:dyDescent="0.25">
      <c r="B183" s="502"/>
      <c r="C183" s="505"/>
      <c r="D183" s="505"/>
      <c r="E183" s="502"/>
      <c r="F183" s="502"/>
      <c r="G183" s="502"/>
    </row>
    <row r="184" spans="2:8" x14ac:dyDescent="0.25">
      <c r="B184" s="502"/>
      <c r="C184" s="505"/>
      <c r="D184" s="505"/>
      <c r="E184" s="502"/>
      <c r="F184" s="502"/>
      <c r="G184" s="502"/>
    </row>
    <row r="185" spans="2:8" x14ac:dyDescent="0.25">
      <c r="B185" s="502"/>
      <c r="C185" s="505"/>
      <c r="D185" s="505"/>
      <c r="E185" s="502"/>
      <c r="F185" s="502"/>
      <c r="G185" s="502"/>
    </row>
    <row r="186" spans="2:8" x14ac:dyDescent="0.25">
      <c r="B186" s="502"/>
      <c r="C186" s="505"/>
      <c r="D186" s="505"/>
      <c r="E186" s="502"/>
      <c r="F186" s="502"/>
      <c r="G186" s="502"/>
    </row>
    <row r="187" spans="2:8" x14ac:dyDescent="0.25">
      <c r="B187" s="502"/>
      <c r="C187" s="505"/>
      <c r="D187" s="505"/>
      <c r="E187" s="502"/>
      <c r="F187" s="502"/>
      <c r="G187" s="502"/>
    </row>
    <row r="188" spans="2:8" x14ac:dyDescent="0.25">
      <c r="B188" s="502"/>
      <c r="C188" s="505"/>
      <c r="D188" s="505"/>
      <c r="E188" s="502"/>
      <c r="F188" s="502"/>
      <c r="G188" s="502"/>
    </row>
    <row r="189" spans="2:8" x14ac:dyDescent="0.25">
      <c r="B189" s="502"/>
      <c r="C189" s="505"/>
      <c r="D189" s="505"/>
      <c r="E189" s="502"/>
      <c r="F189" s="502"/>
      <c r="G189" s="502"/>
    </row>
    <row r="190" spans="2:8" x14ac:dyDescent="0.25">
      <c r="B190" s="502"/>
      <c r="C190" s="505"/>
      <c r="D190" s="505"/>
      <c r="E190" s="502"/>
      <c r="F190" s="502"/>
      <c r="G190" s="502"/>
    </row>
    <row r="191" spans="2:8" x14ac:dyDescent="0.25">
      <c r="B191" s="502"/>
      <c r="C191" s="505"/>
      <c r="D191" s="505"/>
      <c r="E191" s="502"/>
      <c r="F191" s="502"/>
      <c r="G191" s="502"/>
    </row>
    <row r="192" spans="2:8" x14ac:dyDescent="0.25">
      <c r="B192" s="502"/>
      <c r="C192" s="505"/>
      <c r="D192" s="505"/>
      <c r="E192" s="502"/>
      <c r="F192" s="502"/>
      <c r="G192" s="502"/>
    </row>
    <row r="193" spans="2:7" x14ac:dyDescent="0.25">
      <c r="B193" s="502"/>
      <c r="C193" s="505"/>
      <c r="D193" s="505"/>
      <c r="E193" s="502"/>
      <c r="F193" s="502"/>
      <c r="G193" s="502"/>
    </row>
    <row r="194" spans="2:7" x14ac:dyDescent="0.25">
      <c r="B194" s="502"/>
      <c r="C194" s="505"/>
      <c r="D194" s="505"/>
      <c r="E194" s="502"/>
      <c r="F194" s="502"/>
      <c r="G194" s="502"/>
    </row>
    <row r="195" spans="2:7" x14ac:dyDescent="0.25">
      <c r="B195" s="502"/>
      <c r="C195" s="505"/>
      <c r="D195" s="505"/>
      <c r="E195" s="502"/>
      <c r="F195" s="502"/>
      <c r="G195" s="502"/>
    </row>
    <row r="196" spans="2:7" x14ac:dyDescent="0.25">
      <c r="B196" s="502"/>
      <c r="C196" s="505"/>
      <c r="D196" s="505"/>
      <c r="E196" s="502"/>
      <c r="F196" s="502"/>
      <c r="G196" s="502"/>
    </row>
    <row r="197" spans="2:7" x14ac:dyDescent="0.25">
      <c r="B197" s="502"/>
      <c r="C197" s="505"/>
      <c r="D197" s="505"/>
      <c r="E197" s="502"/>
      <c r="F197" s="502"/>
      <c r="G197" s="502"/>
    </row>
    <row r="198" spans="2:7" x14ac:dyDescent="0.25">
      <c r="B198" s="502"/>
      <c r="C198" s="505"/>
      <c r="D198" s="505"/>
      <c r="E198" s="502"/>
      <c r="F198" s="502"/>
      <c r="G198" s="502"/>
    </row>
    <row r="199" spans="2:7" x14ac:dyDescent="0.25">
      <c r="B199" s="502"/>
      <c r="C199" s="505"/>
      <c r="D199" s="505"/>
      <c r="E199" s="502"/>
      <c r="F199" s="502"/>
      <c r="G199" s="502"/>
    </row>
    <row r="200" spans="2:7" x14ac:dyDescent="0.25">
      <c r="B200" s="502"/>
      <c r="C200" s="505"/>
      <c r="D200" s="505"/>
      <c r="E200" s="502"/>
      <c r="F200" s="502"/>
      <c r="G200" s="502"/>
    </row>
    <row r="201" spans="2:7" x14ac:dyDescent="0.25">
      <c r="B201" s="502"/>
      <c r="C201" s="505"/>
      <c r="D201" s="505"/>
      <c r="E201" s="502"/>
      <c r="F201" s="502"/>
      <c r="G201" s="502"/>
    </row>
    <row r="202" spans="2:7" x14ac:dyDescent="0.25">
      <c r="B202" s="502"/>
      <c r="C202" s="505"/>
      <c r="D202" s="505"/>
      <c r="E202" s="502"/>
      <c r="F202" s="502"/>
      <c r="G202" s="502"/>
    </row>
    <row r="203" spans="2:7" x14ac:dyDescent="0.25">
      <c r="B203" s="502"/>
      <c r="C203" s="505"/>
      <c r="D203" s="505"/>
      <c r="E203" s="502"/>
      <c r="F203" s="502"/>
      <c r="G203" s="502"/>
    </row>
    <row r="204" spans="2:7" x14ac:dyDescent="0.25">
      <c r="B204" s="502"/>
      <c r="C204" s="505"/>
      <c r="D204" s="505"/>
      <c r="E204" s="502"/>
      <c r="F204" s="502"/>
      <c r="G204" s="502"/>
    </row>
    <row r="205" spans="2:7" x14ac:dyDescent="0.25">
      <c r="B205" s="502"/>
      <c r="C205" s="505"/>
      <c r="D205" s="505"/>
      <c r="E205" s="502"/>
      <c r="F205" s="502"/>
      <c r="G205" s="502"/>
    </row>
    <row r="206" spans="2:7" x14ac:dyDescent="0.25">
      <c r="B206" s="502"/>
      <c r="C206" s="505"/>
      <c r="D206" s="505"/>
      <c r="E206" s="502"/>
      <c r="F206" s="502"/>
      <c r="G206" s="502"/>
    </row>
    <row r="207" spans="2:7" x14ac:dyDescent="0.25">
      <c r="B207" s="502"/>
      <c r="C207" s="505"/>
      <c r="D207" s="505"/>
      <c r="E207" s="502"/>
      <c r="F207" s="502"/>
      <c r="G207" s="502"/>
    </row>
    <row r="208" spans="2:7" x14ac:dyDescent="0.25">
      <c r="B208" s="502"/>
      <c r="C208" s="505"/>
      <c r="D208" s="505"/>
      <c r="E208" s="502"/>
      <c r="F208" s="502"/>
      <c r="G208" s="502"/>
    </row>
    <row r="209" spans="2:7" x14ac:dyDescent="0.25">
      <c r="B209" s="502"/>
      <c r="C209" s="505"/>
      <c r="D209" s="505"/>
      <c r="E209" s="502"/>
      <c r="F209" s="502"/>
      <c r="G209" s="502"/>
    </row>
    <row r="210" spans="2:7" x14ac:dyDescent="0.25">
      <c r="B210" s="502"/>
      <c r="C210" s="505"/>
      <c r="D210" s="505"/>
      <c r="E210" s="502"/>
      <c r="F210" s="502"/>
      <c r="G210" s="502"/>
    </row>
    <row r="211" spans="2:7" x14ac:dyDescent="0.25">
      <c r="B211" s="502"/>
      <c r="C211" s="505"/>
      <c r="D211" s="505"/>
      <c r="E211" s="502"/>
      <c r="F211" s="502"/>
      <c r="G211" s="502"/>
    </row>
    <row r="212" spans="2:7" x14ac:dyDescent="0.25">
      <c r="B212" s="502"/>
      <c r="C212" s="505"/>
      <c r="D212" s="505"/>
      <c r="E212" s="502"/>
      <c r="F212" s="502"/>
      <c r="G212" s="502"/>
    </row>
    <row r="213" spans="2:7" x14ac:dyDescent="0.25">
      <c r="B213" s="502"/>
      <c r="C213" s="505"/>
      <c r="D213" s="505"/>
      <c r="E213" s="502"/>
      <c r="F213" s="502"/>
      <c r="G213" s="502"/>
    </row>
    <row r="214" spans="2:7" x14ac:dyDescent="0.25">
      <c r="B214" s="502"/>
      <c r="C214" s="505"/>
      <c r="D214" s="505"/>
      <c r="E214" s="502"/>
      <c r="F214" s="502"/>
      <c r="G214" s="502"/>
    </row>
    <row r="215" spans="2:7" x14ac:dyDescent="0.25">
      <c r="B215" s="502"/>
      <c r="C215" s="505"/>
      <c r="D215" s="505"/>
      <c r="E215" s="502"/>
      <c r="F215" s="502"/>
      <c r="G215" s="502"/>
    </row>
    <row r="216" spans="2:7" x14ac:dyDescent="0.25">
      <c r="B216" s="502"/>
      <c r="C216" s="505"/>
      <c r="D216" s="505"/>
      <c r="E216" s="502"/>
      <c r="F216" s="502"/>
      <c r="G216" s="502"/>
    </row>
    <row r="217" spans="2:7" x14ac:dyDescent="0.25">
      <c r="B217" s="502"/>
      <c r="C217" s="505"/>
      <c r="D217" s="505"/>
      <c r="E217" s="502"/>
      <c r="F217" s="502"/>
      <c r="G217" s="502"/>
    </row>
    <row r="218" spans="2:7" x14ac:dyDescent="0.25">
      <c r="B218" s="502"/>
      <c r="C218" s="505"/>
      <c r="D218" s="505"/>
      <c r="E218" s="502"/>
      <c r="F218" s="502"/>
      <c r="G218" s="502"/>
    </row>
    <row r="219" spans="2:7" x14ac:dyDescent="0.25">
      <c r="B219" s="502"/>
      <c r="C219" s="505"/>
      <c r="D219" s="505"/>
      <c r="E219" s="502"/>
      <c r="F219" s="502"/>
      <c r="G219" s="502"/>
    </row>
    <row r="220" spans="2:7" x14ac:dyDescent="0.25">
      <c r="B220" s="502"/>
      <c r="C220" s="505"/>
      <c r="D220" s="505"/>
      <c r="E220" s="502"/>
      <c r="F220" s="502"/>
      <c r="G220" s="502"/>
    </row>
    <row r="221" spans="2:7" x14ac:dyDescent="0.25">
      <c r="B221" s="502"/>
      <c r="C221" s="505"/>
      <c r="D221" s="505"/>
      <c r="E221" s="502"/>
      <c r="F221" s="502"/>
      <c r="G221" s="502"/>
    </row>
    <row r="222" spans="2:7" x14ac:dyDescent="0.25">
      <c r="B222" s="502"/>
      <c r="C222" s="505"/>
      <c r="D222" s="505"/>
      <c r="E222" s="502"/>
      <c r="F222" s="502"/>
      <c r="G222" s="502"/>
    </row>
    <row r="223" spans="2:7" x14ac:dyDescent="0.25">
      <c r="B223" s="502"/>
      <c r="C223" s="505"/>
      <c r="D223" s="505"/>
      <c r="E223" s="502"/>
      <c r="F223" s="502"/>
      <c r="G223" s="502"/>
    </row>
    <row r="224" spans="2:7" x14ac:dyDescent="0.25">
      <c r="B224" s="502"/>
      <c r="C224" s="505"/>
      <c r="D224" s="505"/>
      <c r="E224" s="502"/>
      <c r="F224" s="502"/>
      <c r="G224" s="502"/>
    </row>
    <row r="225" spans="2:7" x14ac:dyDescent="0.25">
      <c r="B225" s="502"/>
      <c r="C225" s="505"/>
      <c r="D225" s="505"/>
      <c r="E225" s="502"/>
      <c r="F225" s="502"/>
      <c r="G225" s="502"/>
    </row>
    <row r="226" spans="2:7" x14ac:dyDescent="0.25">
      <c r="B226" s="502"/>
      <c r="C226" s="505"/>
      <c r="D226" s="505"/>
      <c r="E226" s="502"/>
      <c r="F226" s="502"/>
      <c r="G226" s="502"/>
    </row>
    <row r="227" spans="2:7" x14ac:dyDescent="0.25">
      <c r="B227" s="502"/>
      <c r="C227" s="505"/>
      <c r="D227" s="505"/>
      <c r="E227" s="502"/>
      <c r="F227" s="502"/>
      <c r="G227" s="502"/>
    </row>
    <row r="228" spans="2:7" x14ac:dyDescent="0.25">
      <c r="B228" s="502"/>
      <c r="C228" s="505"/>
      <c r="D228" s="505"/>
      <c r="E228" s="502"/>
      <c r="F228" s="502"/>
      <c r="G228" s="502"/>
    </row>
    <row r="229" spans="2:7" x14ac:dyDescent="0.25">
      <c r="B229" s="502"/>
      <c r="C229" s="505"/>
      <c r="D229" s="505"/>
      <c r="E229" s="502"/>
      <c r="F229" s="502"/>
      <c r="G229" s="502"/>
    </row>
    <row r="230" spans="2:7" x14ac:dyDescent="0.25">
      <c r="B230" s="502"/>
      <c r="C230" s="505"/>
      <c r="D230" s="505"/>
      <c r="E230" s="502"/>
      <c r="F230" s="502"/>
      <c r="G230" s="502"/>
    </row>
    <row r="231" spans="2:7" x14ac:dyDescent="0.25">
      <c r="B231" s="502"/>
      <c r="C231" s="505"/>
      <c r="D231" s="505"/>
      <c r="E231" s="502"/>
      <c r="F231" s="502"/>
      <c r="G231" s="502"/>
    </row>
    <row r="232" spans="2:7" x14ac:dyDescent="0.25">
      <c r="B232" s="502"/>
      <c r="C232" s="505"/>
      <c r="D232" s="505"/>
      <c r="E232" s="502"/>
      <c r="F232" s="502"/>
      <c r="G232" s="502"/>
    </row>
    <row r="233" spans="2:7" x14ac:dyDescent="0.25">
      <c r="B233" s="502"/>
      <c r="C233" s="505"/>
      <c r="D233" s="505"/>
      <c r="E233" s="502"/>
      <c r="F233" s="502"/>
      <c r="G233" s="502"/>
    </row>
    <row r="234" spans="2:7" x14ac:dyDescent="0.25">
      <c r="B234" s="502"/>
      <c r="C234" s="505"/>
      <c r="D234" s="505"/>
      <c r="E234" s="502"/>
      <c r="F234" s="502"/>
      <c r="G234" s="502"/>
    </row>
    <row r="235" spans="2:7" x14ac:dyDescent="0.25">
      <c r="B235" s="502"/>
      <c r="C235" s="505"/>
      <c r="D235" s="505"/>
      <c r="E235" s="502"/>
      <c r="F235" s="502"/>
      <c r="G235" s="502"/>
    </row>
    <row r="236" spans="2:7" x14ac:dyDescent="0.25">
      <c r="B236" s="502"/>
      <c r="C236" s="505"/>
      <c r="D236" s="505"/>
      <c r="E236" s="502"/>
      <c r="F236" s="502"/>
      <c r="G236" s="502"/>
    </row>
    <row r="237" spans="2:7" x14ac:dyDescent="0.25">
      <c r="B237" s="502"/>
      <c r="C237" s="505"/>
      <c r="D237" s="505"/>
      <c r="E237" s="502"/>
      <c r="F237" s="502"/>
      <c r="G237" s="502"/>
    </row>
    <row r="238" spans="2:7" x14ac:dyDescent="0.25">
      <c r="B238" s="502"/>
      <c r="C238" s="505"/>
      <c r="D238" s="505"/>
      <c r="E238" s="502"/>
      <c r="F238" s="502"/>
      <c r="G238" s="502"/>
    </row>
    <row r="239" spans="2:7" x14ac:dyDescent="0.25">
      <c r="B239" s="502"/>
      <c r="C239" s="505"/>
      <c r="D239" s="505"/>
      <c r="E239" s="502"/>
      <c r="F239" s="502"/>
      <c r="G239" s="502"/>
    </row>
    <row r="240" spans="2:7" x14ac:dyDescent="0.25">
      <c r="B240" s="502"/>
      <c r="C240" s="505"/>
      <c r="D240" s="505"/>
      <c r="E240" s="502"/>
      <c r="F240" s="502"/>
      <c r="G240" s="502"/>
    </row>
    <row r="241" spans="2:7" x14ac:dyDescent="0.25">
      <c r="B241" s="502"/>
      <c r="C241" s="505"/>
      <c r="D241" s="505"/>
      <c r="E241" s="502"/>
      <c r="F241" s="502"/>
      <c r="G241" s="502"/>
    </row>
    <row r="242" spans="2:7" x14ac:dyDescent="0.25">
      <c r="B242" s="502"/>
      <c r="C242" s="505"/>
      <c r="D242" s="505"/>
      <c r="E242" s="502"/>
      <c r="F242" s="502"/>
      <c r="G242" s="502"/>
    </row>
    <row r="243" spans="2:7" x14ac:dyDescent="0.25">
      <c r="B243" s="502"/>
      <c r="C243" s="505"/>
      <c r="D243" s="505"/>
      <c r="E243" s="502"/>
      <c r="F243" s="502"/>
      <c r="G243" s="502"/>
    </row>
    <row r="244" spans="2:7" x14ac:dyDescent="0.25">
      <c r="B244" s="502"/>
      <c r="C244" s="505"/>
      <c r="D244" s="505"/>
      <c r="E244" s="502"/>
      <c r="F244" s="502"/>
      <c r="G244" s="502"/>
    </row>
    <row r="245" spans="2:7" x14ac:dyDescent="0.25">
      <c r="B245" s="502"/>
      <c r="C245" s="505"/>
      <c r="D245" s="505"/>
      <c r="E245" s="502"/>
      <c r="F245" s="502"/>
      <c r="G245" s="502"/>
    </row>
    <row r="246" spans="2:7" x14ac:dyDescent="0.25">
      <c r="B246" s="502"/>
      <c r="C246" s="505"/>
      <c r="D246" s="505"/>
      <c r="E246" s="502"/>
      <c r="F246" s="502"/>
      <c r="G246" s="502"/>
    </row>
    <row r="247" spans="2:7" x14ac:dyDescent="0.25">
      <c r="B247" s="502"/>
      <c r="C247" s="505"/>
      <c r="D247" s="505"/>
      <c r="E247" s="502"/>
      <c r="F247" s="502"/>
      <c r="G247" s="502"/>
    </row>
    <row r="248" spans="2:7" x14ac:dyDescent="0.25">
      <c r="B248" s="502"/>
      <c r="C248" s="505"/>
      <c r="D248" s="505"/>
      <c r="E248" s="502"/>
      <c r="F248" s="502"/>
      <c r="G248" s="502"/>
    </row>
    <row r="249" spans="2:7" x14ac:dyDescent="0.25">
      <c r="B249" s="502"/>
      <c r="C249" s="505"/>
      <c r="D249" s="505"/>
      <c r="E249" s="502"/>
      <c r="F249" s="502"/>
      <c r="G249" s="502"/>
    </row>
    <row r="250" spans="2:7" x14ac:dyDescent="0.25">
      <c r="B250" s="502"/>
      <c r="C250" s="505"/>
      <c r="D250" s="505"/>
      <c r="E250" s="502"/>
      <c r="F250" s="502"/>
      <c r="G250" s="502"/>
    </row>
    <row r="251" spans="2:7" x14ac:dyDescent="0.25">
      <c r="B251" s="502"/>
      <c r="C251" s="505"/>
      <c r="D251" s="505"/>
      <c r="E251" s="502"/>
      <c r="F251" s="502"/>
      <c r="G251" s="502"/>
    </row>
    <row r="252" spans="2:7" x14ac:dyDescent="0.25">
      <c r="B252" s="502"/>
      <c r="C252" s="505"/>
      <c r="D252" s="505"/>
      <c r="E252" s="502"/>
      <c r="F252" s="502"/>
      <c r="G252" s="502"/>
    </row>
    <row r="253" spans="2:7" x14ac:dyDescent="0.25">
      <c r="B253" s="502"/>
      <c r="C253" s="505"/>
      <c r="D253" s="505"/>
      <c r="E253" s="502"/>
      <c r="F253" s="502"/>
      <c r="G253" s="502"/>
    </row>
    <row r="254" spans="2:7" x14ac:dyDescent="0.25">
      <c r="B254" s="502"/>
      <c r="C254" s="505"/>
      <c r="D254" s="505"/>
      <c r="E254" s="502"/>
      <c r="F254" s="502"/>
      <c r="G254" s="502"/>
    </row>
    <row r="255" spans="2:7" x14ac:dyDescent="0.25">
      <c r="B255" s="502"/>
      <c r="C255" s="505"/>
      <c r="D255" s="505"/>
      <c r="E255" s="502"/>
      <c r="F255" s="502"/>
      <c r="G255" s="502"/>
    </row>
    <row r="256" spans="2:7" x14ac:dyDescent="0.25">
      <c r="B256" s="502"/>
      <c r="C256" s="505"/>
      <c r="D256" s="505"/>
      <c r="E256" s="502"/>
      <c r="F256" s="502"/>
      <c r="G256" s="502"/>
    </row>
    <row r="257" spans="2:7" x14ac:dyDescent="0.25">
      <c r="B257" s="502"/>
      <c r="C257" s="505"/>
      <c r="D257" s="505"/>
      <c r="E257" s="502"/>
      <c r="F257" s="502"/>
      <c r="G257" s="502"/>
    </row>
    <row r="258" spans="2:7" x14ac:dyDescent="0.25">
      <c r="B258" s="502"/>
      <c r="C258" s="505"/>
      <c r="D258" s="505"/>
      <c r="E258" s="502"/>
      <c r="F258" s="502"/>
      <c r="G258" s="502"/>
    </row>
    <row r="259" spans="2:7" x14ac:dyDescent="0.25">
      <c r="B259" s="502"/>
      <c r="C259" s="505"/>
      <c r="D259" s="505"/>
      <c r="E259" s="502"/>
      <c r="F259" s="502"/>
      <c r="G259" s="502"/>
    </row>
    <row r="260" spans="2:7" x14ac:dyDescent="0.25">
      <c r="B260" s="502"/>
      <c r="C260" s="505"/>
      <c r="D260" s="505"/>
      <c r="E260" s="502"/>
      <c r="F260" s="502"/>
      <c r="G260" s="502"/>
    </row>
    <row r="261" spans="2:7" x14ac:dyDescent="0.25">
      <c r="B261" s="502"/>
      <c r="C261" s="505"/>
      <c r="D261" s="505"/>
      <c r="E261" s="502"/>
      <c r="F261" s="502"/>
      <c r="G261" s="502"/>
    </row>
    <row r="262" spans="2:7" x14ac:dyDescent="0.25">
      <c r="B262" s="502"/>
      <c r="C262" s="505"/>
      <c r="D262" s="505"/>
      <c r="E262" s="502"/>
      <c r="F262" s="502"/>
      <c r="G262" s="502"/>
    </row>
    <row r="263" spans="2:7" x14ac:dyDescent="0.25">
      <c r="B263" s="502"/>
      <c r="C263" s="505"/>
      <c r="D263" s="505"/>
      <c r="E263" s="502"/>
      <c r="F263" s="502"/>
      <c r="G263" s="502"/>
    </row>
    <row r="264" spans="2:7" x14ac:dyDescent="0.25">
      <c r="B264" s="502"/>
      <c r="C264" s="505"/>
      <c r="D264" s="505"/>
      <c r="E264" s="502"/>
      <c r="F264" s="502"/>
      <c r="G264" s="502"/>
    </row>
    <row r="265" spans="2:7" x14ac:dyDescent="0.25">
      <c r="B265" s="502"/>
      <c r="C265" s="505"/>
      <c r="D265" s="505"/>
      <c r="E265" s="502"/>
      <c r="F265" s="502"/>
      <c r="G265" s="502"/>
    </row>
    <row r="266" spans="2:7" x14ac:dyDescent="0.25">
      <c r="B266" s="502"/>
      <c r="C266" s="505"/>
      <c r="D266" s="505"/>
      <c r="E266" s="502"/>
      <c r="F266" s="502"/>
      <c r="G266" s="502"/>
    </row>
    <row r="267" spans="2:7" x14ac:dyDescent="0.25">
      <c r="B267" s="502"/>
      <c r="C267" s="505"/>
      <c r="D267" s="505"/>
      <c r="E267" s="502"/>
      <c r="F267" s="502"/>
      <c r="G267" s="502"/>
    </row>
    <row r="268" spans="2:7" x14ac:dyDescent="0.25">
      <c r="B268" s="502"/>
      <c r="C268" s="505"/>
      <c r="D268" s="505"/>
      <c r="E268" s="502"/>
      <c r="F268" s="502"/>
      <c r="G268" s="502"/>
    </row>
    <row r="269" spans="2:7" x14ac:dyDescent="0.25">
      <c r="B269" s="502"/>
      <c r="C269" s="505"/>
      <c r="D269" s="505"/>
      <c r="E269" s="502"/>
      <c r="F269" s="502"/>
      <c r="G269" s="502"/>
    </row>
    <row r="270" spans="2:7" x14ac:dyDescent="0.25">
      <c r="B270" s="502"/>
      <c r="C270" s="505"/>
      <c r="D270" s="505"/>
      <c r="E270" s="502"/>
      <c r="F270" s="502"/>
      <c r="G270" s="502"/>
    </row>
    <row r="271" spans="2:7" x14ac:dyDescent="0.25">
      <c r="B271" s="502"/>
      <c r="C271" s="505"/>
      <c r="D271" s="505"/>
      <c r="E271" s="502"/>
      <c r="F271" s="502"/>
      <c r="G271" s="502"/>
    </row>
    <row r="272" spans="2:7" x14ac:dyDescent="0.25">
      <c r="B272" s="502"/>
      <c r="C272" s="505"/>
      <c r="D272" s="505"/>
      <c r="E272" s="502"/>
      <c r="F272" s="502"/>
      <c r="G272" s="502"/>
    </row>
    <row r="273" spans="2:7" x14ac:dyDescent="0.25">
      <c r="B273" s="502"/>
      <c r="C273" s="505"/>
      <c r="D273" s="505"/>
      <c r="E273" s="502"/>
      <c r="F273" s="502"/>
      <c r="G273" s="502"/>
    </row>
    <row r="274" spans="2:7" x14ac:dyDescent="0.25">
      <c r="B274" s="502"/>
      <c r="C274" s="505"/>
      <c r="D274" s="505"/>
      <c r="E274" s="502"/>
      <c r="F274" s="502"/>
      <c r="G274" s="502"/>
    </row>
    <row r="275" spans="2:7" x14ac:dyDescent="0.25">
      <c r="B275" s="502"/>
      <c r="C275" s="505"/>
      <c r="D275" s="505"/>
      <c r="E275" s="502"/>
      <c r="F275" s="502"/>
      <c r="G275" s="502"/>
    </row>
    <row r="276" spans="2:7" x14ac:dyDescent="0.25">
      <c r="B276" s="502"/>
      <c r="C276" s="505"/>
      <c r="D276" s="505"/>
      <c r="E276" s="502"/>
      <c r="F276" s="502"/>
      <c r="G276" s="502"/>
    </row>
    <row r="277" spans="2:7" x14ac:dyDescent="0.25">
      <c r="B277" s="502"/>
      <c r="C277" s="505"/>
      <c r="D277" s="505"/>
      <c r="E277" s="502"/>
      <c r="F277" s="502"/>
      <c r="G277" s="502"/>
    </row>
    <row r="278" spans="2:7" x14ac:dyDescent="0.25">
      <c r="B278" s="502"/>
      <c r="C278" s="505"/>
      <c r="D278" s="505"/>
      <c r="E278" s="502"/>
      <c r="F278" s="502"/>
      <c r="G278" s="502"/>
    </row>
    <row r="279" spans="2:7" x14ac:dyDescent="0.25">
      <c r="B279" s="502"/>
      <c r="C279" s="505"/>
      <c r="D279" s="505"/>
      <c r="E279" s="502"/>
      <c r="F279" s="502"/>
      <c r="G279" s="502"/>
    </row>
    <row r="280" spans="2:7" x14ac:dyDescent="0.25">
      <c r="B280" s="502"/>
      <c r="C280" s="505"/>
      <c r="D280" s="505"/>
      <c r="E280" s="502"/>
      <c r="F280" s="502"/>
      <c r="G280" s="502"/>
    </row>
    <row r="281" spans="2:7" x14ac:dyDescent="0.25">
      <c r="B281" s="502"/>
      <c r="C281" s="505"/>
      <c r="D281" s="505"/>
      <c r="E281" s="502"/>
      <c r="F281" s="502"/>
      <c r="G281" s="502"/>
    </row>
    <row r="282" spans="2:7" x14ac:dyDescent="0.25">
      <c r="B282" s="502"/>
      <c r="C282" s="505"/>
      <c r="D282" s="505"/>
      <c r="E282" s="502"/>
      <c r="F282" s="502"/>
      <c r="G282" s="502"/>
    </row>
    <row r="283" spans="2:7" x14ac:dyDescent="0.25">
      <c r="B283" s="502"/>
      <c r="C283" s="505"/>
      <c r="D283" s="505"/>
      <c r="E283" s="502"/>
      <c r="F283" s="502"/>
      <c r="G283" s="502"/>
    </row>
    <row r="284" spans="2:7" x14ac:dyDescent="0.25">
      <c r="B284" s="502"/>
      <c r="C284" s="505"/>
      <c r="D284" s="505"/>
      <c r="E284" s="502"/>
      <c r="F284" s="502"/>
      <c r="G284" s="502"/>
    </row>
    <row r="285" spans="2:7" x14ac:dyDescent="0.25">
      <c r="B285" s="502"/>
      <c r="C285" s="505"/>
      <c r="D285" s="505"/>
      <c r="E285" s="502"/>
      <c r="F285" s="502"/>
      <c r="G285" s="502"/>
    </row>
    <row r="286" spans="2:7" x14ac:dyDescent="0.25">
      <c r="B286" s="502"/>
      <c r="C286" s="505"/>
      <c r="D286" s="505"/>
      <c r="E286" s="502"/>
      <c r="F286" s="502"/>
      <c r="G286" s="502"/>
    </row>
    <row r="287" spans="2:7" x14ac:dyDescent="0.25">
      <c r="B287" s="502"/>
      <c r="C287" s="505"/>
      <c r="D287" s="505"/>
      <c r="E287" s="502"/>
      <c r="F287" s="502"/>
      <c r="G287" s="502"/>
    </row>
    <row r="288" spans="2:7" x14ac:dyDescent="0.25">
      <c r="B288" s="502"/>
      <c r="C288" s="505"/>
      <c r="D288" s="505"/>
      <c r="E288" s="502"/>
      <c r="F288" s="502"/>
      <c r="G288" s="502"/>
    </row>
    <row r="289" spans="2:7" x14ac:dyDescent="0.25">
      <c r="B289" s="502"/>
      <c r="C289" s="505"/>
      <c r="D289" s="505"/>
      <c r="E289" s="502"/>
      <c r="F289" s="502"/>
      <c r="G289" s="502"/>
    </row>
    <row r="290" spans="2:7" x14ac:dyDescent="0.25">
      <c r="B290" s="502"/>
      <c r="C290" s="505"/>
      <c r="D290" s="505"/>
      <c r="E290" s="502"/>
      <c r="F290" s="502"/>
      <c r="G290" s="502"/>
    </row>
    <row r="291" spans="2:7" x14ac:dyDescent="0.25">
      <c r="B291" s="502"/>
      <c r="C291" s="505"/>
      <c r="D291" s="505"/>
      <c r="E291" s="502"/>
      <c r="F291" s="502"/>
      <c r="G291" s="502"/>
    </row>
    <row r="292" spans="2:7" x14ac:dyDescent="0.25">
      <c r="B292" s="502"/>
      <c r="C292" s="505"/>
      <c r="D292" s="505"/>
      <c r="E292" s="502"/>
      <c r="F292" s="502"/>
      <c r="G292" s="502"/>
    </row>
    <row r="293" spans="2:7" x14ac:dyDescent="0.25">
      <c r="B293" s="502"/>
      <c r="C293" s="505"/>
      <c r="D293" s="505"/>
      <c r="E293" s="502"/>
      <c r="F293" s="502"/>
      <c r="G293" s="502"/>
    </row>
    <row r="294" spans="2:7" x14ac:dyDescent="0.25">
      <c r="B294" s="502"/>
      <c r="C294" s="505"/>
      <c r="D294" s="505"/>
      <c r="E294" s="502"/>
      <c r="F294" s="502"/>
      <c r="G294" s="502"/>
    </row>
    <row r="295" spans="2:7" x14ac:dyDescent="0.25">
      <c r="B295" s="502"/>
      <c r="C295" s="505"/>
      <c r="D295" s="505"/>
      <c r="E295" s="502"/>
      <c r="F295" s="502"/>
      <c r="G295" s="502"/>
    </row>
    <row r="296" spans="2:7" x14ac:dyDescent="0.25">
      <c r="B296" s="502"/>
      <c r="C296" s="505"/>
      <c r="D296" s="505"/>
      <c r="E296" s="502"/>
      <c r="F296" s="502"/>
      <c r="G296" s="502"/>
    </row>
    <row r="297" spans="2:7" x14ac:dyDescent="0.25">
      <c r="B297" s="502"/>
      <c r="C297" s="505"/>
      <c r="D297" s="505"/>
      <c r="E297" s="502"/>
      <c r="F297" s="502"/>
      <c r="G297" s="502"/>
    </row>
    <row r="298" spans="2:7" x14ac:dyDescent="0.25">
      <c r="B298" s="502"/>
      <c r="C298" s="505"/>
      <c r="D298" s="505"/>
      <c r="E298" s="502"/>
      <c r="F298" s="502"/>
      <c r="G298" s="502"/>
    </row>
    <row r="299" spans="2:7" x14ac:dyDescent="0.25">
      <c r="B299" s="502"/>
      <c r="C299" s="505"/>
      <c r="D299" s="505"/>
      <c r="E299" s="502"/>
      <c r="F299" s="502"/>
      <c r="G299" s="502"/>
    </row>
    <row r="300" spans="2:7" x14ac:dyDescent="0.25">
      <c r="B300" s="502"/>
      <c r="C300" s="505"/>
      <c r="D300" s="505"/>
      <c r="E300" s="502"/>
      <c r="F300" s="502"/>
      <c r="G300" s="502"/>
    </row>
    <row r="301" spans="2:7" x14ac:dyDescent="0.25">
      <c r="B301" s="502"/>
      <c r="C301" s="505"/>
      <c r="D301" s="505"/>
      <c r="E301" s="502"/>
      <c r="F301" s="502"/>
      <c r="G301" s="502"/>
    </row>
    <row r="302" spans="2:7" x14ac:dyDescent="0.25">
      <c r="B302" s="502"/>
      <c r="C302" s="505"/>
      <c r="D302" s="505"/>
      <c r="E302" s="502"/>
      <c r="F302" s="502"/>
      <c r="G302" s="502"/>
    </row>
    <row r="303" spans="2:7" x14ac:dyDescent="0.25">
      <c r="B303" s="502"/>
      <c r="C303" s="505"/>
      <c r="D303" s="505"/>
      <c r="E303" s="502"/>
      <c r="F303" s="502"/>
      <c r="G303" s="502"/>
    </row>
    <row r="304" spans="2:7" x14ac:dyDescent="0.25">
      <c r="B304" s="502"/>
      <c r="C304" s="505"/>
      <c r="D304" s="505"/>
      <c r="E304" s="502"/>
      <c r="F304" s="502"/>
      <c r="G304" s="502"/>
    </row>
    <row r="305" spans="2:7" x14ac:dyDescent="0.25">
      <c r="B305" s="502"/>
      <c r="C305" s="505"/>
      <c r="D305" s="505"/>
      <c r="E305" s="502"/>
      <c r="F305" s="502"/>
      <c r="G305" s="502"/>
    </row>
    <row r="306" spans="2:7" x14ac:dyDescent="0.25">
      <c r="B306" s="502"/>
      <c r="C306" s="505"/>
      <c r="D306" s="505"/>
      <c r="E306" s="502"/>
      <c r="F306" s="502"/>
      <c r="G306" s="502"/>
    </row>
    <row r="307" spans="2:7" x14ac:dyDescent="0.25">
      <c r="B307" s="502"/>
      <c r="C307" s="505"/>
      <c r="D307" s="505"/>
      <c r="E307" s="502"/>
      <c r="F307" s="502"/>
      <c r="G307" s="502"/>
    </row>
    <row r="308" spans="2:7" x14ac:dyDescent="0.25">
      <c r="B308" s="502"/>
      <c r="C308" s="505"/>
      <c r="D308" s="505"/>
      <c r="E308" s="502"/>
      <c r="F308" s="502"/>
      <c r="G308" s="502"/>
    </row>
    <row r="309" spans="2:7" x14ac:dyDescent="0.25">
      <c r="B309" s="502"/>
      <c r="C309" s="505"/>
      <c r="D309" s="505"/>
      <c r="E309" s="502"/>
      <c r="F309" s="502"/>
      <c r="G309" s="502"/>
    </row>
    <row r="310" spans="2:7" x14ac:dyDescent="0.25">
      <c r="B310" s="502"/>
      <c r="C310" s="505"/>
      <c r="D310" s="505"/>
      <c r="E310" s="502"/>
      <c r="F310" s="502"/>
      <c r="G310" s="502"/>
    </row>
    <row r="311" spans="2:7" x14ac:dyDescent="0.25">
      <c r="B311" s="502"/>
      <c r="C311" s="505"/>
      <c r="D311" s="505"/>
      <c r="E311" s="502"/>
      <c r="F311" s="502"/>
      <c r="G311" s="502"/>
    </row>
    <row r="312" spans="2:7" x14ac:dyDescent="0.25">
      <c r="B312" s="502"/>
      <c r="C312" s="505"/>
      <c r="D312" s="505"/>
      <c r="E312" s="502"/>
      <c r="F312" s="502"/>
      <c r="G312" s="502"/>
    </row>
    <row r="313" spans="2:7" x14ac:dyDescent="0.25">
      <c r="B313" s="502"/>
      <c r="C313" s="505"/>
      <c r="D313" s="505"/>
      <c r="E313" s="502"/>
      <c r="F313" s="502"/>
      <c r="G313" s="502"/>
    </row>
    <row r="314" spans="2:7" x14ac:dyDescent="0.25">
      <c r="B314" s="502"/>
      <c r="C314" s="505"/>
      <c r="D314" s="505"/>
      <c r="E314" s="502"/>
      <c r="F314" s="502"/>
      <c r="G314" s="502"/>
    </row>
    <row r="315" spans="2:7" x14ac:dyDescent="0.25">
      <c r="B315" s="502"/>
      <c r="C315" s="505"/>
      <c r="D315" s="505"/>
      <c r="E315" s="502"/>
      <c r="F315" s="502"/>
      <c r="G315" s="502"/>
    </row>
    <row r="316" spans="2:7" x14ac:dyDescent="0.25">
      <c r="B316" s="502"/>
      <c r="C316" s="505"/>
      <c r="D316" s="505"/>
      <c r="E316" s="502"/>
      <c r="F316" s="502"/>
      <c r="G316" s="502"/>
    </row>
    <row r="317" spans="2:7" x14ac:dyDescent="0.25">
      <c r="B317" s="502"/>
      <c r="C317" s="505"/>
      <c r="D317" s="505"/>
      <c r="E317" s="502"/>
      <c r="F317" s="502"/>
      <c r="G317" s="502"/>
    </row>
    <row r="318" spans="2:7" x14ac:dyDescent="0.25">
      <c r="B318" s="502"/>
      <c r="C318" s="505"/>
      <c r="D318" s="505"/>
      <c r="E318" s="502"/>
      <c r="F318" s="502"/>
      <c r="G318" s="502"/>
    </row>
    <row r="319" spans="2:7" x14ac:dyDescent="0.25">
      <c r="B319" s="502"/>
      <c r="C319" s="505"/>
      <c r="D319" s="505"/>
      <c r="E319" s="502"/>
      <c r="F319" s="502"/>
      <c r="G319" s="502"/>
    </row>
    <row r="320" spans="2:7" x14ac:dyDescent="0.25">
      <c r="B320" s="502"/>
      <c r="C320" s="505"/>
      <c r="D320" s="505"/>
      <c r="E320" s="502"/>
      <c r="F320" s="502"/>
      <c r="G320" s="502"/>
    </row>
    <row r="321" spans="2:7" x14ac:dyDescent="0.25">
      <c r="B321" s="502"/>
      <c r="C321" s="505"/>
      <c r="D321" s="505"/>
      <c r="E321" s="502"/>
      <c r="F321" s="502"/>
      <c r="G321" s="502"/>
    </row>
    <row r="322" spans="2:7" x14ac:dyDescent="0.25">
      <c r="B322" s="502"/>
      <c r="C322" s="505"/>
      <c r="D322" s="505"/>
      <c r="E322" s="502"/>
      <c r="F322" s="502"/>
      <c r="G322" s="502"/>
    </row>
    <row r="323" spans="2:7" x14ac:dyDescent="0.25">
      <c r="B323" s="502"/>
      <c r="C323" s="505"/>
      <c r="D323" s="505"/>
      <c r="E323" s="502"/>
      <c r="F323" s="502"/>
      <c r="G323" s="502"/>
    </row>
    <row r="324" spans="2:7" x14ac:dyDescent="0.25">
      <c r="B324" s="502"/>
      <c r="C324" s="505"/>
      <c r="D324" s="505"/>
      <c r="E324" s="502"/>
      <c r="F324" s="502"/>
      <c r="G324" s="502"/>
    </row>
    <row r="325" spans="2:7" x14ac:dyDescent="0.25">
      <c r="B325" s="502"/>
      <c r="C325" s="505"/>
      <c r="D325" s="505"/>
      <c r="E325" s="502"/>
      <c r="F325" s="502"/>
      <c r="G325" s="502"/>
    </row>
    <row r="326" spans="2:7" x14ac:dyDescent="0.25">
      <c r="B326" s="502"/>
      <c r="C326" s="505"/>
      <c r="D326" s="505"/>
      <c r="E326" s="502"/>
      <c r="F326" s="502"/>
      <c r="G326" s="502"/>
    </row>
    <row r="327" spans="2:7" x14ac:dyDescent="0.25">
      <c r="B327" s="502"/>
      <c r="C327" s="505"/>
      <c r="D327" s="505"/>
      <c r="E327" s="502"/>
      <c r="F327" s="502"/>
      <c r="G327" s="502"/>
    </row>
    <row r="328" spans="2:7" x14ac:dyDescent="0.25">
      <c r="B328" s="502"/>
      <c r="C328" s="505"/>
      <c r="D328" s="505"/>
      <c r="E328" s="502"/>
      <c r="F328" s="502"/>
      <c r="G328" s="502"/>
    </row>
    <row r="329" spans="2:7" x14ac:dyDescent="0.25">
      <c r="B329" s="502"/>
      <c r="C329" s="505"/>
      <c r="D329" s="505"/>
      <c r="E329" s="502"/>
      <c r="F329" s="502"/>
      <c r="G329" s="502"/>
    </row>
    <row r="330" spans="2:7" x14ac:dyDescent="0.25">
      <c r="B330" s="502"/>
      <c r="C330" s="505"/>
      <c r="D330" s="505"/>
      <c r="E330" s="502"/>
      <c r="F330" s="502"/>
      <c r="G330" s="502"/>
    </row>
    <row r="331" spans="2:7" x14ac:dyDescent="0.25">
      <c r="B331" s="502"/>
      <c r="C331" s="505"/>
      <c r="D331" s="505"/>
      <c r="E331" s="502"/>
      <c r="F331" s="502"/>
      <c r="G331" s="502"/>
    </row>
    <row r="332" spans="2:7" x14ac:dyDescent="0.25">
      <c r="B332" s="502"/>
      <c r="C332" s="505"/>
      <c r="D332" s="505"/>
      <c r="E332" s="502"/>
      <c r="F332" s="502"/>
      <c r="G332" s="502"/>
    </row>
    <row r="333" spans="2:7" x14ac:dyDescent="0.25">
      <c r="B333" s="502"/>
      <c r="C333" s="505"/>
      <c r="D333" s="505"/>
      <c r="E333" s="502"/>
      <c r="F333" s="502"/>
      <c r="G333" s="502"/>
    </row>
    <row r="334" spans="2:7" x14ac:dyDescent="0.25">
      <c r="B334" s="502"/>
      <c r="C334" s="505"/>
      <c r="D334" s="505"/>
      <c r="E334" s="502"/>
      <c r="F334" s="502"/>
      <c r="G334" s="502"/>
    </row>
    <row r="335" spans="2:7" x14ac:dyDescent="0.25">
      <c r="B335" s="502"/>
      <c r="C335" s="505"/>
      <c r="D335" s="505"/>
      <c r="E335" s="502"/>
      <c r="F335" s="502"/>
      <c r="G335" s="502"/>
    </row>
    <row r="336" spans="2:7" x14ac:dyDescent="0.25">
      <c r="B336" s="502"/>
      <c r="C336" s="505"/>
      <c r="D336" s="505"/>
      <c r="E336" s="502"/>
      <c r="F336" s="502"/>
      <c r="G336" s="502"/>
    </row>
    <row r="337" spans="2:2" x14ac:dyDescent="0.25">
      <c r="B337" s="502"/>
    </row>
    <row r="338" spans="2:2" x14ac:dyDescent="0.25">
      <c r="B338" s="502"/>
    </row>
  </sheetData>
  <mergeCells count="1">
    <mergeCell ref="B180:G180"/>
  </mergeCells>
  <pageMargins left="0.75" right="0.75" top="1" bottom="1" header="0.5" footer="0.5"/>
  <pageSetup scale="28" orientation="portrait"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K220"/>
  <sheetViews>
    <sheetView topLeftCell="A30" workbookViewId="0">
      <selection activeCell="H45" sqref="H45"/>
    </sheetView>
  </sheetViews>
  <sheetFormatPr defaultRowHeight="13.2" x14ac:dyDescent="0.25"/>
  <cols>
    <col min="1" max="1" width="5.88671875" style="492" customWidth="1"/>
    <col min="2" max="2" width="6.44140625" customWidth="1"/>
    <col min="3" max="3" width="26.109375" customWidth="1"/>
    <col min="4" max="4" width="9" customWidth="1"/>
    <col min="5" max="5" width="10.33203125" customWidth="1"/>
    <col min="6" max="6" width="13.88671875" customWidth="1"/>
    <col min="7" max="7" width="20.44140625" customWidth="1"/>
    <col min="8" max="8" width="14.6640625" customWidth="1"/>
    <col min="9" max="9" width="2.6640625" customWidth="1"/>
    <col min="10" max="10" width="16.33203125" customWidth="1"/>
    <col min="11" max="11" width="10.33203125" bestFit="1" customWidth="1"/>
  </cols>
  <sheetData>
    <row r="2" spans="1:10" ht="15.6" x14ac:dyDescent="0.3">
      <c r="B2" s="504" t="s">
        <v>106</v>
      </c>
      <c r="C2" s="505"/>
      <c r="D2" s="505"/>
      <c r="E2" s="502"/>
      <c r="F2" s="502"/>
      <c r="G2" s="506"/>
    </row>
    <row r="3" spans="1:10" ht="15.6" x14ac:dyDescent="0.3">
      <c r="B3" s="504" t="s">
        <v>107</v>
      </c>
      <c r="C3" s="505"/>
      <c r="D3" s="505"/>
      <c r="E3" s="502"/>
      <c r="F3" s="502"/>
      <c r="G3" s="506"/>
    </row>
    <row r="4" spans="1:10" ht="15.6" x14ac:dyDescent="0.3">
      <c r="B4" s="507" t="s">
        <v>108</v>
      </c>
      <c r="C4" s="505"/>
      <c r="D4" s="505"/>
      <c r="E4" s="502"/>
      <c r="F4" s="502"/>
      <c r="G4" s="506"/>
    </row>
    <row r="5" spans="1:10" x14ac:dyDescent="0.25">
      <c r="B5" s="502"/>
      <c r="C5" s="505"/>
      <c r="D5" s="505"/>
      <c r="E5" s="502"/>
      <c r="F5" s="502"/>
      <c r="G5" s="506"/>
      <c r="H5" s="502"/>
    </row>
    <row r="6" spans="1:10" x14ac:dyDescent="0.25">
      <c r="B6" s="502" t="s">
        <v>109</v>
      </c>
      <c r="C6" s="505"/>
      <c r="D6" s="505"/>
      <c r="E6" s="502"/>
      <c r="F6" s="502"/>
      <c r="H6" s="506">
        <v>-5534177.3700000057</v>
      </c>
    </row>
    <row r="7" spans="1:10" x14ac:dyDescent="0.25">
      <c r="B7" s="502"/>
      <c r="C7" s="505"/>
      <c r="D7" s="505"/>
      <c r="E7" s="502"/>
      <c r="F7" s="502"/>
      <c r="H7" s="506"/>
    </row>
    <row r="8" spans="1:10" x14ac:dyDescent="0.25">
      <c r="B8" s="502" t="s">
        <v>110</v>
      </c>
      <c r="C8" s="505"/>
      <c r="D8" s="505"/>
      <c r="E8" s="502"/>
      <c r="F8" s="502"/>
      <c r="H8" s="502">
        <v>-5766704.8899999997</v>
      </c>
      <c r="J8" s="502"/>
    </row>
    <row r="9" spans="1:10" x14ac:dyDescent="0.25">
      <c r="B9" s="502"/>
      <c r="C9" s="505"/>
      <c r="D9" s="505"/>
      <c r="E9" s="502"/>
      <c r="F9" s="502"/>
      <c r="H9" s="501"/>
    </row>
    <row r="10" spans="1:10" x14ac:dyDescent="0.25">
      <c r="B10" s="502" t="s">
        <v>111</v>
      </c>
      <c r="C10" s="505"/>
      <c r="D10" s="505"/>
      <c r="E10" s="502"/>
      <c r="F10" s="502"/>
      <c r="H10" s="506">
        <f>+H8-H6</f>
        <v>-232527.51999999397</v>
      </c>
    </row>
    <row r="11" spans="1:10" x14ac:dyDescent="0.25">
      <c r="B11" s="502"/>
      <c r="C11" s="505"/>
      <c r="D11" s="505"/>
      <c r="E11" s="505"/>
      <c r="F11" s="502"/>
      <c r="H11" s="508"/>
    </row>
    <row r="12" spans="1:10" x14ac:dyDescent="0.25">
      <c r="E12" s="492"/>
      <c r="F12" s="502"/>
      <c r="G12" s="502"/>
      <c r="I12" s="509"/>
      <c r="J12" s="509"/>
    </row>
    <row r="13" spans="1:10" ht="26.4" x14ac:dyDescent="0.25">
      <c r="A13" s="510" t="s">
        <v>112</v>
      </c>
      <c r="B13" s="510" t="s">
        <v>113</v>
      </c>
      <c r="C13" s="510" t="s">
        <v>114</v>
      </c>
      <c r="D13" s="510" t="s">
        <v>115</v>
      </c>
      <c r="E13" s="510" t="s">
        <v>116</v>
      </c>
      <c r="F13" s="511" t="s">
        <v>117</v>
      </c>
      <c r="G13" s="502"/>
      <c r="I13" s="509"/>
      <c r="J13" s="509"/>
    </row>
    <row r="14" spans="1:10" x14ac:dyDescent="0.25">
      <c r="A14" s="510"/>
      <c r="B14" s="510"/>
      <c r="C14" s="510"/>
      <c r="D14" s="510"/>
      <c r="E14" s="510"/>
      <c r="F14" s="511"/>
      <c r="G14" s="502"/>
      <c r="I14" s="509"/>
      <c r="J14" s="509"/>
    </row>
    <row r="15" spans="1:10" x14ac:dyDescent="0.25">
      <c r="A15" s="510" t="s">
        <v>265</v>
      </c>
      <c r="B15" s="510" t="s">
        <v>118</v>
      </c>
      <c r="C15" s="512" t="s">
        <v>119</v>
      </c>
      <c r="D15" s="512" t="s">
        <v>120</v>
      </c>
      <c r="E15" s="510">
        <v>410900.1</v>
      </c>
      <c r="F15" s="513">
        <v>-8.5100000000002183</v>
      </c>
      <c r="G15" s="502"/>
      <c r="I15" s="509"/>
      <c r="J15" s="514"/>
    </row>
    <row r="16" spans="1:10" x14ac:dyDescent="0.25">
      <c r="A16" s="510" t="s">
        <v>265</v>
      </c>
      <c r="B16" s="510" t="s">
        <v>118</v>
      </c>
      <c r="C16" s="512" t="s">
        <v>119</v>
      </c>
      <c r="D16" s="512" t="s">
        <v>120</v>
      </c>
      <c r="E16" s="510">
        <v>410901.1</v>
      </c>
      <c r="F16" s="513">
        <v>-19.329999999999927</v>
      </c>
      <c r="G16" s="502"/>
      <c r="I16" s="509"/>
      <c r="J16" s="514"/>
    </row>
    <row r="17" spans="1:11" x14ac:dyDescent="0.25">
      <c r="A17" s="510" t="s">
        <v>265</v>
      </c>
      <c r="B17" s="510" t="s">
        <v>118</v>
      </c>
      <c r="C17" s="512" t="s">
        <v>119</v>
      </c>
      <c r="D17" s="512" t="s">
        <v>120</v>
      </c>
      <c r="E17" s="510">
        <v>410903.1</v>
      </c>
      <c r="F17" s="513">
        <v>10</v>
      </c>
      <c r="G17" s="502"/>
      <c r="I17" s="509"/>
      <c r="J17" s="514"/>
    </row>
    <row r="18" spans="1:11" x14ac:dyDescent="0.25">
      <c r="A18" s="510" t="s">
        <v>265</v>
      </c>
      <c r="B18" s="510" t="s">
        <v>118</v>
      </c>
      <c r="C18" s="512" t="s">
        <v>119</v>
      </c>
      <c r="D18" s="512" t="s">
        <v>120</v>
      </c>
      <c r="E18" s="510">
        <v>410904.1</v>
      </c>
      <c r="F18" s="513">
        <v>-135.5</v>
      </c>
      <c r="G18" s="502"/>
      <c r="I18" s="509"/>
      <c r="J18" s="514"/>
    </row>
    <row r="19" spans="1:11" x14ac:dyDescent="0.25">
      <c r="A19" s="510" t="s">
        <v>265</v>
      </c>
      <c r="B19" s="510" t="s">
        <v>118</v>
      </c>
      <c r="C19" s="512" t="s">
        <v>119</v>
      </c>
      <c r="D19" s="512" t="s">
        <v>120</v>
      </c>
      <c r="E19" s="510">
        <v>410905.1</v>
      </c>
      <c r="F19" s="513">
        <v>516</v>
      </c>
      <c r="G19" s="502"/>
      <c r="I19" s="509"/>
      <c r="J19" s="514"/>
      <c r="K19" s="502"/>
    </row>
    <row r="20" spans="1:11" x14ac:dyDescent="0.25">
      <c r="A20" s="510" t="s">
        <v>265</v>
      </c>
      <c r="B20" s="510" t="s">
        <v>118</v>
      </c>
      <c r="C20" s="512" t="s">
        <v>119</v>
      </c>
      <c r="D20" s="512" t="s">
        <v>120</v>
      </c>
      <c r="E20" s="510">
        <v>410906.1</v>
      </c>
      <c r="F20" s="513">
        <v>280.5</v>
      </c>
      <c r="G20" s="502"/>
      <c r="I20" s="509"/>
      <c r="J20" s="514"/>
    </row>
    <row r="21" spans="1:11" x14ac:dyDescent="0.25">
      <c r="A21" s="510" t="s">
        <v>265</v>
      </c>
      <c r="B21" s="510" t="s">
        <v>118</v>
      </c>
      <c r="C21" s="512" t="s">
        <v>119</v>
      </c>
      <c r="D21" s="512" t="s">
        <v>120</v>
      </c>
      <c r="E21" s="510">
        <v>410920.1</v>
      </c>
      <c r="F21" s="513">
        <v>-5.1700000000000728</v>
      </c>
      <c r="G21" s="502"/>
      <c r="I21" s="509"/>
      <c r="J21" s="514"/>
    </row>
    <row r="22" spans="1:11" x14ac:dyDescent="0.25">
      <c r="A22" s="510" t="s">
        <v>265</v>
      </c>
      <c r="B22" s="510" t="s">
        <v>118</v>
      </c>
      <c r="C22" s="512" t="s">
        <v>119</v>
      </c>
      <c r="D22" s="512" t="s">
        <v>120</v>
      </c>
      <c r="E22" s="510">
        <v>410921.1</v>
      </c>
      <c r="F22" s="513">
        <v>-5.1700000000000728</v>
      </c>
      <c r="G22" s="502"/>
      <c r="I22" s="509"/>
      <c r="J22" s="514"/>
    </row>
    <row r="23" spans="1:11" x14ac:dyDescent="0.25">
      <c r="A23" s="510" t="s">
        <v>265</v>
      </c>
      <c r="B23" s="510" t="s">
        <v>118</v>
      </c>
      <c r="C23" s="512" t="s">
        <v>119</v>
      </c>
      <c r="D23" s="512" t="s">
        <v>120</v>
      </c>
      <c r="E23" s="510">
        <v>410922.1</v>
      </c>
      <c r="F23" s="513">
        <v>-19.329999999999927</v>
      </c>
      <c r="G23" s="502">
        <f>SUM(F15:F23)</f>
        <v>613.48999999999978</v>
      </c>
      <c r="I23" s="509"/>
      <c r="J23" s="514"/>
    </row>
    <row r="24" spans="1:11" x14ac:dyDescent="0.25">
      <c r="A24" s="510"/>
      <c r="B24" s="510"/>
      <c r="C24" s="512"/>
      <c r="D24" s="512"/>
      <c r="E24" s="510"/>
      <c r="F24" s="513"/>
      <c r="G24" s="502"/>
      <c r="I24" s="509"/>
      <c r="J24" s="514"/>
    </row>
    <row r="25" spans="1:11" x14ac:dyDescent="0.25">
      <c r="A25" s="510" t="s">
        <v>263</v>
      </c>
      <c r="B25" s="510" t="s">
        <v>118</v>
      </c>
      <c r="C25" s="512" t="s">
        <v>121</v>
      </c>
      <c r="D25" s="512" t="s">
        <v>120</v>
      </c>
      <c r="E25" s="510">
        <v>399012.2</v>
      </c>
      <c r="F25" s="513">
        <v>-11312.2</v>
      </c>
      <c r="G25" s="502"/>
      <c r="I25" s="509"/>
      <c r="J25" s="514" t="s">
        <v>122</v>
      </c>
    </row>
    <row r="26" spans="1:11" x14ac:dyDescent="0.25">
      <c r="A26" s="510" t="s">
        <v>263</v>
      </c>
      <c r="B26" s="510" t="s">
        <v>118</v>
      </c>
      <c r="C26" s="512" t="s">
        <v>121</v>
      </c>
      <c r="D26" s="512" t="s">
        <v>120</v>
      </c>
      <c r="E26" s="510">
        <v>399048.2</v>
      </c>
      <c r="F26" s="513">
        <v>-497.80000000001746</v>
      </c>
      <c r="G26" s="502"/>
      <c r="I26" s="509"/>
      <c r="J26" s="514" t="s">
        <v>122</v>
      </c>
    </row>
    <row r="27" spans="1:11" x14ac:dyDescent="0.25">
      <c r="A27" s="510" t="s">
        <v>263</v>
      </c>
      <c r="B27" s="510" t="s">
        <v>118</v>
      </c>
      <c r="C27" s="512" t="s">
        <v>121</v>
      </c>
      <c r="D27" s="512" t="s">
        <v>120</v>
      </c>
      <c r="E27" s="510">
        <v>399049.2</v>
      </c>
      <c r="F27" s="513">
        <v>-147950.39999999999</v>
      </c>
      <c r="G27" s="502"/>
      <c r="I27" s="509"/>
      <c r="J27" s="514" t="s">
        <v>122</v>
      </c>
    </row>
    <row r="28" spans="1:11" x14ac:dyDescent="0.25">
      <c r="A28" s="510" t="s">
        <v>263</v>
      </c>
      <c r="B28" s="510" t="s">
        <v>118</v>
      </c>
      <c r="C28" s="512" t="s">
        <v>121</v>
      </c>
      <c r="D28" s="512" t="s">
        <v>123</v>
      </c>
      <c r="E28" s="510">
        <v>426359.2</v>
      </c>
      <c r="F28" s="513">
        <f>--7606.99</f>
        <v>7606.99</v>
      </c>
      <c r="G28" s="502"/>
      <c r="I28" s="509"/>
      <c r="J28" s="514" t="s">
        <v>124</v>
      </c>
    </row>
    <row r="29" spans="1:11" x14ac:dyDescent="0.25">
      <c r="A29" s="510" t="s">
        <v>263</v>
      </c>
      <c r="B29" s="510" t="s">
        <v>118</v>
      </c>
      <c r="C29" s="512" t="s">
        <v>121</v>
      </c>
      <c r="D29" s="512" t="s">
        <v>123</v>
      </c>
      <c r="E29" s="510">
        <v>426366.2</v>
      </c>
      <c r="F29" s="513">
        <v>480.23</v>
      </c>
      <c r="G29" s="502"/>
      <c r="I29" s="509"/>
      <c r="J29" s="514" t="s">
        <v>124</v>
      </c>
    </row>
    <row r="30" spans="1:11" x14ac:dyDescent="0.25">
      <c r="A30" s="510" t="s">
        <v>265</v>
      </c>
      <c r="B30" s="510" t="s">
        <v>118</v>
      </c>
      <c r="C30" s="512" t="s">
        <v>121</v>
      </c>
      <c r="D30" s="512" t="s">
        <v>120</v>
      </c>
      <c r="E30" s="510">
        <v>398931.3</v>
      </c>
      <c r="F30" s="513">
        <v>-1.0000000009313226E-2</v>
      </c>
      <c r="G30" s="502"/>
      <c r="I30" s="509"/>
      <c r="J30" s="514" t="s">
        <v>122</v>
      </c>
    </row>
    <row r="31" spans="1:11" x14ac:dyDescent="0.25">
      <c r="A31" s="510" t="s">
        <v>265</v>
      </c>
      <c r="B31" s="510" t="s">
        <v>118</v>
      </c>
      <c r="C31" s="512" t="s">
        <v>121</v>
      </c>
      <c r="D31" s="512" t="s">
        <v>120</v>
      </c>
      <c r="E31" s="510">
        <v>399001.3</v>
      </c>
      <c r="F31" s="513">
        <v>-1.9999999989522621E-2</v>
      </c>
      <c r="G31" s="502"/>
      <c r="I31" s="509"/>
      <c r="J31" s="514" t="s">
        <v>122</v>
      </c>
    </row>
    <row r="32" spans="1:11" x14ac:dyDescent="0.25">
      <c r="A32" s="510" t="s">
        <v>265</v>
      </c>
      <c r="B32" s="510" t="s">
        <v>118</v>
      </c>
      <c r="C32" s="512" t="s">
        <v>121</v>
      </c>
      <c r="D32" s="512" t="s">
        <v>120</v>
      </c>
      <c r="E32" s="510">
        <v>399012.3</v>
      </c>
      <c r="F32" s="513">
        <v>11169.6</v>
      </c>
      <c r="G32" s="502"/>
      <c r="I32" s="509"/>
      <c r="J32" s="514" t="s">
        <v>122</v>
      </c>
    </row>
    <row r="33" spans="1:11" x14ac:dyDescent="0.25">
      <c r="A33" s="510" t="s">
        <v>265</v>
      </c>
      <c r="B33" s="510" t="s">
        <v>118</v>
      </c>
      <c r="C33" s="512" t="s">
        <v>121</v>
      </c>
      <c r="D33" s="512" t="s">
        <v>120</v>
      </c>
      <c r="E33" s="510">
        <v>399049.3</v>
      </c>
      <c r="F33" s="513">
        <v>141219</v>
      </c>
      <c r="G33" s="502"/>
      <c r="I33" s="509"/>
      <c r="J33" s="514" t="s">
        <v>122</v>
      </c>
    </row>
    <row r="34" spans="1:11" x14ac:dyDescent="0.25">
      <c r="A34" s="510" t="s">
        <v>265</v>
      </c>
      <c r="B34" s="510" t="s">
        <v>118</v>
      </c>
      <c r="C34" s="512" t="s">
        <v>121</v>
      </c>
      <c r="D34" s="512" t="s">
        <v>120</v>
      </c>
      <c r="E34" s="510">
        <v>399058.3</v>
      </c>
      <c r="F34" s="513">
        <v>-1572.12</v>
      </c>
      <c r="G34" s="502"/>
      <c r="I34" s="509"/>
      <c r="J34" s="514" t="s">
        <v>122</v>
      </c>
    </row>
    <row r="35" spans="1:11" x14ac:dyDescent="0.25">
      <c r="A35" s="510" t="s">
        <v>265</v>
      </c>
      <c r="B35" s="510" t="s">
        <v>118</v>
      </c>
      <c r="C35" s="512" t="s">
        <v>121</v>
      </c>
      <c r="D35" s="512" t="s">
        <v>123</v>
      </c>
      <c r="E35" s="510">
        <v>426359.1</v>
      </c>
      <c r="F35" s="513">
        <v>-3165</v>
      </c>
      <c r="G35" s="502"/>
      <c r="J35" s="514" t="s">
        <v>124</v>
      </c>
    </row>
    <row r="36" spans="1:11" x14ac:dyDescent="0.25">
      <c r="A36" s="510" t="s">
        <v>265</v>
      </c>
      <c r="B36" s="510" t="s">
        <v>118</v>
      </c>
      <c r="C36" s="512" t="s">
        <v>121</v>
      </c>
      <c r="D36" s="512" t="s">
        <v>123</v>
      </c>
      <c r="E36" s="510">
        <v>426366.1</v>
      </c>
      <c r="F36" s="513">
        <v>-276.60000000000002</v>
      </c>
      <c r="G36" s="502">
        <f>SUM(F25:F36)</f>
        <v>-4298.3300000000154</v>
      </c>
      <c r="H36" s="515">
        <f>SUM(F15:F36)</f>
        <v>-3684.8399999999951</v>
      </c>
      <c r="I36" s="509"/>
      <c r="J36" s="514" t="s">
        <v>124</v>
      </c>
    </row>
    <row r="37" spans="1:11" x14ac:dyDescent="0.25">
      <c r="F37" s="496"/>
      <c r="G37" s="502"/>
      <c r="I37" s="516"/>
      <c r="J37" s="502"/>
      <c r="K37" s="502"/>
    </row>
    <row r="38" spans="1:11" x14ac:dyDescent="0.25">
      <c r="A38" s="492" t="s">
        <v>274</v>
      </c>
      <c r="B38" t="s">
        <v>118</v>
      </c>
      <c r="C38" s="517" t="s">
        <v>125</v>
      </c>
      <c r="D38" s="518"/>
      <c r="E38" s="502"/>
      <c r="F38" s="502">
        <f>10475.2-8166.06</f>
        <v>2309.1400000000003</v>
      </c>
      <c r="H38" s="502"/>
      <c r="I38" s="502"/>
      <c r="J38" s="502"/>
      <c r="K38" s="496"/>
    </row>
    <row r="39" spans="1:11" x14ac:dyDescent="0.25">
      <c r="A39" s="492" t="s">
        <v>274</v>
      </c>
      <c r="B39" s="502" t="s">
        <v>118</v>
      </c>
      <c r="C39" s="518" t="s">
        <v>126</v>
      </c>
      <c r="D39" s="518"/>
      <c r="E39" s="502"/>
      <c r="F39" s="502">
        <v>-7903.13</v>
      </c>
      <c r="G39" s="496">
        <f>SUM(F38:F39)</f>
        <v>-5593.99</v>
      </c>
      <c r="H39" s="502"/>
      <c r="I39" s="502"/>
      <c r="J39" s="519"/>
      <c r="K39" s="496"/>
    </row>
    <row r="40" spans="1:11" x14ac:dyDescent="0.25">
      <c r="B40" s="502"/>
      <c r="C40" s="518"/>
      <c r="D40" s="518"/>
      <c r="E40" s="496"/>
      <c r="F40" s="496"/>
      <c r="G40" s="496"/>
      <c r="H40" s="496"/>
      <c r="I40" s="502"/>
      <c r="J40" s="519"/>
      <c r="K40" s="496"/>
    </row>
    <row r="41" spans="1:11" x14ac:dyDescent="0.25">
      <c r="B41" s="502"/>
      <c r="C41" s="518" t="s">
        <v>127</v>
      </c>
      <c r="D41" s="518"/>
      <c r="E41" s="496"/>
      <c r="F41" s="496"/>
      <c r="G41" s="496"/>
      <c r="H41" s="496"/>
      <c r="I41" s="502"/>
      <c r="J41" s="519"/>
      <c r="K41" s="496"/>
    </row>
    <row r="42" spans="1:11" ht="25.5" customHeight="1" x14ac:dyDescent="0.25">
      <c r="A42" s="492" t="s">
        <v>274</v>
      </c>
      <c r="B42" s="502" t="s">
        <v>118</v>
      </c>
      <c r="C42" s="518" t="s">
        <v>128</v>
      </c>
      <c r="D42" s="518" t="s">
        <v>128</v>
      </c>
      <c r="E42" s="520" t="s">
        <v>128</v>
      </c>
      <c r="F42" s="521">
        <v>1</v>
      </c>
      <c r="H42" s="496">
        <f>+F42/SUM($F$42:$F$43)*$G$39</f>
        <v>-5593.99</v>
      </c>
      <c r="I42" s="502"/>
      <c r="J42" s="519"/>
      <c r="K42" s="522"/>
    </row>
    <row r="43" spans="1:11" ht="12.75" hidden="1" customHeight="1" x14ac:dyDescent="0.25">
      <c r="A43" s="492" t="s">
        <v>274</v>
      </c>
      <c r="B43" s="502" t="s">
        <v>118</v>
      </c>
      <c r="C43" s="518"/>
      <c r="D43" s="518"/>
      <c r="E43" s="523"/>
      <c r="F43" s="521"/>
      <c r="H43" s="496">
        <f>+F43/SUM($F$42:$F$43)*$G$39</f>
        <v>0</v>
      </c>
      <c r="I43" s="502"/>
      <c r="J43" s="519"/>
      <c r="K43" s="522"/>
    </row>
    <row r="44" spans="1:11" x14ac:dyDescent="0.25">
      <c r="B44" s="502"/>
      <c r="C44" s="518"/>
      <c r="D44" s="518"/>
      <c r="E44" s="523"/>
      <c r="F44" s="521"/>
      <c r="H44" s="496"/>
      <c r="I44" s="502"/>
      <c r="J44" s="519"/>
      <c r="K44" s="522"/>
    </row>
    <row r="45" spans="1:11" x14ac:dyDescent="0.25">
      <c r="A45" s="492" t="s">
        <v>129</v>
      </c>
      <c r="B45" s="502" t="s">
        <v>118</v>
      </c>
      <c r="C45" s="518" t="s">
        <v>130</v>
      </c>
      <c r="D45" s="518"/>
      <c r="E45" s="523"/>
      <c r="F45" s="521"/>
      <c r="H45" s="496">
        <f>382067.92-487580.25</f>
        <v>-105512.33000000002</v>
      </c>
      <c r="I45" s="502"/>
      <c r="J45" s="519"/>
      <c r="K45" s="522"/>
    </row>
    <row r="46" spans="1:11" s="528" customFormat="1" x14ac:dyDescent="0.25">
      <c r="A46" s="524" t="s">
        <v>129</v>
      </c>
      <c r="B46" s="525" t="s">
        <v>118</v>
      </c>
      <c r="C46" s="526" t="s">
        <v>131</v>
      </c>
      <c r="D46" s="526"/>
      <c r="E46" s="525"/>
      <c r="F46" s="525"/>
      <c r="G46" s="525"/>
      <c r="H46" s="525">
        <f>-'[3]PJM Invoice Totals'!$R$5-'[3]PJM Invoice Totals'!$R$6-'[3]PJM Invoice Totals'!$R$7</f>
        <v>-102364.64</v>
      </c>
      <c r="I46" s="525"/>
      <c r="J46" s="527"/>
      <c r="K46" s="525"/>
    </row>
    <row r="47" spans="1:11" s="528" customFormat="1" x14ac:dyDescent="0.25">
      <c r="A47" s="524" t="s">
        <v>129</v>
      </c>
      <c r="B47" s="525" t="s">
        <v>118</v>
      </c>
      <c r="C47" s="526" t="s">
        <v>132</v>
      </c>
      <c r="D47" s="526"/>
      <c r="E47" s="529"/>
      <c r="G47" s="530"/>
      <c r="H47" s="525">
        <f>-'[3]PJM Invoice Totals'!$R$10-'[3]PJM Invoice Totals'!$R$11</f>
        <v>-267132.5</v>
      </c>
      <c r="J47" s="527"/>
      <c r="K47" s="531"/>
    </row>
    <row r="48" spans="1:11" s="528" customFormat="1" x14ac:dyDescent="0.25">
      <c r="A48" s="524" t="s">
        <v>129</v>
      </c>
      <c r="B48" s="525" t="s">
        <v>118</v>
      </c>
      <c r="C48" s="526" t="s">
        <v>133</v>
      </c>
      <c r="D48" s="526"/>
      <c r="E48" s="529"/>
      <c r="F48" s="529"/>
      <c r="H48" s="525">
        <v>107032.9</v>
      </c>
      <c r="J48" s="527"/>
      <c r="K48" s="531"/>
    </row>
    <row r="49" spans="1:11" s="533" customFormat="1" x14ac:dyDescent="0.25">
      <c r="A49" s="532" t="s">
        <v>263</v>
      </c>
      <c r="B49" s="533" t="s">
        <v>134</v>
      </c>
      <c r="C49" s="533" t="s">
        <v>135</v>
      </c>
      <c r="F49" s="534"/>
      <c r="G49" s="534"/>
      <c r="H49" s="534">
        <v>144727.88</v>
      </c>
      <c r="I49" s="535"/>
      <c r="J49" s="536"/>
      <c r="K49" s="537"/>
    </row>
    <row r="50" spans="1:11" x14ac:dyDescent="0.25">
      <c r="B50" s="502"/>
      <c r="C50" s="505"/>
      <c r="D50" s="505"/>
      <c r="E50" s="502"/>
      <c r="F50" s="502"/>
      <c r="H50" s="501">
        <f>SUM(H12:H49)</f>
        <v>-232527.52000000002</v>
      </c>
    </row>
    <row r="51" spans="1:11" x14ac:dyDescent="0.25">
      <c r="B51" s="502"/>
      <c r="C51" s="505"/>
      <c r="D51" s="505"/>
      <c r="E51" s="502"/>
      <c r="F51" s="502"/>
      <c r="H51" s="502"/>
    </row>
    <row r="52" spans="1:11" x14ac:dyDescent="0.25">
      <c r="B52" s="502"/>
      <c r="C52" s="505"/>
      <c r="D52" s="505"/>
      <c r="E52" s="502" t="s">
        <v>864</v>
      </c>
      <c r="F52" s="502"/>
      <c r="H52" s="501">
        <f>ROUND(+H10-H50,2)</f>
        <v>0</v>
      </c>
    </row>
    <row r="53" spans="1:11" x14ac:dyDescent="0.25">
      <c r="B53" s="502"/>
      <c r="C53" s="505"/>
      <c r="D53" s="505"/>
      <c r="E53" s="502"/>
      <c r="F53" s="502"/>
      <c r="G53" s="502"/>
    </row>
    <row r="54" spans="1:11" x14ac:dyDescent="0.25">
      <c r="B54" s="502"/>
      <c r="C54" s="505"/>
      <c r="D54" s="517" t="s">
        <v>136</v>
      </c>
      <c r="E54" s="502"/>
      <c r="F54" s="502"/>
      <c r="G54" s="502"/>
      <c r="H54" s="502">
        <f>+H50-H49</f>
        <v>-377255.4</v>
      </c>
    </row>
    <row r="55" spans="1:11" x14ac:dyDescent="0.25">
      <c r="B55" s="502"/>
      <c r="C55" s="505"/>
      <c r="D55" s="517" t="s">
        <v>137</v>
      </c>
      <c r="E55" s="502"/>
      <c r="F55" s="502"/>
      <c r="G55" s="502"/>
      <c r="H55" s="502">
        <f>+H49</f>
        <v>144727.88</v>
      </c>
      <c r="I55" s="502"/>
    </row>
    <row r="56" spans="1:11" x14ac:dyDescent="0.25">
      <c r="B56" s="502"/>
      <c r="C56" s="505"/>
      <c r="D56" s="505"/>
      <c r="E56" s="502"/>
      <c r="F56" s="502"/>
      <c r="G56" s="502"/>
      <c r="H56" s="501">
        <f>+H55+H54</f>
        <v>-232527.52000000002</v>
      </c>
    </row>
    <row r="57" spans="1:11" x14ac:dyDescent="0.25">
      <c r="B57" s="538"/>
      <c r="C57" s="505"/>
      <c r="D57" s="505"/>
      <c r="E57" s="502"/>
      <c r="F57" s="502"/>
      <c r="G57" s="502"/>
      <c r="H57" s="502"/>
    </row>
    <row r="58" spans="1:11" x14ac:dyDescent="0.25">
      <c r="B58" s="539" t="s">
        <v>138</v>
      </c>
    </row>
    <row r="59" spans="1:11" x14ac:dyDescent="0.25">
      <c r="B59" s="539" t="s">
        <v>139</v>
      </c>
    </row>
    <row r="60" spans="1:11" ht="12.75" customHeight="1" x14ac:dyDescent="0.25">
      <c r="B60" s="539"/>
      <c r="C60" s="540"/>
      <c r="D60" s="540"/>
      <c r="E60" s="540"/>
      <c r="F60" s="540"/>
      <c r="G60" s="540"/>
      <c r="H60" s="540"/>
    </row>
    <row r="61" spans="1:11" x14ac:dyDescent="0.25">
      <c r="B61" s="539"/>
      <c r="C61" s="505"/>
      <c r="D61" s="505"/>
      <c r="E61" s="502"/>
      <c r="F61" s="502"/>
      <c r="G61" s="502"/>
    </row>
    <row r="62" spans="1:11" ht="14.25" customHeight="1" x14ac:dyDescent="0.25">
      <c r="B62" s="582" t="str">
        <f ca="1">CELL("filename")</f>
        <v>O:\ClntSvc\Ksettle\ACCNTNG\FLASH\2000\0010\[2000010 flash REPORT.xls]Var. Rpt EPMI</v>
      </c>
      <c r="C62" s="582"/>
      <c r="D62" s="582"/>
      <c r="E62" s="582"/>
      <c r="F62" s="582"/>
      <c r="G62" s="582"/>
    </row>
    <row r="63" spans="1:11" x14ac:dyDescent="0.25">
      <c r="B63" s="538"/>
      <c r="C63" s="505"/>
      <c r="D63" s="505"/>
      <c r="E63" s="502"/>
      <c r="F63" s="502"/>
      <c r="G63" s="502"/>
    </row>
    <row r="64" spans="1:11" x14ac:dyDescent="0.25">
      <c r="B64" s="502"/>
      <c r="C64" s="505"/>
      <c r="D64" s="505"/>
      <c r="E64" s="502"/>
      <c r="F64" s="502"/>
      <c r="G64" s="502"/>
    </row>
    <row r="65" spans="2:7" x14ac:dyDescent="0.25">
      <c r="B65" s="502"/>
      <c r="C65" s="505"/>
      <c r="D65" s="505"/>
      <c r="E65" s="502"/>
      <c r="F65" s="502"/>
      <c r="G65" s="502"/>
    </row>
    <row r="66" spans="2:7" x14ac:dyDescent="0.25">
      <c r="B66" s="502"/>
      <c r="C66" s="505"/>
      <c r="D66" s="505"/>
      <c r="E66" s="502"/>
      <c r="F66" s="502"/>
      <c r="G66" s="502"/>
    </row>
    <row r="67" spans="2:7" x14ac:dyDescent="0.25">
      <c r="B67" s="502"/>
      <c r="C67" s="505"/>
      <c r="D67" s="505"/>
      <c r="E67" s="502"/>
      <c r="F67" s="502"/>
      <c r="G67" s="502"/>
    </row>
    <row r="68" spans="2:7" x14ac:dyDescent="0.25">
      <c r="B68" s="502"/>
      <c r="C68" s="505"/>
      <c r="D68" s="505"/>
      <c r="E68" s="502"/>
      <c r="F68" s="502"/>
      <c r="G68" s="502"/>
    </row>
    <row r="69" spans="2:7" x14ac:dyDescent="0.25">
      <c r="B69" s="502"/>
      <c r="C69" s="505"/>
      <c r="D69" s="505"/>
      <c r="E69" s="502"/>
      <c r="F69" s="502"/>
      <c r="G69" s="502"/>
    </row>
    <row r="70" spans="2:7" x14ac:dyDescent="0.25">
      <c r="B70" s="502"/>
      <c r="C70" s="505"/>
      <c r="D70" s="505"/>
      <c r="E70" s="502"/>
      <c r="F70" s="502"/>
      <c r="G70" s="502"/>
    </row>
    <row r="71" spans="2:7" x14ac:dyDescent="0.25">
      <c r="B71" s="502"/>
      <c r="C71" s="505"/>
      <c r="D71" s="505"/>
      <c r="E71" s="502"/>
      <c r="F71" s="502"/>
      <c r="G71" s="502"/>
    </row>
    <row r="72" spans="2:7" x14ac:dyDescent="0.25">
      <c r="B72" s="502"/>
      <c r="C72" s="505"/>
      <c r="D72" s="505"/>
      <c r="E72" s="502"/>
      <c r="F72" s="502"/>
      <c r="G72" s="502"/>
    </row>
    <row r="73" spans="2:7" x14ac:dyDescent="0.25">
      <c r="B73" s="502"/>
      <c r="C73" s="505"/>
      <c r="D73" s="505"/>
      <c r="E73" s="502"/>
      <c r="F73" s="502"/>
      <c r="G73" s="502"/>
    </row>
    <row r="74" spans="2:7" x14ac:dyDescent="0.25">
      <c r="B74" s="502"/>
      <c r="C74" s="505"/>
      <c r="D74" s="505"/>
      <c r="E74" s="502"/>
      <c r="F74" s="502"/>
      <c r="G74" s="502"/>
    </row>
    <row r="75" spans="2:7" x14ac:dyDescent="0.25">
      <c r="B75" s="502"/>
      <c r="C75" s="505"/>
      <c r="D75" s="505"/>
      <c r="E75" s="502"/>
      <c r="F75" s="502"/>
      <c r="G75" s="502"/>
    </row>
    <row r="76" spans="2:7" x14ac:dyDescent="0.25">
      <c r="B76" s="502"/>
      <c r="C76" s="505"/>
      <c r="D76" s="505"/>
      <c r="E76" s="502"/>
      <c r="F76" s="502"/>
      <c r="G76" s="502"/>
    </row>
    <row r="77" spans="2:7" x14ac:dyDescent="0.25">
      <c r="B77" s="502"/>
      <c r="C77" s="505"/>
      <c r="D77" s="505"/>
      <c r="E77" s="502"/>
      <c r="F77" s="502"/>
      <c r="G77" s="502"/>
    </row>
    <row r="78" spans="2:7" x14ac:dyDescent="0.25">
      <c r="B78" s="502"/>
      <c r="C78" s="505"/>
      <c r="D78" s="505"/>
      <c r="E78" s="502"/>
      <c r="F78" s="502"/>
      <c r="G78" s="502"/>
    </row>
    <row r="79" spans="2:7" x14ac:dyDescent="0.25">
      <c r="B79" s="502"/>
      <c r="C79" s="505"/>
      <c r="D79" s="505"/>
      <c r="E79" s="502"/>
      <c r="F79" s="502"/>
      <c r="G79" s="502"/>
    </row>
    <row r="80" spans="2:7" x14ac:dyDescent="0.25">
      <c r="B80" s="502"/>
      <c r="C80" s="505"/>
      <c r="D80" s="505"/>
      <c r="E80" s="502"/>
      <c r="F80" s="502"/>
      <c r="G80" s="502"/>
    </row>
    <row r="81" spans="2:7" x14ac:dyDescent="0.25">
      <c r="B81" s="502"/>
      <c r="C81" s="505"/>
      <c r="D81" s="505"/>
      <c r="E81" s="502"/>
      <c r="F81" s="502"/>
      <c r="G81" s="502"/>
    </row>
    <row r="82" spans="2:7" x14ac:dyDescent="0.25">
      <c r="B82" s="502"/>
      <c r="C82" s="505"/>
      <c r="D82" s="505"/>
      <c r="E82" s="502"/>
      <c r="F82" s="502"/>
      <c r="G82" s="502"/>
    </row>
    <row r="83" spans="2:7" x14ac:dyDescent="0.25">
      <c r="B83" s="502"/>
      <c r="C83" s="505"/>
      <c r="D83" s="505"/>
      <c r="E83" s="502"/>
      <c r="F83" s="502"/>
      <c r="G83" s="502"/>
    </row>
    <row r="84" spans="2:7" x14ac:dyDescent="0.25">
      <c r="B84" s="502"/>
      <c r="C84" s="505"/>
      <c r="D84" s="505"/>
      <c r="E84" s="502"/>
      <c r="F84" s="502"/>
      <c r="G84" s="502"/>
    </row>
    <row r="85" spans="2:7" x14ac:dyDescent="0.25">
      <c r="B85" s="502"/>
      <c r="C85" s="505"/>
      <c r="D85" s="505"/>
      <c r="E85" s="502"/>
      <c r="F85" s="502"/>
      <c r="G85" s="502"/>
    </row>
    <row r="86" spans="2:7" x14ac:dyDescent="0.25">
      <c r="B86" s="502"/>
      <c r="C86" s="505"/>
      <c r="D86" s="505"/>
      <c r="E86" s="502"/>
      <c r="F86" s="502"/>
      <c r="G86" s="502"/>
    </row>
    <row r="87" spans="2:7" x14ac:dyDescent="0.25">
      <c r="B87" s="502"/>
      <c r="C87" s="505"/>
      <c r="D87" s="505"/>
      <c r="E87" s="502"/>
      <c r="F87" s="502"/>
      <c r="G87" s="502"/>
    </row>
    <row r="88" spans="2:7" x14ac:dyDescent="0.25">
      <c r="B88" s="502"/>
      <c r="C88" s="505"/>
      <c r="D88" s="505"/>
      <c r="E88" s="502"/>
      <c r="F88" s="502"/>
      <c r="G88" s="502"/>
    </row>
    <row r="89" spans="2:7" x14ac:dyDescent="0.25">
      <c r="B89" s="502"/>
      <c r="C89" s="505"/>
      <c r="D89" s="505"/>
      <c r="E89" s="502"/>
      <c r="F89" s="502"/>
      <c r="G89" s="502"/>
    </row>
    <row r="90" spans="2:7" x14ac:dyDescent="0.25">
      <c r="B90" s="502"/>
      <c r="C90" s="505"/>
      <c r="D90" s="505"/>
      <c r="E90" s="502"/>
      <c r="F90" s="502"/>
      <c r="G90" s="502"/>
    </row>
    <row r="91" spans="2:7" x14ac:dyDescent="0.25">
      <c r="B91" s="502"/>
      <c r="C91" s="505"/>
      <c r="D91" s="505"/>
      <c r="E91" s="502"/>
      <c r="F91" s="502"/>
      <c r="G91" s="502"/>
    </row>
    <row r="92" spans="2:7" x14ac:dyDescent="0.25">
      <c r="B92" s="502"/>
      <c r="C92" s="505"/>
      <c r="D92" s="505"/>
      <c r="E92" s="502"/>
      <c r="F92" s="502"/>
      <c r="G92" s="502"/>
    </row>
    <row r="93" spans="2:7" x14ac:dyDescent="0.25">
      <c r="B93" s="502"/>
      <c r="C93" s="505"/>
      <c r="D93" s="505"/>
      <c r="E93" s="502"/>
      <c r="F93" s="502"/>
      <c r="G93" s="502"/>
    </row>
    <row r="94" spans="2:7" x14ac:dyDescent="0.25">
      <c r="B94" s="502"/>
      <c r="C94" s="505"/>
      <c r="D94" s="505"/>
      <c r="E94" s="502"/>
      <c r="F94" s="502"/>
      <c r="G94" s="502"/>
    </row>
    <row r="95" spans="2:7" x14ac:dyDescent="0.25">
      <c r="B95" s="502"/>
      <c r="C95" s="505"/>
      <c r="D95" s="505"/>
      <c r="E95" s="502"/>
      <c r="F95" s="502"/>
      <c r="G95" s="502"/>
    </row>
    <row r="96" spans="2:7" x14ac:dyDescent="0.25">
      <c r="B96" s="502"/>
      <c r="C96" s="505"/>
      <c r="D96" s="505"/>
      <c r="E96" s="502"/>
      <c r="F96" s="502"/>
      <c r="G96" s="502"/>
    </row>
    <row r="97" spans="2:7" x14ac:dyDescent="0.25">
      <c r="B97" s="502"/>
      <c r="C97" s="505"/>
      <c r="D97" s="505"/>
      <c r="E97" s="502"/>
      <c r="F97" s="502"/>
      <c r="G97" s="502"/>
    </row>
    <row r="98" spans="2:7" x14ac:dyDescent="0.25">
      <c r="B98" s="502"/>
      <c r="C98" s="505"/>
      <c r="D98" s="505"/>
      <c r="E98" s="502"/>
      <c r="F98" s="502"/>
      <c r="G98" s="502"/>
    </row>
    <row r="99" spans="2:7" x14ac:dyDescent="0.25">
      <c r="B99" s="502"/>
      <c r="C99" s="505"/>
      <c r="D99" s="505"/>
      <c r="E99" s="502"/>
      <c r="F99" s="502"/>
      <c r="G99" s="502"/>
    </row>
    <row r="100" spans="2:7" x14ac:dyDescent="0.25">
      <c r="B100" s="502"/>
      <c r="C100" s="505"/>
      <c r="D100" s="505"/>
      <c r="E100" s="502"/>
      <c r="F100" s="502"/>
      <c r="G100" s="502"/>
    </row>
    <row r="101" spans="2:7" x14ac:dyDescent="0.25">
      <c r="B101" s="502"/>
      <c r="C101" s="505"/>
      <c r="D101" s="505"/>
      <c r="E101" s="502"/>
      <c r="F101" s="502"/>
      <c r="G101" s="502"/>
    </row>
    <row r="102" spans="2:7" x14ac:dyDescent="0.25">
      <c r="B102" s="502"/>
      <c r="C102" s="505"/>
      <c r="D102" s="505"/>
      <c r="E102" s="502"/>
      <c r="F102" s="502"/>
      <c r="G102" s="502"/>
    </row>
    <row r="103" spans="2:7" x14ac:dyDescent="0.25">
      <c r="B103" s="502"/>
      <c r="C103" s="505"/>
      <c r="D103" s="505"/>
      <c r="E103" s="502"/>
      <c r="F103" s="502"/>
      <c r="G103" s="502"/>
    </row>
    <row r="104" spans="2:7" x14ac:dyDescent="0.25">
      <c r="B104" s="502"/>
      <c r="C104" s="505"/>
      <c r="D104" s="505"/>
      <c r="E104" s="502"/>
      <c r="F104" s="502"/>
      <c r="G104" s="502"/>
    </row>
    <row r="105" spans="2:7" x14ac:dyDescent="0.25">
      <c r="B105" s="502"/>
      <c r="C105" s="505"/>
      <c r="D105" s="505"/>
      <c r="E105" s="502"/>
      <c r="F105" s="502"/>
      <c r="G105" s="502"/>
    </row>
    <row r="106" spans="2:7" x14ac:dyDescent="0.25">
      <c r="B106" s="502"/>
      <c r="C106" s="505"/>
      <c r="D106" s="505"/>
      <c r="E106" s="502"/>
      <c r="F106" s="502"/>
      <c r="G106" s="502"/>
    </row>
    <row r="107" spans="2:7" x14ac:dyDescent="0.25">
      <c r="B107" s="502"/>
      <c r="C107" s="505"/>
      <c r="D107" s="505"/>
      <c r="E107" s="502"/>
      <c r="F107" s="502"/>
      <c r="G107" s="502"/>
    </row>
    <row r="108" spans="2:7" x14ac:dyDescent="0.25">
      <c r="B108" s="502"/>
      <c r="C108" s="505"/>
      <c r="D108" s="505"/>
      <c r="E108" s="502"/>
      <c r="F108" s="502"/>
      <c r="G108" s="502"/>
    </row>
    <row r="109" spans="2:7" x14ac:dyDescent="0.25">
      <c r="B109" s="502"/>
      <c r="C109" s="505"/>
      <c r="D109" s="505"/>
      <c r="E109" s="502"/>
      <c r="F109" s="502"/>
      <c r="G109" s="502"/>
    </row>
    <row r="110" spans="2:7" x14ac:dyDescent="0.25">
      <c r="B110" s="502"/>
      <c r="C110" s="505"/>
      <c r="D110" s="505"/>
      <c r="E110" s="502"/>
      <c r="F110" s="502"/>
      <c r="G110" s="502"/>
    </row>
    <row r="111" spans="2:7" x14ac:dyDescent="0.25">
      <c r="B111" s="502"/>
      <c r="C111" s="505"/>
      <c r="D111" s="505"/>
      <c r="E111" s="502"/>
      <c r="F111" s="502"/>
      <c r="G111" s="502"/>
    </row>
    <row r="112" spans="2:7" x14ac:dyDescent="0.25">
      <c r="B112" s="502"/>
      <c r="C112" s="505"/>
      <c r="D112" s="505"/>
      <c r="E112" s="502"/>
      <c r="F112" s="502"/>
      <c r="G112" s="502"/>
    </row>
    <row r="113" spans="2:7" x14ac:dyDescent="0.25">
      <c r="B113" s="502"/>
      <c r="C113" s="505"/>
      <c r="D113" s="505"/>
      <c r="E113" s="502"/>
      <c r="F113" s="502"/>
      <c r="G113" s="502"/>
    </row>
    <row r="114" spans="2:7" x14ac:dyDescent="0.25">
      <c r="B114" s="502"/>
      <c r="C114" s="505"/>
      <c r="D114" s="505"/>
      <c r="E114" s="502"/>
      <c r="F114" s="502"/>
      <c r="G114" s="502"/>
    </row>
    <row r="115" spans="2:7" x14ac:dyDescent="0.25">
      <c r="B115" s="502"/>
      <c r="C115" s="505"/>
      <c r="D115" s="505"/>
      <c r="E115" s="502"/>
      <c r="F115" s="502"/>
      <c r="G115" s="502"/>
    </row>
    <row r="116" spans="2:7" x14ac:dyDescent="0.25">
      <c r="B116" s="502"/>
      <c r="C116" s="505"/>
      <c r="D116" s="505"/>
      <c r="E116" s="502"/>
      <c r="F116" s="502"/>
      <c r="G116" s="502"/>
    </row>
    <row r="117" spans="2:7" x14ac:dyDescent="0.25">
      <c r="B117" s="502"/>
      <c r="C117" s="505"/>
      <c r="D117" s="505"/>
      <c r="E117" s="502"/>
      <c r="F117" s="502"/>
      <c r="G117" s="502"/>
    </row>
    <row r="118" spans="2:7" x14ac:dyDescent="0.25">
      <c r="B118" s="502"/>
      <c r="C118" s="505"/>
      <c r="D118" s="505"/>
      <c r="E118" s="502"/>
      <c r="F118" s="502"/>
      <c r="G118" s="502"/>
    </row>
    <row r="119" spans="2:7" x14ac:dyDescent="0.25">
      <c r="B119" s="502"/>
      <c r="C119" s="505"/>
      <c r="D119" s="505"/>
      <c r="E119" s="502"/>
      <c r="F119" s="502"/>
      <c r="G119" s="502"/>
    </row>
    <row r="120" spans="2:7" x14ac:dyDescent="0.25">
      <c r="B120" s="502"/>
      <c r="C120" s="505"/>
      <c r="D120" s="505"/>
      <c r="E120" s="502"/>
      <c r="F120" s="502"/>
      <c r="G120" s="502"/>
    </row>
    <row r="121" spans="2:7" x14ac:dyDescent="0.25">
      <c r="B121" s="502"/>
      <c r="C121" s="505"/>
      <c r="D121" s="505"/>
      <c r="E121" s="502"/>
      <c r="F121" s="502"/>
      <c r="G121" s="502"/>
    </row>
    <row r="122" spans="2:7" x14ac:dyDescent="0.25">
      <c r="B122" s="502"/>
      <c r="C122" s="505"/>
      <c r="D122" s="505"/>
      <c r="E122" s="502"/>
      <c r="F122" s="502"/>
      <c r="G122" s="502"/>
    </row>
    <row r="123" spans="2:7" x14ac:dyDescent="0.25">
      <c r="B123" s="502"/>
      <c r="C123" s="505"/>
      <c r="D123" s="505"/>
      <c r="E123" s="502"/>
      <c r="F123" s="502"/>
      <c r="G123" s="502"/>
    </row>
    <row r="124" spans="2:7" x14ac:dyDescent="0.25">
      <c r="B124" s="502"/>
      <c r="C124" s="505"/>
      <c r="D124" s="505"/>
      <c r="E124" s="502"/>
      <c r="F124" s="502"/>
      <c r="G124" s="502"/>
    </row>
    <row r="125" spans="2:7" x14ac:dyDescent="0.25">
      <c r="B125" s="502"/>
      <c r="C125" s="505"/>
      <c r="D125" s="505"/>
      <c r="E125" s="502"/>
      <c r="F125" s="502"/>
      <c r="G125" s="502"/>
    </row>
    <row r="126" spans="2:7" x14ac:dyDescent="0.25">
      <c r="B126" s="502"/>
      <c r="C126" s="505"/>
      <c r="D126" s="505"/>
      <c r="E126" s="502"/>
      <c r="F126" s="502"/>
      <c r="G126" s="502"/>
    </row>
    <row r="127" spans="2:7" x14ac:dyDescent="0.25">
      <c r="B127" s="502"/>
      <c r="C127" s="505"/>
      <c r="D127" s="505"/>
      <c r="E127" s="502"/>
      <c r="F127" s="502"/>
      <c r="G127" s="502"/>
    </row>
    <row r="128" spans="2:7" x14ac:dyDescent="0.25">
      <c r="B128" s="502"/>
      <c r="C128" s="505"/>
      <c r="D128" s="505"/>
      <c r="E128" s="502"/>
      <c r="F128" s="502"/>
      <c r="G128" s="502"/>
    </row>
    <row r="129" spans="2:7" x14ac:dyDescent="0.25">
      <c r="B129" s="502"/>
      <c r="C129" s="505"/>
      <c r="D129" s="505"/>
      <c r="E129" s="502"/>
      <c r="F129" s="502"/>
      <c r="G129" s="502"/>
    </row>
    <row r="130" spans="2:7" x14ac:dyDescent="0.25">
      <c r="B130" s="502"/>
      <c r="C130" s="505"/>
      <c r="D130" s="505"/>
      <c r="E130" s="502"/>
      <c r="F130" s="502"/>
      <c r="G130" s="502"/>
    </row>
    <row r="131" spans="2:7" x14ac:dyDescent="0.25">
      <c r="B131" s="502"/>
      <c r="C131" s="505"/>
      <c r="D131" s="505"/>
      <c r="E131" s="502"/>
      <c r="F131" s="502"/>
      <c r="G131" s="502"/>
    </row>
    <row r="132" spans="2:7" x14ac:dyDescent="0.25">
      <c r="B132" s="502"/>
      <c r="C132" s="505"/>
      <c r="D132" s="505"/>
      <c r="E132" s="502"/>
      <c r="F132" s="502"/>
      <c r="G132" s="502"/>
    </row>
    <row r="133" spans="2:7" x14ac:dyDescent="0.25">
      <c r="B133" s="502"/>
      <c r="C133" s="505"/>
      <c r="D133" s="505"/>
      <c r="E133" s="502"/>
      <c r="F133" s="502"/>
      <c r="G133" s="502"/>
    </row>
    <row r="134" spans="2:7" x14ac:dyDescent="0.25">
      <c r="B134" s="502"/>
      <c r="C134" s="505"/>
      <c r="D134" s="505"/>
      <c r="E134" s="502"/>
      <c r="F134" s="502"/>
      <c r="G134" s="502"/>
    </row>
    <row r="135" spans="2:7" x14ac:dyDescent="0.25">
      <c r="B135" s="502"/>
      <c r="C135" s="505"/>
      <c r="D135" s="505"/>
      <c r="E135" s="502"/>
      <c r="F135" s="502"/>
      <c r="G135" s="502"/>
    </row>
    <row r="136" spans="2:7" x14ac:dyDescent="0.25">
      <c r="B136" s="502"/>
      <c r="C136" s="505"/>
      <c r="D136" s="505"/>
      <c r="E136" s="502"/>
      <c r="F136" s="502"/>
      <c r="G136" s="502"/>
    </row>
    <row r="137" spans="2:7" x14ac:dyDescent="0.25">
      <c r="B137" s="502"/>
      <c r="C137" s="505"/>
      <c r="D137" s="505"/>
      <c r="E137" s="502"/>
      <c r="F137" s="502"/>
      <c r="G137" s="502"/>
    </row>
    <row r="138" spans="2:7" x14ac:dyDescent="0.25">
      <c r="B138" s="502"/>
      <c r="C138" s="505"/>
      <c r="D138" s="505"/>
      <c r="E138" s="502"/>
      <c r="F138" s="502"/>
      <c r="G138" s="502"/>
    </row>
    <row r="139" spans="2:7" x14ac:dyDescent="0.25">
      <c r="B139" s="502"/>
      <c r="C139" s="505"/>
      <c r="D139" s="505"/>
      <c r="E139" s="502"/>
      <c r="F139" s="502"/>
      <c r="G139" s="502"/>
    </row>
    <row r="140" spans="2:7" x14ac:dyDescent="0.25">
      <c r="B140" s="502"/>
      <c r="C140" s="505"/>
      <c r="D140" s="505"/>
      <c r="E140" s="502"/>
      <c r="F140" s="502"/>
      <c r="G140" s="502"/>
    </row>
    <row r="141" spans="2:7" x14ac:dyDescent="0.25">
      <c r="B141" s="502"/>
      <c r="C141" s="505"/>
      <c r="D141" s="505"/>
      <c r="E141" s="502"/>
      <c r="F141" s="502"/>
      <c r="G141" s="502"/>
    </row>
    <row r="142" spans="2:7" x14ac:dyDescent="0.25">
      <c r="B142" s="502"/>
      <c r="C142" s="505"/>
      <c r="D142" s="505"/>
      <c r="E142" s="502"/>
      <c r="F142" s="502"/>
      <c r="G142" s="502"/>
    </row>
    <row r="143" spans="2:7" x14ac:dyDescent="0.25">
      <c r="B143" s="502"/>
      <c r="C143" s="505"/>
      <c r="D143" s="505"/>
      <c r="E143" s="502"/>
      <c r="F143" s="502"/>
      <c r="G143" s="502"/>
    </row>
    <row r="144" spans="2:7" x14ac:dyDescent="0.25">
      <c r="B144" s="502"/>
      <c r="C144" s="505"/>
      <c r="D144" s="505"/>
      <c r="E144" s="502"/>
      <c r="F144" s="502"/>
      <c r="G144" s="502"/>
    </row>
    <row r="145" spans="2:7" x14ac:dyDescent="0.25">
      <c r="B145" s="502"/>
      <c r="C145" s="505"/>
      <c r="D145" s="505"/>
      <c r="E145" s="502"/>
      <c r="F145" s="502"/>
      <c r="G145" s="502"/>
    </row>
    <row r="146" spans="2:7" x14ac:dyDescent="0.25">
      <c r="B146" s="502"/>
      <c r="C146" s="505"/>
      <c r="D146" s="505"/>
      <c r="E146" s="502"/>
      <c r="F146" s="502"/>
      <c r="G146" s="502"/>
    </row>
    <row r="147" spans="2:7" x14ac:dyDescent="0.25">
      <c r="B147" s="502"/>
      <c r="C147" s="505"/>
      <c r="D147" s="505"/>
      <c r="E147" s="502"/>
      <c r="F147" s="502"/>
      <c r="G147" s="502"/>
    </row>
    <row r="148" spans="2:7" x14ac:dyDescent="0.25">
      <c r="B148" s="502"/>
      <c r="C148" s="505"/>
      <c r="D148" s="505"/>
      <c r="E148" s="502"/>
      <c r="F148" s="502"/>
      <c r="G148" s="502"/>
    </row>
    <row r="149" spans="2:7" x14ac:dyDescent="0.25">
      <c r="B149" s="502"/>
      <c r="C149" s="505"/>
      <c r="D149" s="505"/>
      <c r="E149" s="502"/>
      <c r="F149" s="502"/>
      <c r="G149" s="502"/>
    </row>
    <row r="150" spans="2:7" x14ac:dyDescent="0.25">
      <c r="B150" s="502"/>
      <c r="C150" s="505"/>
      <c r="D150" s="505"/>
      <c r="E150" s="502"/>
      <c r="F150" s="502"/>
      <c r="G150" s="502"/>
    </row>
    <row r="151" spans="2:7" x14ac:dyDescent="0.25">
      <c r="B151" s="502"/>
      <c r="C151" s="505"/>
      <c r="D151" s="505"/>
      <c r="E151" s="502"/>
      <c r="F151" s="502"/>
      <c r="G151" s="502"/>
    </row>
    <row r="152" spans="2:7" x14ac:dyDescent="0.25">
      <c r="B152" s="502"/>
      <c r="C152" s="505"/>
      <c r="D152" s="505"/>
      <c r="E152" s="502"/>
      <c r="F152" s="502"/>
      <c r="G152" s="502"/>
    </row>
    <row r="153" spans="2:7" x14ac:dyDescent="0.25">
      <c r="B153" s="502"/>
      <c r="C153" s="505"/>
      <c r="D153" s="505"/>
      <c r="E153" s="502"/>
      <c r="F153" s="502"/>
      <c r="G153" s="502"/>
    </row>
    <row r="154" spans="2:7" x14ac:dyDescent="0.25">
      <c r="B154" s="502"/>
      <c r="C154" s="505"/>
      <c r="D154" s="505"/>
      <c r="E154" s="502"/>
      <c r="F154" s="502"/>
      <c r="G154" s="502"/>
    </row>
    <row r="155" spans="2:7" x14ac:dyDescent="0.25">
      <c r="B155" s="502"/>
      <c r="C155" s="505"/>
      <c r="D155" s="505"/>
      <c r="E155" s="502"/>
      <c r="F155" s="502"/>
      <c r="G155" s="502"/>
    </row>
    <row r="156" spans="2:7" x14ac:dyDescent="0.25">
      <c r="B156" s="502"/>
      <c r="C156" s="505"/>
      <c r="D156" s="505"/>
      <c r="E156" s="502"/>
      <c r="F156" s="502"/>
      <c r="G156" s="502"/>
    </row>
    <row r="157" spans="2:7" x14ac:dyDescent="0.25">
      <c r="B157" s="502"/>
      <c r="C157" s="505"/>
      <c r="D157" s="505"/>
      <c r="E157" s="502"/>
      <c r="F157" s="502"/>
      <c r="G157" s="502"/>
    </row>
    <row r="158" spans="2:7" x14ac:dyDescent="0.25">
      <c r="B158" s="502"/>
      <c r="C158" s="505"/>
      <c r="D158" s="505"/>
      <c r="E158" s="502"/>
      <c r="F158" s="502"/>
      <c r="G158" s="502"/>
    </row>
    <row r="159" spans="2:7" x14ac:dyDescent="0.25">
      <c r="B159" s="502"/>
      <c r="C159" s="505"/>
      <c r="D159" s="505"/>
      <c r="E159" s="502"/>
      <c r="F159" s="502"/>
      <c r="G159" s="502"/>
    </row>
    <row r="160" spans="2:7" x14ac:dyDescent="0.25">
      <c r="B160" s="502"/>
      <c r="C160" s="505"/>
      <c r="D160" s="505"/>
      <c r="E160" s="502"/>
      <c r="F160" s="502"/>
      <c r="G160" s="502"/>
    </row>
    <row r="161" spans="2:7" x14ac:dyDescent="0.25">
      <c r="B161" s="502"/>
      <c r="C161" s="505"/>
      <c r="D161" s="505"/>
      <c r="E161" s="502"/>
      <c r="F161" s="502"/>
      <c r="G161" s="502"/>
    </row>
    <row r="162" spans="2:7" x14ac:dyDescent="0.25">
      <c r="B162" s="502"/>
      <c r="C162" s="505"/>
      <c r="D162" s="505"/>
      <c r="E162" s="502"/>
      <c r="F162" s="502"/>
      <c r="G162" s="502"/>
    </row>
    <row r="163" spans="2:7" x14ac:dyDescent="0.25">
      <c r="B163" s="502"/>
      <c r="C163" s="505"/>
      <c r="D163" s="505"/>
      <c r="E163" s="502"/>
      <c r="F163" s="502"/>
      <c r="G163" s="502"/>
    </row>
    <row r="164" spans="2:7" x14ac:dyDescent="0.25">
      <c r="B164" s="502"/>
      <c r="C164" s="505"/>
      <c r="D164" s="505"/>
      <c r="E164" s="502"/>
      <c r="F164" s="502"/>
      <c r="G164" s="502"/>
    </row>
    <row r="165" spans="2:7" x14ac:dyDescent="0.25">
      <c r="B165" s="502"/>
      <c r="C165" s="505"/>
      <c r="D165" s="505"/>
      <c r="E165" s="502"/>
      <c r="F165" s="502"/>
      <c r="G165" s="502"/>
    </row>
    <row r="166" spans="2:7" x14ac:dyDescent="0.25">
      <c r="B166" s="502"/>
      <c r="C166" s="505"/>
      <c r="D166" s="505"/>
      <c r="E166" s="502"/>
      <c r="F166" s="502"/>
      <c r="G166" s="502"/>
    </row>
    <row r="167" spans="2:7" x14ac:dyDescent="0.25">
      <c r="B167" s="502"/>
      <c r="C167" s="505"/>
      <c r="D167" s="505"/>
      <c r="E167" s="502"/>
      <c r="F167" s="502"/>
      <c r="G167" s="502"/>
    </row>
    <row r="168" spans="2:7" x14ac:dyDescent="0.25">
      <c r="B168" s="502"/>
      <c r="C168" s="505"/>
      <c r="D168" s="505"/>
      <c r="E168" s="502"/>
      <c r="F168" s="502"/>
      <c r="G168" s="502"/>
    </row>
    <row r="169" spans="2:7" x14ac:dyDescent="0.25">
      <c r="B169" s="502"/>
      <c r="C169" s="505"/>
      <c r="D169" s="505"/>
      <c r="E169" s="502"/>
      <c r="F169" s="502"/>
      <c r="G169" s="502"/>
    </row>
    <row r="170" spans="2:7" x14ac:dyDescent="0.25">
      <c r="B170" s="502"/>
      <c r="C170" s="505"/>
      <c r="D170" s="505"/>
      <c r="E170" s="502"/>
      <c r="F170" s="502"/>
      <c r="G170" s="502"/>
    </row>
    <row r="171" spans="2:7" x14ac:dyDescent="0.25">
      <c r="B171" s="502"/>
      <c r="C171" s="505"/>
      <c r="D171" s="505"/>
      <c r="E171" s="502"/>
      <c r="F171" s="502"/>
      <c r="G171" s="502"/>
    </row>
    <row r="172" spans="2:7" x14ac:dyDescent="0.25">
      <c r="B172" s="502"/>
      <c r="C172" s="505"/>
      <c r="D172" s="505"/>
      <c r="E172" s="502"/>
      <c r="F172" s="502"/>
      <c r="G172" s="502"/>
    </row>
    <row r="173" spans="2:7" x14ac:dyDescent="0.25">
      <c r="B173" s="502"/>
      <c r="C173" s="505"/>
      <c r="D173" s="505"/>
      <c r="E173" s="502"/>
      <c r="F173" s="502"/>
      <c r="G173" s="502"/>
    </row>
    <row r="174" spans="2:7" x14ac:dyDescent="0.25">
      <c r="B174" s="502"/>
      <c r="C174" s="505"/>
      <c r="D174" s="505"/>
      <c r="E174" s="502"/>
      <c r="F174" s="502"/>
      <c r="G174" s="502"/>
    </row>
    <row r="175" spans="2:7" x14ac:dyDescent="0.25">
      <c r="B175" s="502"/>
      <c r="C175" s="505"/>
      <c r="D175" s="505"/>
      <c r="E175" s="502"/>
      <c r="F175" s="502"/>
      <c r="G175" s="502"/>
    </row>
    <row r="176" spans="2:7" x14ac:dyDescent="0.25">
      <c r="B176" s="502"/>
      <c r="C176" s="505"/>
      <c r="D176" s="505"/>
      <c r="E176" s="502"/>
      <c r="F176" s="502"/>
      <c r="G176" s="502"/>
    </row>
    <row r="177" spans="2:7" x14ac:dyDescent="0.25">
      <c r="B177" s="502"/>
      <c r="C177" s="505"/>
      <c r="D177" s="505"/>
      <c r="E177" s="502"/>
      <c r="F177" s="502"/>
      <c r="G177" s="502"/>
    </row>
    <row r="178" spans="2:7" x14ac:dyDescent="0.25">
      <c r="B178" s="502"/>
      <c r="C178" s="505"/>
      <c r="D178" s="505"/>
      <c r="E178" s="502"/>
      <c r="F178" s="502"/>
      <c r="G178" s="502"/>
    </row>
    <row r="179" spans="2:7" x14ac:dyDescent="0.25">
      <c r="B179" s="502"/>
      <c r="C179" s="505"/>
      <c r="D179" s="505"/>
      <c r="E179" s="502"/>
      <c r="F179" s="502"/>
      <c r="G179" s="502"/>
    </row>
    <row r="180" spans="2:7" x14ac:dyDescent="0.25">
      <c r="B180" s="502"/>
      <c r="C180" s="505"/>
      <c r="D180" s="505"/>
      <c r="E180" s="502"/>
      <c r="F180" s="502"/>
      <c r="G180" s="502"/>
    </row>
    <row r="181" spans="2:7" x14ac:dyDescent="0.25">
      <c r="B181" s="502"/>
      <c r="C181" s="505"/>
      <c r="D181" s="505"/>
      <c r="E181" s="502"/>
      <c r="F181" s="502"/>
      <c r="G181" s="502"/>
    </row>
    <row r="182" spans="2:7" x14ac:dyDescent="0.25">
      <c r="B182" s="502"/>
      <c r="C182" s="505"/>
      <c r="D182" s="505"/>
      <c r="E182" s="502"/>
      <c r="F182" s="502"/>
      <c r="G182" s="502"/>
    </row>
    <row r="183" spans="2:7" x14ac:dyDescent="0.25">
      <c r="B183" s="502"/>
      <c r="C183" s="505"/>
      <c r="D183" s="505"/>
      <c r="E183" s="502"/>
      <c r="F183" s="502"/>
      <c r="G183" s="502"/>
    </row>
    <row r="184" spans="2:7" x14ac:dyDescent="0.25">
      <c r="B184" s="502"/>
      <c r="C184" s="505"/>
      <c r="D184" s="505"/>
      <c r="E184" s="502"/>
      <c r="F184" s="502"/>
      <c r="G184" s="502"/>
    </row>
    <row r="185" spans="2:7" x14ac:dyDescent="0.25">
      <c r="B185" s="502"/>
      <c r="C185" s="505"/>
      <c r="D185" s="505"/>
      <c r="E185" s="502"/>
      <c r="F185" s="502"/>
      <c r="G185" s="502"/>
    </row>
    <row r="186" spans="2:7" x14ac:dyDescent="0.25">
      <c r="B186" s="502"/>
      <c r="C186" s="505"/>
      <c r="D186" s="505"/>
      <c r="E186" s="502"/>
      <c r="F186" s="502"/>
      <c r="G186" s="502"/>
    </row>
    <row r="187" spans="2:7" x14ac:dyDescent="0.25">
      <c r="B187" s="502"/>
      <c r="C187" s="505"/>
      <c r="D187" s="505"/>
      <c r="E187" s="502"/>
      <c r="F187" s="502"/>
      <c r="G187" s="502"/>
    </row>
    <row r="188" spans="2:7" x14ac:dyDescent="0.25">
      <c r="B188" s="502"/>
      <c r="C188" s="505"/>
      <c r="D188" s="505"/>
      <c r="E188" s="502"/>
      <c r="F188" s="502"/>
      <c r="G188" s="502"/>
    </row>
    <row r="189" spans="2:7" x14ac:dyDescent="0.25">
      <c r="B189" s="502"/>
      <c r="C189" s="505"/>
      <c r="D189" s="505"/>
      <c r="E189" s="502"/>
      <c r="F189" s="502"/>
      <c r="G189" s="502"/>
    </row>
    <row r="190" spans="2:7" x14ac:dyDescent="0.25">
      <c r="B190" s="502"/>
      <c r="C190" s="505"/>
      <c r="D190" s="505"/>
      <c r="E190" s="502"/>
      <c r="F190" s="502"/>
      <c r="G190" s="502"/>
    </row>
    <row r="191" spans="2:7" x14ac:dyDescent="0.25">
      <c r="B191" s="502"/>
      <c r="C191" s="505"/>
      <c r="D191" s="505"/>
      <c r="E191" s="502"/>
      <c r="F191" s="502"/>
      <c r="G191" s="502"/>
    </row>
    <row r="192" spans="2:7" x14ac:dyDescent="0.25">
      <c r="B192" s="502"/>
      <c r="C192" s="505"/>
      <c r="D192" s="505"/>
      <c r="E192" s="502"/>
      <c r="F192" s="502"/>
      <c r="G192" s="502"/>
    </row>
    <row r="193" spans="2:7" x14ac:dyDescent="0.25">
      <c r="B193" s="502"/>
      <c r="C193" s="505"/>
      <c r="D193" s="505"/>
      <c r="E193" s="502"/>
      <c r="F193" s="502"/>
      <c r="G193" s="502"/>
    </row>
    <row r="194" spans="2:7" x14ac:dyDescent="0.25">
      <c r="B194" s="502"/>
      <c r="C194" s="505"/>
      <c r="D194" s="505"/>
      <c r="E194" s="502"/>
      <c r="F194" s="502"/>
      <c r="G194" s="502"/>
    </row>
    <row r="195" spans="2:7" x14ac:dyDescent="0.25">
      <c r="B195" s="502"/>
      <c r="C195" s="505"/>
      <c r="D195" s="505"/>
      <c r="E195" s="502"/>
      <c r="F195" s="502"/>
      <c r="G195" s="502"/>
    </row>
    <row r="196" spans="2:7" x14ac:dyDescent="0.25">
      <c r="B196" s="502"/>
      <c r="C196" s="505"/>
      <c r="D196" s="505"/>
      <c r="E196" s="502"/>
      <c r="F196" s="502"/>
      <c r="G196" s="502"/>
    </row>
    <row r="197" spans="2:7" x14ac:dyDescent="0.25">
      <c r="B197" s="502"/>
      <c r="C197" s="505"/>
      <c r="D197" s="505"/>
      <c r="E197" s="502"/>
      <c r="F197" s="502"/>
      <c r="G197" s="502"/>
    </row>
    <row r="198" spans="2:7" x14ac:dyDescent="0.25">
      <c r="B198" s="502"/>
      <c r="C198" s="505"/>
      <c r="D198" s="505"/>
      <c r="E198" s="502"/>
      <c r="F198" s="502"/>
      <c r="G198" s="502"/>
    </row>
    <row r="199" spans="2:7" x14ac:dyDescent="0.25">
      <c r="B199" s="502"/>
      <c r="C199" s="505"/>
      <c r="D199" s="505"/>
      <c r="E199" s="502"/>
      <c r="F199" s="502"/>
      <c r="G199" s="502"/>
    </row>
    <row r="200" spans="2:7" x14ac:dyDescent="0.25">
      <c r="B200" s="502"/>
      <c r="C200" s="505"/>
      <c r="D200" s="505"/>
      <c r="E200" s="502"/>
      <c r="F200" s="502"/>
      <c r="G200" s="502"/>
    </row>
    <row r="201" spans="2:7" x14ac:dyDescent="0.25">
      <c r="B201" s="502"/>
      <c r="C201" s="505"/>
      <c r="D201" s="505"/>
      <c r="E201" s="502"/>
      <c r="F201" s="502"/>
      <c r="G201" s="502"/>
    </row>
    <row r="202" spans="2:7" x14ac:dyDescent="0.25">
      <c r="B202" s="502"/>
      <c r="C202" s="505"/>
      <c r="D202" s="505"/>
      <c r="E202" s="502"/>
      <c r="F202" s="502"/>
      <c r="G202" s="502"/>
    </row>
    <row r="203" spans="2:7" x14ac:dyDescent="0.25">
      <c r="B203" s="502"/>
      <c r="C203" s="505"/>
      <c r="D203" s="505"/>
      <c r="E203" s="502"/>
      <c r="F203" s="502"/>
      <c r="G203" s="502"/>
    </row>
    <row r="204" spans="2:7" x14ac:dyDescent="0.25">
      <c r="B204" s="502"/>
      <c r="C204" s="505"/>
      <c r="D204" s="505"/>
      <c r="E204" s="502"/>
      <c r="F204" s="502"/>
      <c r="G204" s="502"/>
    </row>
    <row r="205" spans="2:7" x14ac:dyDescent="0.25">
      <c r="B205" s="502"/>
      <c r="C205" s="505"/>
      <c r="D205" s="505"/>
      <c r="E205" s="502"/>
      <c r="F205" s="502"/>
      <c r="G205" s="502"/>
    </row>
    <row r="206" spans="2:7" x14ac:dyDescent="0.25">
      <c r="B206" s="502"/>
      <c r="C206" s="505"/>
      <c r="D206" s="505"/>
      <c r="E206" s="502"/>
      <c r="F206" s="502"/>
      <c r="G206" s="502"/>
    </row>
    <row r="207" spans="2:7" x14ac:dyDescent="0.25">
      <c r="B207" s="502"/>
      <c r="C207" s="505"/>
      <c r="D207" s="505"/>
      <c r="E207" s="502"/>
      <c r="F207" s="502"/>
      <c r="G207" s="502"/>
    </row>
    <row r="208" spans="2:7" x14ac:dyDescent="0.25">
      <c r="B208" s="502"/>
      <c r="C208" s="505"/>
      <c r="D208" s="505"/>
      <c r="E208" s="502"/>
      <c r="F208" s="502"/>
      <c r="G208" s="502"/>
    </row>
    <row r="209" spans="2:7" x14ac:dyDescent="0.25">
      <c r="B209" s="502"/>
      <c r="C209" s="505"/>
      <c r="D209" s="505"/>
      <c r="E209" s="502"/>
      <c r="F209" s="502"/>
      <c r="G209" s="502"/>
    </row>
    <row r="210" spans="2:7" x14ac:dyDescent="0.25">
      <c r="B210" s="502"/>
      <c r="C210" s="505"/>
      <c r="D210" s="505"/>
      <c r="E210" s="502"/>
      <c r="F210" s="502"/>
      <c r="G210" s="502"/>
    </row>
    <row r="211" spans="2:7" x14ac:dyDescent="0.25">
      <c r="B211" s="502"/>
      <c r="C211" s="505"/>
      <c r="D211" s="505"/>
      <c r="E211" s="502"/>
      <c r="F211" s="502"/>
      <c r="G211" s="502"/>
    </row>
    <row r="212" spans="2:7" x14ac:dyDescent="0.25">
      <c r="B212" s="502"/>
      <c r="C212" s="505"/>
      <c r="D212" s="505"/>
      <c r="E212" s="502"/>
      <c r="F212" s="502"/>
      <c r="G212" s="502"/>
    </row>
    <row r="213" spans="2:7" x14ac:dyDescent="0.25">
      <c r="B213" s="502"/>
      <c r="C213" s="505"/>
      <c r="D213" s="505"/>
      <c r="E213" s="502"/>
      <c r="F213" s="502"/>
      <c r="G213" s="502"/>
    </row>
    <row r="214" spans="2:7" x14ac:dyDescent="0.25">
      <c r="B214" s="502"/>
      <c r="C214" s="505"/>
      <c r="D214" s="505"/>
      <c r="E214" s="502"/>
      <c r="F214" s="502"/>
      <c r="G214" s="502"/>
    </row>
    <row r="215" spans="2:7" x14ac:dyDescent="0.25">
      <c r="B215" s="502"/>
      <c r="C215" s="505"/>
      <c r="D215" s="505"/>
      <c r="E215" s="502"/>
      <c r="F215" s="502"/>
      <c r="G215" s="502"/>
    </row>
    <row r="216" spans="2:7" x14ac:dyDescent="0.25">
      <c r="B216" s="502"/>
      <c r="C216" s="505"/>
      <c r="D216" s="505"/>
      <c r="E216" s="502"/>
      <c r="F216" s="502"/>
      <c r="G216" s="502"/>
    </row>
    <row r="217" spans="2:7" x14ac:dyDescent="0.25">
      <c r="B217" s="502"/>
      <c r="C217" s="505"/>
      <c r="D217" s="505"/>
      <c r="E217" s="502"/>
      <c r="F217" s="502"/>
      <c r="G217" s="502"/>
    </row>
    <row r="218" spans="2:7" x14ac:dyDescent="0.25">
      <c r="B218" s="502"/>
      <c r="C218" s="505"/>
      <c r="D218" s="505"/>
      <c r="E218" s="502"/>
      <c r="F218" s="502"/>
      <c r="G218" s="502"/>
    </row>
    <row r="219" spans="2:7" x14ac:dyDescent="0.25">
      <c r="B219" s="502"/>
    </row>
    <row r="220" spans="2:7" x14ac:dyDescent="0.25">
      <c r="B220" s="502"/>
    </row>
  </sheetData>
  <mergeCells count="1">
    <mergeCell ref="B62:G62"/>
  </mergeCells>
  <pageMargins left="0.75" right="0.75" top="1" bottom="1" header="0.5" footer="0.5"/>
  <pageSetup scale="7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pane ySplit="4" topLeftCell="A17" activePane="bottomLeft" state="frozen"/>
      <selection activeCell="E259" sqref="E259"/>
      <selection pane="bottomLeft" activeCell="C25" sqref="C25"/>
    </sheetView>
  </sheetViews>
  <sheetFormatPr defaultRowHeight="17.399999999999999" x14ac:dyDescent="0.3"/>
  <cols>
    <col min="1" max="1" width="11.44140625" style="382" bestFit="1" customWidth="1"/>
    <col min="2" max="2" width="7.109375" style="382" bestFit="1" customWidth="1"/>
    <col min="3" max="3" width="20.109375" style="385" customWidth="1"/>
    <col min="4" max="4" width="22" style="385" bestFit="1" customWidth="1"/>
    <col min="5" max="5" width="16.44140625" style="383" bestFit="1" customWidth="1"/>
    <col min="8" max="8" width="16.44140625" bestFit="1" customWidth="1"/>
    <col min="10" max="10" width="18.88671875" bestFit="1" customWidth="1"/>
    <col min="11" max="11" width="18.6640625" bestFit="1" customWidth="1"/>
    <col min="12" max="12" width="15.44140625" bestFit="1" customWidth="1"/>
  </cols>
  <sheetData>
    <row r="1" spans="1:14" s="381" customFormat="1" ht="20.399999999999999" x14ac:dyDescent="0.35">
      <c r="A1" s="588"/>
      <c r="B1" s="588"/>
      <c r="C1" s="588"/>
      <c r="D1" s="588"/>
      <c r="E1" s="588"/>
      <c r="F1" s="588"/>
      <c r="G1" s="588"/>
      <c r="H1" s="589" t="s">
        <v>762</v>
      </c>
      <c r="I1" s="589"/>
      <c r="J1" s="589"/>
      <c r="K1" s="589"/>
      <c r="L1" s="589"/>
      <c r="M1" s="589"/>
      <c r="N1" s="589"/>
    </row>
    <row r="3" spans="1:14" ht="21.6" thickBot="1" x14ac:dyDescent="0.45">
      <c r="C3" s="590" t="s">
        <v>763</v>
      </c>
      <c r="D3" s="590"/>
      <c r="H3" s="382"/>
      <c r="I3" s="382"/>
      <c r="J3" s="590" t="s">
        <v>764</v>
      </c>
      <c r="K3" s="590"/>
    </row>
    <row r="4" spans="1:14" ht="18" thickBot="1" x14ac:dyDescent="0.35">
      <c r="C4" s="384" t="s">
        <v>765</v>
      </c>
      <c r="D4" s="384" t="s">
        <v>766</v>
      </c>
      <c r="H4" s="382"/>
      <c r="I4" s="382"/>
      <c r="J4" s="384" t="s">
        <v>765</v>
      </c>
      <c r="K4" s="384" t="s">
        <v>766</v>
      </c>
    </row>
    <row r="5" spans="1:14" x14ac:dyDescent="0.3">
      <c r="A5" s="382" t="s">
        <v>767</v>
      </c>
      <c r="H5" s="382" t="s">
        <v>767</v>
      </c>
      <c r="I5" s="382"/>
      <c r="J5" s="385"/>
      <c r="K5" s="385"/>
    </row>
    <row r="6" spans="1:14" x14ac:dyDescent="0.3">
      <c r="B6" s="382" t="s">
        <v>288</v>
      </c>
      <c r="C6" s="386"/>
      <c r="D6" s="386"/>
      <c r="H6" s="382"/>
      <c r="I6" s="382" t="s">
        <v>288</v>
      </c>
      <c r="J6" s="386"/>
      <c r="K6" s="386"/>
    </row>
    <row r="7" spans="1:14" x14ac:dyDescent="0.3">
      <c r="B7" s="382" t="s">
        <v>263</v>
      </c>
      <c r="C7" s="386"/>
      <c r="D7" s="386">
        <v>1718400</v>
      </c>
      <c r="E7" s="387">
        <f t="shared" ref="E7:E17" si="0">C7-D7</f>
        <v>-1718400</v>
      </c>
      <c r="H7" s="382"/>
      <c r="I7" s="382" t="s">
        <v>263</v>
      </c>
      <c r="J7" s="386"/>
      <c r="K7" s="386"/>
    </row>
    <row r="8" spans="1:14" x14ac:dyDescent="0.3">
      <c r="B8" s="382" t="s">
        <v>310</v>
      </c>
      <c r="C8" s="388">
        <v>29816.9</v>
      </c>
      <c r="D8" s="389">
        <f>29817.9+1000+600</f>
        <v>31417.9</v>
      </c>
      <c r="E8" s="387">
        <f t="shared" si="0"/>
        <v>-1601</v>
      </c>
      <c r="H8" s="382"/>
      <c r="I8" s="382" t="s">
        <v>310</v>
      </c>
      <c r="J8" s="386"/>
      <c r="K8" s="386"/>
    </row>
    <row r="9" spans="1:14" ht="27" customHeight="1" x14ac:dyDescent="0.3">
      <c r="B9" s="382" t="s">
        <v>265</v>
      </c>
      <c r="D9" s="386">
        <v>-2803340</v>
      </c>
      <c r="E9" s="387">
        <f t="shared" si="0"/>
        <v>2803340</v>
      </c>
      <c r="H9" s="382"/>
      <c r="I9" s="382" t="s">
        <v>265</v>
      </c>
      <c r="J9" s="386"/>
      <c r="K9" s="386"/>
    </row>
    <row r="10" spans="1:14" ht="28.5" customHeight="1" x14ac:dyDescent="0.3">
      <c r="B10" s="382" t="s">
        <v>361</v>
      </c>
      <c r="C10" s="390"/>
      <c r="D10" s="386"/>
      <c r="E10" s="387">
        <f t="shared" si="0"/>
        <v>0</v>
      </c>
      <c r="F10" s="355"/>
      <c r="G10" s="355"/>
      <c r="H10" s="382"/>
      <c r="I10" s="382" t="s">
        <v>361</v>
      </c>
      <c r="J10" s="386"/>
      <c r="K10" s="386"/>
    </row>
    <row r="11" spans="1:14" x14ac:dyDescent="0.3">
      <c r="B11" s="382" t="s">
        <v>553</v>
      </c>
      <c r="C11" s="390"/>
      <c r="D11" s="386"/>
      <c r="E11" s="387">
        <f t="shared" si="0"/>
        <v>0</v>
      </c>
      <c r="H11" s="382"/>
      <c r="I11" s="382" t="s">
        <v>553</v>
      </c>
      <c r="J11" s="386"/>
      <c r="K11" s="386"/>
    </row>
    <row r="12" spans="1:14" x14ac:dyDescent="0.3">
      <c r="C12" s="391"/>
      <c r="E12" s="387">
        <f t="shared" si="0"/>
        <v>0</v>
      </c>
      <c r="H12" s="382"/>
      <c r="I12" s="382"/>
      <c r="J12" s="385"/>
      <c r="K12" s="385"/>
    </row>
    <row r="13" spans="1:14" x14ac:dyDescent="0.3">
      <c r="A13" s="382" t="s">
        <v>768</v>
      </c>
      <c r="C13" s="391"/>
      <c r="E13" s="387">
        <f t="shared" si="0"/>
        <v>0</v>
      </c>
      <c r="H13" s="382" t="s">
        <v>768</v>
      </c>
      <c r="I13" s="382"/>
      <c r="J13" s="385"/>
      <c r="K13" s="385"/>
    </row>
    <row r="14" spans="1:14" x14ac:dyDescent="0.3">
      <c r="B14" s="382" t="s">
        <v>288</v>
      </c>
      <c r="C14" s="390"/>
      <c r="D14" s="386"/>
      <c r="E14" s="387">
        <f t="shared" si="0"/>
        <v>0</v>
      </c>
      <c r="H14" s="382"/>
      <c r="I14" s="382" t="s">
        <v>288</v>
      </c>
      <c r="J14" s="386"/>
      <c r="K14" s="386"/>
    </row>
    <row r="15" spans="1:14" x14ac:dyDescent="0.3">
      <c r="B15" s="382" t="s">
        <v>263</v>
      </c>
      <c r="C15" s="390"/>
      <c r="D15" s="386">
        <v>1169152</v>
      </c>
      <c r="E15" s="387">
        <f t="shared" si="0"/>
        <v>-1169152</v>
      </c>
      <c r="F15" s="387"/>
      <c r="G15" s="387"/>
      <c r="H15" s="382"/>
      <c r="I15" s="382" t="s">
        <v>263</v>
      </c>
      <c r="J15" s="386"/>
      <c r="K15" s="386"/>
    </row>
    <row r="16" spans="1:14" x14ac:dyDescent="0.3">
      <c r="B16" s="382" t="s">
        <v>310</v>
      </c>
      <c r="C16" s="388">
        <v>30278.57</v>
      </c>
      <c r="D16" s="386">
        <v>33032.699999999997</v>
      </c>
      <c r="E16" s="387">
        <f t="shared" si="0"/>
        <v>-2754.1299999999974</v>
      </c>
      <c r="F16" s="387"/>
      <c r="G16" s="387"/>
      <c r="H16" s="382"/>
      <c r="I16" s="382" t="s">
        <v>310</v>
      </c>
      <c r="J16" s="386"/>
      <c r="K16" s="386"/>
    </row>
    <row r="17" spans="1:14" ht="28.5" customHeight="1" x14ac:dyDescent="0.3">
      <c r="B17" s="382" t="s">
        <v>265</v>
      </c>
      <c r="D17" s="386">
        <v>-1907277.32</v>
      </c>
      <c r="E17" s="387">
        <f t="shared" si="0"/>
        <v>1907277.32</v>
      </c>
      <c r="F17" s="387"/>
      <c r="G17" s="387"/>
      <c r="H17" s="382"/>
      <c r="I17" s="382" t="s">
        <v>265</v>
      </c>
      <c r="J17" s="386"/>
      <c r="K17" s="386"/>
    </row>
    <row r="18" spans="1:14" ht="26.25" customHeight="1" x14ac:dyDescent="0.3">
      <c r="B18" s="382" t="s">
        <v>361</v>
      </c>
      <c r="C18" s="392">
        <v>-112200</v>
      </c>
      <c r="D18" s="390"/>
      <c r="E18" s="387"/>
      <c r="F18" s="387" t="s">
        <v>769</v>
      </c>
      <c r="G18" s="387"/>
      <c r="H18" s="382"/>
      <c r="I18" s="382" t="s">
        <v>361</v>
      </c>
      <c r="J18" s="390"/>
      <c r="K18" s="390"/>
    </row>
    <row r="19" spans="1:14" ht="18" customHeight="1" x14ac:dyDescent="0.3">
      <c r="B19" s="382" t="s">
        <v>553</v>
      </c>
      <c r="C19" s="386"/>
      <c r="D19" s="386"/>
      <c r="E19" s="387">
        <f>C19-D19</f>
        <v>0</v>
      </c>
      <c r="F19" s="393"/>
      <c r="G19" s="393"/>
      <c r="H19" s="382"/>
      <c r="I19" s="382" t="s">
        <v>553</v>
      </c>
      <c r="J19" s="390"/>
      <c r="K19" s="390"/>
    </row>
    <row r="20" spans="1:14" x14ac:dyDescent="0.3">
      <c r="E20" s="387">
        <f>C20-D20</f>
        <v>0</v>
      </c>
      <c r="H20" s="382"/>
      <c r="I20" s="382"/>
      <c r="J20" s="385"/>
      <c r="K20" s="385"/>
    </row>
    <row r="21" spans="1:14" x14ac:dyDescent="0.3">
      <c r="A21" s="382" t="s">
        <v>770</v>
      </c>
      <c r="B21" s="382" t="s">
        <v>288</v>
      </c>
      <c r="C21" s="386"/>
      <c r="D21" s="386"/>
      <c r="E21" s="387">
        <f>C21-D21</f>
        <v>0</v>
      </c>
      <c r="H21" s="382" t="s">
        <v>770</v>
      </c>
      <c r="I21" s="382" t="s">
        <v>288</v>
      </c>
      <c r="J21" s="386"/>
      <c r="K21" s="386"/>
    </row>
    <row r="22" spans="1:14" x14ac:dyDescent="0.3">
      <c r="B22" s="382" t="s">
        <v>263</v>
      </c>
      <c r="C22" s="394">
        <v>-84430813.099999994</v>
      </c>
      <c r="D22" s="386">
        <v>576</v>
      </c>
      <c r="E22" s="387">
        <f>0-D22</f>
        <v>-576</v>
      </c>
      <c r="H22" s="382"/>
      <c r="I22" s="382" t="s">
        <v>263</v>
      </c>
      <c r="J22" s="386"/>
      <c r="K22" s="386"/>
    </row>
    <row r="23" spans="1:14" x14ac:dyDescent="0.3">
      <c r="B23" s="382" t="s">
        <v>310</v>
      </c>
      <c r="C23" s="386"/>
      <c r="D23" s="386">
        <v>-3328</v>
      </c>
      <c r="E23" s="387">
        <f>0-D23</f>
        <v>3328</v>
      </c>
      <c r="H23" s="382"/>
      <c r="I23" s="382" t="s">
        <v>310</v>
      </c>
      <c r="J23" s="386"/>
      <c r="K23" s="386"/>
    </row>
    <row r="24" spans="1:14" x14ac:dyDescent="0.3">
      <c r="B24" s="382" t="s">
        <v>265</v>
      </c>
      <c r="C24" s="386">
        <v>104249170.28</v>
      </c>
      <c r="D24" s="386">
        <v>166131.28</v>
      </c>
      <c r="E24" s="387">
        <f>0-D24</f>
        <v>-166131.28</v>
      </c>
      <c r="H24" s="382"/>
      <c r="I24" s="382" t="s">
        <v>265</v>
      </c>
      <c r="J24" s="386">
        <v>92294.25</v>
      </c>
      <c r="K24" s="386">
        <v>-92278.3</v>
      </c>
      <c r="L24" s="395">
        <f>0-K24</f>
        <v>92278.3</v>
      </c>
    </row>
    <row r="25" spans="1:14" ht="25.5" customHeight="1" x14ac:dyDescent="0.3">
      <c r="B25" s="382" t="s">
        <v>361</v>
      </c>
      <c r="C25" s="392">
        <v>-512080</v>
      </c>
      <c r="D25" s="390"/>
      <c r="E25" s="387">
        <f>0-D25</f>
        <v>0</v>
      </c>
      <c r="F25" t="s">
        <v>769</v>
      </c>
      <c r="H25" s="382"/>
      <c r="I25" s="382" t="s">
        <v>361</v>
      </c>
      <c r="J25" s="390"/>
      <c r="K25" s="390"/>
    </row>
    <row r="26" spans="1:14" x14ac:dyDescent="0.3">
      <c r="B26" s="382" t="s">
        <v>553</v>
      </c>
      <c r="C26" s="386">
        <v>540600</v>
      </c>
      <c r="D26" s="386"/>
      <c r="E26" s="387">
        <f>0-D26</f>
        <v>0</v>
      </c>
      <c r="F26" s="396"/>
      <c r="G26" s="396"/>
      <c r="H26" s="382"/>
      <c r="I26" s="382" t="s">
        <v>553</v>
      </c>
      <c r="J26" s="390"/>
      <c r="K26" s="390"/>
    </row>
    <row r="27" spans="1:14" x14ac:dyDescent="0.3">
      <c r="E27" s="387">
        <f t="shared" ref="E27:E34" si="1">C27-D27</f>
        <v>0</v>
      </c>
      <c r="H27" s="382"/>
      <c r="I27" s="382"/>
      <c r="J27" s="385"/>
      <c r="K27" s="385"/>
    </row>
    <row r="28" spans="1:14" x14ac:dyDescent="0.3">
      <c r="A28" s="382" t="s">
        <v>771</v>
      </c>
      <c r="B28" s="382" t="s">
        <v>288</v>
      </c>
      <c r="C28" s="386"/>
      <c r="D28" s="390">
        <v>-21700</v>
      </c>
      <c r="E28" s="397">
        <f t="shared" si="1"/>
        <v>21700</v>
      </c>
      <c r="F28" s="383"/>
      <c r="G28" s="383"/>
      <c r="H28" s="382" t="s">
        <v>771</v>
      </c>
      <c r="I28" s="382" t="s">
        <v>288</v>
      </c>
      <c r="J28" s="390"/>
      <c r="K28" s="390"/>
    </row>
    <row r="29" spans="1:14" x14ac:dyDescent="0.3">
      <c r="B29" s="382" t="s">
        <v>263</v>
      </c>
      <c r="C29" s="388">
        <v>-100855834.64</v>
      </c>
      <c r="D29" s="390">
        <v>-100835414.09999999</v>
      </c>
      <c r="E29" s="397">
        <f t="shared" si="1"/>
        <v>-20420.540000006557</v>
      </c>
      <c r="F29" s="383"/>
      <c r="G29" s="383"/>
      <c r="H29" s="382"/>
      <c r="I29" s="382" t="s">
        <v>263</v>
      </c>
      <c r="J29" s="390"/>
      <c r="K29" s="390"/>
    </row>
    <row r="30" spans="1:14" x14ac:dyDescent="0.3">
      <c r="B30" s="382" t="s">
        <v>310</v>
      </c>
      <c r="C30" s="390"/>
      <c r="D30" s="390">
        <v>188100</v>
      </c>
      <c r="E30" s="387">
        <f t="shared" si="1"/>
        <v>-188100</v>
      </c>
      <c r="F30" s="383"/>
      <c r="G30" s="383"/>
      <c r="H30" s="382"/>
      <c r="I30" s="382" t="s">
        <v>310</v>
      </c>
      <c r="J30" s="390"/>
      <c r="K30" s="390"/>
      <c r="L30" s="398"/>
      <c r="M30" s="383"/>
      <c r="N30" s="383"/>
    </row>
    <row r="31" spans="1:14" x14ac:dyDescent="0.3">
      <c r="B31" s="382" t="s">
        <v>265</v>
      </c>
      <c r="C31" s="388">
        <v>130258188.88</v>
      </c>
      <c r="D31" s="390">
        <v>129954648.3</v>
      </c>
      <c r="E31" s="387">
        <f t="shared" si="1"/>
        <v>303540.57999999821</v>
      </c>
      <c r="F31" s="383"/>
      <c r="G31" s="383"/>
      <c r="H31" s="382"/>
      <c r="I31" s="382" t="s">
        <v>265</v>
      </c>
      <c r="J31" s="388">
        <v>90274.55</v>
      </c>
      <c r="K31" s="390">
        <v>84979.98</v>
      </c>
      <c r="L31" s="399">
        <f>J31-K31</f>
        <v>5294.570000000007</v>
      </c>
      <c r="M31" s="383"/>
      <c r="N31" s="383"/>
    </row>
    <row r="32" spans="1:14" ht="30" customHeight="1" x14ac:dyDescent="0.3">
      <c r="B32" s="382" t="s">
        <v>361</v>
      </c>
      <c r="C32" s="390"/>
      <c r="D32" s="390"/>
      <c r="E32" s="387">
        <f t="shared" si="1"/>
        <v>0</v>
      </c>
      <c r="F32" s="383"/>
      <c r="G32" s="383"/>
      <c r="H32" s="382"/>
      <c r="I32" s="382" t="s">
        <v>361</v>
      </c>
      <c r="J32" s="386"/>
      <c r="K32" s="386"/>
      <c r="L32" s="585"/>
      <c r="M32" s="586"/>
      <c r="N32" s="586"/>
    </row>
    <row r="33" spans="1:14" ht="29.25" customHeight="1" x14ac:dyDescent="0.3">
      <c r="B33" s="382" t="s">
        <v>553</v>
      </c>
      <c r="C33" s="386"/>
      <c r="D33" s="390"/>
      <c r="E33" s="387">
        <f t="shared" si="1"/>
        <v>0</v>
      </c>
      <c r="F33" s="400"/>
      <c r="G33" s="400"/>
      <c r="H33" s="382"/>
      <c r="I33" s="382" t="s">
        <v>553</v>
      </c>
      <c r="J33" s="386"/>
      <c r="K33" s="386"/>
      <c r="L33" s="587"/>
      <c r="M33" s="586"/>
      <c r="N33" s="586"/>
    </row>
    <row r="34" spans="1:14" x14ac:dyDescent="0.3">
      <c r="B34" s="382" t="s">
        <v>772</v>
      </c>
      <c r="C34" s="401"/>
      <c r="E34" s="387">
        <f t="shared" si="1"/>
        <v>0</v>
      </c>
      <c r="H34" s="382"/>
      <c r="I34" s="382"/>
      <c r="J34" s="385"/>
      <c r="K34" s="385"/>
      <c r="L34" s="383"/>
      <c r="M34" s="383"/>
      <c r="N34" s="383"/>
    </row>
    <row r="35" spans="1:14" x14ac:dyDescent="0.3">
      <c r="L35" s="383"/>
      <c r="M35" s="383"/>
      <c r="N35" s="383"/>
    </row>
    <row r="36" spans="1:14" x14ac:dyDescent="0.3">
      <c r="L36" s="383"/>
      <c r="M36" s="383"/>
      <c r="N36" s="383"/>
    </row>
    <row r="37" spans="1:14" x14ac:dyDescent="0.3">
      <c r="A37" s="382" t="s">
        <v>773</v>
      </c>
      <c r="C37" s="402">
        <f>SUM(C6:C33)</f>
        <v>49197126.890000001</v>
      </c>
      <c r="D37" s="385">
        <f>SUM(D7:D31)</f>
        <v>27690398.760000005</v>
      </c>
      <c r="E37" s="387">
        <f>C37-D37</f>
        <v>21506728.129999995</v>
      </c>
      <c r="J37" s="395">
        <f>J24+J31</f>
        <v>182568.8</v>
      </c>
      <c r="K37" s="395">
        <f>K24+K31</f>
        <v>-7298.320000000007</v>
      </c>
      <c r="L37" s="395">
        <f>J37-K37</f>
        <v>189867.12</v>
      </c>
    </row>
    <row r="39" spans="1:14" x14ac:dyDescent="0.3">
      <c r="C39" s="403"/>
    </row>
    <row r="41" spans="1:14" x14ac:dyDescent="0.3">
      <c r="H41" s="395"/>
    </row>
  </sheetData>
  <mergeCells count="6">
    <mergeCell ref="L32:N32"/>
    <mergeCell ref="L33:N33"/>
    <mergeCell ref="A1:G1"/>
    <mergeCell ref="H1:N1"/>
    <mergeCell ref="J3:K3"/>
    <mergeCell ref="C3:D3"/>
  </mergeCells>
  <pageMargins left="0.75" right="0" top="1" bottom="0" header="0.5" footer="0.5"/>
  <pageSetup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9"/>
  <sheetViews>
    <sheetView topLeftCell="D1" workbookViewId="0">
      <selection activeCell="I8" sqref="I8"/>
    </sheetView>
  </sheetViews>
  <sheetFormatPr defaultColWidth="9.109375" defaultRowHeight="13.2" x14ac:dyDescent="0.25"/>
  <cols>
    <col min="1" max="1" width="1.5546875" style="404" customWidth="1"/>
    <col min="2" max="2" width="11.33203125" style="404" bestFit="1" customWidth="1"/>
    <col min="3" max="3" width="17" style="405" bestFit="1" customWidth="1"/>
    <col min="4" max="4" width="17" style="405" customWidth="1"/>
    <col min="5" max="5" width="18" style="405" bestFit="1" customWidth="1"/>
    <col min="6" max="6" width="22.44140625" style="405" customWidth="1"/>
    <col min="7" max="7" width="18.5546875" style="405" customWidth="1"/>
    <col min="8" max="8" width="18" style="404" bestFit="1" customWidth="1"/>
    <col min="9" max="9" width="19.44140625" style="404" bestFit="1" customWidth="1"/>
    <col min="10" max="10" width="17.109375" style="404" bestFit="1" customWidth="1"/>
    <col min="11" max="11" width="15.44140625" style="404" bestFit="1" customWidth="1"/>
    <col min="12" max="12" width="16.44140625" style="404" bestFit="1" customWidth="1"/>
    <col min="13" max="16384" width="9.109375" style="404"/>
  </cols>
  <sheetData>
    <row r="1" spans="2:13" ht="21.6" thickBot="1" x14ac:dyDescent="0.3">
      <c r="F1" s="406" t="s">
        <v>774</v>
      </c>
    </row>
    <row r="2" spans="2:13" ht="27" thickBot="1" x14ac:dyDescent="0.3">
      <c r="I2" s="407" t="s">
        <v>775</v>
      </c>
    </row>
    <row r="3" spans="2:13" ht="13.8" thickBot="1" x14ac:dyDescent="0.3">
      <c r="B3" s="408" t="s">
        <v>776</v>
      </c>
      <c r="C3" s="409"/>
      <c r="D3" s="409"/>
      <c r="E3" s="409"/>
      <c r="I3" s="410">
        <f>-334148297.31+23587978.25</f>
        <v>-310560319.06</v>
      </c>
    </row>
    <row r="4" spans="2:13" x14ac:dyDescent="0.25">
      <c r="B4" s="408"/>
      <c r="C4" s="409"/>
      <c r="D4" s="409"/>
      <c r="E4" s="409"/>
    </row>
    <row r="5" spans="2:13" x14ac:dyDescent="0.25">
      <c r="B5" s="408"/>
      <c r="C5" s="409"/>
      <c r="D5" s="409"/>
      <c r="E5" s="409"/>
    </row>
    <row r="6" spans="2:13" ht="16.2" thickBot="1" x14ac:dyDescent="0.3">
      <c r="B6" s="411" t="s">
        <v>777</v>
      </c>
      <c r="C6" s="409"/>
      <c r="D6" s="409"/>
      <c r="E6" s="409"/>
      <c r="I6" s="412"/>
    </row>
    <row r="7" spans="2:13" x14ac:dyDescent="0.25">
      <c r="B7" s="413"/>
      <c r="C7" s="414"/>
      <c r="D7" s="414"/>
      <c r="E7" s="414"/>
      <c r="F7" s="414"/>
      <c r="G7" s="414"/>
      <c r="H7" s="415"/>
      <c r="I7" s="415"/>
      <c r="J7" s="416"/>
    </row>
    <row r="8" spans="2:13" x14ac:dyDescent="0.25">
      <c r="B8" s="417"/>
      <c r="C8" s="418"/>
      <c r="D8" s="418"/>
      <c r="F8" s="419"/>
      <c r="G8" s="420"/>
      <c r="H8" s="421"/>
      <c r="I8" s="419"/>
      <c r="J8" s="422"/>
    </row>
    <row r="9" spans="2:13" ht="20.399999999999999" x14ac:dyDescent="0.25">
      <c r="B9" s="417"/>
      <c r="C9" s="418"/>
      <c r="D9" s="418"/>
      <c r="E9" s="594" t="s">
        <v>778</v>
      </c>
      <c r="F9" s="594"/>
      <c r="G9" s="420"/>
      <c r="H9" s="412" t="s">
        <v>779</v>
      </c>
      <c r="I9" s="412" t="s">
        <v>780</v>
      </c>
      <c r="J9" s="424" t="s">
        <v>781</v>
      </c>
    </row>
    <row r="10" spans="2:13" ht="53.4" thickBot="1" x14ac:dyDescent="0.3">
      <c r="B10" s="417"/>
      <c r="C10" s="420"/>
      <c r="D10" s="420"/>
      <c r="E10" s="423" t="s">
        <v>782</v>
      </c>
      <c r="F10" s="418" t="s">
        <v>783</v>
      </c>
      <c r="G10" s="425" t="s">
        <v>784</v>
      </c>
      <c r="H10" s="426" t="s">
        <v>785</v>
      </c>
      <c r="I10" s="426" t="s">
        <v>786</v>
      </c>
      <c r="J10" s="427" t="s">
        <v>773</v>
      </c>
      <c r="K10" s="419"/>
      <c r="L10" s="419"/>
    </row>
    <row r="11" spans="2:13" ht="13.8" thickBot="1" x14ac:dyDescent="0.3">
      <c r="B11" s="417"/>
      <c r="C11" s="420"/>
      <c r="D11" s="429" t="s">
        <v>787</v>
      </c>
      <c r="E11" s="430">
        <f>56993006.4</f>
        <v>56993006.399999999</v>
      </c>
      <c r="F11" s="431">
        <f>64288197.1-23587978.25</f>
        <v>40700218.850000001</v>
      </c>
      <c r="G11" s="432">
        <v>4043825.6</v>
      </c>
      <c r="H11" s="433">
        <v>62864098.759999998</v>
      </c>
      <c r="I11" s="434">
        <f>1869623.82+512080</f>
        <v>2381703.8200000003</v>
      </c>
      <c r="J11" s="435">
        <f>SUM(E11:I11)</f>
        <v>166982853.42999998</v>
      </c>
      <c r="K11" s="436"/>
      <c r="L11" s="419"/>
      <c r="M11" s="436"/>
    </row>
    <row r="12" spans="2:13" x14ac:dyDescent="0.25">
      <c r="B12" s="417"/>
      <c r="C12" s="420"/>
      <c r="D12" s="420"/>
      <c r="E12" s="437"/>
      <c r="F12" s="404"/>
      <c r="G12" s="404"/>
      <c r="H12" s="419"/>
      <c r="I12" s="419"/>
      <c r="J12" s="422"/>
      <c r="L12" s="419"/>
    </row>
    <row r="13" spans="2:13" ht="13.8" thickBot="1" x14ac:dyDescent="0.3">
      <c r="B13" s="417"/>
      <c r="C13" s="420"/>
      <c r="D13" s="438"/>
      <c r="E13" s="437"/>
      <c r="F13" s="420"/>
      <c r="G13" s="438"/>
      <c r="H13" s="438"/>
      <c r="I13" s="419"/>
      <c r="J13" s="422"/>
      <c r="L13" s="419"/>
    </row>
    <row r="14" spans="2:13" ht="13.8" thickBot="1" x14ac:dyDescent="0.3">
      <c r="B14" s="439"/>
      <c r="C14" s="385">
        <v>-166982853.53</v>
      </c>
      <c r="D14" s="418" t="s">
        <v>788</v>
      </c>
      <c r="E14" s="430">
        <f>432799128.1</f>
        <v>432799128.10000002</v>
      </c>
      <c r="F14" s="440">
        <v>-265816274.59999999</v>
      </c>
      <c r="G14" s="420"/>
      <c r="H14" s="436"/>
      <c r="J14" s="435">
        <f>SUM(E14:H14)</f>
        <v>166982853.50000003</v>
      </c>
      <c r="L14" s="420"/>
    </row>
    <row r="15" spans="2:13" x14ac:dyDescent="0.25">
      <c r="B15" s="417"/>
      <c r="C15" s="420"/>
      <c r="D15" s="420"/>
      <c r="E15" s="420"/>
      <c r="F15" s="420"/>
      <c r="G15" s="420"/>
      <c r="H15" s="419"/>
      <c r="I15" s="419"/>
      <c r="J15" s="441"/>
      <c r="L15" s="419"/>
    </row>
    <row r="16" spans="2:13" ht="13.8" thickBot="1" x14ac:dyDescent="0.3">
      <c r="B16" s="417"/>
      <c r="C16" s="420"/>
      <c r="D16" s="420"/>
      <c r="E16" s="442"/>
      <c r="F16" s="438"/>
      <c r="G16" s="420"/>
      <c r="H16" s="419"/>
      <c r="I16" s="419"/>
      <c r="J16" s="422"/>
      <c r="L16" s="443"/>
    </row>
    <row r="17" spans="2:12" ht="13.8" thickBot="1" x14ac:dyDescent="0.3">
      <c r="B17" s="417"/>
      <c r="C17" s="420"/>
      <c r="D17" s="420"/>
      <c r="E17" s="442"/>
      <c r="G17" s="420"/>
      <c r="I17" s="444" t="s">
        <v>789</v>
      </c>
      <c r="J17" s="445">
        <f>J11-J14</f>
        <v>-7.0000052452087402E-2</v>
      </c>
      <c r="K17" s="446"/>
      <c r="L17" s="437"/>
    </row>
    <row r="18" spans="2:12" x14ac:dyDescent="0.25">
      <c r="B18" s="417"/>
      <c r="C18" s="420"/>
      <c r="D18" s="420"/>
      <c r="E18" s="447"/>
      <c r="F18" s="448"/>
      <c r="G18" s="448"/>
      <c r="H18" s="419"/>
      <c r="I18" s="437"/>
      <c r="J18" s="442"/>
      <c r="L18" s="443"/>
    </row>
    <row r="19" spans="2:12" ht="13.8" thickBot="1" x14ac:dyDescent="0.3">
      <c r="B19" s="449"/>
      <c r="C19" s="450"/>
      <c r="D19" s="450"/>
      <c r="E19" s="451"/>
      <c r="F19" s="452"/>
      <c r="G19" s="451"/>
      <c r="H19" s="453"/>
      <c r="I19" s="452"/>
      <c r="J19" s="454"/>
    </row>
    <row r="20" spans="2:12" x14ac:dyDescent="0.25">
      <c r="E20"/>
      <c r="F20"/>
      <c r="G20"/>
      <c r="H20"/>
      <c r="I20"/>
      <c r="J20" s="442"/>
      <c r="K20"/>
      <c r="L20"/>
    </row>
    <row r="21" spans="2:12" x14ac:dyDescent="0.25">
      <c r="E21"/>
      <c r="F21"/>
      <c r="G21"/>
      <c r="H21"/>
      <c r="I21"/>
      <c r="J21" s="442"/>
      <c r="K21"/>
      <c r="L21"/>
    </row>
    <row r="23" spans="2:12" ht="16.2" thickBot="1" x14ac:dyDescent="0.3">
      <c r="B23" s="411" t="s">
        <v>790</v>
      </c>
    </row>
    <row r="24" spans="2:12" x14ac:dyDescent="0.25">
      <c r="B24" s="455"/>
      <c r="C24" s="456"/>
      <c r="D24" s="456"/>
      <c r="E24" s="456"/>
      <c r="F24" s="456"/>
      <c r="G24" s="456"/>
      <c r="H24" s="457"/>
      <c r="I24" s="458"/>
      <c r="J24" s="459"/>
    </row>
    <row r="25" spans="2:12" x14ac:dyDescent="0.25">
      <c r="B25" s="460" t="s">
        <v>175</v>
      </c>
      <c r="C25" s="461"/>
      <c r="D25" s="461"/>
      <c r="E25" s="462" t="s">
        <v>791</v>
      </c>
      <c r="F25" s="461"/>
      <c r="G25" s="463"/>
      <c r="H25" s="464"/>
      <c r="I25" s="465"/>
      <c r="J25" s="466"/>
    </row>
    <row r="26" spans="2:12" x14ac:dyDescent="0.25">
      <c r="B26" s="467"/>
      <c r="C26" s="468"/>
      <c r="D26" s="468"/>
      <c r="E26" s="469"/>
      <c r="F26" s="468"/>
      <c r="G26" s="468"/>
      <c r="H26" s="470">
        <f>C26-F26</f>
        <v>0</v>
      </c>
      <c r="I26" s="471" t="s">
        <v>792</v>
      </c>
      <c r="J26" s="466"/>
    </row>
    <row r="27" spans="2:12" x14ac:dyDescent="0.25">
      <c r="B27" s="472"/>
      <c r="C27" s="473"/>
      <c r="D27" s="473"/>
      <c r="E27" s="474"/>
      <c r="F27" s="473"/>
      <c r="G27" s="473"/>
      <c r="H27" s="473"/>
      <c r="I27" s="471" t="s">
        <v>793</v>
      </c>
      <c r="J27" s="466"/>
    </row>
    <row r="28" spans="2:12" x14ac:dyDescent="0.25">
      <c r="B28" s="472"/>
      <c r="C28" s="473"/>
      <c r="D28" s="473"/>
      <c r="E28" s="474"/>
      <c r="F28" s="473"/>
      <c r="G28" s="473"/>
      <c r="H28" s="475"/>
      <c r="I28" s="476"/>
      <c r="J28" s="466"/>
    </row>
    <row r="29" spans="2:12" x14ac:dyDescent="0.25">
      <c r="B29" s="472"/>
      <c r="C29" s="473"/>
      <c r="D29" s="473"/>
      <c r="E29" s="474"/>
      <c r="F29" s="473"/>
      <c r="G29" s="473"/>
      <c r="H29" s="475">
        <f>H26+H27</f>
        <v>0</v>
      </c>
      <c r="I29" s="591" t="s">
        <v>794</v>
      </c>
      <c r="J29" s="592"/>
    </row>
    <row r="30" spans="2:12" x14ac:dyDescent="0.25">
      <c r="B30" s="472"/>
      <c r="C30" s="473"/>
      <c r="D30" s="473"/>
      <c r="E30" s="474"/>
      <c r="F30" s="473"/>
      <c r="G30" s="473"/>
      <c r="H30" s="475"/>
      <c r="I30" s="477"/>
      <c r="J30" s="478"/>
    </row>
    <row r="31" spans="2:12" x14ac:dyDescent="0.25">
      <c r="B31" s="460" t="s">
        <v>175</v>
      </c>
      <c r="C31" s="461"/>
      <c r="D31" s="461"/>
      <c r="E31" s="462" t="s">
        <v>795</v>
      </c>
      <c r="F31" s="461"/>
      <c r="G31" s="461"/>
      <c r="H31" s="479"/>
      <c r="I31" s="471"/>
      <c r="J31" s="466"/>
    </row>
    <row r="32" spans="2:12" x14ac:dyDescent="0.25">
      <c r="B32" s="480"/>
      <c r="C32" s="468"/>
      <c r="D32" s="468"/>
      <c r="E32" s="468"/>
      <c r="F32" s="468"/>
      <c r="G32" s="468"/>
      <c r="H32" s="470">
        <f>C32-F32</f>
        <v>0</v>
      </c>
      <c r="I32" s="471" t="s">
        <v>792</v>
      </c>
      <c r="J32" s="466"/>
      <c r="L32" s="446"/>
    </row>
    <row r="33" spans="2:10" x14ac:dyDescent="0.25">
      <c r="B33" s="481"/>
      <c r="C33" s="473"/>
      <c r="D33" s="473"/>
      <c r="E33" s="473"/>
      <c r="F33" s="473"/>
      <c r="G33" s="473"/>
      <c r="H33" s="473"/>
      <c r="I33" s="591" t="s">
        <v>796</v>
      </c>
      <c r="J33" s="593"/>
    </row>
    <row r="34" spans="2:10" x14ac:dyDescent="0.25">
      <c r="B34" s="481"/>
      <c r="C34" s="473"/>
      <c r="D34" s="473"/>
      <c r="E34" s="473"/>
      <c r="F34" s="473"/>
      <c r="G34" s="473"/>
      <c r="H34" s="476"/>
      <c r="I34" s="476"/>
      <c r="J34" s="466"/>
    </row>
    <row r="35" spans="2:10" ht="13.8" thickBot="1" x14ac:dyDescent="0.3">
      <c r="B35" s="482"/>
      <c r="C35" s="483"/>
      <c r="D35" s="483"/>
      <c r="E35" s="483"/>
      <c r="F35" s="483"/>
      <c r="G35" s="483"/>
      <c r="H35" s="484">
        <f>H32+H33</f>
        <v>0</v>
      </c>
      <c r="I35" s="595" t="s">
        <v>792</v>
      </c>
      <c r="J35" s="596"/>
    </row>
    <row r="36" spans="2:10" x14ac:dyDescent="0.25">
      <c r="H36" s="448"/>
    </row>
    <row r="37" spans="2:10" x14ac:dyDescent="0.25">
      <c r="H37" s="446"/>
      <c r="I37" s="485"/>
    </row>
    <row r="39" spans="2:10" x14ac:dyDescent="0.25">
      <c r="H39" s="446"/>
    </row>
  </sheetData>
  <mergeCells count="4">
    <mergeCell ref="I29:J29"/>
    <mergeCell ref="I33:J33"/>
    <mergeCell ref="E9:F9"/>
    <mergeCell ref="I35:J35"/>
  </mergeCells>
  <pageMargins left="0.75" right="0.75" top="1" bottom="1" header="0.5" footer="0.5"/>
  <pageSetup scale="70" orientation="landscape"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J17" sqref="J17:J18"/>
    </sheetView>
  </sheetViews>
  <sheetFormatPr defaultRowHeight="13.2" x14ac:dyDescent="0.25"/>
  <cols>
    <col min="4" max="5" width="10" bestFit="1" customWidth="1"/>
    <col min="7" max="8" width="15.44140625" bestFit="1" customWidth="1"/>
    <col min="9" max="10" width="17.6640625" bestFit="1" customWidth="1"/>
    <col min="12" max="12" width="17.33203125" bestFit="1" customWidth="1"/>
  </cols>
  <sheetData>
    <row r="1" spans="1:18" s="486" customFormat="1" x14ac:dyDescent="0.25">
      <c r="A1" s="486" t="s">
        <v>797</v>
      </c>
      <c r="B1" s="486" t="s">
        <v>798</v>
      </c>
      <c r="C1" s="486" t="s">
        <v>799</v>
      </c>
      <c r="D1" s="486" t="s">
        <v>800</v>
      </c>
      <c r="E1" s="486" t="s">
        <v>801</v>
      </c>
      <c r="F1" s="486" t="s">
        <v>802</v>
      </c>
      <c r="G1" s="486" t="s">
        <v>803</v>
      </c>
      <c r="H1" s="486" t="s">
        <v>804</v>
      </c>
      <c r="I1" s="486" t="s">
        <v>805</v>
      </c>
      <c r="J1" s="486" t="s">
        <v>806</v>
      </c>
      <c r="K1" s="486" t="s">
        <v>807</v>
      </c>
      <c r="L1" s="486" t="s">
        <v>808</v>
      </c>
      <c r="M1" s="486" t="s">
        <v>809</v>
      </c>
      <c r="N1" s="486" t="s">
        <v>810</v>
      </c>
      <c r="O1" s="486" t="s">
        <v>811</v>
      </c>
      <c r="P1" s="486" t="s">
        <v>812</v>
      </c>
      <c r="Q1" s="486" t="s">
        <v>813</v>
      </c>
      <c r="R1" s="486" t="s">
        <v>814</v>
      </c>
    </row>
    <row r="2" spans="1:18" s="487" customFormat="1" x14ac:dyDescent="0.25">
      <c r="A2" s="487">
        <v>10</v>
      </c>
      <c r="B2" s="487">
        <v>553</v>
      </c>
      <c r="C2" s="487">
        <v>45016000</v>
      </c>
      <c r="D2" s="487" t="s">
        <v>815</v>
      </c>
      <c r="E2" s="487">
        <v>500001504</v>
      </c>
      <c r="F2" s="487">
        <v>967</v>
      </c>
      <c r="G2" s="487">
        <v>11862</v>
      </c>
      <c r="H2" s="487">
        <v>0</v>
      </c>
      <c r="J2" s="488">
        <v>1944707.74</v>
      </c>
      <c r="K2" s="487" t="s">
        <v>816</v>
      </c>
      <c r="L2" s="487" t="s">
        <v>817</v>
      </c>
      <c r="M2" s="487" t="s">
        <v>818</v>
      </c>
      <c r="N2" s="487">
        <v>20001031</v>
      </c>
      <c r="O2" s="487">
        <v>200010</v>
      </c>
      <c r="P2" s="487">
        <v>100005248</v>
      </c>
      <c r="Q2" s="487">
        <v>1</v>
      </c>
      <c r="R2" s="487" t="s">
        <v>819</v>
      </c>
    </row>
    <row r="3" spans="1:18" s="487" customFormat="1" x14ac:dyDescent="0.25">
      <c r="A3" s="487">
        <v>10</v>
      </c>
      <c r="B3" s="487">
        <v>553</v>
      </c>
      <c r="C3" s="487">
        <v>45016000</v>
      </c>
      <c r="D3" s="487" t="s">
        <v>815</v>
      </c>
      <c r="E3" s="487">
        <v>500001504</v>
      </c>
      <c r="F3" s="487">
        <v>364</v>
      </c>
      <c r="G3" s="487">
        <v>11862</v>
      </c>
      <c r="H3" s="487">
        <v>0</v>
      </c>
      <c r="J3" s="488">
        <v>-1937925</v>
      </c>
      <c r="K3" s="487" t="s">
        <v>816</v>
      </c>
      <c r="L3" s="487" t="s">
        <v>817</v>
      </c>
      <c r="M3" s="487" t="s">
        <v>820</v>
      </c>
      <c r="O3" s="487">
        <v>200010</v>
      </c>
      <c r="P3" s="487">
        <v>100003712</v>
      </c>
      <c r="Q3" s="487">
        <v>3</v>
      </c>
      <c r="R3" s="487" t="s">
        <v>819</v>
      </c>
    </row>
    <row r="4" spans="1:18" s="487" customFormat="1" x14ac:dyDescent="0.25">
      <c r="A4" s="487">
        <v>10</v>
      </c>
      <c r="B4" s="487">
        <v>553</v>
      </c>
      <c r="C4" s="487">
        <v>45016000</v>
      </c>
      <c r="D4" s="487" t="s">
        <v>815</v>
      </c>
      <c r="E4" s="487">
        <v>500001504</v>
      </c>
      <c r="F4" s="487">
        <v>967</v>
      </c>
      <c r="G4" s="487">
        <v>11862</v>
      </c>
      <c r="H4" s="487">
        <v>0</v>
      </c>
      <c r="J4" s="488">
        <v>-322000</v>
      </c>
      <c r="K4" s="487" t="s">
        <v>816</v>
      </c>
      <c r="L4" s="487" t="s">
        <v>821</v>
      </c>
      <c r="M4" s="487" t="s">
        <v>822</v>
      </c>
      <c r="N4" s="487">
        <v>20001031</v>
      </c>
      <c r="O4" s="487">
        <v>200010</v>
      </c>
      <c r="P4" s="487">
        <v>100005523</v>
      </c>
      <c r="Q4" s="487">
        <v>1</v>
      </c>
      <c r="R4" s="487" t="s">
        <v>819</v>
      </c>
    </row>
    <row r="5" spans="1:18" s="487" customFormat="1" x14ac:dyDescent="0.25">
      <c r="A5" s="487">
        <v>10</v>
      </c>
      <c r="B5" s="487">
        <v>553</v>
      </c>
      <c r="C5" s="487">
        <v>45016000</v>
      </c>
      <c r="D5" s="487" t="s">
        <v>815</v>
      </c>
      <c r="E5" s="487">
        <v>500001504</v>
      </c>
      <c r="F5" s="487">
        <v>967</v>
      </c>
      <c r="G5" s="487">
        <v>11862</v>
      </c>
      <c r="H5" s="487">
        <v>0</v>
      </c>
      <c r="J5" s="488">
        <v>-68880</v>
      </c>
      <c r="K5" s="487" t="s">
        <v>816</v>
      </c>
      <c r="L5" s="487" t="s">
        <v>823</v>
      </c>
      <c r="M5" s="487" t="s">
        <v>824</v>
      </c>
      <c r="N5" s="487">
        <v>20001031</v>
      </c>
      <c r="O5" s="487">
        <v>200010</v>
      </c>
      <c r="P5" s="487">
        <v>100005250</v>
      </c>
      <c r="Q5" s="487">
        <v>1</v>
      </c>
      <c r="R5" s="487" t="s">
        <v>819</v>
      </c>
    </row>
    <row r="6" spans="1:18" s="487" customFormat="1" x14ac:dyDescent="0.25">
      <c r="A6" s="487">
        <v>10</v>
      </c>
      <c r="B6" s="487">
        <v>553</v>
      </c>
      <c r="C6" s="487">
        <v>45016000</v>
      </c>
      <c r="D6" s="487" t="s">
        <v>815</v>
      </c>
      <c r="E6" s="487">
        <v>500000541</v>
      </c>
      <c r="F6" s="487">
        <v>967</v>
      </c>
      <c r="G6" s="487">
        <v>11862</v>
      </c>
      <c r="H6" s="487">
        <v>0</v>
      </c>
      <c r="J6" s="488">
        <v>3807550.05</v>
      </c>
      <c r="K6" s="487" t="s">
        <v>816</v>
      </c>
      <c r="L6" s="487" t="s">
        <v>825</v>
      </c>
      <c r="M6" s="487" t="s">
        <v>826</v>
      </c>
      <c r="N6" s="487">
        <v>20001031</v>
      </c>
      <c r="O6" s="487">
        <v>200010</v>
      </c>
      <c r="P6" s="487">
        <v>100005951</v>
      </c>
      <c r="Q6" s="487">
        <v>1</v>
      </c>
      <c r="R6" s="487" t="s">
        <v>819</v>
      </c>
    </row>
    <row r="7" spans="1:18" s="487" customFormat="1" x14ac:dyDescent="0.25">
      <c r="A7" s="487">
        <v>10</v>
      </c>
      <c r="B7" s="487">
        <v>553</v>
      </c>
      <c r="C7" s="487">
        <v>45016000</v>
      </c>
      <c r="D7" s="487" t="s">
        <v>815</v>
      </c>
      <c r="E7" s="487">
        <v>500000541</v>
      </c>
      <c r="F7" s="487">
        <v>967</v>
      </c>
      <c r="G7" s="487">
        <v>11862</v>
      </c>
      <c r="H7" s="487">
        <v>0</v>
      </c>
      <c r="J7" s="488">
        <v>-6455831.0999999996</v>
      </c>
      <c r="K7" s="487" t="s">
        <v>816</v>
      </c>
      <c r="L7" s="487" t="s">
        <v>825</v>
      </c>
      <c r="M7" s="487" t="s">
        <v>826</v>
      </c>
      <c r="N7" s="487">
        <v>20001031</v>
      </c>
      <c r="O7" s="487">
        <v>200010</v>
      </c>
      <c r="P7" s="487">
        <v>100005951</v>
      </c>
      <c r="Q7" s="487">
        <v>3</v>
      </c>
      <c r="R7" s="487" t="s">
        <v>819</v>
      </c>
    </row>
    <row r="8" spans="1:18" s="487" customFormat="1" x14ac:dyDescent="0.25">
      <c r="A8" s="487">
        <v>10</v>
      </c>
      <c r="B8" s="487">
        <v>553</v>
      </c>
      <c r="C8" s="487">
        <v>45016000</v>
      </c>
      <c r="D8" s="487" t="s">
        <v>815</v>
      </c>
      <c r="E8" s="487">
        <v>500000541</v>
      </c>
      <c r="F8" s="487">
        <v>967</v>
      </c>
      <c r="G8" s="487">
        <v>11862</v>
      </c>
      <c r="H8" s="487">
        <v>0</v>
      </c>
      <c r="J8" s="488">
        <v>-396880</v>
      </c>
      <c r="K8" s="487" t="s">
        <v>816</v>
      </c>
      <c r="L8" s="487" t="s">
        <v>827</v>
      </c>
      <c r="M8" s="487" t="s">
        <v>828</v>
      </c>
      <c r="N8" s="487">
        <v>20001031</v>
      </c>
      <c r="O8" s="487">
        <v>200010</v>
      </c>
      <c r="P8" s="487">
        <v>100005246</v>
      </c>
      <c r="Q8" s="487">
        <v>1</v>
      </c>
      <c r="R8" s="487" t="s">
        <v>819</v>
      </c>
    </row>
    <row r="9" spans="1:18" s="487" customFormat="1" x14ac:dyDescent="0.25">
      <c r="A9" s="487">
        <v>10</v>
      </c>
      <c r="B9" s="487">
        <v>553</v>
      </c>
      <c r="C9" s="487">
        <v>45016000</v>
      </c>
      <c r="D9" s="487" t="s">
        <v>815</v>
      </c>
      <c r="E9" s="487">
        <v>500001504</v>
      </c>
      <c r="F9" s="487">
        <v>967</v>
      </c>
      <c r="G9" s="487">
        <v>11862</v>
      </c>
      <c r="H9" s="487">
        <v>0</v>
      </c>
      <c r="J9" s="488">
        <v>4894265.6900000004</v>
      </c>
      <c r="K9" s="487" t="s">
        <v>816</v>
      </c>
      <c r="L9" s="487" t="s">
        <v>829</v>
      </c>
      <c r="M9" s="487" t="s">
        <v>824</v>
      </c>
      <c r="N9" s="487">
        <v>20001031</v>
      </c>
      <c r="O9" s="487">
        <v>200010</v>
      </c>
      <c r="P9" s="487">
        <v>100005249</v>
      </c>
      <c r="Q9" s="487">
        <v>1</v>
      </c>
      <c r="R9" s="487" t="s">
        <v>819</v>
      </c>
    </row>
    <row r="10" spans="1:18" s="487" customFormat="1" x14ac:dyDescent="0.25">
      <c r="A10" s="487">
        <v>10</v>
      </c>
      <c r="B10" s="487">
        <v>553</v>
      </c>
      <c r="C10" s="487">
        <v>45016000</v>
      </c>
      <c r="D10" s="487" t="s">
        <v>815</v>
      </c>
      <c r="E10" s="487">
        <v>500001504</v>
      </c>
      <c r="F10" s="487">
        <v>553</v>
      </c>
      <c r="G10" s="487">
        <v>11862</v>
      </c>
      <c r="H10" s="487">
        <v>0</v>
      </c>
      <c r="J10" s="488">
        <v>-322000</v>
      </c>
      <c r="K10" s="487" t="s">
        <v>816</v>
      </c>
      <c r="L10" s="487" t="s">
        <v>830</v>
      </c>
      <c r="M10" s="487" t="s">
        <v>822</v>
      </c>
      <c r="N10" s="487">
        <v>20001031</v>
      </c>
      <c r="O10" s="487">
        <v>200010</v>
      </c>
      <c r="P10" s="487">
        <v>100005524</v>
      </c>
      <c r="Q10" s="487">
        <v>2</v>
      </c>
      <c r="R10" s="487" t="s">
        <v>819</v>
      </c>
    </row>
    <row r="11" spans="1:18" s="487" customFormat="1" x14ac:dyDescent="0.25">
      <c r="A11" s="487">
        <v>10</v>
      </c>
      <c r="B11" s="487">
        <v>553</v>
      </c>
      <c r="C11" s="487">
        <v>45016000</v>
      </c>
      <c r="D11" s="487" t="s">
        <v>815</v>
      </c>
      <c r="E11" s="487">
        <v>500000541</v>
      </c>
      <c r="F11" s="487">
        <v>967</v>
      </c>
      <c r="G11" s="487">
        <v>11862</v>
      </c>
      <c r="H11" s="487">
        <v>0</v>
      </c>
      <c r="J11" s="488">
        <v>29358682</v>
      </c>
      <c r="K11" s="487" t="s">
        <v>816</v>
      </c>
      <c r="L11" s="487" t="s">
        <v>831</v>
      </c>
      <c r="M11" s="487" t="s">
        <v>832</v>
      </c>
      <c r="N11" s="487">
        <v>20001031</v>
      </c>
      <c r="O11" s="487">
        <v>200010</v>
      </c>
      <c r="P11" s="487">
        <v>100005952</v>
      </c>
      <c r="Q11" s="487">
        <v>3</v>
      </c>
      <c r="R11" s="487" t="s">
        <v>819</v>
      </c>
    </row>
    <row r="12" spans="1:18" s="487" customFormat="1" x14ac:dyDescent="0.25">
      <c r="A12" s="487">
        <v>10</v>
      </c>
      <c r="B12" s="487">
        <v>553</v>
      </c>
      <c r="C12" s="487">
        <v>45016000</v>
      </c>
      <c r="D12" s="487" t="s">
        <v>815</v>
      </c>
      <c r="E12" s="487">
        <v>500000541</v>
      </c>
      <c r="F12" s="487">
        <v>967</v>
      </c>
      <c r="G12" s="487">
        <v>11862</v>
      </c>
      <c r="H12" s="487">
        <v>0</v>
      </c>
      <c r="J12" s="488">
        <v>-33500990.5</v>
      </c>
      <c r="K12" s="487" t="s">
        <v>816</v>
      </c>
      <c r="L12" s="487" t="s">
        <v>831</v>
      </c>
      <c r="M12" s="487" t="s">
        <v>832</v>
      </c>
      <c r="N12" s="487">
        <v>20001031</v>
      </c>
      <c r="O12" s="487">
        <v>200010</v>
      </c>
      <c r="P12" s="487">
        <v>100005952</v>
      </c>
      <c r="Q12" s="487">
        <v>1</v>
      </c>
      <c r="R12" s="487" t="s">
        <v>819</v>
      </c>
    </row>
    <row r="13" spans="1:18" s="487" customFormat="1" x14ac:dyDescent="0.25">
      <c r="A13" s="487">
        <v>10</v>
      </c>
      <c r="B13" s="487">
        <v>553</v>
      </c>
      <c r="C13" s="487">
        <v>45016000</v>
      </c>
      <c r="D13" s="487" t="s">
        <v>815</v>
      </c>
      <c r="E13" s="487">
        <v>500001504</v>
      </c>
      <c r="F13" s="487">
        <v>553</v>
      </c>
      <c r="G13" s="487">
        <v>11862</v>
      </c>
      <c r="H13" s="487">
        <v>0</v>
      </c>
      <c r="J13" s="488">
        <v>182500</v>
      </c>
      <c r="K13" s="487" t="s">
        <v>816</v>
      </c>
      <c r="L13" s="487" t="s">
        <v>833</v>
      </c>
      <c r="M13" s="487" t="s">
        <v>834</v>
      </c>
      <c r="N13" s="487">
        <v>20001031</v>
      </c>
      <c r="O13" s="487">
        <v>200010</v>
      </c>
      <c r="P13" s="487">
        <v>100005525</v>
      </c>
      <c r="Q13" s="487">
        <v>1</v>
      </c>
      <c r="R13" s="487" t="s">
        <v>819</v>
      </c>
    </row>
    <row r="14" spans="1:18" s="487" customFormat="1" x14ac:dyDescent="0.25">
      <c r="A14" s="487">
        <v>10</v>
      </c>
      <c r="B14" s="487">
        <v>553</v>
      </c>
      <c r="C14" s="487">
        <v>45016000</v>
      </c>
      <c r="D14" s="487" t="s">
        <v>815</v>
      </c>
      <c r="E14" s="487">
        <v>500000541</v>
      </c>
      <c r="F14" s="487">
        <v>967</v>
      </c>
      <c r="G14" s="487">
        <v>11866</v>
      </c>
      <c r="H14" s="487">
        <v>0</v>
      </c>
      <c r="J14" s="488">
        <v>536924.56000000006</v>
      </c>
      <c r="K14" s="487" t="s">
        <v>816</v>
      </c>
      <c r="L14" s="487" t="s">
        <v>835</v>
      </c>
      <c r="M14" s="487" t="s">
        <v>836</v>
      </c>
      <c r="N14" s="487">
        <v>20001031</v>
      </c>
      <c r="O14" s="487">
        <v>200010</v>
      </c>
      <c r="P14" s="487">
        <v>100005168</v>
      </c>
      <c r="Q14" s="487">
        <v>2</v>
      </c>
      <c r="R14" s="487" t="s">
        <v>819</v>
      </c>
    </row>
    <row r="15" spans="1:18" s="487" customFormat="1" x14ac:dyDescent="0.25">
      <c r="A15" s="487">
        <v>10</v>
      </c>
      <c r="B15" s="487">
        <v>553</v>
      </c>
      <c r="C15" s="487">
        <v>45016000</v>
      </c>
      <c r="D15" s="487" t="s">
        <v>815</v>
      </c>
      <c r="E15" s="487">
        <v>500002799</v>
      </c>
      <c r="F15" s="487">
        <v>890</v>
      </c>
      <c r="G15" s="487">
        <v>11862</v>
      </c>
      <c r="H15" s="487">
        <v>0</v>
      </c>
      <c r="J15" s="488">
        <v>112000</v>
      </c>
      <c r="K15" s="487" t="s">
        <v>816</v>
      </c>
      <c r="L15" s="487" t="s">
        <v>837</v>
      </c>
      <c r="M15" s="487" t="s">
        <v>838</v>
      </c>
      <c r="N15" s="487">
        <v>20000831</v>
      </c>
      <c r="O15" s="487">
        <v>8</v>
      </c>
      <c r="P15" s="487">
        <v>100005996</v>
      </c>
      <c r="Q15" s="487">
        <v>2</v>
      </c>
      <c r="R15" s="487" t="s">
        <v>839</v>
      </c>
    </row>
    <row r="16" spans="1:18" s="487" customFormat="1" x14ac:dyDescent="0.25">
      <c r="A16" s="487">
        <v>10</v>
      </c>
      <c r="B16" s="487">
        <v>553</v>
      </c>
      <c r="C16" s="487">
        <v>45016000</v>
      </c>
      <c r="D16" s="487" t="s">
        <v>815</v>
      </c>
      <c r="E16" s="487">
        <v>500002799</v>
      </c>
      <c r="F16" s="487">
        <v>890</v>
      </c>
      <c r="G16" s="487">
        <v>11862</v>
      </c>
      <c r="H16" s="487">
        <v>0</v>
      </c>
      <c r="J16" s="487">
        <v>200</v>
      </c>
      <c r="K16" s="487" t="s">
        <v>816</v>
      </c>
      <c r="L16" s="487" t="s">
        <v>840</v>
      </c>
      <c r="M16" s="487" t="s">
        <v>838</v>
      </c>
      <c r="N16" s="487">
        <v>20000911</v>
      </c>
      <c r="O16" s="487">
        <v>200008</v>
      </c>
      <c r="P16" s="487">
        <v>100005994</v>
      </c>
      <c r="Q16" s="487">
        <v>2</v>
      </c>
      <c r="R16" s="487" t="s">
        <v>839</v>
      </c>
    </row>
    <row r="17" spans="1:18" s="487" customFormat="1" x14ac:dyDescent="0.25">
      <c r="A17" s="487">
        <v>10</v>
      </c>
      <c r="B17" s="487">
        <v>553</v>
      </c>
      <c r="C17" s="487">
        <v>45016000</v>
      </c>
      <c r="D17" s="487" t="s">
        <v>815</v>
      </c>
      <c r="E17" s="487">
        <v>500002799</v>
      </c>
      <c r="F17" s="487">
        <v>890</v>
      </c>
      <c r="G17" s="487">
        <v>11862</v>
      </c>
      <c r="H17" s="488">
        <v>408000</v>
      </c>
      <c r="I17" s="487" t="s">
        <v>841</v>
      </c>
      <c r="J17" s="488">
        <v>510000</v>
      </c>
      <c r="K17" s="487" t="s">
        <v>816</v>
      </c>
      <c r="L17" s="487" t="s">
        <v>842</v>
      </c>
      <c r="M17" s="487" t="s">
        <v>843</v>
      </c>
      <c r="N17" s="487">
        <v>20001031</v>
      </c>
      <c r="O17" s="487">
        <v>200009</v>
      </c>
      <c r="P17" s="487">
        <v>100005990</v>
      </c>
      <c r="Q17" s="487">
        <v>2</v>
      </c>
      <c r="R17" s="487" t="s">
        <v>839</v>
      </c>
    </row>
    <row r="18" spans="1:18" s="487" customFormat="1" x14ac:dyDescent="0.25">
      <c r="A18" s="487">
        <v>10</v>
      </c>
      <c r="B18" s="487">
        <v>553</v>
      </c>
      <c r="C18" s="487">
        <v>45016000</v>
      </c>
      <c r="D18" s="487" t="s">
        <v>815</v>
      </c>
      <c r="E18" s="487">
        <v>500002799</v>
      </c>
      <c r="F18" s="487">
        <v>890</v>
      </c>
      <c r="G18" s="487">
        <v>11866</v>
      </c>
      <c r="H18" s="488">
        <v>10400</v>
      </c>
      <c r="I18" s="487" t="s">
        <v>841</v>
      </c>
      <c r="J18" s="488">
        <v>2080</v>
      </c>
      <c r="K18" s="487" t="s">
        <v>816</v>
      </c>
      <c r="L18" s="487" t="s">
        <v>842</v>
      </c>
      <c r="M18" s="487" t="s">
        <v>844</v>
      </c>
      <c r="N18" s="487">
        <v>20001031</v>
      </c>
      <c r="O18" s="487">
        <v>200009</v>
      </c>
      <c r="P18" s="487">
        <v>100005992</v>
      </c>
      <c r="Q18" s="487">
        <v>2</v>
      </c>
      <c r="R18" s="487" t="s">
        <v>839</v>
      </c>
    </row>
    <row r="19" spans="1:18" s="487" customFormat="1" x14ac:dyDescent="0.25">
      <c r="A19" s="487">
        <v>10</v>
      </c>
      <c r="B19" s="487">
        <v>553</v>
      </c>
      <c r="C19" s="487">
        <v>45016000</v>
      </c>
      <c r="D19" s="487" t="s">
        <v>815</v>
      </c>
      <c r="E19" s="487">
        <v>500000541</v>
      </c>
      <c r="F19" s="487">
        <v>973</v>
      </c>
      <c r="G19" s="487">
        <v>11862</v>
      </c>
      <c r="H19" s="487">
        <v>0</v>
      </c>
      <c r="J19" s="488">
        <v>-14323.42</v>
      </c>
      <c r="K19" s="487" t="s">
        <v>816</v>
      </c>
      <c r="L19" s="487" t="s">
        <v>845</v>
      </c>
      <c r="M19" s="487" t="s">
        <v>846</v>
      </c>
      <c r="N19" s="487">
        <v>20001023</v>
      </c>
      <c r="O19" s="487">
        <v>200010</v>
      </c>
      <c r="P19" s="487">
        <v>100005014</v>
      </c>
      <c r="Q19" s="487">
        <v>2</v>
      </c>
      <c r="R19" s="487" t="s">
        <v>839</v>
      </c>
    </row>
    <row r="20" spans="1:18" s="487" customFormat="1" x14ac:dyDescent="0.25">
      <c r="A20" s="487">
        <v>10</v>
      </c>
      <c r="B20" s="487">
        <v>553</v>
      </c>
      <c r="C20" s="487">
        <v>45016000</v>
      </c>
      <c r="D20" s="487" t="s">
        <v>815</v>
      </c>
      <c r="E20" s="487">
        <v>500000541</v>
      </c>
      <c r="F20" s="487">
        <v>967</v>
      </c>
      <c r="G20" s="487">
        <v>11866</v>
      </c>
      <c r="H20" s="487">
        <v>0</v>
      </c>
      <c r="J20" s="488">
        <v>-2901653.58</v>
      </c>
      <c r="K20" s="487" t="s">
        <v>816</v>
      </c>
      <c r="L20" s="487" t="s">
        <v>847</v>
      </c>
      <c r="M20" s="487" t="s">
        <v>848</v>
      </c>
      <c r="N20" s="487">
        <v>20001025</v>
      </c>
      <c r="O20" s="487">
        <v>200009</v>
      </c>
      <c r="P20" s="487">
        <v>100005042</v>
      </c>
      <c r="Q20" s="487">
        <v>2</v>
      </c>
      <c r="R20" s="487" t="s">
        <v>839</v>
      </c>
    </row>
    <row r="21" spans="1:18" s="487" customFormat="1" x14ac:dyDescent="0.25">
      <c r="A21" s="487">
        <v>10</v>
      </c>
      <c r="B21" s="487">
        <v>553</v>
      </c>
      <c r="C21" s="487">
        <v>45016000</v>
      </c>
      <c r="D21" s="487" t="s">
        <v>815</v>
      </c>
      <c r="E21" s="487">
        <v>500000541</v>
      </c>
      <c r="F21" s="487">
        <v>973</v>
      </c>
      <c r="G21" s="487">
        <v>11862</v>
      </c>
      <c r="H21" s="487">
        <v>0</v>
      </c>
      <c r="J21" s="488">
        <v>14323.42</v>
      </c>
      <c r="K21" s="487" t="s">
        <v>816</v>
      </c>
      <c r="L21" s="487" t="s">
        <v>849</v>
      </c>
      <c r="M21" s="487" t="s">
        <v>850</v>
      </c>
      <c r="N21" s="487">
        <v>20001027</v>
      </c>
      <c r="O21" s="487">
        <v>200010</v>
      </c>
      <c r="P21" s="487">
        <v>100005088</v>
      </c>
      <c r="Q21" s="487">
        <v>1</v>
      </c>
      <c r="R21" s="487" t="s">
        <v>839</v>
      </c>
    </row>
    <row r="22" spans="1:18" s="489" customFormat="1" x14ac:dyDescent="0.25">
      <c r="A22" s="489">
        <v>10</v>
      </c>
      <c r="B22" s="489">
        <v>553</v>
      </c>
      <c r="C22" s="489">
        <v>51009600</v>
      </c>
      <c r="D22" s="489" t="s">
        <v>224</v>
      </c>
      <c r="F22" s="489">
        <v>0</v>
      </c>
      <c r="G22" s="489">
        <v>11862</v>
      </c>
      <c r="H22" s="489">
        <v>0</v>
      </c>
      <c r="J22" s="490">
        <v>554237.44999999995</v>
      </c>
      <c r="K22" s="489" t="s">
        <v>816</v>
      </c>
      <c r="L22" s="489" t="s">
        <v>851</v>
      </c>
      <c r="N22" s="489">
        <v>20001031</v>
      </c>
      <c r="O22" s="489">
        <v>200010</v>
      </c>
      <c r="P22" s="489">
        <v>100005191</v>
      </c>
      <c r="Q22" s="489">
        <v>2</v>
      </c>
      <c r="R22" s="489" t="s">
        <v>852</v>
      </c>
    </row>
    <row r="23" spans="1:18" s="489" customFormat="1" x14ac:dyDescent="0.25">
      <c r="A23" s="489">
        <v>10</v>
      </c>
      <c r="B23" s="489">
        <v>553</v>
      </c>
      <c r="C23" s="489">
        <v>51009600</v>
      </c>
      <c r="D23" s="489" t="s">
        <v>224</v>
      </c>
      <c r="F23" s="489">
        <v>0</v>
      </c>
      <c r="G23" s="489">
        <v>11866</v>
      </c>
      <c r="H23" s="489">
        <v>0</v>
      </c>
      <c r="J23" s="490">
        <v>230210.42</v>
      </c>
      <c r="K23" s="489" t="s">
        <v>816</v>
      </c>
      <c r="L23" s="489" t="s">
        <v>851</v>
      </c>
      <c r="N23" s="489">
        <v>20001031</v>
      </c>
      <c r="O23" s="489">
        <v>200010</v>
      </c>
      <c r="P23" s="489">
        <v>100005191</v>
      </c>
      <c r="Q23" s="489">
        <v>3</v>
      </c>
      <c r="R23" s="489" t="s">
        <v>852</v>
      </c>
    </row>
    <row r="24" spans="1:18" s="489" customFormat="1" x14ac:dyDescent="0.25">
      <c r="A24" s="489">
        <v>10</v>
      </c>
      <c r="B24" s="489">
        <v>553</v>
      </c>
      <c r="C24" s="489">
        <v>51009600</v>
      </c>
      <c r="D24" s="489" t="s">
        <v>224</v>
      </c>
      <c r="F24" s="489">
        <v>0</v>
      </c>
      <c r="G24" s="489">
        <v>11862</v>
      </c>
      <c r="H24" s="489">
        <v>0</v>
      </c>
      <c r="J24" s="490">
        <v>1786.26</v>
      </c>
      <c r="K24" s="489" t="s">
        <v>816</v>
      </c>
      <c r="L24" s="489" t="s">
        <v>853</v>
      </c>
      <c r="M24" s="489" t="s">
        <v>854</v>
      </c>
      <c r="N24" s="489">
        <v>20001031</v>
      </c>
      <c r="O24" s="489">
        <v>200010</v>
      </c>
      <c r="P24" s="489">
        <v>100005169</v>
      </c>
      <c r="Q24" s="489">
        <v>2</v>
      </c>
      <c r="R24" s="489" t="s">
        <v>852</v>
      </c>
    </row>
    <row r="25" spans="1:18" s="489" customFormat="1" x14ac:dyDescent="0.25">
      <c r="A25" s="489">
        <v>10</v>
      </c>
      <c r="B25" s="489">
        <v>553</v>
      </c>
      <c r="C25" s="489">
        <v>51009600</v>
      </c>
      <c r="D25" s="489" t="s">
        <v>224</v>
      </c>
      <c r="F25" s="489">
        <v>0</v>
      </c>
      <c r="G25" s="489">
        <v>11866</v>
      </c>
      <c r="H25" s="489">
        <v>0</v>
      </c>
      <c r="J25" s="490">
        <v>2390.41</v>
      </c>
      <c r="K25" s="489" t="s">
        <v>816</v>
      </c>
      <c r="L25" s="489" t="s">
        <v>853</v>
      </c>
      <c r="M25" s="489" t="s">
        <v>854</v>
      </c>
      <c r="N25" s="489">
        <v>20001031</v>
      </c>
      <c r="O25" s="489">
        <v>200010</v>
      </c>
      <c r="P25" s="489">
        <v>100005169</v>
      </c>
      <c r="Q25" s="489">
        <v>3</v>
      </c>
      <c r="R25" s="489" t="s">
        <v>852</v>
      </c>
    </row>
    <row r="26" spans="1:18" s="489" customFormat="1" x14ac:dyDescent="0.25">
      <c r="A26" s="489">
        <v>10</v>
      </c>
      <c r="B26" s="489">
        <v>553</v>
      </c>
      <c r="C26" s="489">
        <v>51009600</v>
      </c>
      <c r="D26" s="489" t="s">
        <v>224</v>
      </c>
      <c r="F26" s="489">
        <v>0</v>
      </c>
      <c r="G26" s="489">
        <v>11862</v>
      </c>
      <c r="H26" s="489">
        <v>0</v>
      </c>
      <c r="J26" s="490">
        <v>-275200</v>
      </c>
      <c r="K26" s="489" t="s">
        <v>816</v>
      </c>
      <c r="L26" s="489" t="s">
        <v>855</v>
      </c>
      <c r="N26" s="489">
        <v>20001013</v>
      </c>
      <c r="O26" s="489">
        <v>200009</v>
      </c>
      <c r="P26" s="489">
        <v>100004497</v>
      </c>
      <c r="Q26" s="489">
        <v>2</v>
      </c>
      <c r="R26" s="489" t="s">
        <v>852</v>
      </c>
    </row>
    <row r="27" spans="1:18" x14ac:dyDescent="0.25">
      <c r="H27" s="442"/>
      <c r="J27" s="442"/>
    </row>
    <row r="28" spans="1:18" s="486" customFormat="1" x14ac:dyDescent="0.25">
      <c r="A28" s="486" t="s">
        <v>856</v>
      </c>
      <c r="H28" s="491"/>
      <c r="J28" s="491"/>
    </row>
    <row r="29" spans="1:18" x14ac:dyDescent="0.25">
      <c r="H29" s="442"/>
      <c r="J29" s="442"/>
    </row>
    <row r="30" spans="1:18" x14ac:dyDescent="0.25">
      <c r="H30" s="442"/>
      <c r="J30" s="442"/>
    </row>
    <row r="31" spans="1:18" x14ac:dyDescent="0.25">
      <c r="H31" s="442"/>
      <c r="J31" s="442"/>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Var. Rpt EPMI</vt:lpstr>
      <vt:lpstr>PJM Monthly Summary 2000 05 V.1</vt:lpstr>
      <vt:lpstr>PJM Monthly Summary 2000 06 V.1</vt:lpstr>
      <vt:lpstr>PJM Monthly Summary 2000 07 V.1</vt:lpstr>
      <vt:lpstr>PJM Monthly Summary 2000 08 V.1</vt:lpstr>
      <vt:lpstr>PJM Monthly Summary 2000 09 V.1</vt:lpstr>
      <vt:lpstr>inter - rec </vt:lpstr>
      <vt:lpstr>REC </vt:lpstr>
      <vt:lpstr>Rec by others accounts</vt:lpstr>
      <vt:lpstr>russ v GL system tie-out</vt:lpstr>
      <vt:lpstr>'PJM Monthly Summary 2000 05 V.1'!Print_Area</vt:lpstr>
      <vt:lpstr>'PJM Monthly Summary 2000 06 V.1'!Print_Area</vt:lpstr>
      <vt:lpstr>'PJM Monthly Summary 2000 07 V.1'!Print_Area</vt:lpstr>
      <vt:lpstr>'PJM Monthly Summary 2000 08 V.1'!Print_Area</vt:lpstr>
      <vt:lpstr>'PJM Monthly Summary 2000 09 V.1'!Print_Area</vt:lpstr>
      <vt:lpstr>'REC '!Print_Area</vt:lpstr>
      <vt:lpstr>'Var. Rpt EPMI'!Print_Area</vt:lpstr>
      <vt:lpstr>'inter - rec '!Print_Titles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ahorton</dc:creator>
  <cp:lastModifiedBy>Havlíček Jan</cp:lastModifiedBy>
  <cp:lastPrinted>2000-11-29T14:43:42Z</cp:lastPrinted>
  <dcterms:created xsi:type="dcterms:W3CDTF">2000-11-28T23:30:02Z</dcterms:created>
  <dcterms:modified xsi:type="dcterms:W3CDTF">2023-09-10T11:26:29Z</dcterms:modified>
</cp:coreProperties>
</file>