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780" yWindow="0" windowWidth="7680" windowHeight="8736"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<sst xmlns="http://schemas.openxmlformats.org/spreadsheetml/2006/main" count="554" uniqueCount="361">
  <si>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</si>
  <si>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</si>
  <si>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</si>
  <si>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</si>
  <si>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</si>
  <si>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</si>
  <si>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</si>
  <si>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</si>
  <si>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</si>
  <si>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</si>
  <si>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</si>
  <si>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</si>
  <si>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</si>
  <si>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</si>
  <si>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</si>
  <si>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</si>
  <si>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</si>
  <si>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</si>
  <si>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</si>
  <si>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</si>
  <si>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</si>
  <si>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</si>
  <si>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</si>
  <si>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</si>
  <si>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</si>
  <si>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</si>
  <si>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</si>
  <si>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</si>
  <si>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</si>
  <si>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</si>
  <si>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</si>
  <si>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</si>
  <si>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</si>
  <si>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</si>
  <si>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</si>
  <si>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</si>
  <si>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</si>
  <si>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</si>
  <si>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</si>
  <si>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</si>
  <si>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</si>
  <si>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</si>
  <si>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</si>
  <si>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</si>
  <si>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</si>
  <si>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</si>
  <si>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</si>
  <si>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</si>
  <si>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</si>
  <si>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</si>
  <si>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</si>
  <si>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</si>
  <si>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</si>
  <si>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</si>
  <si>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</si>
  <si>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</si>
  <si>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</si>
  <si>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</si>
  <si>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</si>
  <si>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</si>
  <si>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</si>
  <si>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</si>
  <si>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</si>
  <si>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</si>
  <si>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</si>
  <si>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</si>
  <si>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</si>
  <si>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</si>
  <si>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</si>
  <si>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</si>
  <si>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</si>
  <si>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</si>
  <si>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</si>
  <si>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</si>
  <si>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</si>
  <si>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</si>
  <si>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</si>
  <si>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</si>
  <si>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</si>
  <si>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</si>
  <si>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</si>
  <si>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</si>
  <si>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</si>
  <si>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</si>
  <si>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</si>
  <si>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</si>
  <si>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</si>
  <si>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</si>
  <si>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</si>
  <si>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</si>
  <si>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</si>
  <si>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</si>
  <si>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</si>
  <si>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</si>
  <si>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</si>
  <si>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</si>
  <si>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</si>
  <si>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</si>
  <si>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</si>
  <si>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</si>
  <si>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</si>
  <si>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</si>
  <si>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</si>
  <si>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</si>
  <si>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</si>
  <si>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</si>
  <si>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</si>
  <si>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</si>
  <si>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</si>
  <si>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</si>
  <si>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</si>
  <si>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</si>
  <si>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</si>
  <si>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</si>
  <si>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</si>
  <si>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</si>
  <si>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</si>
  <si>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</si>
  <si>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</si>
  <si>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</si>
  <si>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</si>
  <si>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</si>
  <si>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</si>
  <si>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</si>
  <si>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</si>
  <si>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</si>
  <si>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</si>
  <si>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</si>
  <si>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</si>
  <si>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</si>
  <si>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</si>
  <si>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</si>
  <si>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</si>
  <si>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</si>
  <si>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</si>
  <si>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</si>
  <si>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</si>
  <si>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</si>
  <si>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</si>
  <si>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</si>
  <si>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</si>
  <si>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</si>
  <si>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</si>
  <si>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</si>
  <si>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</si>
  <si>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</si>
  <si>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</si>
  <si>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</si>
  <si>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</si>
  <si>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</si>
  <si>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</si>
  <si>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</si>
  <si>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</si>
  <si>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</si>
  <si>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</si>
  <si>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</si>
  <si>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</si>
  <si>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</si>
  <si>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</si>
  <si>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</si>
  <si>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</si>
  <si>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</si>
  <si>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</si>
  <si>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</si>
  <si>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</si>
  <si>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</si>
  <si>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</si>
  <si>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</si>
  <si>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</si>
  <si>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</si>
  <si>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</si>
  <si>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</si>
  <si>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</si>
  <si>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</si>
  <si>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</si>
  <si>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</si>
  <si>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</si>
  <si>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</si>
  <si>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</si>
  <si>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</si>
  <si>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</si>
  <si>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</si>
  <si>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</si>
  <si>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</si>
  <si>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</si>
  <si>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</si>
  <si>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</si>
  <si>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</si>
  <si>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</si>
  <si>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</si>
  <si>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</si>
  <si>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</si>
  <si>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</si>
  <si>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</si>
  <si>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</si>
  <si>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</si>
  <si>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</si>
  <si>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</si>
  <si>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</si>
  <si>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</si>
  <si>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</si>
  <si>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</si>
  <si>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</si>
  <si>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</si>
  <si>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</si>
  <si>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</si>
  <si>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</si>
  <si>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</si>
  <si>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</si>
  <si>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</si>
  <si>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</si>
  <si>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</si>
  <si>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</si>
  <si>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</si>
  <si>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</si>
  <si>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</si>
  <si>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</si>
  <si>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</si>
  <si>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</si>
  <si>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</si>
  <si>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</si>
  <si>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</si>
  <si>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</si>
  <si>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</si>
  <si>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</si>
  <si>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</si>
  <si>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</si>
  <si>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</si>
  <si>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</si>
  <si>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</si>
  <si>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</si>
  <si>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</si>
  <si>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</si>
  <si>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</si>
  <si>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</si>
  <si>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</si>
  <si>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</si>
  <si>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</si>
  <si>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</si>
  <si>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</si>
  <si>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</si>
  <si>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</si>
  <si>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</si>
  <si>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</si>
  <si>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</si>
  <si>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</si>
  <si>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</si>
  <si>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</si>
  <si>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</si>
  <si>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</si>
  <si>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</si>
  <si>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</si>
  <si>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</si>
  <si>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</si>
  <si>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</si>
  <si>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</si>
  <si>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</si>
  <si>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</si>
  <si>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</si>
  <si>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</si>
  <si>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</si>
  <si>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</si>
  <si>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</si>
  <si>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</si>
  <si>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</si>
  <si>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</si>
  <si>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</si>
  <si>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</si>
  <si>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</si>
  <si>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</si>
  <si>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</si>
  <si>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</si>
  <si>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</si>
  <si>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</si>
  <si>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</si>
  <si>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</si>
  <si>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</si>
  <si>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</si>
  <si>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</si>
  <si>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</si>
  <si>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</si>
  <si>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</si>
  <si>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</si>
  <si>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</si>
  <si>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</si>
  <si>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</si>
  <si>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</si>
  <si>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</si>
  <si>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</si>
  <si>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</si>
  <si>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</si>
  <si>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</si>
  <si>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</si>
  <si>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</si>
  <si>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</si>
  <si>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</si>
  <si>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</si>
  <si>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</si>
  <si>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</si>
  <si>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</si>
  <si>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</si>
  <si>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</si>
  <si>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</si>
  <si>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</si>
  <si>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</si>
  <si>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</si>
  <si>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</si>
  <si>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</si>
  <si>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</si>
  <si>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</si>
  <si>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</si>
  <si>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</si>
  <si>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</si>
  <si>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</si>
  <si>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</si>
  <si>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</si>
  <si>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</si>
  <si>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</si>
  <si>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</si>
  <si>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</si>
  <si>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</si>
  <si>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</si>
  <si>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</si>
  <si>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</si>
  <si>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</si>
  <si>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</si>
  <si>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</si>
  <si>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</si>
  <si>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</si>
  <si>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</si>
  <si>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</si>
  <si>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</si>
  <si>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</si>
  <si>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</si>
  <si>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</si>
  <si>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</si>
  <si>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</si>
  <si>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</si>
  <si>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</si>
  <si>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</si>
  <si>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</si>
  <si>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</si>
  <si>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</si>
  <si>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</si>
  <si>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</si>
  <si>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</si>
  <si>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</si>
  <si>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</si>
  <si>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</si>
  <si>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</si>
  <si>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</si>
  <si>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</si>
  <si>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</si>
  <si>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</si>
  <si>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 xml:space="preserve">From Project Assumptions Sheet </t>
  </si>
  <si>
    <t>Fed straight from Headcount sheet</t>
  </si>
  <si>
    <t>Power Asset</t>
  </si>
  <si>
    <t>M</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</si>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</sst>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7169" name="Line 1"/>
        <xdr:cNvSpPr>
          <a:spLocks noChangeShapeType="1"/>
        </xdr:cNvSpPr>
      </xdr:nvSpPr>
      <xdr:spPr bwMode="auto">
        <a:xfrm flipH="1" flipV="1">
          <a:off x="0" y="45720"/>
          <a:ext cx="1335786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14</xdr:col>
      <xdr:colOff>746760</xdr:colOff>
      <xdr:row>3</xdr:row>
      <xdr:rowOff>30480</xdr:rowOff>
    </xdr:to>
    <xdr:sp macro="" textlink="">
      <xdr:nvSpPr>
        <xdr:cNvPr id="7170" name="Line 2"/>
        <xdr:cNvSpPr>
          <a:spLocks noChangeShapeType="1"/>
        </xdr:cNvSpPr>
      </xdr:nvSpPr>
      <xdr:spPr bwMode="auto">
        <a:xfrm flipH="1">
          <a:off x="9151620" y="838200"/>
          <a:ext cx="1124712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088" name="Line 40"/>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090" name="Line 4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53340</xdr:rowOff>
    </xdr:from>
    <xdr:to>
      <xdr:col>9</xdr:col>
      <xdr:colOff>228600</xdr:colOff>
      <xdr:row>0</xdr:row>
      <xdr:rowOff>68580</xdr:rowOff>
    </xdr:to>
    <xdr:sp macro="" textlink="">
      <xdr:nvSpPr>
        <xdr:cNvPr id="5121" name="Line 1"/>
        <xdr:cNvSpPr>
          <a:spLocks noChangeShapeType="1"/>
        </xdr:cNvSpPr>
      </xdr:nvSpPr>
      <xdr:spPr bwMode="auto">
        <a:xfrm flipH="1" flipV="1">
          <a:off x="0" y="53340"/>
          <a:ext cx="8260080" cy="1524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5122" name="Line 2"/>
        <xdr:cNvSpPr>
          <a:spLocks noChangeShapeType="1"/>
        </xdr:cNvSpPr>
      </xdr:nvSpPr>
      <xdr:spPr bwMode="auto">
        <a:xfrm flipH="1">
          <a:off x="5699760" y="838200"/>
          <a:ext cx="793242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N17" sqref="N17"/>
    </sheetView>
  </sheetViews>
  <sheetFormatPr defaultColWidth="9.33203125" defaultRowHeight="13.8"/>
  <cols>
    <col min="1" max="1" width="33.33203125" style="1" customWidth="1"/>
    <col min="2" max="2" width="19.6640625" style="1" customWidth="1"/>
    <col min="3" max="14" width="19.77734375" style="1" customWidth="1"/>
    <col min="15" max="15" width="7.10937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6">
      <c r="A10" s="96"/>
      <c r="B10" s="97"/>
      <c r="C10" s="97"/>
      <c r="D10" s="97"/>
      <c r="E10" s="97"/>
      <c r="F10" s="97"/>
      <c r="G10" s="97"/>
      <c r="H10" s="97"/>
      <c r="I10" s="97"/>
      <c r="J10" s="97"/>
      <c r="K10" s="97"/>
      <c r="L10" s="97"/>
      <c r="M10" s="97"/>
      <c r="N10" s="261"/>
    </row>
    <row r="11" spans="1:14" s="29" customFormat="1" ht="15.6">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6">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6">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6">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6">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6">
      <c r="A16" s="30" t="s">
        <v>138</v>
      </c>
      <c r="B16" s="31"/>
      <c r="C16" s="185">
        <v>2</v>
      </c>
      <c r="D16" s="185">
        <v>2</v>
      </c>
      <c r="E16" s="185">
        <v>2</v>
      </c>
      <c r="F16" s="185">
        <v>2</v>
      </c>
      <c r="G16" s="185">
        <v>2</v>
      </c>
      <c r="H16" s="185">
        <v>2</v>
      </c>
      <c r="I16" s="185">
        <v>2</v>
      </c>
      <c r="J16" s="185">
        <v>2</v>
      </c>
      <c r="K16" s="185">
        <v>2</v>
      </c>
      <c r="L16" s="185">
        <v>2</v>
      </c>
      <c r="M16" s="185">
        <v>2</v>
      </c>
      <c r="N16" s="185">
        <v>2</v>
      </c>
    </row>
    <row r="17" spans="1:14" s="32" customFormat="1" ht="15.6">
      <c r="A17" s="30" t="s">
        <v>139</v>
      </c>
      <c r="B17" s="31"/>
      <c r="C17" s="185">
        <v>1</v>
      </c>
      <c r="D17" s="185">
        <v>1</v>
      </c>
      <c r="E17" s="185">
        <v>1</v>
      </c>
      <c r="F17" s="185">
        <v>1</v>
      </c>
      <c r="G17" s="185">
        <v>1</v>
      </c>
      <c r="H17" s="185">
        <v>1</v>
      </c>
      <c r="I17" s="185">
        <v>1</v>
      </c>
      <c r="J17" s="185">
        <v>1</v>
      </c>
      <c r="K17" s="185">
        <v>1</v>
      </c>
      <c r="L17" s="185">
        <v>1</v>
      </c>
      <c r="M17" s="185">
        <v>1</v>
      </c>
      <c r="N17" s="185">
        <v>1</v>
      </c>
    </row>
    <row r="18" spans="1:14" s="32" customFormat="1" ht="15.6">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6">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6">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6">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6">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6">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6">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6">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6">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6">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6">
      <c r="A28" s="186" t="s">
        <v>67</v>
      </c>
      <c r="B28" s="206" t="s">
        <v>299</v>
      </c>
      <c r="C28" s="196">
        <f t="shared" ref="C28:N28" si="0">SUM(C12:C27)</f>
        <v>4</v>
      </c>
      <c r="D28" s="196">
        <f t="shared" si="0"/>
        <v>4</v>
      </c>
      <c r="E28" s="196">
        <f t="shared" si="0"/>
        <v>4</v>
      </c>
      <c r="F28" s="196">
        <f t="shared" si="0"/>
        <v>4</v>
      </c>
      <c r="G28" s="196">
        <f t="shared" si="0"/>
        <v>4</v>
      </c>
      <c r="H28" s="196">
        <f t="shared" si="0"/>
        <v>4</v>
      </c>
      <c r="I28" s="196">
        <f t="shared" si="0"/>
        <v>4</v>
      </c>
      <c r="J28" s="196">
        <f t="shared" si="0"/>
        <v>4</v>
      </c>
      <c r="K28" s="196">
        <f t="shared" si="0"/>
        <v>4</v>
      </c>
      <c r="L28" s="196">
        <f t="shared" si="0"/>
        <v>4</v>
      </c>
      <c r="M28" s="196">
        <f t="shared" si="0"/>
        <v>4</v>
      </c>
      <c r="N28" s="197">
        <f t="shared" si="0"/>
        <v>4</v>
      </c>
    </row>
    <row r="29" spans="1:14" s="32" customFormat="1" ht="15.6">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6">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6">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6">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6">
      <c r="A33" s="30" t="s">
        <v>298</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6">
      <c r="A34" s="186" t="s">
        <v>161</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6">
      <c r="A35" s="199" t="s">
        <v>69</v>
      </c>
      <c r="B35" s="200" t="s">
        <v>156</v>
      </c>
      <c r="C35" s="200">
        <f t="shared" ref="C35:N35" si="2">C28+C34</f>
        <v>5</v>
      </c>
      <c r="D35" s="200">
        <f t="shared" si="2"/>
        <v>5</v>
      </c>
      <c r="E35" s="200">
        <f t="shared" si="2"/>
        <v>5</v>
      </c>
      <c r="F35" s="200">
        <f t="shared" si="2"/>
        <v>5</v>
      </c>
      <c r="G35" s="200">
        <f t="shared" si="2"/>
        <v>5</v>
      </c>
      <c r="H35" s="200">
        <f t="shared" si="2"/>
        <v>5</v>
      </c>
      <c r="I35" s="200">
        <f t="shared" si="2"/>
        <v>5</v>
      </c>
      <c r="J35" s="200">
        <f t="shared" si="2"/>
        <v>5</v>
      </c>
      <c r="K35" s="200">
        <f t="shared" si="2"/>
        <v>5</v>
      </c>
      <c r="L35" s="200">
        <f t="shared" si="2"/>
        <v>5</v>
      </c>
      <c r="M35" s="200">
        <f t="shared" si="2"/>
        <v>5</v>
      </c>
      <c r="N35" s="201">
        <f t="shared" si="2"/>
        <v>5</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6">
      <c r="A41" s="36" t="s">
        <v>166</v>
      </c>
      <c r="B41" s="126"/>
      <c r="C41" s="126"/>
      <c r="D41" s="130" t="s">
        <v>167</v>
      </c>
      <c r="E41" s="126"/>
      <c r="F41" s="126"/>
      <c r="G41" s="126"/>
      <c r="H41" s="126"/>
      <c r="I41" s="126"/>
      <c r="J41" s="126"/>
      <c r="K41" s="126"/>
      <c r="L41" s="126"/>
      <c r="M41" s="126"/>
      <c r="N41" s="126"/>
    </row>
    <row r="42" spans="1:14" s="32" customFormat="1" ht="15.6">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6">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6">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6">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6">
      <c r="A46" s="30" t="s">
        <v>138</v>
      </c>
      <c r="B46" s="31">
        <f>85000/12</f>
        <v>7083.333333333333</v>
      </c>
      <c r="C46" s="31">
        <f>$B$46*C16</f>
        <v>14166.666666666666</v>
      </c>
      <c r="D46" s="31">
        <f>$B$46*D16*1.075</f>
        <v>15229.166666666666</v>
      </c>
      <c r="E46" s="31">
        <f t="shared" ref="E46:N46" si="7">$B$46*E16*1.075</f>
        <v>15229.166666666666</v>
      </c>
      <c r="F46" s="31">
        <f t="shared" si="7"/>
        <v>15229.166666666666</v>
      </c>
      <c r="G46" s="31">
        <f t="shared" si="7"/>
        <v>15229.166666666666</v>
      </c>
      <c r="H46" s="31">
        <f t="shared" si="7"/>
        <v>15229.166666666666</v>
      </c>
      <c r="I46" s="31">
        <f t="shared" si="7"/>
        <v>15229.166666666666</v>
      </c>
      <c r="J46" s="31">
        <f t="shared" si="7"/>
        <v>15229.166666666666</v>
      </c>
      <c r="K46" s="31">
        <f t="shared" si="7"/>
        <v>15229.166666666666</v>
      </c>
      <c r="L46" s="31">
        <f t="shared" si="7"/>
        <v>15229.166666666666</v>
      </c>
      <c r="M46" s="31">
        <f t="shared" si="7"/>
        <v>15229.166666666666</v>
      </c>
      <c r="N46" s="31">
        <f t="shared" si="7"/>
        <v>15229.166666666666</v>
      </c>
    </row>
    <row r="47" spans="1:14" s="32" customFormat="1" ht="15.6">
      <c r="A47" s="30" t="s">
        <v>139</v>
      </c>
      <c r="B47" s="31">
        <f>65000/12</f>
        <v>5416.666666666667</v>
      </c>
      <c r="C47" s="31">
        <f>$B$47*C17</f>
        <v>5416.666666666667</v>
      </c>
      <c r="D47" s="31">
        <f>$B$47*D17*1.075</f>
        <v>5822.916666666667</v>
      </c>
      <c r="E47" s="31">
        <f t="shared" ref="E47:N47" si="8">$B$47*E17*1.075</f>
        <v>5822.916666666667</v>
      </c>
      <c r="F47" s="31">
        <f t="shared" si="8"/>
        <v>5822.916666666667</v>
      </c>
      <c r="G47" s="31">
        <f t="shared" si="8"/>
        <v>5822.916666666667</v>
      </c>
      <c r="H47" s="31">
        <f t="shared" si="8"/>
        <v>5822.916666666667</v>
      </c>
      <c r="I47" s="31">
        <f t="shared" si="8"/>
        <v>5822.916666666667</v>
      </c>
      <c r="J47" s="31">
        <f t="shared" si="8"/>
        <v>5822.916666666667</v>
      </c>
      <c r="K47" s="31">
        <f t="shared" si="8"/>
        <v>5822.916666666667</v>
      </c>
      <c r="L47" s="31">
        <f t="shared" si="8"/>
        <v>5822.916666666667</v>
      </c>
      <c r="M47" s="31">
        <f t="shared" si="8"/>
        <v>5822.916666666667</v>
      </c>
      <c r="N47" s="31">
        <f t="shared" si="8"/>
        <v>5822.916666666667</v>
      </c>
    </row>
    <row r="48" spans="1:14" s="32" customFormat="1" ht="15.6">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6">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6">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6">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6">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6">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6">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6">
      <c r="A58" s="186" t="s">
        <v>162</v>
      </c>
      <c r="B58" s="187"/>
      <c r="C58" s="188">
        <f t="shared" ref="C58:N58" si="16">SUM(C42:C57)</f>
        <v>29583.333333333332</v>
      </c>
      <c r="D58" s="188">
        <f t="shared" si="16"/>
        <v>31802.083333333332</v>
      </c>
      <c r="E58" s="188">
        <f t="shared" si="16"/>
        <v>31802.083333333332</v>
      </c>
      <c r="F58" s="188">
        <f t="shared" si="16"/>
        <v>31802.083333333332</v>
      </c>
      <c r="G58" s="188">
        <f t="shared" si="16"/>
        <v>31802.083333333332</v>
      </c>
      <c r="H58" s="188">
        <f t="shared" si="16"/>
        <v>31802.083333333332</v>
      </c>
      <c r="I58" s="188">
        <f t="shared" si="16"/>
        <v>31802.083333333332</v>
      </c>
      <c r="J58" s="188">
        <f t="shared" si="16"/>
        <v>31802.083333333332</v>
      </c>
      <c r="K58" s="188">
        <f t="shared" si="16"/>
        <v>31802.083333333332</v>
      </c>
      <c r="L58" s="188">
        <f t="shared" si="16"/>
        <v>31802.083333333332</v>
      </c>
      <c r="M58" s="188">
        <f t="shared" si="16"/>
        <v>31802.083333333332</v>
      </c>
      <c r="N58" s="188">
        <f t="shared" si="16"/>
        <v>31802.083333333332</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6">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6">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6">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6">
      <c r="A72" s="193" t="s">
        <v>163</v>
      </c>
      <c r="B72" s="194"/>
      <c r="C72" s="195">
        <f>C58+C64</f>
        <v>29583.333333333332</v>
      </c>
      <c r="D72" s="195">
        <f>D58+D64+D64</f>
        <v>31802.083333333332</v>
      </c>
      <c r="E72" s="195">
        <f t="shared" ref="E72:N72" si="26">E58+E64</f>
        <v>31802.083333333332</v>
      </c>
      <c r="F72" s="195">
        <f t="shared" si="26"/>
        <v>31802.083333333332</v>
      </c>
      <c r="G72" s="195">
        <f t="shared" si="26"/>
        <v>31802.083333333332</v>
      </c>
      <c r="H72" s="195">
        <f t="shared" si="26"/>
        <v>31802.083333333332</v>
      </c>
      <c r="I72" s="195">
        <f t="shared" si="26"/>
        <v>31802.083333333332</v>
      </c>
      <c r="J72" s="195">
        <f t="shared" si="26"/>
        <v>31802.083333333332</v>
      </c>
      <c r="K72" s="195">
        <f t="shared" si="26"/>
        <v>31802.083333333332</v>
      </c>
      <c r="L72" s="195">
        <f t="shared" si="26"/>
        <v>31802.083333333332</v>
      </c>
      <c r="M72" s="195">
        <f t="shared" si="26"/>
        <v>31802.083333333332</v>
      </c>
      <c r="N72" s="195">
        <f t="shared" si="26"/>
        <v>31802.083333333332</v>
      </c>
    </row>
    <row r="74" spans="1:14">
      <c r="B74" s="1" t="s">
        <v>168</v>
      </c>
      <c r="D74" s="129" t="s">
        <v>165</v>
      </c>
    </row>
    <row r="75" spans="1:14">
      <c r="D75" s="127" t="s">
        <v>156</v>
      </c>
    </row>
    <row r="76" spans="1:14">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3.2"/>
  <cols>
    <col min="1" max="1" width="10.6640625" style="82" customWidth="1"/>
    <col min="2" max="2" width="27.77734375" style="82" customWidth="1"/>
    <col min="3" max="3" width="11.44140625" style="82" customWidth="1"/>
    <col min="4" max="4" width="5.77734375" style="82" customWidth="1"/>
    <col min="5" max="5" width="7.44140625" style="82" customWidth="1"/>
    <col min="6" max="6" width="10.6640625" style="82" customWidth="1"/>
    <col min="7" max="7" width="8.109375" style="82" customWidth="1"/>
    <col min="8" max="8" width="15" style="82" customWidth="1"/>
    <col min="9" max="9" width="10.6640625" style="82" customWidth="1"/>
    <col min="10" max="10" width="53" style="82" bestFit="1" customWidth="1"/>
    <col min="11" max="16384" width="10.6640625" style="82"/>
  </cols>
  <sheetData>
    <row r="1" spans="1:11" ht="17.399999999999999">
      <c r="B1" s="83"/>
      <c r="C1" s="83"/>
      <c r="D1" s="83"/>
      <c r="E1" s="84" t="s">
        <v>132</v>
      </c>
      <c r="G1" s="83"/>
      <c r="H1" s="83"/>
      <c r="I1" s="83"/>
      <c r="J1" s="83"/>
      <c r="K1" s="85"/>
    </row>
    <row r="2" spans="1:11" ht="17.399999999999999">
      <c r="B2" s="83"/>
      <c r="C2" s="83"/>
      <c r="D2" s="83"/>
      <c r="E2" s="84" t="s">
        <v>136</v>
      </c>
      <c r="G2" s="83"/>
      <c r="H2" s="83"/>
      <c r="I2" s="83"/>
      <c r="J2" s="83"/>
      <c r="K2" s="85"/>
    </row>
    <row r="3" spans="1:11" ht="15.6">
      <c r="B3" s="83"/>
      <c r="C3" s="83"/>
      <c r="D3" s="83"/>
      <c r="E3" s="83" t="str">
        <f>'Detail Expenses'!P3</f>
        <v>TEAM NAME</v>
      </c>
      <c r="G3" s="83"/>
      <c r="H3" s="83"/>
      <c r="I3" s="83"/>
      <c r="J3" s="83"/>
      <c r="K3" s="85"/>
    </row>
    <row r="4" spans="1:11" ht="15.6">
      <c r="A4" s="170" t="s">
        <v>280</v>
      </c>
      <c r="B4" s="83"/>
      <c r="C4" s="83"/>
      <c r="D4" s="83"/>
      <c r="E4" s="83"/>
      <c r="G4" s="83"/>
      <c r="H4" s="83"/>
      <c r="I4" s="329"/>
      <c r="J4" s="330" t="s">
        <v>312</v>
      </c>
      <c r="K4" s="85"/>
    </row>
    <row r="5" spans="1:11" ht="13.8">
      <c r="A5" s="52"/>
      <c r="B5" s="53"/>
      <c r="C5" s="41"/>
      <c r="D5" s="124"/>
      <c r="E5" s="85"/>
      <c r="G5" s="85"/>
      <c r="H5" s="85"/>
      <c r="I5" s="85"/>
      <c r="J5" s="85"/>
      <c r="K5" s="85"/>
    </row>
    <row r="6" spans="1:11" ht="14.4" thickBot="1">
      <c r="A6" s="52" t="s">
        <v>154</v>
      </c>
      <c r="B6" s="53"/>
      <c r="C6" s="136"/>
      <c r="D6" s="124"/>
      <c r="E6" s="85"/>
      <c r="G6" s="86"/>
      <c r="H6" s="86"/>
      <c r="I6" s="86"/>
      <c r="J6" s="86"/>
      <c r="K6" s="85"/>
    </row>
    <row r="7" spans="1:11" ht="14.4" thickBot="1">
      <c r="A7" s="21" t="s">
        <v>155</v>
      </c>
      <c r="B7" s="26"/>
      <c r="C7" s="137"/>
      <c r="D7" s="124"/>
      <c r="E7" s="85"/>
      <c r="F7" s="87"/>
      <c r="G7" s="86"/>
      <c r="H7" s="86"/>
      <c r="I7" s="86"/>
      <c r="J7" s="86"/>
      <c r="K7" s="85"/>
    </row>
    <row r="8" spans="1:11" ht="13.8">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6">
      <c r="A11" s="320" t="s">
        <v>307</v>
      </c>
      <c r="B11" s="315"/>
      <c r="C11" s="315"/>
      <c r="D11" s="315"/>
      <c r="E11" s="315"/>
      <c r="F11" s="315"/>
      <c r="G11" s="315"/>
      <c r="H11" s="315"/>
      <c r="I11" s="315"/>
      <c r="J11" s="316"/>
      <c r="K11"/>
    </row>
    <row r="12" spans="1:11" ht="13.8">
      <c r="A12" s="39" t="s">
        <v>80</v>
      </c>
      <c r="B12" s="64" t="s">
        <v>81</v>
      </c>
      <c r="C12" s="117"/>
      <c r="D12" s="117"/>
      <c r="E12" s="117"/>
      <c r="F12" s="328">
        <f>[1]Assumptions!F12*SUM(Headcount!$C$35:$N$35)/12</f>
        <v>0</v>
      </c>
      <c r="G12" s="117"/>
      <c r="H12" s="74">
        <f>F12*12</f>
        <v>0</v>
      </c>
      <c r="I12" s="117"/>
      <c r="J12" s="227"/>
      <c r="K12"/>
    </row>
    <row r="13" spans="1:11" ht="13.8">
      <c r="A13" s="66" t="s">
        <v>27</v>
      </c>
      <c r="B13" s="8" t="s">
        <v>9</v>
      </c>
      <c r="C13" s="117"/>
      <c r="D13" s="117"/>
      <c r="E13" s="117"/>
      <c r="F13" s="328">
        <f>[1]Assumptions!F13*SUM(Headcount!$C$35:$N$35)/12</f>
        <v>900</v>
      </c>
      <c r="G13" s="117"/>
      <c r="H13" s="74">
        <f t="shared" ref="H13:H51" si="0">F13*12</f>
        <v>10800</v>
      </c>
      <c r="I13" s="117"/>
      <c r="J13" s="227"/>
      <c r="K13"/>
    </row>
    <row r="14" spans="1:11" ht="13.8">
      <c r="A14" s="39" t="s">
        <v>28</v>
      </c>
      <c r="B14" s="8" t="s">
        <v>10</v>
      </c>
      <c r="C14" s="117"/>
      <c r="D14" s="117"/>
      <c r="E14" s="117"/>
      <c r="F14" s="328">
        <f>[1]Assumptions!F14*SUM(Headcount!$C$35:$N$35)/12</f>
        <v>0</v>
      </c>
      <c r="G14" s="117"/>
      <c r="H14" s="74">
        <f t="shared" si="0"/>
        <v>0</v>
      </c>
      <c r="I14" s="117"/>
      <c r="J14" s="227"/>
      <c r="K14"/>
    </row>
    <row r="15" spans="1:11" ht="13.8">
      <c r="A15" s="39" t="s">
        <v>23</v>
      </c>
      <c r="B15" s="8" t="s">
        <v>8</v>
      </c>
      <c r="C15" s="117"/>
      <c r="D15" s="117"/>
      <c r="E15" s="117"/>
      <c r="F15" s="328">
        <f>[1]Assumptions!F15*SUM(Headcount!$C$35:$N$35)/12</f>
        <v>25</v>
      </c>
      <c r="G15" s="117"/>
      <c r="H15" s="74">
        <f>Headcount!C35*200</f>
        <v>1000</v>
      </c>
      <c r="I15" s="117"/>
      <c r="J15" s="227" t="s">
        <v>156</v>
      </c>
      <c r="K15"/>
    </row>
    <row r="16" spans="1:11" ht="13.8">
      <c r="A16" s="66" t="s">
        <v>36</v>
      </c>
      <c r="B16" s="8" t="s">
        <v>82</v>
      </c>
      <c r="C16" s="117"/>
      <c r="D16" s="117"/>
      <c r="E16" s="117"/>
      <c r="F16" s="328">
        <f>[1]Assumptions!F16*SUM(Headcount!$C$35:$N$35)/12</f>
        <v>40</v>
      </c>
      <c r="G16" s="117"/>
      <c r="H16" s="74">
        <f t="shared" si="0"/>
        <v>480</v>
      </c>
      <c r="I16" s="117"/>
      <c r="J16" s="227"/>
      <c r="K16"/>
    </row>
    <row r="17" spans="1:11" ht="13.8">
      <c r="A17" s="39" t="s">
        <v>24</v>
      </c>
      <c r="B17" s="8" t="s">
        <v>7</v>
      </c>
      <c r="C17" s="117"/>
      <c r="D17" s="117"/>
      <c r="E17" s="117"/>
      <c r="F17" s="328">
        <f>[1]Assumptions!F17*SUM(Headcount!$C$35:$N$35)/12</f>
        <v>25</v>
      </c>
      <c r="G17" s="117"/>
      <c r="H17" s="74">
        <f t="shared" si="0"/>
        <v>300</v>
      </c>
      <c r="I17" s="117"/>
      <c r="J17" s="227"/>
      <c r="K17"/>
    </row>
    <row r="18" spans="1:11" ht="13.8">
      <c r="A18" s="66" t="s">
        <v>26</v>
      </c>
      <c r="B18" s="8" t="s">
        <v>208</v>
      </c>
      <c r="C18" s="117"/>
      <c r="D18" s="117"/>
      <c r="E18" s="117"/>
      <c r="F18" s="328">
        <f>[1]Assumptions!F18*SUM(Headcount!$C$35:$N$35)/12</f>
        <v>750</v>
      </c>
      <c r="G18" s="117"/>
      <c r="H18" s="74">
        <f>F18*12</f>
        <v>9000</v>
      </c>
      <c r="I18" s="117"/>
      <c r="J18" s="227"/>
      <c r="K18"/>
    </row>
    <row r="19" spans="1:11" ht="13.8">
      <c r="A19" s="66" t="s">
        <v>206</v>
      </c>
      <c r="B19" s="8" t="s">
        <v>207</v>
      </c>
      <c r="C19" s="117"/>
      <c r="D19" s="117"/>
      <c r="E19" s="117"/>
      <c r="F19" s="328">
        <f>[1]Assumptions!F19*SUM(Headcount!$C$35:$N$35)/12</f>
        <v>300</v>
      </c>
      <c r="G19" s="117"/>
      <c r="H19" s="73">
        <f t="shared" si="0"/>
        <v>3600</v>
      </c>
      <c r="I19" s="117"/>
      <c r="J19" s="227"/>
      <c r="K19"/>
    </row>
    <row r="20" spans="1:11" ht="13.8">
      <c r="A20" s="39"/>
      <c r="B20" s="27" t="s">
        <v>11</v>
      </c>
      <c r="C20" s="117"/>
      <c r="D20" s="117"/>
      <c r="E20" s="117"/>
      <c r="F20" s="103">
        <f>SUM(F12:F19)</f>
        <v>2040</v>
      </c>
      <c r="G20" s="118"/>
      <c r="H20" s="103">
        <f>SUM(H12:H19)</f>
        <v>25180</v>
      </c>
      <c r="I20" s="117"/>
      <c r="J20" s="227"/>
      <c r="K20"/>
    </row>
    <row r="21" spans="1:11" s="132" customFormat="1" ht="13.8">
      <c r="A21" s="119" t="s">
        <v>25</v>
      </c>
      <c r="B21" s="42" t="s">
        <v>83</v>
      </c>
      <c r="C21" s="134"/>
      <c r="D21" s="134"/>
      <c r="E21" s="134"/>
      <c r="F21" s="328">
        <f>[1]Assumptions!F21*SUM(Headcount!$C$35:$N$35)/12</f>
        <v>285</v>
      </c>
      <c r="G21" s="134"/>
      <c r="H21" s="133">
        <f t="shared" si="0"/>
        <v>3420</v>
      </c>
      <c r="I21" s="134"/>
      <c r="J21" s="317"/>
      <c r="K21" s="131"/>
    </row>
    <row r="22" spans="1:11" s="132" customFormat="1" ht="13.8">
      <c r="A22" s="119" t="s">
        <v>42</v>
      </c>
      <c r="B22" s="27" t="s">
        <v>157</v>
      </c>
      <c r="C22" s="134"/>
      <c r="D22" s="134"/>
      <c r="E22" s="134"/>
      <c r="F22" s="328">
        <f>[1]Assumptions!F22*SUM(Headcount!$C$35:$N$35)/12</f>
        <v>142.85714285714286</v>
      </c>
      <c r="G22" s="134"/>
      <c r="H22" s="133">
        <f t="shared" si="0"/>
        <v>1714.2857142857142</v>
      </c>
      <c r="I22" s="134"/>
      <c r="J22" s="317"/>
      <c r="K22" s="131"/>
    </row>
    <row r="23" spans="1:11" s="132" customFormat="1" ht="13.8">
      <c r="A23" s="119" t="s">
        <v>77</v>
      </c>
      <c r="B23" s="42" t="s">
        <v>91</v>
      </c>
      <c r="C23" s="134"/>
      <c r="D23" s="134"/>
      <c r="E23" s="134"/>
      <c r="F23" s="328">
        <f>[1]Assumptions!F23*SUM(Headcount!$C$35:$N$35)/12</f>
        <v>0</v>
      </c>
      <c r="G23" s="134"/>
      <c r="H23" s="133">
        <f t="shared" si="0"/>
        <v>0</v>
      </c>
      <c r="I23" s="134"/>
      <c r="J23" s="317" t="s">
        <v>355</v>
      </c>
      <c r="K23" s="131"/>
    </row>
    <row r="24" spans="1:11" s="132" customFormat="1" ht="13.8">
      <c r="A24" s="119" t="s">
        <v>30</v>
      </c>
      <c r="B24" s="42" t="s">
        <v>92</v>
      </c>
      <c r="C24" s="134"/>
      <c r="D24" s="134"/>
      <c r="E24" s="134"/>
      <c r="F24" s="328">
        <f>[1]Assumptions!F24*SUM(Headcount!$C$35:$N$35)/12</f>
        <v>0</v>
      </c>
      <c r="G24" s="134"/>
      <c r="H24" s="133">
        <f t="shared" si="0"/>
        <v>0</v>
      </c>
      <c r="I24" s="134"/>
      <c r="J24" s="317"/>
      <c r="K24" s="131"/>
    </row>
    <row r="25" spans="1:11" ht="13.8">
      <c r="A25" s="39" t="s">
        <v>34</v>
      </c>
      <c r="B25" s="8" t="s">
        <v>88</v>
      </c>
      <c r="C25" s="117"/>
      <c r="D25" s="117"/>
      <c r="E25" s="117"/>
      <c r="F25" s="328">
        <f>[1]Assumptions!F25*SUM(Headcount!$C$35:$N$35)/12</f>
        <v>85</v>
      </c>
      <c r="G25" s="117"/>
      <c r="H25" s="74">
        <f t="shared" si="0"/>
        <v>1020</v>
      </c>
      <c r="I25" s="117"/>
      <c r="J25" s="227"/>
      <c r="K25"/>
    </row>
    <row r="26" spans="1:11" ht="13.8">
      <c r="A26" s="39" t="s">
        <v>32</v>
      </c>
      <c r="B26" s="8" t="s">
        <v>89</v>
      </c>
      <c r="C26" s="117"/>
      <c r="D26" s="117"/>
      <c r="E26" s="117"/>
      <c r="F26" s="328">
        <f>[1]Assumptions!F26*SUM(Headcount!$C$35:$N$35)/12</f>
        <v>30</v>
      </c>
      <c r="G26" s="117"/>
      <c r="H26" s="74">
        <f t="shared" si="0"/>
        <v>360</v>
      </c>
      <c r="I26" s="117"/>
      <c r="J26" s="227"/>
      <c r="K26"/>
    </row>
    <row r="27" spans="1:11" ht="13.8">
      <c r="A27" s="39" t="s">
        <v>84</v>
      </c>
      <c r="B27" s="64" t="s">
        <v>85</v>
      </c>
      <c r="C27" s="117"/>
      <c r="D27" s="117"/>
      <c r="E27" s="117"/>
      <c r="F27" s="328">
        <f>[1]Assumptions!F27*SUM(Headcount!$C$35:$N$35)/12</f>
        <v>0</v>
      </c>
      <c r="G27" s="117"/>
      <c r="H27" s="74">
        <f t="shared" si="0"/>
        <v>0</v>
      </c>
      <c r="I27" s="117"/>
      <c r="J27" s="227"/>
      <c r="K27"/>
    </row>
    <row r="28" spans="1:11" ht="13.8">
      <c r="A28" s="39" t="s">
        <v>86</v>
      </c>
      <c r="B28" s="64" t="s">
        <v>87</v>
      </c>
      <c r="C28" s="117"/>
      <c r="D28" s="117"/>
      <c r="E28" s="117"/>
      <c r="F28" s="328">
        <f>[1]Assumptions!F28*SUM(Headcount!$C$35:$N$35)/12</f>
        <v>0</v>
      </c>
      <c r="G28" s="117"/>
      <c r="H28" s="74">
        <f t="shared" si="0"/>
        <v>0</v>
      </c>
      <c r="I28" s="117"/>
      <c r="J28" s="227"/>
      <c r="K28"/>
    </row>
    <row r="29" spans="1:11" ht="13.8">
      <c r="A29" s="39" t="s">
        <v>33</v>
      </c>
      <c r="B29" s="8" t="s">
        <v>90</v>
      </c>
      <c r="C29" s="117"/>
      <c r="D29" s="117"/>
      <c r="E29" s="117"/>
      <c r="F29" s="328">
        <f>[1]Assumptions!F29*SUM(Headcount!$C$35:$N$35)/12</f>
        <v>25</v>
      </c>
      <c r="G29" s="117"/>
      <c r="H29" s="73">
        <f t="shared" si="0"/>
        <v>300</v>
      </c>
      <c r="I29" s="117"/>
      <c r="J29" s="227"/>
      <c r="K29"/>
    </row>
    <row r="30" spans="1:11" ht="13.8">
      <c r="A30" s="39"/>
      <c r="B30" s="27" t="s">
        <v>78</v>
      </c>
      <c r="C30" s="117"/>
      <c r="D30" s="117"/>
      <c r="E30" s="117"/>
      <c r="F30" s="103">
        <f>SUM(F25:F29)</f>
        <v>140</v>
      </c>
      <c r="G30" s="118"/>
      <c r="H30" s="103">
        <f>SUM(H25:H29)</f>
        <v>1680</v>
      </c>
      <c r="I30" s="117"/>
      <c r="J30" s="227"/>
      <c r="K30"/>
    </row>
    <row r="31" spans="1:11" s="132" customFormat="1" ht="13.8">
      <c r="A31" s="119" t="s">
        <v>35</v>
      </c>
      <c r="B31" s="40" t="s">
        <v>93</v>
      </c>
      <c r="C31" s="134"/>
      <c r="D31" s="134"/>
      <c r="E31" s="134"/>
      <c r="F31" s="328">
        <f>[1]Assumptions!F31*SUM(Headcount!$C$35:$N$35)/12</f>
        <v>0</v>
      </c>
      <c r="G31" s="134"/>
      <c r="H31" s="133">
        <f t="shared" si="0"/>
        <v>0</v>
      </c>
      <c r="I31" s="134"/>
      <c r="J31" s="317"/>
      <c r="K31" s="131"/>
    </row>
    <row r="32" spans="1:11" s="132" customFormat="1" ht="13.8">
      <c r="A32" s="119" t="s">
        <v>37</v>
      </c>
      <c r="B32" s="27" t="s">
        <v>12</v>
      </c>
      <c r="C32" s="134"/>
      <c r="D32" s="134"/>
      <c r="E32" s="134"/>
      <c r="F32" s="328">
        <f>[1]Assumptions!F32*SUM(Headcount!$C$35:$N$35)/12</f>
        <v>0</v>
      </c>
      <c r="G32" s="134"/>
      <c r="H32" s="133">
        <f t="shared" si="0"/>
        <v>0</v>
      </c>
      <c r="I32" s="134"/>
      <c r="J32" s="317"/>
      <c r="K32" s="131"/>
    </row>
    <row r="33" spans="1:11" ht="13.8">
      <c r="A33" s="39" t="s">
        <v>39</v>
      </c>
      <c r="B33" s="8" t="s">
        <v>175</v>
      </c>
      <c r="C33" s="117"/>
      <c r="D33" s="117"/>
      <c r="E33" s="117"/>
      <c r="F33" s="328">
        <f>[1]Assumptions!F33*SUM(Headcount!$C$35:$N$35)/12</f>
        <v>40</v>
      </c>
      <c r="G33" s="117"/>
      <c r="H33" s="74">
        <f t="shared" si="0"/>
        <v>480</v>
      </c>
      <c r="I33" s="117"/>
      <c r="J33" s="227"/>
      <c r="K33"/>
    </row>
    <row r="34" spans="1:11" ht="13.8">
      <c r="A34" s="39" t="s">
        <v>38</v>
      </c>
      <c r="B34" s="8" t="s">
        <v>108</v>
      </c>
      <c r="C34" s="117"/>
      <c r="D34" s="117"/>
      <c r="E34" s="117"/>
      <c r="F34" s="328">
        <f>[1]Assumptions!F34*SUM(Headcount!$C$35:$N$35)/12</f>
        <v>40</v>
      </c>
      <c r="G34" s="117"/>
      <c r="H34" s="73">
        <f t="shared" si="0"/>
        <v>480</v>
      </c>
      <c r="I34" s="117"/>
      <c r="J34" s="227"/>
      <c r="K34"/>
    </row>
    <row r="35" spans="1:11" ht="13.8">
      <c r="A35" s="39"/>
      <c r="B35" s="27" t="s">
        <v>13</v>
      </c>
      <c r="C35" s="117"/>
      <c r="D35" s="117"/>
      <c r="E35" s="117"/>
      <c r="F35" s="103">
        <f>SUM(F33:F34)</f>
        <v>80</v>
      </c>
      <c r="G35" s="118"/>
      <c r="H35" s="103">
        <f>SUM(H33:H34)</f>
        <v>960</v>
      </c>
      <c r="I35" s="117"/>
      <c r="J35" s="227"/>
      <c r="K35"/>
    </row>
    <row r="36" spans="1:11" ht="13.8">
      <c r="A36" s="39" t="s">
        <v>40</v>
      </c>
      <c r="B36" s="42" t="s">
        <v>159</v>
      </c>
      <c r="C36" s="117"/>
      <c r="D36" s="117"/>
      <c r="E36" s="117"/>
      <c r="F36" s="360">
        <f>('Project Assumption WS'!H8+'Project Assumption WS'!I8)/12</f>
        <v>0</v>
      </c>
      <c r="G36" s="118"/>
      <c r="H36" s="103">
        <f t="shared" si="0"/>
        <v>0</v>
      </c>
      <c r="I36" s="117"/>
      <c r="J36" s="227" t="s">
        <v>354</v>
      </c>
      <c r="K36"/>
    </row>
    <row r="37" spans="1:11" ht="13.8">
      <c r="A37" s="39" t="s">
        <v>41</v>
      </c>
      <c r="B37" s="42" t="s">
        <v>14</v>
      </c>
      <c r="C37" s="117"/>
      <c r="D37" s="117"/>
      <c r="E37" s="117"/>
      <c r="F37" s="328">
        <f>[1]Assumptions!F37*SUM(Headcount!$C$35:$N$35)/12</f>
        <v>0</v>
      </c>
      <c r="G37" s="118"/>
      <c r="H37" s="103">
        <f t="shared" si="0"/>
        <v>0</v>
      </c>
      <c r="I37" s="117"/>
      <c r="J37" s="227"/>
      <c r="K37"/>
    </row>
    <row r="38" spans="1:11" ht="13.8">
      <c r="A38" s="39" t="s">
        <v>43</v>
      </c>
      <c r="B38" s="42" t="s">
        <v>94</v>
      </c>
      <c r="C38" s="117"/>
      <c r="D38" s="117"/>
      <c r="E38" s="117"/>
      <c r="F38" s="328">
        <f>[1]Assumptions!F38*SUM(Headcount!$C$35:$N$35)/12</f>
        <v>2500</v>
      </c>
      <c r="G38" s="118"/>
      <c r="H38" s="103">
        <f t="shared" si="0"/>
        <v>30000</v>
      </c>
      <c r="I38" s="117"/>
      <c r="J38" s="227" t="s">
        <v>285</v>
      </c>
      <c r="K38"/>
    </row>
    <row r="39" spans="1:11" ht="13.8">
      <c r="A39" s="39" t="s">
        <v>170</v>
      </c>
      <c r="B39" s="42" t="s">
        <v>169</v>
      </c>
      <c r="C39" s="117"/>
      <c r="D39" s="117"/>
      <c r="E39" s="117"/>
      <c r="F39" s="328">
        <f>[1]Assumptions!F39*SUM(Headcount!$C$35:$N$35)/12</f>
        <v>0</v>
      </c>
      <c r="G39" s="118"/>
      <c r="H39" s="103">
        <f t="shared" si="0"/>
        <v>0</v>
      </c>
      <c r="I39" s="117"/>
      <c r="J39" s="317" t="s">
        <v>355</v>
      </c>
      <c r="K39"/>
    </row>
    <row r="40" spans="1:11" ht="13.8">
      <c r="A40" s="39" t="s">
        <v>95</v>
      </c>
      <c r="B40" s="8" t="s">
        <v>96</v>
      </c>
      <c r="C40" s="117"/>
      <c r="D40" s="117"/>
      <c r="E40" s="117"/>
      <c r="F40" s="328">
        <f>[1]Assumptions!F40*SUM(Headcount!$C$35:$N$35)/12</f>
        <v>0</v>
      </c>
      <c r="G40" s="117"/>
      <c r="H40" s="74">
        <f t="shared" si="0"/>
        <v>0</v>
      </c>
      <c r="I40" s="117"/>
      <c r="J40" s="227"/>
      <c r="K40"/>
    </row>
    <row r="41" spans="1:11" ht="13.8">
      <c r="A41" s="39" t="s">
        <v>29</v>
      </c>
      <c r="B41" s="8" t="s">
        <v>97</v>
      </c>
      <c r="C41" s="117"/>
      <c r="D41" s="117"/>
      <c r="E41" s="117"/>
      <c r="F41" s="328">
        <f>[1]Assumptions!F41*SUM(Headcount!$C$35:$N$35)/12</f>
        <v>0</v>
      </c>
      <c r="G41" s="117"/>
      <c r="H41" s="74">
        <f t="shared" si="0"/>
        <v>0</v>
      </c>
      <c r="I41" s="117"/>
      <c r="J41" s="227"/>
      <c r="K41"/>
    </row>
    <row r="42" spans="1:11" ht="13.8">
      <c r="A42" s="39" t="s">
        <v>105</v>
      </c>
      <c r="B42" s="8" t="s">
        <v>106</v>
      </c>
      <c r="C42" s="117"/>
      <c r="D42" s="117"/>
      <c r="E42" s="117"/>
      <c r="F42" s="328">
        <f>[1]Assumptions!F42*SUM(Headcount!$C$35:$N$35)/12</f>
        <v>0</v>
      </c>
      <c r="G42" s="117"/>
      <c r="H42" s="74">
        <f t="shared" si="0"/>
        <v>0</v>
      </c>
      <c r="I42" s="117"/>
      <c r="J42" s="227"/>
      <c r="K42"/>
    </row>
    <row r="43" spans="1:11" ht="13.8">
      <c r="A43" s="39" t="s">
        <v>101</v>
      </c>
      <c r="B43" s="8" t="s">
        <v>102</v>
      </c>
      <c r="C43" s="117"/>
      <c r="D43" s="117"/>
      <c r="E43" s="117"/>
      <c r="F43" s="328">
        <f>[1]Assumptions!F43*SUM(Headcount!$C$35:$N$35)/12</f>
        <v>0</v>
      </c>
      <c r="G43" s="117"/>
      <c r="H43" s="74">
        <f t="shared" si="0"/>
        <v>0</v>
      </c>
      <c r="I43" s="117"/>
      <c r="J43" s="227"/>
      <c r="K43"/>
    </row>
    <row r="44" spans="1:11" ht="13.8">
      <c r="A44" s="39" t="s">
        <v>103</v>
      </c>
      <c r="B44" s="8" t="s">
        <v>104</v>
      </c>
      <c r="C44" s="117"/>
      <c r="D44" s="117"/>
      <c r="E44" s="117"/>
      <c r="F44" s="328">
        <f>[1]Assumptions!F44*SUM(Headcount!$C$35:$N$35)/12</f>
        <v>0</v>
      </c>
      <c r="G44" s="117"/>
      <c r="H44" s="74">
        <f t="shared" si="0"/>
        <v>0</v>
      </c>
      <c r="I44" s="117"/>
      <c r="J44" s="227"/>
      <c r="K44"/>
    </row>
    <row r="45" spans="1:11" ht="13.8">
      <c r="A45" s="39" t="s">
        <v>99</v>
      </c>
      <c r="B45" s="8" t="s">
        <v>100</v>
      </c>
      <c r="C45" s="117"/>
      <c r="D45" s="117"/>
      <c r="E45" s="117"/>
      <c r="F45" s="328">
        <f>[1]Assumptions!F45*SUM(Headcount!$C$35:$N$35)/12</f>
        <v>0</v>
      </c>
      <c r="G45" s="117"/>
      <c r="H45" s="74">
        <f t="shared" si="0"/>
        <v>0</v>
      </c>
      <c r="I45" s="117"/>
      <c r="J45" s="227"/>
      <c r="K45"/>
    </row>
    <row r="46" spans="1:11" ht="13.8">
      <c r="A46" s="39" t="s">
        <v>31</v>
      </c>
      <c r="B46" s="8" t="s">
        <v>98</v>
      </c>
      <c r="C46" s="117"/>
      <c r="D46" s="117"/>
      <c r="E46" s="117"/>
      <c r="F46" s="328">
        <f>[1]Assumptions!F46*SUM(Headcount!$C$35:$N$35)/12</f>
        <v>0</v>
      </c>
      <c r="G46" s="117"/>
      <c r="H46" s="73">
        <f t="shared" si="0"/>
        <v>0</v>
      </c>
      <c r="I46" s="117"/>
      <c r="J46" s="227"/>
      <c r="K46"/>
    </row>
    <row r="47" spans="1:11" ht="13.8">
      <c r="A47" s="39"/>
      <c r="B47" s="27" t="s">
        <v>171</v>
      </c>
      <c r="C47" s="117"/>
      <c r="D47" s="117"/>
      <c r="E47" s="117"/>
      <c r="F47" s="103">
        <f>SUM(F40:F46)</f>
        <v>0</v>
      </c>
      <c r="G47" s="118"/>
      <c r="H47" s="103">
        <f>SUM(H40:H46)</f>
        <v>0</v>
      </c>
      <c r="I47" s="117"/>
      <c r="J47" s="227"/>
      <c r="K47"/>
    </row>
    <row r="48" spans="1:11" ht="13.8">
      <c r="A48" s="39" t="s">
        <v>44</v>
      </c>
      <c r="B48" s="8" t="s">
        <v>16</v>
      </c>
      <c r="C48" s="117"/>
      <c r="D48" s="117"/>
      <c r="E48" s="117"/>
      <c r="F48" s="328">
        <f>[1]Assumptions!F48*SUM(Headcount!$C$35:$N$35)/12</f>
        <v>0</v>
      </c>
      <c r="G48" s="117"/>
      <c r="H48" s="74">
        <f t="shared" si="0"/>
        <v>0</v>
      </c>
      <c r="I48" s="117"/>
      <c r="J48" s="227"/>
      <c r="K48"/>
    </row>
    <row r="49" spans="1:13" ht="13.8">
      <c r="A49" s="39" t="s">
        <v>45</v>
      </c>
      <c r="B49" s="8" t="s">
        <v>17</v>
      </c>
      <c r="C49" s="117"/>
      <c r="D49" s="117"/>
      <c r="E49" s="117"/>
      <c r="F49" s="328">
        <f>[1]Assumptions!F49*SUM(Headcount!$C$35:$N$35)/12</f>
        <v>0</v>
      </c>
      <c r="G49" s="117"/>
      <c r="H49" s="73">
        <f t="shared" si="0"/>
        <v>0</v>
      </c>
      <c r="I49" s="117"/>
      <c r="J49" s="227"/>
      <c r="K49"/>
    </row>
    <row r="50" spans="1:13" ht="13.8">
      <c r="A50" s="67"/>
      <c r="B50" s="27" t="s">
        <v>172</v>
      </c>
      <c r="C50" s="117"/>
      <c r="D50" s="117"/>
      <c r="E50" s="117"/>
      <c r="F50" s="103">
        <f>SUM(F48:F49)</f>
        <v>0</v>
      </c>
      <c r="G50" s="118"/>
      <c r="H50" s="103">
        <f>SUM(H48:H49)</f>
        <v>0</v>
      </c>
      <c r="I50" s="117"/>
      <c r="J50" s="227"/>
      <c r="K50"/>
    </row>
    <row r="51" spans="1:13" s="132" customFormat="1" ht="13.8">
      <c r="A51" s="119" t="s">
        <v>46</v>
      </c>
      <c r="B51" s="27" t="s">
        <v>19</v>
      </c>
      <c r="C51" s="134"/>
      <c r="D51" s="134"/>
      <c r="E51" s="134"/>
      <c r="F51" s="328">
        <f>[1]Assumptions!F51*SUM(Headcount!$C$35:$N$35)/12</f>
        <v>0</v>
      </c>
      <c r="G51" s="134"/>
      <c r="H51" s="133">
        <f t="shared" si="0"/>
        <v>0</v>
      </c>
      <c r="I51" s="134"/>
      <c r="J51" s="317"/>
      <c r="K51" s="131"/>
    </row>
    <row r="52" spans="1:13" ht="13.8">
      <c r="A52" s="267"/>
      <c r="B52" s="270" t="s">
        <v>18</v>
      </c>
      <c r="C52" s="135"/>
      <c r="D52" s="135"/>
      <c r="E52" s="135"/>
      <c r="F52" s="334">
        <f>+F20+F21+F22+F23+F24+F30+F31+F32+F35+F36+F37+F38+F39+F47+F50+F51</f>
        <v>5187.8571428571431</v>
      </c>
      <c r="G52" s="318"/>
      <c r="H52" s="334">
        <f>+H20+H21+H22+H23+H24+H30+H31+H32+H35+H36+H37+H38+H39+H47+H50+H51</f>
        <v>62954.28571428571</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302380</v>
      </c>
      <c r="M52" s="170" t="s">
        <v>308</v>
      </c>
    </row>
    <row r="53" spans="1:13" ht="13.8">
      <c r="A53" s="8"/>
      <c r="B53" s="8"/>
      <c r="C53"/>
      <c r="D53"/>
      <c r="E53"/>
      <c r="F53"/>
      <c r="G53"/>
      <c r="H53"/>
      <c r="I53"/>
      <c r="J53"/>
      <c r="K53"/>
    </row>
    <row r="54" spans="1:13" ht="15.6">
      <c r="A54" s="77"/>
      <c r="B54" s="77"/>
      <c r="C54"/>
      <c r="D54"/>
      <c r="E54"/>
      <c r="F54"/>
      <c r="G54"/>
      <c r="H54"/>
      <c r="J54"/>
      <c r="K54"/>
    </row>
    <row r="55" spans="1:13" ht="15.6">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12759.226713532515</v>
      </c>
      <c r="G70" s="356"/>
      <c r="H70" s="357">
        <f t="shared" si="1"/>
        <v>153110.72056239017</v>
      </c>
      <c r="I70" s="117"/>
      <c r="J70" s="227"/>
      <c r="K70"/>
    </row>
    <row r="71" spans="1:11" ht="15" customHeight="1">
      <c r="A71" s="322"/>
      <c r="B71" s="270" t="s">
        <v>129</v>
      </c>
      <c r="C71" s="135"/>
      <c r="D71" s="135"/>
      <c r="E71" s="135"/>
      <c r="F71" s="323">
        <f>SUM(F56:F70)</f>
        <v>12759.226713532515</v>
      </c>
      <c r="G71" s="135"/>
      <c r="H71" s="323">
        <f>SUM(H56:H70)</f>
        <v>153110.72056239017</v>
      </c>
      <c r="I71" s="135"/>
      <c r="J71" s="319"/>
      <c r="K71"/>
    </row>
    <row r="72" spans="1:11">
      <c r="A72"/>
      <c r="B72"/>
      <c r="C72"/>
      <c r="D72"/>
      <c r="E72"/>
      <c r="F72"/>
      <c r="G72"/>
      <c r="H72"/>
      <c r="I72"/>
      <c r="J72"/>
      <c r="K72"/>
    </row>
    <row r="73" spans="1:11" ht="13.8" thickBot="1">
      <c r="A73" s="332" t="s">
        <v>130</v>
      </c>
      <c r="B73" s="331"/>
      <c r="C73"/>
      <c r="D73"/>
      <c r="E73"/>
      <c r="F73" s="333">
        <f>F52+F71</f>
        <v>17947.083856389658</v>
      </c>
      <c r="G73"/>
      <c r="H73" s="333">
        <f>H52+H71</f>
        <v>216065.00627667588</v>
      </c>
      <c r="I73"/>
      <c r="J73"/>
      <c r="K73"/>
    </row>
    <row r="74" spans="1:11" ht="13.8"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workbookViewId="0">
      <pane ySplit="1" topLeftCell="A2" activePane="bottomLeft" state="frozen"/>
      <selection pane="bottomLeft" activeCell="N8" sqref="N8"/>
    </sheetView>
  </sheetViews>
  <sheetFormatPr defaultRowHeight="13.2"/>
  <cols>
    <col min="1" max="1" width="18.44140625" customWidth="1"/>
    <col min="2" max="2" width="12.77734375" bestFit="1" customWidth="1"/>
    <col min="8" max="8" width="10.44140625" style="337" bestFit="1" customWidth="1"/>
    <col min="9" max="9" width="9.109375" style="337" bestFit="1" customWidth="1"/>
    <col min="10" max="10" width="11.109375" style="337" bestFit="1" customWidth="1"/>
    <col min="11" max="11" width="8.77734375" style="337" bestFit="1" customWidth="1"/>
    <col min="12" max="13" width="11.109375" style="337" bestFit="1" customWidth="1"/>
    <col min="14" max="14" width="8.44140625" style="337" bestFit="1" customWidth="1"/>
    <col min="15" max="15" width="11.109375" style="337" customWidth="1"/>
    <col min="16" max="16" width="19.6640625" customWidth="1"/>
    <col min="17" max="17" width="10" bestFit="1" customWidth="1"/>
    <col min="24" max="24" width="10.109375" customWidth="1"/>
    <col min="27" max="27" width="10.77734375" customWidth="1"/>
    <col min="28" max="29" width="11.77734375" customWidth="1"/>
  </cols>
  <sheetData>
    <row r="1" spans="1:29" s="335" customFormat="1" ht="79.2">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A2" t="s">
        <v>156</v>
      </c>
      <c r="B2" t="s">
        <v>356</v>
      </c>
      <c r="G2" t="s">
        <v>357</v>
      </c>
      <c r="H2" s="337">
        <v>0</v>
      </c>
      <c r="I2" s="337">
        <v>0</v>
      </c>
      <c r="J2" s="337">
        <f>J8</f>
        <v>452821.35937499994</v>
      </c>
      <c r="K2" s="337">
        <f>K8</f>
        <v>0</v>
      </c>
      <c r="L2" s="337">
        <f>L8</f>
        <v>153110.72056239017</v>
      </c>
      <c r="M2" s="337">
        <f>M8</f>
        <v>288000</v>
      </c>
      <c r="N2" s="337">
        <f>N8</f>
        <v>14380.000000000116</v>
      </c>
      <c r="O2" s="337">
        <f>SUM(H2:N2)</f>
        <v>908312.07993739017</v>
      </c>
      <c r="Q2" s="341">
        <v>1</v>
      </c>
      <c r="R2" s="341"/>
      <c r="S2" s="341"/>
      <c r="T2" s="341"/>
      <c r="U2" s="341"/>
      <c r="V2" s="341"/>
      <c r="W2" s="341"/>
      <c r="X2" s="341"/>
      <c r="Y2" s="341"/>
      <c r="Z2" s="341"/>
      <c r="AA2" s="341"/>
      <c r="AB2" s="341"/>
      <c r="AC2" s="341">
        <f>SUM(Q2:AB2)</f>
        <v>1</v>
      </c>
    </row>
    <row r="3" spans="1:29">
      <c r="H3" s="337">
        <v>0</v>
      </c>
      <c r="I3" s="337">
        <v>0</v>
      </c>
      <c r="J3" s="337">
        <v>0</v>
      </c>
      <c r="K3" s="337">
        <v>0</v>
      </c>
      <c r="L3" s="337">
        <v>0</v>
      </c>
      <c r="M3" s="337">
        <v>0</v>
      </c>
      <c r="N3" s="337">
        <v>0</v>
      </c>
      <c r="O3" s="337">
        <f>SUM(H3:N3)</f>
        <v>0</v>
      </c>
      <c r="Q3" s="341"/>
      <c r="R3" s="341"/>
      <c r="S3" s="341"/>
      <c r="T3" s="341"/>
      <c r="U3" s="341"/>
      <c r="V3" s="341"/>
      <c r="W3" s="341"/>
      <c r="X3" s="341"/>
      <c r="Y3" s="341"/>
      <c r="Z3" s="341"/>
      <c r="AA3" s="341"/>
      <c r="AB3" s="341"/>
      <c r="AC3" s="341">
        <f>SUM(Q3:AB3)</f>
        <v>0</v>
      </c>
    </row>
    <row r="4" spans="1:29">
      <c r="H4" s="337">
        <v>0</v>
      </c>
      <c r="I4" s="337">
        <v>0</v>
      </c>
      <c r="J4" s="337">
        <v>0</v>
      </c>
      <c r="K4" s="337">
        <v>0</v>
      </c>
      <c r="L4" s="337">
        <v>0</v>
      </c>
      <c r="M4" s="337">
        <v>0</v>
      </c>
      <c r="N4" s="337">
        <v>0</v>
      </c>
      <c r="O4" s="337">
        <f>SUM(H4:N4)</f>
        <v>0</v>
      </c>
      <c r="Q4" s="341"/>
      <c r="R4" s="341"/>
      <c r="S4" s="341"/>
      <c r="T4" s="341"/>
      <c r="U4" s="341"/>
      <c r="V4" s="341"/>
      <c r="W4" s="341"/>
      <c r="X4" s="341"/>
      <c r="Y4" s="341"/>
      <c r="Z4" s="341"/>
      <c r="AA4" s="341"/>
      <c r="AB4" s="341"/>
      <c r="AC4" s="341">
        <f>SUM(Q4:AB4)</f>
        <v>0</v>
      </c>
    </row>
    <row r="5" spans="1:29">
      <c r="Q5" s="341"/>
      <c r="R5" s="341"/>
      <c r="S5" s="341"/>
      <c r="T5" s="341"/>
      <c r="U5" s="341"/>
      <c r="V5" s="341"/>
      <c r="W5" s="341"/>
      <c r="X5" s="341"/>
      <c r="Y5" s="341"/>
      <c r="Z5" s="341"/>
      <c r="AA5" s="341"/>
      <c r="AB5" s="341"/>
      <c r="AC5" s="341"/>
    </row>
    <row r="6" spans="1:29">
      <c r="H6" s="337">
        <v>0</v>
      </c>
      <c r="I6" s="337">
        <v>0</v>
      </c>
      <c r="J6" s="337">
        <v>0</v>
      </c>
      <c r="K6" s="337">
        <v>0</v>
      </c>
      <c r="L6" s="337">
        <v>0</v>
      </c>
      <c r="M6" s="337">
        <v>0</v>
      </c>
      <c r="N6" s="337">
        <v>0</v>
      </c>
      <c r="O6" s="337">
        <f>SUM(H6:N6)</f>
        <v>0</v>
      </c>
      <c r="Q6" s="341"/>
      <c r="R6" s="341"/>
      <c r="S6" s="341"/>
      <c r="T6" s="341"/>
      <c r="U6" s="341"/>
      <c r="V6" s="341"/>
      <c r="W6" s="341"/>
      <c r="X6" s="341"/>
      <c r="Y6" s="341"/>
      <c r="Z6" s="341"/>
      <c r="AA6" s="341"/>
      <c r="AB6" s="341"/>
      <c r="AC6" s="341">
        <f>SUM(Q6:AB6)</f>
        <v>0</v>
      </c>
    </row>
    <row r="7" spans="1:29">
      <c r="H7" s="337">
        <v>0</v>
      </c>
      <c r="I7" s="337">
        <v>0</v>
      </c>
      <c r="J7" s="337">
        <v>0</v>
      </c>
      <c r="K7" s="337">
        <v>0</v>
      </c>
      <c r="L7" s="337">
        <v>0</v>
      </c>
      <c r="M7" s="337">
        <v>0</v>
      </c>
      <c r="N7" s="337">
        <v>0</v>
      </c>
      <c r="O7" s="337">
        <f>SUM(H7:N7)</f>
        <v>0</v>
      </c>
      <c r="Q7" s="341"/>
      <c r="R7" s="341"/>
      <c r="S7" s="341"/>
      <c r="T7" s="341"/>
      <c r="U7" s="341"/>
      <c r="V7" s="341"/>
      <c r="W7" s="341"/>
      <c r="X7" s="341"/>
      <c r="Y7" s="341"/>
      <c r="Z7" s="341"/>
      <c r="AA7" s="341"/>
      <c r="AB7" s="341"/>
      <c r="AC7" s="341">
        <f>SUM(Q7:AB7)</f>
        <v>0</v>
      </c>
    </row>
    <row r="8" spans="1:29" s="338" customFormat="1" ht="13.8" thickBot="1">
      <c r="A8" s="338" t="s">
        <v>329</v>
      </c>
      <c r="H8" s="339">
        <f>SUM(H2:H7)</f>
        <v>0</v>
      </c>
      <c r="I8" s="339">
        <f>SUM(I2:I7)</f>
        <v>0</v>
      </c>
      <c r="J8" s="339">
        <f>'Detail Expenses'!P32+'Detail Expenses'!P35+'Detail Expenses'!P63</f>
        <v>452821.35937499994</v>
      </c>
      <c r="K8" s="339">
        <f>'Detail Expenses'!P46</f>
        <v>0</v>
      </c>
      <c r="L8" s="339">
        <f>'Detail Expenses'!P95</f>
        <v>153110.72056239017</v>
      </c>
      <c r="M8" s="339">
        <f>'Detail Expenses'!P47+'Detail Expenses'!P48</f>
        <v>288000</v>
      </c>
      <c r="N8" s="339">
        <f>'Detail Expenses'!P98-'Detail Expenses'!P32-'Detail Expenses'!P35-'Detail Expenses'!P63-'Detail Expenses'!P46-'Detail Expenses'!P96-'Detail Expenses'!P47-'Detail Expenses'!P48-H8-'Detail Expenses'!P48-I8</f>
        <v>14380.000000000116</v>
      </c>
      <c r="O8" s="339">
        <f>SUM(H8:N8)</f>
        <v>908312.07993739017</v>
      </c>
      <c r="P8" s="359" t="s">
        <v>358</v>
      </c>
      <c r="Q8" s="342">
        <f>SUM(Q2:Q7)</f>
        <v>1</v>
      </c>
      <c r="R8" s="342">
        <f t="shared" ref="R8:AC8" si="0">SUM(R2:R7)</f>
        <v>0</v>
      </c>
      <c r="S8" s="342">
        <f t="shared" si="0"/>
        <v>0</v>
      </c>
      <c r="T8" s="342">
        <f t="shared" si="0"/>
        <v>0</v>
      </c>
      <c r="U8" s="342">
        <f t="shared" si="0"/>
        <v>0</v>
      </c>
      <c r="V8" s="342">
        <f t="shared" si="0"/>
        <v>0</v>
      </c>
      <c r="W8" s="342">
        <f t="shared" si="0"/>
        <v>0</v>
      </c>
      <c r="X8" s="342">
        <f t="shared" si="0"/>
        <v>0</v>
      </c>
      <c r="Y8" s="342">
        <f t="shared" si="0"/>
        <v>0</v>
      </c>
      <c r="Z8" s="342">
        <f t="shared" si="0"/>
        <v>0</v>
      </c>
      <c r="AA8" s="342">
        <f t="shared" si="0"/>
        <v>0</v>
      </c>
      <c r="AB8" s="342">
        <f t="shared" si="0"/>
        <v>0</v>
      </c>
      <c r="AC8" s="342">
        <f t="shared" si="0"/>
        <v>1</v>
      </c>
    </row>
    <row r="9" spans="1:29" ht="14.4" thickTop="1" thickBot="1">
      <c r="H9" s="337">
        <f>SUM(H2:H7)</f>
        <v>0</v>
      </c>
      <c r="I9" s="337">
        <f t="shared" ref="I9:O9" si="1">SUM(I2:I7)</f>
        <v>0</v>
      </c>
      <c r="J9" s="337">
        <f t="shared" si="1"/>
        <v>452821.35937499994</v>
      </c>
      <c r="K9" s="337">
        <f t="shared" si="1"/>
        <v>0</v>
      </c>
      <c r="L9" s="337">
        <f t="shared" si="1"/>
        <v>153110.72056239017</v>
      </c>
      <c r="M9" s="337">
        <f t="shared" si="1"/>
        <v>288000</v>
      </c>
      <c r="N9" s="337">
        <f t="shared" si="1"/>
        <v>14380.000000000116</v>
      </c>
      <c r="O9" s="337">
        <f t="shared" si="1"/>
        <v>908312.07993739017</v>
      </c>
      <c r="P9" t="s">
        <v>359</v>
      </c>
    </row>
    <row r="10" spans="1:29">
      <c r="A10" s="343" t="s">
        <v>351</v>
      </c>
      <c r="B10" s="344"/>
      <c r="C10" s="344"/>
      <c r="D10" s="344"/>
      <c r="E10" s="344"/>
      <c r="F10" s="344"/>
      <c r="G10" s="345"/>
      <c r="H10" s="337">
        <f>H8-H9</f>
        <v>0</v>
      </c>
      <c r="I10" s="337">
        <f t="shared" ref="I10:O10" si="2">I8-I9</f>
        <v>0</v>
      </c>
      <c r="J10" s="337">
        <f t="shared" si="2"/>
        <v>0</v>
      </c>
      <c r="K10" s="337">
        <f t="shared" si="2"/>
        <v>0</v>
      </c>
      <c r="L10" s="337">
        <f t="shared" si="2"/>
        <v>0</v>
      </c>
      <c r="M10" s="337">
        <f t="shared" si="2"/>
        <v>0</v>
      </c>
      <c r="N10" s="337">
        <f t="shared" si="2"/>
        <v>0</v>
      </c>
      <c r="O10" s="337">
        <f t="shared" si="2"/>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8"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D12" activePane="bottomRight" state="frozen"/>
      <selection activeCell="G9" sqref="G9"/>
      <selection pane="topRight" activeCell="G9" sqref="G9"/>
      <selection pane="bottomLeft" activeCell="G9" sqref="G9"/>
      <selection pane="bottomRight" activeCell="D36" sqref="D36"/>
    </sheetView>
  </sheetViews>
  <sheetFormatPr defaultColWidth="9.33203125" defaultRowHeight="13.8"/>
  <cols>
    <col min="1" max="1" width="15" style="3" customWidth="1"/>
    <col min="2" max="2" width="42.33203125" style="3" customWidth="1"/>
    <col min="3" max="3" width="1.44140625" style="3" customWidth="1"/>
    <col min="4" max="16" width="14.7773437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6">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6"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6" hidden="1">
      <c r="A12" s="36" t="s">
        <v>55</v>
      </c>
      <c r="B12" s="37"/>
      <c r="C12" s="38">
        <v>1</v>
      </c>
      <c r="D12" s="293"/>
      <c r="E12" s="293"/>
      <c r="F12" s="293"/>
      <c r="G12" s="293"/>
      <c r="H12" s="293"/>
      <c r="I12" s="293"/>
      <c r="J12" s="293"/>
      <c r="K12" s="293"/>
      <c r="L12" s="293"/>
      <c r="M12" s="293"/>
      <c r="N12" s="293"/>
      <c r="O12" s="293"/>
      <c r="P12" s="294"/>
    </row>
    <row r="13" spans="1:16" s="58" customFormat="1" ht="15.6" hidden="1">
      <c r="A13" s="30" t="s">
        <v>56</v>
      </c>
      <c r="B13" s="34"/>
      <c r="C13" s="31">
        <v>1</v>
      </c>
      <c r="D13" s="293"/>
      <c r="E13" s="293"/>
      <c r="F13" s="293"/>
      <c r="G13" s="293"/>
      <c r="H13" s="293"/>
      <c r="I13" s="293"/>
      <c r="J13" s="293"/>
      <c r="K13" s="293"/>
      <c r="L13" s="293"/>
      <c r="M13" s="293"/>
      <c r="N13" s="293"/>
      <c r="O13" s="293"/>
      <c r="P13" s="294"/>
    </row>
    <row r="14" spans="1:16" s="58" customFormat="1" ht="15.6" hidden="1">
      <c r="A14" s="30" t="s">
        <v>57</v>
      </c>
      <c r="B14" s="34"/>
      <c r="C14" s="31">
        <v>1</v>
      </c>
      <c r="D14" s="293"/>
      <c r="E14" s="293"/>
      <c r="F14" s="293"/>
      <c r="G14" s="293"/>
      <c r="H14" s="293"/>
      <c r="I14" s="293"/>
      <c r="J14" s="293"/>
      <c r="K14" s="293"/>
      <c r="L14" s="293"/>
      <c r="M14" s="293"/>
      <c r="N14" s="293"/>
      <c r="O14" s="293"/>
      <c r="P14" s="294"/>
    </row>
    <row r="15" spans="1:16" s="58" customFormat="1" ht="15.6" hidden="1">
      <c r="A15" s="30" t="s">
        <v>58</v>
      </c>
      <c r="B15" s="34"/>
      <c r="C15" s="33">
        <f>SUM(C13:C14)</f>
        <v>2</v>
      </c>
      <c r="D15" s="293"/>
      <c r="E15" s="293"/>
      <c r="F15" s="293"/>
      <c r="G15" s="293"/>
      <c r="H15" s="293"/>
      <c r="I15" s="293"/>
      <c r="J15" s="293"/>
      <c r="K15" s="293"/>
      <c r="L15" s="293"/>
      <c r="M15" s="293"/>
      <c r="N15" s="293"/>
      <c r="O15" s="293"/>
      <c r="P15" s="294"/>
    </row>
    <row r="16" spans="1:16" s="58" customFormat="1" ht="15.6" hidden="1">
      <c r="A16" s="30" t="s">
        <v>59</v>
      </c>
      <c r="B16" s="34"/>
      <c r="C16" s="31">
        <v>1</v>
      </c>
      <c r="D16" s="293"/>
      <c r="E16" s="293"/>
      <c r="F16" s="293"/>
      <c r="G16" s="293"/>
      <c r="H16" s="293"/>
      <c r="I16" s="293"/>
      <c r="J16" s="293"/>
      <c r="K16" s="293"/>
      <c r="L16" s="293"/>
      <c r="M16" s="293"/>
      <c r="N16" s="293"/>
      <c r="O16" s="293"/>
      <c r="P16" s="294"/>
    </row>
    <row r="17" spans="1:16" s="58" customFormat="1" ht="15.6" hidden="1">
      <c r="A17" s="30" t="s">
        <v>60</v>
      </c>
      <c r="B17" s="34"/>
      <c r="C17" s="31">
        <v>1</v>
      </c>
      <c r="D17" s="293"/>
      <c r="E17" s="293"/>
      <c r="F17" s="293"/>
      <c r="G17" s="293"/>
      <c r="H17" s="293"/>
      <c r="I17" s="293"/>
      <c r="J17" s="293"/>
      <c r="K17" s="293"/>
      <c r="L17" s="293"/>
      <c r="M17" s="293"/>
      <c r="N17" s="293"/>
      <c r="O17" s="293"/>
      <c r="P17" s="294"/>
    </row>
    <row r="18" spans="1:16" s="58" customFormat="1" ht="15.6" hidden="1">
      <c r="A18" s="30" t="s">
        <v>61</v>
      </c>
      <c r="B18" s="34"/>
      <c r="C18" s="31">
        <v>1</v>
      </c>
      <c r="D18" s="293"/>
      <c r="E18" s="293"/>
      <c r="F18" s="293"/>
      <c r="G18" s="293"/>
      <c r="H18" s="293"/>
      <c r="I18" s="293"/>
      <c r="J18" s="293"/>
      <c r="K18" s="293"/>
      <c r="L18" s="293"/>
      <c r="M18" s="293"/>
      <c r="N18" s="293"/>
      <c r="O18" s="293"/>
      <c r="P18" s="294"/>
    </row>
    <row r="19" spans="1:16" s="58" customFormat="1" ht="15.6" hidden="1">
      <c r="A19" s="30" t="s">
        <v>62</v>
      </c>
      <c r="B19" s="34"/>
      <c r="C19" s="31">
        <v>1</v>
      </c>
      <c r="D19" s="293"/>
      <c r="E19" s="293"/>
      <c r="F19" s="293"/>
      <c r="G19" s="293"/>
      <c r="H19" s="293"/>
      <c r="I19" s="293"/>
      <c r="J19" s="293"/>
      <c r="K19" s="293"/>
      <c r="L19" s="293"/>
      <c r="M19" s="293"/>
      <c r="N19" s="293"/>
      <c r="O19" s="293"/>
      <c r="P19" s="294"/>
    </row>
    <row r="20" spans="1:16" s="58" customFormat="1" ht="15.6" hidden="1">
      <c r="A20" s="30" t="s">
        <v>63</v>
      </c>
      <c r="B20" s="34"/>
      <c r="C20" s="31">
        <v>1</v>
      </c>
      <c r="D20" s="293"/>
      <c r="E20" s="293"/>
      <c r="F20" s="293"/>
      <c r="G20" s="293"/>
      <c r="H20" s="293"/>
      <c r="I20" s="293"/>
      <c r="J20" s="293"/>
      <c r="K20" s="293"/>
      <c r="L20" s="293"/>
      <c r="M20" s="293"/>
      <c r="N20" s="293"/>
      <c r="O20" s="293"/>
      <c r="P20" s="294"/>
    </row>
    <row r="21" spans="1:16" s="58" customFormat="1" ht="15.6" hidden="1">
      <c r="A21" s="30" t="s">
        <v>64</v>
      </c>
      <c r="B21" s="34"/>
      <c r="C21" s="31">
        <v>1</v>
      </c>
      <c r="D21" s="293"/>
      <c r="E21" s="293"/>
      <c r="F21" s="293"/>
      <c r="G21" s="293"/>
      <c r="H21" s="293"/>
      <c r="I21" s="293"/>
      <c r="J21" s="293"/>
      <c r="K21" s="293"/>
      <c r="L21" s="293"/>
      <c r="M21" s="293"/>
      <c r="N21" s="293"/>
      <c r="O21" s="293"/>
      <c r="P21" s="294"/>
    </row>
    <row r="22" spans="1:16" s="58" customFormat="1" ht="15.6" hidden="1">
      <c r="A22" s="30" t="s">
        <v>65</v>
      </c>
      <c r="B22" s="34"/>
      <c r="C22" s="31">
        <v>1</v>
      </c>
      <c r="D22" s="293"/>
      <c r="E22" s="293"/>
      <c r="F22" s="293"/>
      <c r="G22" s="293"/>
      <c r="H22" s="293"/>
      <c r="I22" s="293"/>
      <c r="J22" s="293"/>
      <c r="K22" s="293"/>
      <c r="L22" s="293"/>
      <c r="M22" s="293"/>
      <c r="N22" s="293"/>
      <c r="O22" s="293"/>
      <c r="P22" s="294"/>
    </row>
    <row r="23" spans="1:16" s="58" customFormat="1" ht="15.6"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6" hidden="1">
      <c r="A24" s="46" t="s">
        <v>67</v>
      </c>
      <c r="B24" s="35"/>
      <c r="C24" s="33" t="e">
        <f>SUM(#REF!)</f>
        <v>#REF!</v>
      </c>
      <c r="D24" s="293"/>
      <c r="E24" s="293"/>
      <c r="F24" s="293"/>
      <c r="G24" s="293"/>
      <c r="H24" s="293"/>
      <c r="I24" s="293"/>
      <c r="J24" s="293"/>
      <c r="K24" s="293"/>
      <c r="L24" s="293"/>
      <c r="M24" s="293"/>
      <c r="N24" s="293"/>
      <c r="O24" s="293"/>
      <c r="P24" s="294"/>
    </row>
    <row r="25" spans="1:16" s="58" customFormat="1" ht="15.6" hidden="1">
      <c r="A25" s="30" t="s">
        <v>68</v>
      </c>
      <c r="B25" s="34"/>
      <c r="C25" s="31">
        <v>1</v>
      </c>
      <c r="D25" s="293"/>
      <c r="E25" s="293"/>
      <c r="F25" s="293"/>
      <c r="G25" s="293"/>
      <c r="H25" s="293"/>
      <c r="I25" s="293"/>
      <c r="J25" s="293"/>
      <c r="K25" s="293"/>
      <c r="L25" s="293"/>
      <c r="M25" s="293"/>
      <c r="N25" s="293"/>
      <c r="O25" s="293"/>
      <c r="P25" s="294"/>
    </row>
    <row r="26" spans="1:16" s="58" customFormat="1" ht="15.6" hidden="1">
      <c r="A26" s="59" t="s">
        <v>69</v>
      </c>
      <c r="B26" s="60"/>
      <c r="C26" s="61" t="e">
        <f>C24+C23+C25</f>
        <v>#REF!</v>
      </c>
      <c r="D26" s="293"/>
      <c r="E26" s="293"/>
      <c r="F26" s="293"/>
      <c r="G26" s="293"/>
      <c r="H26" s="293"/>
      <c r="I26" s="293"/>
      <c r="J26" s="293"/>
      <c r="K26" s="293"/>
      <c r="L26" s="293"/>
      <c r="M26" s="293"/>
      <c r="N26" s="293"/>
      <c r="O26" s="293"/>
      <c r="P26" s="294"/>
    </row>
    <row r="27" spans="1:16" s="34" customFormat="1" ht="15.6" hidden="1">
      <c r="A27" s="46"/>
      <c r="B27" s="35"/>
      <c r="C27" s="33"/>
      <c r="D27" s="293"/>
      <c r="E27" s="293"/>
      <c r="F27" s="293"/>
      <c r="G27" s="293"/>
      <c r="H27" s="293"/>
      <c r="I27" s="293"/>
      <c r="J27" s="293"/>
      <c r="K27" s="293"/>
      <c r="L27" s="293"/>
      <c r="M27" s="293"/>
      <c r="N27" s="293"/>
      <c r="O27" s="293"/>
      <c r="P27" s="294"/>
    </row>
    <row r="28" spans="1:16" s="63" customFormat="1" ht="15.6">
      <c r="A28" s="62" t="s">
        <v>51</v>
      </c>
      <c r="B28" s="324"/>
      <c r="C28" s="325"/>
      <c r="D28" s="293"/>
      <c r="E28" s="293"/>
      <c r="F28" s="293"/>
      <c r="G28" s="293"/>
      <c r="H28" s="293"/>
      <c r="I28" s="293"/>
      <c r="J28" s="293"/>
      <c r="K28" s="293"/>
      <c r="L28" s="293"/>
      <c r="M28" s="293"/>
      <c r="N28" s="293"/>
      <c r="O28" s="293"/>
      <c r="P28" s="294"/>
    </row>
    <row r="29" spans="1:16" s="63" customFormat="1" ht="15.6">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29583.333333333332</v>
      </c>
      <c r="E30" s="295">
        <f>Headcount!D58</f>
        <v>31802.083333333332</v>
      </c>
      <c r="F30" s="295">
        <f>Headcount!E58</f>
        <v>31802.083333333332</v>
      </c>
      <c r="G30" s="295">
        <f>Headcount!F58</f>
        <v>31802.083333333332</v>
      </c>
      <c r="H30" s="295">
        <f>Headcount!G58</f>
        <v>31802.083333333332</v>
      </c>
      <c r="I30" s="295">
        <f>Headcount!H58</f>
        <v>31802.083333333332</v>
      </c>
      <c r="J30" s="295">
        <f>Headcount!I58</f>
        <v>31802.083333333332</v>
      </c>
      <c r="K30" s="295">
        <f>Headcount!J58</f>
        <v>31802.083333333332</v>
      </c>
      <c r="L30" s="295">
        <f>Headcount!K58</f>
        <v>31802.083333333332</v>
      </c>
      <c r="M30" s="295">
        <f>Headcount!L58</f>
        <v>31802.083333333332</v>
      </c>
      <c r="N30" s="295">
        <f>Headcount!M58</f>
        <v>31802.083333333332</v>
      </c>
      <c r="O30" s="295">
        <f>Headcount!N58</f>
        <v>31802.083333333332</v>
      </c>
      <c r="P30" s="296">
        <f>SUM(D30:O30)</f>
        <v>379406.24999999994</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29583.333333333332</v>
      </c>
      <c r="E32" s="298">
        <f t="shared" ref="E32:P32" si="0">SUM(E30:E31)</f>
        <v>31802.083333333332</v>
      </c>
      <c r="F32" s="298">
        <f t="shared" si="0"/>
        <v>31802.083333333332</v>
      </c>
      <c r="G32" s="298">
        <f t="shared" si="0"/>
        <v>31802.083333333332</v>
      </c>
      <c r="H32" s="298">
        <f t="shared" si="0"/>
        <v>31802.083333333332</v>
      </c>
      <c r="I32" s="298">
        <f t="shared" si="0"/>
        <v>31802.083333333332</v>
      </c>
      <c r="J32" s="298">
        <f t="shared" si="0"/>
        <v>31802.083333333332</v>
      </c>
      <c r="K32" s="298">
        <f t="shared" si="0"/>
        <v>31802.083333333332</v>
      </c>
      <c r="L32" s="298">
        <f t="shared" si="0"/>
        <v>31802.083333333332</v>
      </c>
      <c r="M32" s="298">
        <f t="shared" si="0"/>
        <v>31802.083333333332</v>
      </c>
      <c r="N32" s="298">
        <f t="shared" si="0"/>
        <v>31802.083333333332</v>
      </c>
      <c r="O32" s="298">
        <f t="shared" si="0"/>
        <v>31802.083333333332</v>
      </c>
      <c r="P32" s="299">
        <f t="shared" si="0"/>
        <v>379406.24999999994</v>
      </c>
    </row>
    <row r="33" spans="1:18">
      <c r="A33" s="39" t="s">
        <v>21</v>
      </c>
      <c r="B33" s="64" t="s">
        <v>4</v>
      </c>
      <c r="C33" s="8"/>
      <c r="D33" s="243">
        <f>D32*0.0935</f>
        <v>2766.0416666666665</v>
      </c>
      <c r="E33" s="243">
        <f>E32*0.0935</f>
        <v>2973.4947916666665</v>
      </c>
      <c r="F33" s="243">
        <f>F32*0.0935</f>
        <v>2973.4947916666665</v>
      </c>
      <c r="G33" s="243">
        <f t="shared" ref="G33:O33" si="1">G32*0.0935</f>
        <v>2973.4947916666665</v>
      </c>
      <c r="H33" s="243">
        <f t="shared" si="1"/>
        <v>2973.4947916666665</v>
      </c>
      <c r="I33" s="243">
        <f t="shared" si="1"/>
        <v>2973.4947916666665</v>
      </c>
      <c r="J33" s="243">
        <f t="shared" si="1"/>
        <v>2973.4947916666665</v>
      </c>
      <c r="K33" s="243">
        <f t="shared" si="1"/>
        <v>2973.4947916666665</v>
      </c>
      <c r="L33" s="243">
        <f t="shared" si="1"/>
        <v>2973.4947916666665</v>
      </c>
      <c r="M33" s="243">
        <f t="shared" si="1"/>
        <v>2973.4947916666665</v>
      </c>
      <c r="N33" s="243">
        <f t="shared" si="1"/>
        <v>2973.4947916666665</v>
      </c>
      <c r="O33" s="243">
        <f t="shared" si="1"/>
        <v>2973.4947916666665</v>
      </c>
      <c r="P33" s="300">
        <f>SUM(D33:O33)</f>
        <v>35474.484375000007</v>
      </c>
    </row>
    <row r="34" spans="1:18">
      <c r="A34" s="39" t="s">
        <v>22</v>
      </c>
      <c r="B34" s="8" t="s">
        <v>5</v>
      </c>
      <c r="C34" s="8"/>
      <c r="D34" s="104">
        <f>D32*0.1</f>
        <v>2958.3333333333335</v>
      </c>
      <c r="E34" s="104">
        <f>E32*0.1</f>
        <v>3180.2083333333335</v>
      </c>
      <c r="F34" s="104">
        <f>F32*0.1</f>
        <v>3180.2083333333335</v>
      </c>
      <c r="G34" s="104">
        <f t="shared" ref="G34:O34" si="2">G32*0.1</f>
        <v>3180.2083333333335</v>
      </c>
      <c r="H34" s="104">
        <f t="shared" si="2"/>
        <v>3180.2083333333335</v>
      </c>
      <c r="I34" s="104">
        <f t="shared" si="2"/>
        <v>3180.2083333333335</v>
      </c>
      <c r="J34" s="104">
        <f t="shared" si="2"/>
        <v>3180.2083333333335</v>
      </c>
      <c r="K34" s="104">
        <f t="shared" si="2"/>
        <v>3180.2083333333335</v>
      </c>
      <c r="L34" s="104">
        <f t="shared" si="2"/>
        <v>3180.2083333333335</v>
      </c>
      <c r="M34" s="104">
        <f t="shared" si="2"/>
        <v>3180.2083333333335</v>
      </c>
      <c r="N34" s="104">
        <f t="shared" si="2"/>
        <v>3180.2083333333335</v>
      </c>
      <c r="O34" s="104">
        <f t="shared" si="2"/>
        <v>3180.2083333333335</v>
      </c>
      <c r="P34" s="301">
        <f>SUM(D34:O34)</f>
        <v>37940.625</v>
      </c>
    </row>
    <row r="35" spans="1:18" s="120" customFormat="1">
      <c r="A35" s="119"/>
      <c r="B35" s="27" t="s">
        <v>6</v>
      </c>
      <c r="C35" s="42"/>
      <c r="D35" s="302">
        <f>SUM(D33:D34)</f>
        <v>5724.375</v>
      </c>
      <c r="E35" s="302">
        <f t="shared" ref="E35:P35" si="3">SUM(E33:E34)</f>
        <v>6153.703125</v>
      </c>
      <c r="F35" s="302">
        <f t="shared" si="3"/>
        <v>6153.703125</v>
      </c>
      <c r="G35" s="302">
        <f t="shared" si="3"/>
        <v>6153.703125</v>
      </c>
      <c r="H35" s="302">
        <f t="shared" si="3"/>
        <v>6153.703125</v>
      </c>
      <c r="I35" s="302">
        <f t="shared" si="3"/>
        <v>6153.703125</v>
      </c>
      <c r="J35" s="302">
        <f t="shared" si="3"/>
        <v>6153.703125</v>
      </c>
      <c r="K35" s="302">
        <f t="shared" si="3"/>
        <v>6153.703125</v>
      </c>
      <c r="L35" s="302">
        <f t="shared" si="3"/>
        <v>6153.703125</v>
      </c>
      <c r="M35" s="302">
        <f t="shared" si="3"/>
        <v>6153.703125</v>
      </c>
      <c r="N35" s="302">
        <f t="shared" si="3"/>
        <v>6153.703125</v>
      </c>
      <c r="O35" s="302">
        <f t="shared" si="3"/>
        <v>6153.703125</v>
      </c>
      <c r="P35" s="303">
        <f t="shared" si="3"/>
        <v>73415.109375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83.333333333333329</v>
      </c>
      <c r="E39" s="286">
        <f t="shared" ref="E39:O39" si="8">D39</f>
        <v>83.333333333333329</v>
      </c>
      <c r="F39" s="286">
        <f t="shared" si="8"/>
        <v>83.333333333333329</v>
      </c>
      <c r="G39" s="286">
        <f t="shared" si="8"/>
        <v>83.333333333333329</v>
      </c>
      <c r="H39" s="286">
        <f t="shared" si="8"/>
        <v>83.333333333333329</v>
      </c>
      <c r="I39" s="286">
        <f t="shared" si="8"/>
        <v>83.333333333333329</v>
      </c>
      <c r="J39" s="286">
        <f t="shared" si="8"/>
        <v>83.333333333333329</v>
      </c>
      <c r="K39" s="286">
        <f t="shared" si="8"/>
        <v>83.333333333333329</v>
      </c>
      <c r="L39" s="286">
        <f t="shared" si="8"/>
        <v>83.333333333333329</v>
      </c>
      <c r="M39" s="286">
        <f t="shared" si="8"/>
        <v>83.333333333333329</v>
      </c>
      <c r="N39" s="286">
        <f t="shared" si="8"/>
        <v>83.333333333333329</v>
      </c>
      <c r="O39" s="286">
        <f t="shared" si="8"/>
        <v>83.333333333333329</v>
      </c>
      <c r="P39" s="300">
        <f t="shared" si="5"/>
        <v>1000.0000000000001</v>
      </c>
    </row>
    <row r="40" spans="1:18">
      <c r="A40" s="66" t="s">
        <v>36</v>
      </c>
      <c r="B40" s="8" t="s">
        <v>82</v>
      </c>
      <c r="C40" s="8"/>
      <c r="D40" s="286">
        <f>Assumptions!H16/12</f>
        <v>40</v>
      </c>
      <c r="E40" s="286">
        <f t="shared" ref="E40:O40" si="9">D40</f>
        <v>40</v>
      </c>
      <c r="F40" s="286">
        <f t="shared" si="9"/>
        <v>40</v>
      </c>
      <c r="G40" s="286">
        <f t="shared" si="9"/>
        <v>40</v>
      </c>
      <c r="H40" s="286">
        <f t="shared" si="9"/>
        <v>40</v>
      </c>
      <c r="I40" s="286">
        <f t="shared" si="9"/>
        <v>40</v>
      </c>
      <c r="J40" s="286">
        <f t="shared" si="9"/>
        <v>40</v>
      </c>
      <c r="K40" s="286">
        <f t="shared" si="9"/>
        <v>40</v>
      </c>
      <c r="L40" s="286">
        <f t="shared" si="9"/>
        <v>40</v>
      </c>
      <c r="M40" s="286">
        <f t="shared" si="9"/>
        <v>40</v>
      </c>
      <c r="N40" s="286">
        <f t="shared" si="9"/>
        <v>40</v>
      </c>
      <c r="O40" s="286">
        <f t="shared" si="9"/>
        <v>40</v>
      </c>
      <c r="P40" s="300">
        <f t="shared" si="5"/>
        <v>480</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750</v>
      </c>
      <c r="E42" s="286">
        <f t="shared" ref="E42:O43" si="11">D42</f>
        <v>750</v>
      </c>
      <c r="F42" s="286">
        <f t="shared" si="11"/>
        <v>750</v>
      </c>
      <c r="G42" s="286">
        <f t="shared" si="11"/>
        <v>750</v>
      </c>
      <c r="H42" s="286">
        <f t="shared" si="11"/>
        <v>750</v>
      </c>
      <c r="I42" s="286">
        <f t="shared" si="11"/>
        <v>750</v>
      </c>
      <c r="J42" s="286">
        <f t="shared" si="11"/>
        <v>750</v>
      </c>
      <c r="K42" s="286">
        <f t="shared" si="11"/>
        <v>750</v>
      </c>
      <c r="L42" s="286">
        <f t="shared" si="11"/>
        <v>750</v>
      </c>
      <c r="M42" s="286">
        <f t="shared" si="11"/>
        <v>750</v>
      </c>
      <c r="N42" s="286">
        <f t="shared" si="11"/>
        <v>750</v>
      </c>
      <c r="O42" s="286">
        <f t="shared" si="11"/>
        <v>750</v>
      </c>
      <c r="P42" s="300">
        <f t="shared" si="5"/>
        <v>9000</v>
      </c>
    </row>
    <row r="43" spans="1:18">
      <c r="A43" s="66" t="s">
        <v>206</v>
      </c>
      <c r="B43" s="8" t="s">
        <v>207</v>
      </c>
      <c r="C43" s="8"/>
      <c r="D43" s="304">
        <f>+Assumptions!H19/12</f>
        <v>300</v>
      </c>
      <c r="E43" s="304">
        <f t="shared" si="11"/>
        <v>300</v>
      </c>
      <c r="F43" s="304">
        <f t="shared" si="11"/>
        <v>300</v>
      </c>
      <c r="G43" s="304">
        <f t="shared" si="11"/>
        <v>300</v>
      </c>
      <c r="H43" s="304">
        <f t="shared" si="11"/>
        <v>300</v>
      </c>
      <c r="I43" s="304">
        <f t="shared" si="11"/>
        <v>300</v>
      </c>
      <c r="J43" s="304">
        <f t="shared" si="11"/>
        <v>300</v>
      </c>
      <c r="K43" s="304">
        <f t="shared" si="11"/>
        <v>300</v>
      </c>
      <c r="L43" s="304">
        <f t="shared" si="11"/>
        <v>300</v>
      </c>
      <c r="M43" s="304">
        <f t="shared" si="11"/>
        <v>300</v>
      </c>
      <c r="N43" s="304">
        <f t="shared" si="11"/>
        <v>300</v>
      </c>
      <c r="O43" s="304">
        <f t="shared" si="11"/>
        <v>300</v>
      </c>
      <c r="P43" s="301">
        <f>SUM(D43:O43)</f>
        <v>3600</v>
      </c>
    </row>
    <row r="44" spans="1:18" s="120" customFormat="1">
      <c r="A44" s="119"/>
      <c r="B44" s="27" t="s">
        <v>11</v>
      </c>
      <c r="C44" s="42"/>
      <c r="D44" s="302">
        <f>SUM(D36:D43)</f>
        <v>1173.3333333333335</v>
      </c>
      <c r="E44" s="302">
        <f t="shared" ref="E44:P44" si="12">SUM(E36:E43)</f>
        <v>1173.3333333333335</v>
      </c>
      <c r="F44" s="302">
        <f t="shared" si="12"/>
        <v>1173.3333333333335</v>
      </c>
      <c r="G44" s="302">
        <f t="shared" si="12"/>
        <v>1173.3333333333335</v>
      </c>
      <c r="H44" s="302">
        <f t="shared" si="12"/>
        <v>1173.3333333333335</v>
      </c>
      <c r="I44" s="302">
        <f t="shared" si="12"/>
        <v>1173.3333333333335</v>
      </c>
      <c r="J44" s="302">
        <f t="shared" si="12"/>
        <v>1173.3333333333335</v>
      </c>
      <c r="K44" s="302">
        <f t="shared" si="12"/>
        <v>1173.3333333333335</v>
      </c>
      <c r="L44" s="302">
        <f t="shared" si="12"/>
        <v>1173.3333333333335</v>
      </c>
      <c r="M44" s="302">
        <f t="shared" si="12"/>
        <v>1173.3333333333335</v>
      </c>
      <c r="N44" s="302">
        <f t="shared" si="12"/>
        <v>1173.3333333333335</v>
      </c>
      <c r="O44" s="302">
        <f t="shared" si="12"/>
        <v>1173.3333333333335</v>
      </c>
      <c r="P44" s="303">
        <f t="shared" si="12"/>
        <v>14080</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25</v>
      </c>
      <c r="E53" s="304">
        <f t="shared" ref="E53:O53" si="21">D53</f>
        <v>25</v>
      </c>
      <c r="F53" s="304">
        <f t="shared" si="21"/>
        <v>25</v>
      </c>
      <c r="G53" s="304">
        <f t="shared" si="21"/>
        <v>25</v>
      </c>
      <c r="H53" s="304">
        <f t="shared" si="21"/>
        <v>25</v>
      </c>
      <c r="I53" s="304">
        <f t="shared" si="21"/>
        <v>25</v>
      </c>
      <c r="J53" s="304">
        <f t="shared" si="21"/>
        <v>25</v>
      </c>
      <c r="K53" s="304">
        <f t="shared" si="21"/>
        <v>25</v>
      </c>
      <c r="L53" s="304">
        <f t="shared" si="21"/>
        <v>25</v>
      </c>
      <c r="M53" s="304">
        <f t="shared" si="21"/>
        <v>25</v>
      </c>
      <c r="N53" s="304">
        <f t="shared" si="21"/>
        <v>25</v>
      </c>
      <c r="O53" s="304">
        <f t="shared" si="21"/>
        <v>25</v>
      </c>
      <c r="P53" s="301">
        <f t="shared" si="14"/>
        <v>300</v>
      </c>
    </row>
    <row r="54" spans="1:16" s="120" customFormat="1">
      <c r="A54" s="119"/>
      <c r="B54" s="27" t="s">
        <v>78</v>
      </c>
      <c r="C54" s="42"/>
      <c r="D54" s="302">
        <f>SUM(D49:D53)</f>
        <v>25</v>
      </c>
      <c r="E54" s="302">
        <f t="shared" ref="E54:P54" si="22">SUM(E49:E53)</f>
        <v>25</v>
      </c>
      <c r="F54" s="302">
        <f t="shared" si="22"/>
        <v>25</v>
      </c>
      <c r="G54" s="302">
        <f t="shared" si="22"/>
        <v>25</v>
      </c>
      <c r="H54" s="302">
        <f t="shared" si="22"/>
        <v>25</v>
      </c>
      <c r="I54" s="302">
        <f t="shared" si="22"/>
        <v>25</v>
      </c>
      <c r="J54" s="302">
        <f t="shared" si="22"/>
        <v>25</v>
      </c>
      <c r="K54" s="302">
        <f t="shared" si="22"/>
        <v>25</v>
      </c>
      <c r="L54" s="302">
        <f t="shared" si="22"/>
        <v>25</v>
      </c>
      <c r="M54" s="302">
        <f t="shared" si="22"/>
        <v>25</v>
      </c>
      <c r="N54" s="302">
        <f t="shared" si="22"/>
        <v>25</v>
      </c>
      <c r="O54" s="302">
        <f t="shared" si="22"/>
        <v>25</v>
      </c>
      <c r="P54" s="303">
        <f t="shared" si="22"/>
        <v>300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0</v>
      </c>
      <c r="E60" s="302">
        <f t="shared" ref="E60:O60" si="28">D60</f>
        <v>0</v>
      </c>
      <c r="F60" s="302">
        <f t="shared" si="28"/>
        <v>0</v>
      </c>
      <c r="G60" s="302">
        <f t="shared" si="28"/>
        <v>0</v>
      </c>
      <c r="H60" s="302">
        <f t="shared" si="28"/>
        <v>0</v>
      </c>
      <c r="I60" s="302">
        <f t="shared" si="28"/>
        <v>0</v>
      </c>
      <c r="J60" s="302">
        <f t="shared" si="28"/>
        <v>0</v>
      </c>
      <c r="K60" s="302">
        <f t="shared" si="28"/>
        <v>0</v>
      </c>
      <c r="L60" s="302">
        <f t="shared" si="28"/>
        <v>0</v>
      </c>
      <c r="M60" s="302">
        <f t="shared" si="28"/>
        <v>0</v>
      </c>
      <c r="N60" s="302">
        <f t="shared" si="28"/>
        <v>0</v>
      </c>
      <c r="O60" s="302">
        <f t="shared" si="28"/>
        <v>0</v>
      </c>
      <c r="P60" s="303">
        <f t="shared" ref="P60:P70" si="29">SUM(D60:O60)</f>
        <v>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60506.041666666664</v>
      </c>
      <c r="E76" s="308">
        <f t="shared" ref="E76:P76" si="44">E75+E74+E71+E63+E62+E61+E60+E59+E56+E55+E54+E48+E47+E46+E45+E44+E35+E32</f>
        <v>63154.119791666664</v>
      </c>
      <c r="F76" s="308">
        <f t="shared" si="44"/>
        <v>63154.119791666664</v>
      </c>
      <c r="G76" s="308">
        <f t="shared" si="44"/>
        <v>63154.119791666664</v>
      </c>
      <c r="H76" s="308">
        <f t="shared" si="44"/>
        <v>63154.119791666664</v>
      </c>
      <c r="I76" s="308">
        <f t="shared" si="44"/>
        <v>63154.119791666664</v>
      </c>
      <c r="J76" s="308">
        <f t="shared" si="44"/>
        <v>63154.119791666664</v>
      </c>
      <c r="K76" s="308">
        <f t="shared" si="44"/>
        <v>63154.119791666664</v>
      </c>
      <c r="L76" s="308">
        <f t="shared" si="44"/>
        <v>63154.119791666664</v>
      </c>
      <c r="M76" s="308">
        <f t="shared" si="44"/>
        <v>63154.119791666664</v>
      </c>
      <c r="N76" s="308">
        <f t="shared" si="44"/>
        <v>63154.119791666664</v>
      </c>
      <c r="O76" s="308">
        <f t="shared" si="44"/>
        <v>63154.119791666664</v>
      </c>
      <c r="P76" s="309">
        <f t="shared" si="44"/>
        <v>755201.359375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12759.226713532515</v>
      </c>
      <c r="E95" s="246">
        <f>D95</f>
        <v>12759.226713532515</v>
      </c>
      <c r="F95" s="246">
        <f t="shared" ref="F95:O95" si="46">E95</f>
        <v>12759.226713532515</v>
      </c>
      <c r="G95" s="246">
        <f t="shared" si="46"/>
        <v>12759.226713532515</v>
      </c>
      <c r="H95" s="246">
        <f t="shared" si="46"/>
        <v>12759.226713532515</v>
      </c>
      <c r="I95" s="246">
        <f t="shared" si="46"/>
        <v>12759.226713532515</v>
      </c>
      <c r="J95" s="246">
        <f t="shared" si="46"/>
        <v>12759.226713532515</v>
      </c>
      <c r="K95" s="246">
        <f t="shared" si="46"/>
        <v>12759.226713532515</v>
      </c>
      <c r="L95" s="246">
        <f t="shared" si="46"/>
        <v>12759.226713532515</v>
      </c>
      <c r="M95" s="246">
        <f t="shared" si="46"/>
        <v>12759.226713532515</v>
      </c>
      <c r="N95" s="246">
        <f t="shared" si="46"/>
        <v>12759.226713532515</v>
      </c>
      <c r="O95" s="246">
        <f t="shared" si="46"/>
        <v>12759.226713532515</v>
      </c>
      <c r="P95" s="312">
        <f t="shared" si="45"/>
        <v>153110.72056239017</v>
      </c>
    </row>
    <row r="96" spans="1:85" s="69" customFormat="1">
      <c r="A96" s="272"/>
      <c r="B96" s="270" t="s">
        <v>129</v>
      </c>
      <c r="C96" s="273">
        <f>SUM(C80:C95)</f>
        <v>0</v>
      </c>
      <c r="D96" s="273">
        <f>SUM(D80:D95)</f>
        <v>12759.226713532515</v>
      </c>
      <c r="E96" s="273">
        <f t="shared" ref="E96:P96" si="47">SUM(E80:E95)</f>
        <v>12759.226713532515</v>
      </c>
      <c r="F96" s="273">
        <f t="shared" si="47"/>
        <v>12759.226713532515</v>
      </c>
      <c r="G96" s="273">
        <f t="shared" si="47"/>
        <v>12759.226713532515</v>
      </c>
      <c r="H96" s="273">
        <f t="shared" si="47"/>
        <v>12759.226713532515</v>
      </c>
      <c r="I96" s="273">
        <f t="shared" si="47"/>
        <v>12759.226713532515</v>
      </c>
      <c r="J96" s="273">
        <f t="shared" si="47"/>
        <v>12759.226713532515</v>
      </c>
      <c r="K96" s="273">
        <f t="shared" si="47"/>
        <v>12759.226713532515</v>
      </c>
      <c r="L96" s="273">
        <f t="shared" si="47"/>
        <v>12759.226713532515</v>
      </c>
      <c r="M96" s="273">
        <f t="shared" si="47"/>
        <v>12759.226713532515</v>
      </c>
      <c r="N96" s="273">
        <f t="shared" si="47"/>
        <v>12759.226713532515</v>
      </c>
      <c r="O96" s="273">
        <f t="shared" si="47"/>
        <v>12759.226713532515</v>
      </c>
      <c r="P96" s="313">
        <f t="shared" si="47"/>
        <v>153110.72056239017</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73265.268380199181</v>
      </c>
      <c r="E98" s="251">
        <f t="shared" ref="E98:P98" si="48">E76+E96</f>
        <v>75913.346505199181</v>
      </c>
      <c r="F98" s="251">
        <f t="shared" si="48"/>
        <v>75913.346505199181</v>
      </c>
      <c r="G98" s="251">
        <f t="shared" si="48"/>
        <v>75913.346505199181</v>
      </c>
      <c r="H98" s="251">
        <f t="shared" si="48"/>
        <v>75913.346505199181</v>
      </c>
      <c r="I98" s="251">
        <f t="shared" si="48"/>
        <v>75913.346505199181</v>
      </c>
      <c r="J98" s="251">
        <f t="shared" si="48"/>
        <v>75913.346505199181</v>
      </c>
      <c r="K98" s="251">
        <f t="shared" si="48"/>
        <v>75913.346505199181</v>
      </c>
      <c r="L98" s="251">
        <f t="shared" si="48"/>
        <v>75913.346505199181</v>
      </c>
      <c r="M98" s="251">
        <f t="shared" si="48"/>
        <v>75913.346505199181</v>
      </c>
      <c r="N98" s="251">
        <f t="shared" si="48"/>
        <v>75913.346505199181</v>
      </c>
      <c r="O98" s="251">
        <f t="shared" si="48"/>
        <v>75913.346505199181</v>
      </c>
      <c r="P98" s="314">
        <f t="shared" si="48"/>
        <v>908312.07993739017</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P35" sqref="P35"/>
    </sheetView>
  </sheetViews>
  <sheetFormatPr defaultColWidth="9.33203125" defaultRowHeight="13.8"/>
  <cols>
    <col min="1" max="1" width="2.6640625" style="48" customWidth="1"/>
    <col min="2" max="2" width="42.33203125" style="1" customWidth="1"/>
    <col min="3" max="3" width="1.44140625" style="1" customWidth="1"/>
    <col min="4" max="15" width="11.77734375" style="1" customWidth="1"/>
    <col min="16" max="16" width="13.4414062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6">
      <c r="A9" s="224"/>
      <c r="B9" s="112" t="s">
        <v>303</v>
      </c>
      <c r="C9" s="240" t="e">
        <f>#REF!+#REF!+#REF!</f>
        <v>#REF!</v>
      </c>
      <c r="D9" s="225">
        <f>+Headcount!C28</f>
        <v>4</v>
      </c>
      <c r="E9" s="225">
        <f>+Headcount!D28</f>
        <v>4</v>
      </c>
      <c r="F9" s="225">
        <f>+Headcount!E28</f>
        <v>4</v>
      </c>
      <c r="G9" s="225">
        <f>+Headcount!F28</f>
        <v>4</v>
      </c>
      <c r="H9" s="225">
        <f>+Headcount!G28</f>
        <v>4</v>
      </c>
      <c r="I9" s="225">
        <f>+Headcount!H28</f>
        <v>4</v>
      </c>
      <c r="J9" s="225">
        <f>+Headcount!I28</f>
        <v>4</v>
      </c>
      <c r="K9" s="225">
        <f>+Headcount!J28</f>
        <v>4</v>
      </c>
      <c r="L9" s="225">
        <f>+Headcount!K28</f>
        <v>4</v>
      </c>
      <c r="M9" s="225">
        <f>+Headcount!L28</f>
        <v>4</v>
      </c>
      <c r="N9" s="225">
        <f>+Headcount!M28</f>
        <v>4</v>
      </c>
      <c r="O9" s="225">
        <f>+Headcount!N28</f>
        <v>4</v>
      </c>
      <c r="P9" s="226"/>
      <c r="Q9" s="116"/>
      <c r="R9" s="116"/>
      <c r="S9" s="116"/>
      <c r="T9" s="116"/>
      <c r="U9" s="116"/>
    </row>
    <row r="10" spans="1:21" s="111" customFormat="1" ht="15.6">
      <c r="A10" s="224"/>
      <c r="B10" s="112" t="s">
        <v>302</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6">
      <c r="A11" s="46"/>
      <c r="B11" s="35"/>
      <c r="C11" s="33"/>
      <c r="D11" s="117"/>
      <c r="E11" s="117"/>
      <c r="F11" s="117"/>
      <c r="G11" s="117"/>
      <c r="H11" s="117"/>
      <c r="I11" s="117"/>
      <c r="J11" s="117"/>
      <c r="K11" s="117"/>
      <c r="L11" s="117"/>
      <c r="M11" s="117"/>
      <c r="N11" s="117"/>
      <c r="O11" s="117"/>
      <c r="P11" s="227"/>
    </row>
    <row r="12" spans="1:21" s="116" customFormat="1" ht="15.6">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29583.333333333332</v>
      </c>
      <c r="E13" s="74">
        <f>'Detail Expenses'!E32</f>
        <v>31802.083333333332</v>
      </c>
      <c r="F13" s="74">
        <f>'Detail Expenses'!F32</f>
        <v>31802.083333333332</v>
      </c>
      <c r="G13" s="74">
        <f>'Detail Expenses'!G32</f>
        <v>31802.083333333332</v>
      </c>
      <c r="H13" s="74">
        <f>'Detail Expenses'!H32</f>
        <v>31802.083333333332</v>
      </c>
      <c r="I13" s="74">
        <f>'Detail Expenses'!I32</f>
        <v>31802.083333333332</v>
      </c>
      <c r="J13" s="74">
        <f>'Detail Expenses'!J32</f>
        <v>31802.083333333332</v>
      </c>
      <c r="K13" s="74">
        <f>'Detail Expenses'!K32</f>
        <v>31802.083333333332</v>
      </c>
      <c r="L13" s="74">
        <f>'Detail Expenses'!L32</f>
        <v>31802.083333333332</v>
      </c>
      <c r="M13" s="74">
        <f>'Detail Expenses'!M32</f>
        <v>31802.083333333332</v>
      </c>
      <c r="N13" s="74">
        <f>'Detail Expenses'!N32</f>
        <v>31802.083333333332</v>
      </c>
      <c r="O13" s="74">
        <f>'Detail Expenses'!O32</f>
        <v>31802.083333333332</v>
      </c>
      <c r="P13" s="230">
        <f>SUM(D13:O13)</f>
        <v>379406.24999999994</v>
      </c>
    </row>
    <row r="14" spans="1:21" s="3" customFormat="1">
      <c r="A14" s="39"/>
      <c r="B14" s="40" t="s">
        <v>72</v>
      </c>
      <c r="C14" s="8"/>
      <c r="D14" s="74">
        <f>'Detail Expenses'!D35</f>
        <v>5724.375</v>
      </c>
      <c r="E14" s="74">
        <f>'Detail Expenses'!E35</f>
        <v>6153.703125</v>
      </c>
      <c r="F14" s="74">
        <f>'Detail Expenses'!F35</f>
        <v>6153.703125</v>
      </c>
      <c r="G14" s="74">
        <f>'Detail Expenses'!G35</f>
        <v>6153.703125</v>
      </c>
      <c r="H14" s="74">
        <f>'Detail Expenses'!H35</f>
        <v>6153.703125</v>
      </c>
      <c r="I14" s="74">
        <f>'Detail Expenses'!I35</f>
        <v>6153.703125</v>
      </c>
      <c r="J14" s="74">
        <f>'Detail Expenses'!J35</f>
        <v>6153.703125</v>
      </c>
      <c r="K14" s="74">
        <f>'Detail Expenses'!K35</f>
        <v>6153.703125</v>
      </c>
      <c r="L14" s="74">
        <f>'Detail Expenses'!L35</f>
        <v>6153.703125</v>
      </c>
      <c r="M14" s="74">
        <f>'Detail Expenses'!M35</f>
        <v>6153.703125</v>
      </c>
      <c r="N14" s="74">
        <f>'Detail Expenses'!N35</f>
        <v>6153.703125</v>
      </c>
      <c r="O14" s="74">
        <f>'Detail Expenses'!O35</f>
        <v>6153.703125</v>
      </c>
      <c r="P14" s="230">
        <f t="shared" ref="P14:P30" si="0">SUM(D14:O14)</f>
        <v>73415.109375</v>
      </c>
    </row>
    <row r="15" spans="1:21" s="3" customFormat="1">
      <c r="A15" s="39"/>
      <c r="B15" s="40" t="s">
        <v>73</v>
      </c>
      <c r="C15" s="8"/>
      <c r="D15" s="74">
        <f>'Detail Expenses'!D44</f>
        <v>1173.3333333333335</v>
      </c>
      <c r="E15" s="74">
        <f>'Detail Expenses'!E44</f>
        <v>1173.3333333333335</v>
      </c>
      <c r="F15" s="74">
        <f>'Detail Expenses'!F44</f>
        <v>1173.3333333333335</v>
      </c>
      <c r="G15" s="74">
        <f>'Detail Expenses'!G44</f>
        <v>1173.3333333333335</v>
      </c>
      <c r="H15" s="74">
        <f>'Detail Expenses'!H44</f>
        <v>1173.3333333333335</v>
      </c>
      <c r="I15" s="74">
        <f>'Detail Expenses'!I44</f>
        <v>1173.3333333333335</v>
      </c>
      <c r="J15" s="74">
        <f>'Detail Expenses'!J44</f>
        <v>1173.3333333333335</v>
      </c>
      <c r="K15" s="74">
        <f>'Detail Expenses'!K44</f>
        <v>1173.3333333333335</v>
      </c>
      <c r="L15" s="74">
        <f>'Detail Expenses'!L44</f>
        <v>1173.3333333333335</v>
      </c>
      <c r="M15" s="74">
        <f>'Detail Expenses'!M44</f>
        <v>1173.3333333333335</v>
      </c>
      <c r="N15" s="74">
        <f>'Detail Expenses'!N44</f>
        <v>1173.3333333333335</v>
      </c>
      <c r="O15" s="74">
        <f>'Detail Expenses'!O44</f>
        <v>1173.3333333333335</v>
      </c>
      <c r="P15" s="230">
        <f t="shared" si="0"/>
        <v>14080.000000000005</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25</v>
      </c>
      <c r="E20" s="74">
        <f>'Detail Expenses'!E54</f>
        <v>25</v>
      </c>
      <c r="F20" s="74">
        <f>'Detail Expenses'!F54</f>
        <v>25</v>
      </c>
      <c r="G20" s="74">
        <f>'Detail Expenses'!G54</f>
        <v>25</v>
      </c>
      <c r="H20" s="74">
        <f>'Detail Expenses'!H54</f>
        <v>25</v>
      </c>
      <c r="I20" s="74">
        <f>'Detail Expenses'!I54</f>
        <v>25</v>
      </c>
      <c r="J20" s="74">
        <f>'Detail Expenses'!J54</f>
        <v>25</v>
      </c>
      <c r="K20" s="74">
        <f>'Detail Expenses'!K54</f>
        <v>25</v>
      </c>
      <c r="L20" s="74">
        <f>'Detail Expenses'!L54</f>
        <v>25</v>
      </c>
      <c r="M20" s="74">
        <f>'Detail Expenses'!M54</f>
        <v>25</v>
      </c>
      <c r="N20" s="74">
        <f>'Detail Expenses'!N54</f>
        <v>25</v>
      </c>
      <c r="O20" s="74">
        <f>'Detail Expenses'!O54</f>
        <v>25</v>
      </c>
      <c r="P20" s="230">
        <f t="shared" si="0"/>
        <v>300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0</v>
      </c>
      <c r="E24" s="231">
        <f>'Detail Expenses'!E60</f>
        <v>0</v>
      </c>
      <c r="F24" s="231">
        <f>'Detail Expenses'!F60</f>
        <v>0</v>
      </c>
      <c r="G24" s="231">
        <f>'Detail Expenses'!G60</f>
        <v>0</v>
      </c>
      <c r="H24" s="231">
        <f>'Detail Expenses'!H60</f>
        <v>0</v>
      </c>
      <c r="I24" s="231">
        <f>'Detail Expenses'!I60</f>
        <v>0</v>
      </c>
      <c r="J24" s="231">
        <f>'Detail Expenses'!J60</f>
        <v>0</v>
      </c>
      <c r="K24" s="231">
        <f>'Detail Expenses'!K60</f>
        <v>0</v>
      </c>
      <c r="L24" s="231">
        <f>'Detail Expenses'!L60</f>
        <v>0</v>
      </c>
      <c r="M24" s="231">
        <f>'Detail Expenses'!M60</f>
        <v>0</v>
      </c>
      <c r="N24" s="231">
        <f>'Detail Expenses'!N60</f>
        <v>0</v>
      </c>
      <c r="O24" s="231">
        <f>'Detail Expenses'!O60</f>
        <v>0</v>
      </c>
      <c r="P24" s="230">
        <f t="shared" si="0"/>
        <v>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60506.041666666664</v>
      </c>
      <c r="E31" s="233">
        <f t="shared" ref="E31:M31" si="1">SUM(E13:E30)</f>
        <v>63154.119791666664</v>
      </c>
      <c r="F31" s="233">
        <f t="shared" si="1"/>
        <v>63154.119791666664</v>
      </c>
      <c r="G31" s="233">
        <f t="shared" si="1"/>
        <v>63154.119791666664</v>
      </c>
      <c r="H31" s="233">
        <f t="shared" si="1"/>
        <v>63154.119791666664</v>
      </c>
      <c r="I31" s="233">
        <f t="shared" si="1"/>
        <v>63154.119791666664</v>
      </c>
      <c r="J31" s="233">
        <f t="shared" si="1"/>
        <v>63154.119791666664</v>
      </c>
      <c r="K31" s="233">
        <f t="shared" si="1"/>
        <v>63154.119791666664</v>
      </c>
      <c r="L31" s="233">
        <f t="shared" si="1"/>
        <v>63154.119791666664</v>
      </c>
      <c r="M31" s="233">
        <f t="shared" si="1"/>
        <v>63154.119791666664</v>
      </c>
      <c r="N31" s="233">
        <f>SUM(N13:N30)</f>
        <v>63154.119791666664</v>
      </c>
      <c r="O31" s="233">
        <f>SUM(O13:O30)</f>
        <v>63154.119791666664</v>
      </c>
      <c r="P31" s="234">
        <f>SUM(P13:P30)</f>
        <v>755201.359375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12759.226713532515</v>
      </c>
      <c r="E33" s="233">
        <f>'Detail Expenses'!E96</f>
        <v>12759.226713532515</v>
      </c>
      <c r="F33" s="233">
        <f>'Detail Expenses'!F96</f>
        <v>12759.226713532515</v>
      </c>
      <c r="G33" s="233">
        <f>'Detail Expenses'!G96</f>
        <v>12759.226713532515</v>
      </c>
      <c r="H33" s="233">
        <f>'Detail Expenses'!H96</f>
        <v>12759.226713532515</v>
      </c>
      <c r="I33" s="233">
        <f>'Detail Expenses'!I96</f>
        <v>12759.226713532515</v>
      </c>
      <c r="J33" s="233">
        <f>'Detail Expenses'!J96</f>
        <v>12759.226713532515</v>
      </c>
      <c r="K33" s="233">
        <f>'Detail Expenses'!K96</f>
        <v>12759.226713532515</v>
      </c>
      <c r="L33" s="233">
        <f>'Detail Expenses'!L96</f>
        <v>12759.226713532515</v>
      </c>
      <c r="M33" s="233">
        <f>'Detail Expenses'!M96</f>
        <v>12759.226713532515</v>
      </c>
      <c r="N33" s="233">
        <f>'Detail Expenses'!N96</f>
        <v>12759.226713532515</v>
      </c>
      <c r="O33" s="233">
        <f>'Detail Expenses'!O96</f>
        <v>12759.226713532515</v>
      </c>
      <c r="P33" s="234">
        <f>SUM(D33:O33)</f>
        <v>153110.72056239017</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73265.268380199181</v>
      </c>
      <c r="E35" s="238">
        <f t="shared" ref="E35:P35" si="2">E31+E33</f>
        <v>75913.346505199181</v>
      </c>
      <c r="F35" s="238">
        <f t="shared" si="2"/>
        <v>75913.346505199181</v>
      </c>
      <c r="G35" s="238">
        <f t="shared" si="2"/>
        <v>75913.346505199181</v>
      </c>
      <c r="H35" s="238">
        <f t="shared" si="2"/>
        <v>75913.346505199181</v>
      </c>
      <c r="I35" s="238">
        <f t="shared" si="2"/>
        <v>75913.346505199181</v>
      </c>
      <c r="J35" s="238">
        <f t="shared" si="2"/>
        <v>75913.346505199181</v>
      </c>
      <c r="K35" s="238">
        <f t="shared" si="2"/>
        <v>75913.346505199181</v>
      </c>
      <c r="L35" s="238">
        <f t="shared" si="2"/>
        <v>75913.346505199181</v>
      </c>
      <c r="M35" s="238">
        <f t="shared" si="2"/>
        <v>75913.346505199181</v>
      </c>
      <c r="N35" s="238">
        <f t="shared" si="2"/>
        <v>75913.346505199181</v>
      </c>
      <c r="O35" s="238">
        <f t="shared" si="2"/>
        <v>75913.346505199181</v>
      </c>
      <c r="P35" s="239">
        <f t="shared" si="2"/>
        <v>908312.07993739017</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3.2"/>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2">
      <c r="B1" s="361" t="s">
        <v>178</v>
      </c>
      <c r="C1" s="361"/>
      <c r="D1" s="361"/>
      <c r="E1" s="361"/>
      <c r="F1" s="361"/>
      <c r="G1" s="147"/>
      <c r="H1" s="148"/>
      <c r="I1" s="147"/>
      <c r="J1" s="147"/>
    </row>
    <row r="2" spans="1:10" ht="19.2">
      <c r="B2" s="146"/>
      <c r="C2" s="146"/>
      <c r="D2" s="146"/>
      <c r="E2" s="146"/>
      <c r="F2" s="146"/>
      <c r="G2" s="147"/>
      <c r="H2" s="148"/>
      <c r="I2" s="147"/>
      <c r="J2" s="147"/>
    </row>
    <row r="3" spans="1:10" ht="19.2">
      <c r="B3" s="175" t="s">
        <v>284</v>
      </c>
      <c r="C3" s="146"/>
      <c r="D3" s="146"/>
      <c r="E3" s="146"/>
      <c r="F3" s="146"/>
      <c r="G3" s="147"/>
      <c r="H3" s="148"/>
      <c r="I3" s="147"/>
      <c r="J3" s="147"/>
    </row>
    <row r="4" spans="1:10" s="172" customFormat="1" ht="31.2">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39.6">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26.4">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9.6">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26.4">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8" thickBot="1">
      <c r="B25" s="150"/>
      <c r="G25" s="149"/>
      <c r="H25" s="149"/>
    </row>
    <row r="26" spans="2:8">
      <c r="B26" s="153" t="s">
        <v>286</v>
      </c>
      <c r="C26" s="154"/>
      <c r="D26" s="154"/>
      <c r="E26" s="154"/>
      <c r="F26" s="155"/>
      <c r="G26" s="149"/>
      <c r="H26" s="149"/>
    </row>
    <row r="27" spans="2:8" ht="13.8"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3.2"/>
  <cols>
    <col min="2" max="2" width="4.33203125" customWidth="1"/>
    <col min="4" max="4" width="51.6640625" customWidth="1"/>
    <col min="5" max="5" width="2.10937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ColWidth="9.33203125" defaultRowHeight="13.8"/>
  <cols>
    <col min="1" max="1" width="13.109375" style="1" customWidth="1"/>
    <col min="2" max="2" width="12.7773437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29583.333333333332</v>
      </c>
      <c r="D6" s="255">
        <f>'Detail Expenses'!E30</f>
        <v>31802.083333333332</v>
      </c>
      <c r="E6" s="255">
        <f>'Detail Expenses'!F30</f>
        <v>31802.083333333332</v>
      </c>
      <c r="F6" s="255">
        <f>'Detail Expenses'!G30</f>
        <v>31802.083333333332</v>
      </c>
      <c r="G6" s="255">
        <f>'Detail Expenses'!H30</f>
        <v>31802.083333333332</v>
      </c>
      <c r="H6" s="255">
        <f>'Detail Expenses'!I30</f>
        <v>31802.083333333332</v>
      </c>
      <c r="I6" s="255">
        <f>'Detail Expenses'!J30</f>
        <v>31802.083333333332</v>
      </c>
      <c r="J6" s="255">
        <f>'Detail Expenses'!K30</f>
        <v>31802.083333333332</v>
      </c>
      <c r="K6" s="255">
        <f>'Detail Expenses'!L30</f>
        <v>31802.083333333332</v>
      </c>
      <c r="L6" s="255">
        <f>'Detail Expenses'!M30</f>
        <v>31802.083333333332</v>
      </c>
      <c r="M6" s="255">
        <f>'Detail Expenses'!N30</f>
        <v>31802.083333333332</v>
      </c>
      <c r="N6" s="255">
        <f>'Detail Expenses'!O30</f>
        <v>31802.083333333332</v>
      </c>
      <c r="O6" s="256">
        <f>'Detail Expenses'!P30</f>
        <v>379406.24999999994</v>
      </c>
      <c r="P6" s="242"/>
      <c r="Q6" s="7"/>
    </row>
    <row r="7" spans="1:17">
      <c r="A7" s="11">
        <f>'Detail Expenses'!$D$7</f>
        <v>0</v>
      </c>
      <c r="B7" s="39" t="s">
        <v>21</v>
      </c>
      <c r="C7" s="143">
        <f>'Detail Expenses'!D31+'Detail Expenses'!D33</f>
        <v>2766.0416666666665</v>
      </c>
      <c r="D7" s="143">
        <f>'Detail Expenses'!E31+'Detail Expenses'!E33</f>
        <v>2973.4947916666665</v>
      </c>
      <c r="E7" s="143">
        <f>'Detail Expenses'!F31+'Detail Expenses'!F33</f>
        <v>2973.4947916666665</v>
      </c>
      <c r="F7" s="143">
        <f>'Detail Expenses'!G31+'Detail Expenses'!G33</f>
        <v>2973.4947916666665</v>
      </c>
      <c r="G7" s="143">
        <f>'Detail Expenses'!H31+'Detail Expenses'!H33</f>
        <v>2973.4947916666665</v>
      </c>
      <c r="H7" s="143">
        <f>'Detail Expenses'!I31+'Detail Expenses'!I33</f>
        <v>2973.4947916666665</v>
      </c>
      <c r="I7" s="143">
        <f>'Detail Expenses'!J31+'Detail Expenses'!J33</f>
        <v>2973.4947916666665</v>
      </c>
      <c r="J7" s="143">
        <f>'Detail Expenses'!K31+'Detail Expenses'!K33</f>
        <v>2973.4947916666665</v>
      </c>
      <c r="K7" s="143">
        <f>'Detail Expenses'!L31+'Detail Expenses'!L33</f>
        <v>2973.4947916666665</v>
      </c>
      <c r="L7" s="143">
        <f>'Detail Expenses'!M31+'Detail Expenses'!M33</f>
        <v>2973.4947916666665</v>
      </c>
      <c r="M7" s="143">
        <f>'Detail Expenses'!N31+'Detail Expenses'!N33</f>
        <v>2973.4947916666665</v>
      </c>
      <c r="N7" s="143">
        <f>'Detail Expenses'!O31+'Detail Expenses'!O33</f>
        <v>2973.4947916666665</v>
      </c>
      <c r="O7" s="241">
        <f>'Detail Expenses'!P31+'Detail Expenses'!P33</f>
        <v>35474.484375000007</v>
      </c>
      <c r="P7" s="123"/>
      <c r="Q7" s="7"/>
    </row>
    <row r="8" spans="1:17">
      <c r="A8" s="11">
        <f>'Detail Expenses'!$D$7</f>
        <v>0</v>
      </c>
      <c r="B8" s="39" t="s">
        <v>22</v>
      </c>
      <c r="C8" s="143">
        <f>'Detail Expenses'!D34</f>
        <v>2958.3333333333335</v>
      </c>
      <c r="D8" s="143">
        <f>'Detail Expenses'!E34</f>
        <v>3180.2083333333335</v>
      </c>
      <c r="E8" s="143">
        <f>'Detail Expenses'!F34</f>
        <v>3180.2083333333335</v>
      </c>
      <c r="F8" s="143">
        <f>'Detail Expenses'!G34</f>
        <v>3180.2083333333335</v>
      </c>
      <c r="G8" s="143">
        <f>'Detail Expenses'!H34</f>
        <v>3180.2083333333335</v>
      </c>
      <c r="H8" s="143">
        <f>'Detail Expenses'!I34</f>
        <v>3180.2083333333335</v>
      </c>
      <c r="I8" s="143">
        <f>'Detail Expenses'!J34</f>
        <v>3180.2083333333335</v>
      </c>
      <c r="J8" s="143">
        <f>'Detail Expenses'!K34</f>
        <v>3180.2083333333335</v>
      </c>
      <c r="K8" s="143">
        <f>'Detail Expenses'!L34</f>
        <v>3180.2083333333335</v>
      </c>
      <c r="L8" s="143">
        <f>'Detail Expenses'!M34</f>
        <v>3180.2083333333335</v>
      </c>
      <c r="M8" s="143">
        <f>'Detail Expenses'!N34</f>
        <v>3180.2083333333335</v>
      </c>
      <c r="N8" s="143">
        <f>'Detail Expenses'!O34</f>
        <v>3180.2083333333335</v>
      </c>
      <c r="O8" s="241">
        <f>'Detail Expenses'!P34</f>
        <v>37940.625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83.333333333333329</v>
      </c>
      <c r="D12" s="143">
        <f>'Detail Expenses'!E39</f>
        <v>83.333333333333329</v>
      </c>
      <c r="E12" s="143">
        <f>'Detail Expenses'!F39</f>
        <v>83.333333333333329</v>
      </c>
      <c r="F12" s="143">
        <f>'Detail Expenses'!G39</f>
        <v>83.333333333333329</v>
      </c>
      <c r="G12" s="143">
        <f>'Detail Expenses'!H39</f>
        <v>83.333333333333329</v>
      </c>
      <c r="H12" s="143">
        <f>'Detail Expenses'!I39</f>
        <v>83.333333333333329</v>
      </c>
      <c r="I12" s="143">
        <f>'Detail Expenses'!J39</f>
        <v>83.333333333333329</v>
      </c>
      <c r="J12" s="143">
        <f>'Detail Expenses'!K39</f>
        <v>83.333333333333329</v>
      </c>
      <c r="K12" s="143">
        <f>'Detail Expenses'!L39</f>
        <v>83.333333333333329</v>
      </c>
      <c r="L12" s="143">
        <f>'Detail Expenses'!M39</f>
        <v>83.333333333333329</v>
      </c>
      <c r="M12" s="143">
        <f>'Detail Expenses'!N39</f>
        <v>83.333333333333329</v>
      </c>
      <c r="N12" s="143">
        <f>'Detail Expenses'!O39</f>
        <v>83.333333333333329</v>
      </c>
      <c r="O12" s="241">
        <f>'Detail Expenses'!P39</f>
        <v>1000.0000000000001</v>
      </c>
      <c r="P12" s="123"/>
      <c r="Q12" s="7"/>
    </row>
    <row r="13" spans="1:17">
      <c r="A13" s="11">
        <f>'Detail Expenses'!$D$7</f>
        <v>0</v>
      </c>
      <c r="B13" s="66" t="s">
        <v>36</v>
      </c>
      <c r="C13" s="143">
        <f>'Detail Expenses'!D40</f>
        <v>40</v>
      </c>
      <c r="D13" s="143">
        <f>'Detail Expenses'!E40</f>
        <v>40</v>
      </c>
      <c r="E13" s="143">
        <f>'Detail Expenses'!F40</f>
        <v>40</v>
      </c>
      <c r="F13" s="143">
        <f>'Detail Expenses'!G40</f>
        <v>40</v>
      </c>
      <c r="G13" s="143">
        <f>'Detail Expenses'!H40</f>
        <v>40</v>
      </c>
      <c r="H13" s="143">
        <f>'Detail Expenses'!I40</f>
        <v>40</v>
      </c>
      <c r="I13" s="143">
        <f>'Detail Expenses'!J40</f>
        <v>40</v>
      </c>
      <c r="J13" s="143">
        <f>'Detail Expenses'!K40</f>
        <v>40</v>
      </c>
      <c r="K13" s="143">
        <f>'Detail Expenses'!L40</f>
        <v>40</v>
      </c>
      <c r="L13" s="143">
        <f>'Detail Expenses'!M40</f>
        <v>40</v>
      </c>
      <c r="M13" s="143">
        <f>'Detail Expenses'!N40</f>
        <v>40</v>
      </c>
      <c r="N13" s="143">
        <f>'Detail Expenses'!O40</f>
        <v>40</v>
      </c>
      <c r="O13" s="241">
        <f>'Detail Expenses'!P40</f>
        <v>480</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750</v>
      </c>
      <c r="D15" s="143">
        <f>'Detail Expenses'!E42</f>
        <v>750</v>
      </c>
      <c r="E15" s="143">
        <f>'Detail Expenses'!F42</f>
        <v>750</v>
      </c>
      <c r="F15" s="143">
        <f>'Detail Expenses'!G42</f>
        <v>750</v>
      </c>
      <c r="G15" s="143">
        <f>'Detail Expenses'!H42</f>
        <v>750</v>
      </c>
      <c r="H15" s="143">
        <f>'Detail Expenses'!I42</f>
        <v>750</v>
      </c>
      <c r="I15" s="143">
        <f>'Detail Expenses'!J42</f>
        <v>750</v>
      </c>
      <c r="J15" s="143">
        <f>'Detail Expenses'!K42</f>
        <v>750</v>
      </c>
      <c r="K15" s="143">
        <f>'Detail Expenses'!L42</f>
        <v>750</v>
      </c>
      <c r="L15" s="143">
        <f>'Detail Expenses'!M42</f>
        <v>750</v>
      </c>
      <c r="M15" s="143">
        <f>'Detail Expenses'!N42</f>
        <v>750</v>
      </c>
      <c r="N15" s="143">
        <f>'Detail Expenses'!O42</f>
        <v>750</v>
      </c>
      <c r="O15" s="241">
        <f>'Detail Expenses'!P42</f>
        <v>9000</v>
      </c>
      <c r="P15" s="123"/>
      <c r="Q15" s="7"/>
    </row>
    <row r="16" spans="1:17">
      <c r="A16" s="11">
        <f>'Detail Expenses'!$D$7</f>
        <v>0</v>
      </c>
      <c r="B16" s="66" t="s">
        <v>206</v>
      </c>
      <c r="C16" s="143">
        <f>'Detail Expenses'!D43</f>
        <v>300</v>
      </c>
      <c r="D16" s="143">
        <f>'Detail Expenses'!E43</f>
        <v>300</v>
      </c>
      <c r="E16" s="143">
        <f>'Detail Expenses'!F43</f>
        <v>300</v>
      </c>
      <c r="F16" s="143">
        <f>'Detail Expenses'!G43</f>
        <v>300</v>
      </c>
      <c r="G16" s="143">
        <f>'Detail Expenses'!H43</f>
        <v>300</v>
      </c>
      <c r="H16" s="143">
        <f>'Detail Expenses'!I43</f>
        <v>300</v>
      </c>
      <c r="I16" s="143">
        <f>'Detail Expenses'!J43</f>
        <v>300</v>
      </c>
      <c r="J16" s="143">
        <f>'Detail Expenses'!K43</f>
        <v>300</v>
      </c>
      <c r="K16" s="143">
        <f>'Detail Expenses'!L43</f>
        <v>300</v>
      </c>
      <c r="L16" s="143">
        <f>'Detail Expenses'!M43</f>
        <v>300</v>
      </c>
      <c r="M16" s="143">
        <f>'Detail Expenses'!N43</f>
        <v>300</v>
      </c>
      <c r="N16" s="143">
        <f>'Detail Expenses'!O43</f>
        <v>300</v>
      </c>
      <c r="O16" s="241">
        <f>'Detail Expenses'!P43</f>
        <v>3600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25</v>
      </c>
      <c r="D25" s="144">
        <f>'Detail Expenses'!E53</f>
        <v>25</v>
      </c>
      <c r="E25" s="144">
        <f>'Detail Expenses'!F53</f>
        <v>25</v>
      </c>
      <c r="F25" s="144">
        <f>'Detail Expenses'!G53</f>
        <v>25</v>
      </c>
      <c r="G25" s="144">
        <f>'Detail Expenses'!H53</f>
        <v>25</v>
      </c>
      <c r="H25" s="144">
        <f>'Detail Expenses'!I53</f>
        <v>25</v>
      </c>
      <c r="I25" s="144">
        <f>'Detail Expenses'!J53</f>
        <v>25</v>
      </c>
      <c r="J25" s="144">
        <f>'Detail Expenses'!K53</f>
        <v>25</v>
      </c>
      <c r="K25" s="144">
        <f>'Detail Expenses'!L53</f>
        <v>25</v>
      </c>
      <c r="L25" s="144">
        <f>'Detail Expenses'!M53</f>
        <v>25</v>
      </c>
      <c r="M25" s="144">
        <f>'Detail Expenses'!N53</f>
        <v>25</v>
      </c>
      <c r="N25" s="144">
        <f>'Detail Expenses'!O53</f>
        <v>25</v>
      </c>
      <c r="O25" s="241">
        <f>'Detail Expenses'!P53</f>
        <v>300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0</v>
      </c>
      <c r="D30" s="7">
        <f>'Detail Expenses'!E60</f>
        <v>0</v>
      </c>
      <c r="E30" s="7">
        <f>'Detail Expenses'!F60</f>
        <v>0</v>
      </c>
      <c r="F30" s="7">
        <f>'Detail Expenses'!G60</f>
        <v>0</v>
      </c>
      <c r="G30" s="7">
        <f>'Detail Expenses'!H60</f>
        <v>0</v>
      </c>
      <c r="H30" s="7">
        <f>'Detail Expenses'!I60</f>
        <v>0</v>
      </c>
      <c r="I30" s="7">
        <f>'Detail Expenses'!J60</f>
        <v>0</v>
      </c>
      <c r="J30" s="7">
        <f>'Detail Expenses'!K60</f>
        <v>0</v>
      </c>
      <c r="K30" s="7">
        <f>'Detail Expenses'!L60</f>
        <v>0</v>
      </c>
      <c r="L30" s="7">
        <f>'Detail Expenses'!M60</f>
        <v>0</v>
      </c>
      <c r="M30" s="7">
        <f>'Detail Expenses'!N60</f>
        <v>0</v>
      </c>
      <c r="N30" s="7">
        <f>'Detail Expenses'!O60</f>
        <v>0</v>
      </c>
      <c r="O30" s="241">
        <f>'Detail Expenses'!P60</f>
        <v>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60506.041666666672</v>
      </c>
      <c r="D44" s="145">
        <f t="shared" ref="D44:N44" si="0">SUM(D6:D43)</f>
        <v>63154.119791666672</v>
      </c>
      <c r="E44" s="145">
        <f t="shared" si="0"/>
        <v>63154.119791666672</v>
      </c>
      <c r="F44" s="145">
        <f t="shared" si="0"/>
        <v>63154.119791666672</v>
      </c>
      <c r="G44" s="145">
        <f t="shared" si="0"/>
        <v>63154.119791666672</v>
      </c>
      <c r="H44" s="145">
        <f t="shared" si="0"/>
        <v>63154.119791666672</v>
      </c>
      <c r="I44" s="145">
        <f t="shared" si="0"/>
        <v>63154.119791666672</v>
      </c>
      <c r="J44" s="145">
        <f t="shared" si="0"/>
        <v>63154.119791666672</v>
      </c>
      <c r="K44" s="145">
        <f t="shared" si="0"/>
        <v>63154.119791666672</v>
      </c>
      <c r="L44" s="145">
        <f t="shared" si="0"/>
        <v>63154.119791666672</v>
      </c>
      <c r="M44" s="145">
        <f t="shared" si="0"/>
        <v>63154.119791666672</v>
      </c>
      <c r="N44" s="145">
        <f t="shared" si="0"/>
        <v>63154.119791666672</v>
      </c>
      <c r="O44" s="145">
        <f>SUM(C44:N44)</f>
        <v>755201.359375</v>
      </c>
      <c r="P44" s="1" t="s">
        <v>49</v>
      </c>
    </row>
    <row r="45" spans="1:16">
      <c r="B45" s="7"/>
      <c r="C45" s="143"/>
      <c r="D45" s="11"/>
      <c r="E45" s="11"/>
      <c r="F45" s="11"/>
      <c r="G45" s="11"/>
      <c r="H45" s="11"/>
      <c r="I45" s="11"/>
      <c r="J45" s="11"/>
      <c r="K45" s="11"/>
      <c r="L45" s="11"/>
      <c r="M45" s="11"/>
      <c r="N45" s="11"/>
      <c r="O45" s="12">
        <f>'Detail Expenses'!P76</f>
        <v>755201.359375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Havlíček Jan</cp:lastModifiedBy>
  <cp:lastPrinted>2001-07-23T15:47:17Z</cp:lastPrinted>
  <dcterms:created xsi:type="dcterms:W3CDTF">1998-07-08T19:32:38Z</dcterms:created>
  <dcterms:modified xsi:type="dcterms:W3CDTF">2023-09-10T11:27:37Z</dcterms:modified>
</cp:coreProperties>
</file>