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embeddings/oleObject2.bin" ContentType="application/vnd.openxmlformats-officedocument.oleObject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480" windowHeight="10728" activeTab="1"/>
  </bookViews>
  <sheets>
    <sheet name="Enter" sheetId="20938" r:id="rId1"/>
    <sheet name="Summary" sheetId="560" r:id="rId2"/>
    <sheet name="Proposal" sheetId="1" r:id="rId3"/>
    <sheet name="Income" sheetId="20936" r:id="rId4"/>
    <sheet name="Volatility" sheetId="556" r:id="rId5"/>
    <sheet name="Maturity" sheetId="267" r:id="rId6"/>
    <sheet name="Brief" sheetId="20939" r:id="rId7"/>
  </sheets>
  <definedNames>
    <definedName name="_xlnm.Database">Proposal!$A$7:$J$24</definedName>
    <definedName name="MatProfile">Income!$A$5:$D$27</definedName>
    <definedName name="MonitorCol">1</definedName>
    <definedName name="MonitorRow">1</definedName>
    <definedName name="_xlnm.Print_Area" localSheetId="6">Brief!$A$1:$Q$55</definedName>
    <definedName name="_xlnm.Print_Area" localSheetId="0">Enter!$A$1:$L$28</definedName>
    <definedName name="_xlnm.Print_Area" localSheetId="3">Income!$A$1:$Q$49</definedName>
    <definedName name="_xlnm.Print_Area" localSheetId="5">Maturity!$A$1:$J$41</definedName>
    <definedName name="_xlnm.Print_Area" localSheetId="2">Proposal!$A$1:$N$36</definedName>
    <definedName name="_xlnm.Print_Area" localSheetId="1">Summary!$A$1:$J$34</definedName>
    <definedName name="_xlnm.Print_Area" localSheetId="4">Volatility!$A$1:$M$34</definedName>
    <definedName name="Rating">#REF!</definedName>
  </definedNames>
  <calcPr calcId="92512"/>
</workbook>
</file>

<file path=xl/calcChain.xml><?xml version="1.0" encoding="utf-8"?>
<calcChain xmlns="http://schemas.openxmlformats.org/spreadsheetml/2006/main">
  <c r="Q2" i="20939" l="1"/>
  <c r="D3" i="20939"/>
  <c r="E3" i="20939"/>
  <c r="F3" i="20939"/>
  <c r="G3" i="20939"/>
  <c r="H3" i="20939"/>
  <c r="I3" i="20939"/>
  <c r="J3" i="20939"/>
  <c r="K3" i="20939"/>
  <c r="L3" i="20939"/>
  <c r="M3" i="20939"/>
  <c r="N3" i="20939"/>
  <c r="O3" i="20939"/>
  <c r="P3" i="20939"/>
  <c r="Q3" i="20939"/>
  <c r="A4" i="20939"/>
  <c r="B4" i="20939"/>
  <c r="D4" i="20939"/>
  <c r="E4" i="20939"/>
  <c r="F4" i="20939"/>
  <c r="G4" i="20939"/>
  <c r="H4" i="20939"/>
  <c r="I4" i="20939"/>
  <c r="J4" i="20939"/>
  <c r="K4" i="20939"/>
  <c r="L4" i="20939"/>
  <c r="M4" i="20939"/>
  <c r="N4" i="20939"/>
  <c r="O4" i="20939"/>
  <c r="P4" i="20939"/>
  <c r="Q4" i="20939"/>
  <c r="D5" i="20939"/>
  <c r="E5" i="20939"/>
  <c r="F5" i="20939"/>
  <c r="G5" i="20939"/>
  <c r="H5" i="20939"/>
  <c r="I5" i="20939"/>
  <c r="J5" i="20939"/>
  <c r="K5" i="20939"/>
  <c r="L5" i="20939"/>
  <c r="M5" i="20939"/>
  <c r="N5" i="20939"/>
  <c r="O5" i="20939"/>
  <c r="P5" i="20939"/>
  <c r="Q5" i="20939"/>
  <c r="D6" i="20939"/>
  <c r="E6" i="20939"/>
  <c r="F6" i="20939"/>
  <c r="G6" i="20939"/>
  <c r="H6" i="20939"/>
  <c r="I6" i="20939"/>
  <c r="J6" i="20939"/>
  <c r="K6" i="20939"/>
  <c r="L6" i="20939"/>
  <c r="M6" i="20939"/>
  <c r="N6" i="20939"/>
  <c r="O6" i="20939"/>
  <c r="P6" i="20939"/>
  <c r="Q6" i="20939"/>
  <c r="D7" i="20939"/>
  <c r="E7" i="20939"/>
  <c r="F7" i="20939"/>
  <c r="G7" i="20939"/>
  <c r="H7" i="20939"/>
  <c r="I7" i="20939"/>
  <c r="J7" i="20939"/>
  <c r="K7" i="20939"/>
  <c r="L7" i="20939"/>
  <c r="M7" i="20939"/>
  <c r="N7" i="20939"/>
  <c r="O7" i="20939"/>
  <c r="P7" i="20939"/>
  <c r="Q7" i="20939"/>
  <c r="D8" i="20939"/>
  <c r="E8" i="20939"/>
  <c r="F8" i="20939"/>
  <c r="G8" i="20939"/>
  <c r="H8" i="20939"/>
  <c r="I8" i="20939"/>
  <c r="J8" i="20939"/>
  <c r="K8" i="20939"/>
  <c r="L8" i="20939"/>
  <c r="M8" i="20939"/>
  <c r="N8" i="20939"/>
  <c r="O8" i="20939"/>
  <c r="P8" i="20939"/>
  <c r="Q8" i="20939"/>
  <c r="D9" i="20939"/>
  <c r="E9" i="20939"/>
  <c r="F9" i="20939"/>
  <c r="G9" i="20939"/>
  <c r="H9" i="20939"/>
  <c r="I9" i="20939"/>
  <c r="J9" i="20939"/>
  <c r="K9" i="20939"/>
  <c r="L9" i="20939"/>
  <c r="M9" i="20939"/>
  <c r="N9" i="20939"/>
  <c r="O9" i="20939"/>
  <c r="P9" i="20939"/>
  <c r="Q9" i="20939"/>
  <c r="D10" i="20939"/>
  <c r="E10" i="20939"/>
  <c r="F10" i="20939"/>
  <c r="G10" i="20939"/>
  <c r="H10" i="20939"/>
  <c r="I10" i="20939"/>
  <c r="J10" i="20939"/>
  <c r="K10" i="20939"/>
  <c r="L10" i="20939"/>
  <c r="M10" i="20939"/>
  <c r="N10" i="20939"/>
  <c r="O10" i="20939"/>
  <c r="P10" i="20939"/>
  <c r="Q10" i="20939"/>
  <c r="A11" i="20939"/>
  <c r="B11" i="20939"/>
  <c r="D11" i="20939"/>
  <c r="E11" i="20939"/>
  <c r="F11" i="20939"/>
  <c r="G11" i="20939"/>
  <c r="H11" i="20939"/>
  <c r="I11" i="20939"/>
  <c r="J11" i="20939"/>
  <c r="K11" i="20939"/>
  <c r="L11" i="20939"/>
  <c r="M11" i="20939"/>
  <c r="N11" i="20939"/>
  <c r="O11" i="20939"/>
  <c r="P11" i="20939"/>
  <c r="Q11" i="20939"/>
  <c r="A12" i="20939"/>
  <c r="B12" i="20939"/>
  <c r="D12" i="20939"/>
  <c r="E12" i="20939"/>
  <c r="F12" i="20939"/>
  <c r="G12" i="20939"/>
  <c r="H12" i="20939"/>
  <c r="I12" i="20939"/>
  <c r="J12" i="20939"/>
  <c r="K12" i="20939"/>
  <c r="L12" i="20939"/>
  <c r="M12" i="20939"/>
  <c r="N12" i="20939"/>
  <c r="O12" i="20939"/>
  <c r="P12" i="20939"/>
  <c r="Q12" i="20939"/>
  <c r="A13" i="20939"/>
  <c r="B13" i="20939"/>
  <c r="D13" i="20939"/>
  <c r="E13" i="20939"/>
  <c r="F13" i="20939"/>
  <c r="G13" i="20939"/>
  <c r="H13" i="20939"/>
  <c r="I13" i="20939"/>
  <c r="J13" i="20939"/>
  <c r="K13" i="20939"/>
  <c r="L13" i="20939"/>
  <c r="M13" i="20939"/>
  <c r="N13" i="20939"/>
  <c r="O13" i="20939"/>
  <c r="P13" i="20939"/>
  <c r="Q13" i="20939"/>
  <c r="A14" i="20939"/>
  <c r="B14" i="20939"/>
  <c r="D14" i="20939"/>
  <c r="E14" i="20939"/>
  <c r="F14" i="20939"/>
  <c r="G14" i="20939"/>
  <c r="H14" i="20939"/>
  <c r="I14" i="20939"/>
  <c r="J14" i="20939"/>
  <c r="K14" i="20939"/>
  <c r="L14" i="20939"/>
  <c r="M14" i="20939"/>
  <c r="N14" i="20939"/>
  <c r="O14" i="20939"/>
  <c r="P14" i="20939"/>
  <c r="Q14" i="20939"/>
  <c r="A15" i="20939"/>
  <c r="B15" i="20939"/>
  <c r="D15" i="20939"/>
  <c r="E15" i="20939"/>
  <c r="F15" i="20939"/>
  <c r="G15" i="20939"/>
  <c r="H15" i="20939"/>
  <c r="I15" i="20939"/>
  <c r="J15" i="20939"/>
  <c r="K15" i="20939"/>
  <c r="L15" i="20939"/>
  <c r="M15" i="20939"/>
  <c r="N15" i="20939"/>
  <c r="O15" i="20939"/>
  <c r="P15" i="20939"/>
  <c r="Q15" i="20939"/>
  <c r="A16" i="20939"/>
  <c r="B16" i="20939"/>
  <c r="D16" i="20939"/>
  <c r="E16" i="20939"/>
  <c r="F16" i="20939"/>
  <c r="G16" i="20939"/>
  <c r="H16" i="20939"/>
  <c r="I16" i="20939"/>
  <c r="J16" i="20939"/>
  <c r="K16" i="20939"/>
  <c r="L16" i="20939"/>
  <c r="M16" i="20939"/>
  <c r="N16" i="20939"/>
  <c r="O16" i="20939"/>
  <c r="P16" i="20939"/>
  <c r="Q16" i="20939"/>
  <c r="A17" i="20939"/>
  <c r="B17" i="20939"/>
  <c r="D17" i="20939"/>
  <c r="E17" i="20939"/>
  <c r="F17" i="20939"/>
  <c r="G17" i="20939"/>
  <c r="H17" i="20939"/>
  <c r="I17" i="20939"/>
  <c r="J17" i="20939"/>
  <c r="K17" i="20939"/>
  <c r="L17" i="20939"/>
  <c r="M17" i="20939"/>
  <c r="N17" i="20939"/>
  <c r="O17" i="20939"/>
  <c r="P17" i="20939"/>
  <c r="Q17" i="20939"/>
  <c r="D18" i="20939"/>
  <c r="E18" i="20939"/>
  <c r="F18" i="20939"/>
  <c r="G18" i="20939"/>
  <c r="H18" i="20939"/>
  <c r="I18" i="20939"/>
  <c r="J18" i="20939"/>
  <c r="K18" i="20939"/>
  <c r="L18" i="20939"/>
  <c r="M18" i="20939"/>
  <c r="N18" i="20939"/>
  <c r="O18" i="20939"/>
  <c r="P18" i="20939"/>
  <c r="Q18" i="20939"/>
  <c r="A19" i="20939"/>
  <c r="B19" i="20939"/>
  <c r="D19" i="20939"/>
  <c r="E19" i="20939"/>
  <c r="F19" i="20939"/>
  <c r="G19" i="20939"/>
  <c r="H19" i="20939"/>
  <c r="I19" i="20939"/>
  <c r="J19" i="20939"/>
  <c r="K19" i="20939"/>
  <c r="L19" i="20939"/>
  <c r="M19" i="20939"/>
  <c r="N19" i="20939"/>
  <c r="O19" i="20939"/>
  <c r="P19" i="20939"/>
  <c r="Q19" i="20939"/>
  <c r="A20" i="20939"/>
  <c r="B20" i="20939"/>
  <c r="D20" i="20939"/>
  <c r="E20" i="20939"/>
  <c r="F20" i="20939"/>
  <c r="G20" i="20939"/>
  <c r="H20" i="20939"/>
  <c r="I20" i="20939"/>
  <c r="J20" i="20939"/>
  <c r="K20" i="20939"/>
  <c r="L20" i="20939"/>
  <c r="M20" i="20939"/>
  <c r="N20" i="20939"/>
  <c r="O20" i="20939"/>
  <c r="P20" i="20939"/>
  <c r="Q20" i="20939"/>
  <c r="A21" i="20939"/>
  <c r="B21" i="20939"/>
  <c r="D21" i="20939"/>
  <c r="E21" i="20939"/>
  <c r="F21" i="20939"/>
  <c r="G21" i="20939"/>
  <c r="H21" i="20939"/>
  <c r="I21" i="20939"/>
  <c r="J21" i="20939"/>
  <c r="K21" i="20939"/>
  <c r="L21" i="20939"/>
  <c r="M21" i="20939"/>
  <c r="N21" i="20939"/>
  <c r="O21" i="20939"/>
  <c r="P21" i="20939"/>
  <c r="Q21" i="20939"/>
  <c r="A22" i="20939"/>
  <c r="B22" i="20939"/>
  <c r="D22" i="20939"/>
  <c r="E22" i="20939"/>
  <c r="F22" i="20939"/>
  <c r="G22" i="20939"/>
  <c r="H22" i="20939"/>
  <c r="I22" i="20939"/>
  <c r="J22" i="20939"/>
  <c r="K22" i="20939"/>
  <c r="L22" i="20939"/>
  <c r="M22" i="20939"/>
  <c r="N22" i="20939"/>
  <c r="O22" i="20939"/>
  <c r="P22" i="20939"/>
  <c r="Q22" i="20939"/>
  <c r="A23" i="20939"/>
  <c r="B23" i="20939"/>
  <c r="D23" i="20939"/>
  <c r="E23" i="20939"/>
  <c r="F23" i="20939"/>
  <c r="G23" i="20939"/>
  <c r="H23" i="20939"/>
  <c r="I23" i="20939"/>
  <c r="J23" i="20939"/>
  <c r="K23" i="20939"/>
  <c r="L23" i="20939"/>
  <c r="M23" i="20939"/>
  <c r="N23" i="20939"/>
  <c r="O23" i="20939"/>
  <c r="P23" i="20939"/>
  <c r="Q23" i="20939"/>
  <c r="D24" i="20939"/>
  <c r="E24" i="20939"/>
  <c r="F24" i="20939"/>
  <c r="G24" i="20939"/>
  <c r="H24" i="20939"/>
  <c r="I24" i="20939"/>
  <c r="J24" i="20939"/>
  <c r="K24" i="20939"/>
  <c r="L24" i="20939"/>
  <c r="M24" i="20939"/>
  <c r="N24" i="20939"/>
  <c r="O24" i="20939"/>
  <c r="P24" i="20939"/>
  <c r="Q24" i="20939"/>
  <c r="A25" i="20939"/>
  <c r="D25" i="20939"/>
  <c r="E25" i="20939"/>
  <c r="F25" i="20939"/>
  <c r="G25" i="20939"/>
  <c r="H25" i="20939"/>
  <c r="I25" i="20939"/>
  <c r="J25" i="20939"/>
  <c r="K25" i="20939"/>
  <c r="L25" i="20939"/>
  <c r="M25" i="20939"/>
  <c r="N25" i="20939"/>
  <c r="O25" i="20939"/>
  <c r="P25" i="20939"/>
  <c r="Q25" i="20939"/>
  <c r="D26" i="20939"/>
  <c r="E26" i="20939"/>
  <c r="F26" i="20939"/>
  <c r="G26" i="20939"/>
  <c r="H26" i="20939"/>
  <c r="I26" i="20939"/>
  <c r="J26" i="20939"/>
  <c r="K26" i="20939"/>
  <c r="L26" i="20939"/>
  <c r="M26" i="20939"/>
  <c r="N26" i="20939"/>
  <c r="O26" i="20939"/>
  <c r="P26" i="20939"/>
  <c r="Q26" i="20939"/>
  <c r="D27" i="20939"/>
  <c r="E27" i="20939"/>
  <c r="F27" i="20939"/>
  <c r="G27" i="20939"/>
  <c r="H27" i="20939"/>
  <c r="I27" i="20939"/>
  <c r="J27" i="20939"/>
  <c r="K27" i="20939"/>
  <c r="L27" i="20939"/>
  <c r="M27" i="20939"/>
  <c r="N27" i="20939"/>
  <c r="O27" i="20939"/>
  <c r="P27" i="20939"/>
  <c r="Q27" i="20939"/>
  <c r="K33" i="20939"/>
  <c r="L33" i="20939"/>
  <c r="M33" i="20939"/>
  <c r="O33" i="20939"/>
  <c r="P33" i="20939"/>
  <c r="Q33" i="20939"/>
  <c r="K34" i="20939"/>
  <c r="L34" i="20939"/>
  <c r="M34" i="20939"/>
  <c r="O34" i="20939"/>
  <c r="P34" i="20939"/>
  <c r="Q34" i="20939"/>
  <c r="K35" i="20939"/>
  <c r="L35" i="20939"/>
  <c r="M35" i="20939"/>
  <c r="O35" i="20939"/>
  <c r="P35" i="20939"/>
  <c r="Q35" i="20939"/>
  <c r="K36" i="20939"/>
  <c r="L36" i="20939"/>
  <c r="M36" i="20939"/>
  <c r="O36" i="20939"/>
  <c r="P36" i="20939"/>
  <c r="Q36" i="20939"/>
  <c r="K37" i="20939"/>
  <c r="L37" i="20939"/>
  <c r="M37" i="20939"/>
  <c r="O37" i="20939"/>
  <c r="P37" i="20939"/>
  <c r="Q37" i="20939"/>
  <c r="K38" i="20939"/>
  <c r="L38" i="20939"/>
  <c r="M38" i="20939"/>
  <c r="O38" i="20939"/>
  <c r="P38" i="20939"/>
  <c r="Q38" i="20939"/>
  <c r="K39" i="20939"/>
  <c r="L39" i="20939"/>
  <c r="M39" i="20939"/>
  <c r="O39" i="20939"/>
  <c r="P39" i="20939"/>
  <c r="Q39" i="20939"/>
  <c r="K40" i="20939"/>
  <c r="L40" i="20939"/>
  <c r="M40" i="20939"/>
  <c r="O40" i="20939"/>
  <c r="P40" i="20939"/>
  <c r="Q40" i="20939"/>
  <c r="K41" i="20939"/>
  <c r="L41" i="20939"/>
  <c r="M41" i="20939"/>
  <c r="O41" i="20939"/>
  <c r="P41" i="20939"/>
  <c r="Q41" i="20939"/>
  <c r="K42" i="20939"/>
  <c r="L42" i="20939"/>
  <c r="M42" i="20939"/>
  <c r="O42" i="20939"/>
  <c r="P42" i="20939"/>
  <c r="Q42" i="20939"/>
  <c r="K43" i="20939"/>
  <c r="L43" i="20939"/>
  <c r="M43" i="20939"/>
  <c r="O43" i="20939"/>
  <c r="P43" i="20939"/>
  <c r="Q43" i="20939"/>
  <c r="K44" i="20939"/>
  <c r="L44" i="20939"/>
  <c r="M44" i="20939"/>
  <c r="O44" i="20939"/>
  <c r="P44" i="20939"/>
  <c r="Q44" i="20939"/>
  <c r="K45" i="20939"/>
  <c r="L45" i="20939"/>
  <c r="M45" i="20939"/>
  <c r="O45" i="20939"/>
  <c r="P45" i="20939"/>
  <c r="Q45" i="20939"/>
  <c r="K46" i="20939"/>
  <c r="L46" i="20939"/>
  <c r="M46" i="20939"/>
  <c r="O46" i="20939"/>
  <c r="P46" i="20939"/>
  <c r="Q46" i="20939"/>
  <c r="K47" i="20939"/>
  <c r="L47" i="20939"/>
  <c r="M47" i="20939"/>
  <c r="O47" i="20939"/>
  <c r="P47" i="20939"/>
  <c r="Q47" i="20939"/>
  <c r="K48" i="20939"/>
  <c r="L48" i="20939"/>
  <c r="M48" i="20939"/>
  <c r="O48" i="20939"/>
  <c r="P48" i="20939"/>
  <c r="Q48" i="20939"/>
  <c r="K49" i="20939"/>
  <c r="L49" i="20939"/>
  <c r="M49" i="20939"/>
  <c r="O49" i="20939"/>
  <c r="P49" i="20939"/>
  <c r="Q49" i="20939"/>
  <c r="AD3" i="20938"/>
  <c r="AD4" i="20938"/>
  <c r="AD5" i="20938"/>
  <c r="AD6" i="20938"/>
  <c r="AD7" i="20938"/>
  <c r="AD8" i="20938"/>
  <c r="AD9" i="20938"/>
  <c r="AD10" i="20938"/>
  <c r="AD11" i="20938"/>
  <c r="AD12" i="20938"/>
  <c r="AD13" i="20938"/>
  <c r="AD14" i="20938"/>
  <c r="AD15" i="20938"/>
  <c r="AD16" i="20938"/>
  <c r="AD17" i="20938"/>
  <c r="AD18" i="20938"/>
  <c r="AD19" i="20938"/>
  <c r="AD20" i="20938"/>
  <c r="AD21" i="20938"/>
  <c r="AD22" i="20938"/>
  <c r="AD23" i="20938"/>
  <c r="AD24" i="20938"/>
  <c r="A25" i="20938"/>
  <c r="A6" i="20936"/>
  <c r="B6" i="20936"/>
  <c r="C6" i="20936"/>
  <c r="D6" i="20936"/>
  <c r="E6" i="20936"/>
  <c r="F6" i="20936"/>
  <c r="G6" i="20936"/>
  <c r="H6" i="20936"/>
  <c r="I6" i="20936"/>
  <c r="J6" i="20936"/>
  <c r="K6" i="20936"/>
  <c r="L6" i="20936"/>
  <c r="M6" i="20936"/>
  <c r="N6" i="20936"/>
  <c r="O6" i="20936"/>
  <c r="P6" i="20936"/>
  <c r="Q6" i="20936"/>
  <c r="U6" i="20936"/>
  <c r="W6" i="20936"/>
  <c r="A7" i="20936"/>
  <c r="B7" i="20936"/>
  <c r="C7" i="20936"/>
  <c r="D7" i="20936"/>
  <c r="E7" i="20936"/>
  <c r="F7" i="20936"/>
  <c r="G7" i="20936"/>
  <c r="H7" i="20936"/>
  <c r="I7" i="20936"/>
  <c r="J7" i="20936"/>
  <c r="K7" i="20936"/>
  <c r="L7" i="20936"/>
  <c r="M7" i="20936"/>
  <c r="N7" i="20936"/>
  <c r="O7" i="20936"/>
  <c r="P7" i="20936"/>
  <c r="Q7" i="20936"/>
  <c r="U7" i="20936"/>
  <c r="W7" i="20936"/>
  <c r="A8" i="20936"/>
  <c r="B8" i="20936"/>
  <c r="C8" i="20936"/>
  <c r="D8" i="20936"/>
  <c r="E8" i="20936"/>
  <c r="F8" i="20936"/>
  <c r="G8" i="20936"/>
  <c r="H8" i="20936"/>
  <c r="I8" i="20936"/>
  <c r="J8" i="20936"/>
  <c r="K8" i="20936"/>
  <c r="L8" i="20936"/>
  <c r="M8" i="20936"/>
  <c r="N8" i="20936"/>
  <c r="O8" i="20936"/>
  <c r="P8" i="20936"/>
  <c r="Q8" i="20936"/>
  <c r="U8" i="20936"/>
  <c r="W8" i="20936"/>
  <c r="A9" i="20936"/>
  <c r="B9" i="20936"/>
  <c r="C9" i="20936"/>
  <c r="D9" i="20936"/>
  <c r="E9" i="20936"/>
  <c r="F9" i="20936"/>
  <c r="G9" i="20936"/>
  <c r="H9" i="20936"/>
  <c r="I9" i="20936"/>
  <c r="J9" i="20936"/>
  <c r="K9" i="20936"/>
  <c r="L9" i="20936"/>
  <c r="M9" i="20936"/>
  <c r="N9" i="20936"/>
  <c r="O9" i="20936"/>
  <c r="P9" i="20936"/>
  <c r="Q9" i="20936"/>
  <c r="U9" i="20936"/>
  <c r="W9" i="20936"/>
  <c r="A10" i="20936"/>
  <c r="B10" i="20936"/>
  <c r="C10" i="20936"/>
  <c r="D10" i="20936"/>
  <c r="E10" i="20936"/>
  <c r="F10" i="20936"/>
  <c r="G10" i="20936"/>
  <c r="H10" i="20936"/>
  <c r="I10" i="20936"/>
  <c r="J10" i="20936"/>
  <c r="K10" i="20936"/>
  <c r="L10" i="20936"/>
  <c r="M10" i="20936"/>
  <c r="N10" i="20936"/>
  <c r="O10" i="20936"/>
  <c r="P10" i="20936"/>
  <c r="Q10" i="20936"/>
  <c r="U10" i="20936"/>
  <c r="W10" i="20936"/>
  <c r="A11" i="20936"/>
  <c r="B11" i="20936"/>
  <c r="C11" i="20936"/>
  <c r="D11" i="20936"/>
  <c r="E11" i="20936"/>
  <c r="F11" i="20936"/>
  <c r="G11" i="20936"/>
  <c r="H11" i="20936"/>
  <c r="I11" i="20936"/>
  <c r="J11" i="20936"/>
  <c r="K11" i="20936"/>
  <c r="L11" i="20936"/>
  <c r="M11" i="20936"/>
  <c r="N11" i="20936"/>
  <c r="O11" i="20936"/>
  <c r="P11" i="20936"/>
  <c r="Q11" i="20936"/>
  <c r="U11" i="20936"/>
  <c r="W11" i="20936"/>
  <c r="A12" i="20936"/>
  <c r="B12" i="20936"/>
  <c r="C12" i="20936"/>
  <c r="D12" i="20936"/>
  <c r="E12" i="20936"/>
  <c r="F12" i="20936"/>
  <c r="G12" i="20936"/>
  <c r="H12" i="20936"/>
  <c r="I12" i="20936"/>
  <c r="J12" i="20936"/>
  <c r="K12" i="20936"/>
  <c r="L12" i="20936"/>
  <c r="M12" i="20936"/>
  <c r="N12" i="20936"/>
  <c r="O12" i="20936"/>
  <c r="P12" i="20936"/>
  <c r="Q12" i="20936"/>
  <c r="U12" i="20936"/>
  <c r="W12" i="20936"/>
  <c r="A13" i="20936"/>
  <c r="B13" i="20936"/>
  <c r="C13" i="20936"/>
  <c r="D13" i="20936"/>
  <c r="E13" i="20936"/>
  <c r="F13" i="20936"/>
  <c r="G13" i="20936"/>
  <c r="H13" i="20936"/>
  <c r="I13" i="20936"/>
  <c r="J13" i="20936"/>
  <c r="K13" i="20936"/>
  <c r="L13" i="20936"/>
  <c r="M13" i="20936"/>
  <c r="N13" i="20936"/>
  <c r="O13" i="20936"/>
  <c r="P13" i="20936"/>
  <c r="Q13" i="20936"/>
  <c r="U13" i="20936"/>
  <c r="W13" i="20936"/>
  <c r="A14" i="20936"/>
  <c r="B14" i="20936"/>
  <c r="C14" i="20936"/>
  <c r="D14" i="20936"/>
  <c r="E14" i="20936"/>
  <c r="F14" i="20936"/>
  <c r="G14" i="20936"/>
  <c r="H14" i="20936"/>
  <c r="I14" i="20936"/>
  <c r="J14" i="20936"/>
  <c r="K14" i="20936"/>
  <c r="L14" i="20936"/>
  <c r="M14" i="20936"/>
  <c r="N14" i="20936"/>
  <c r="O14" i="20936"/>
  <c r="P14" i="20936"/>
  <c r="Q14" i="20936"/>
  <c r="U14" i="20936"/>
  <c r="W14" i="20936"/>
  <c r="A15" i="20936"/>
  <c r="B15" i="20936"/>
  <c r="C15" i="20936"/>
  <c r="D15" i="20936"/>
  <c r="E15" i="20936"/>
  <c r="F15" i="20936"/>
  <c r="G15" i="20936"/>
  <c r="H15" i="20936"/>
  <c r="I15" i="20936"/>
  <c r="J15" i="20936"/>
  <c r="K15" i="20936"/>
  <c r="L15" i="20936"/>
  <c r="M15" i="20936"/>
  <c r="N15" i="20936"/>
  <c r="O15" i="20936"/>
  <c r="P15" i="20936"/>
  <c r="Q15" i="20936"/>
  <c r="U15" i="20936"/>
  <c r="W15" i="20936"/>
  <c r="A16" i="20936"/>
  <c r="B16" i="20936"/>
  <c r="C16" i="20936"/>
  <c r="D16" i="20936"/>
  <c r="E16" i="20936"/>
  <c r="F16" i="20936"/>
  <c r="G16" i="20936"/>
  <c r="H16" i="20936"/>
  <c r="I16" i="20936"/>
  <c r="J16" i="20936"/>
  <c r="K16" i="20936"/>
  <c r="L16" i="20936"/>
  <c r="M16" i="20936"/>
  <c r="N16" i="20936"/>
  <c r="O16" i="20936"/>
  <c r="P16" i="20936"/>
  <c r="Q16" i="20936"/>
  <c r="U16" i="20936"/>
  <c r="W16" i="20936"/>
  <c r="A17" i="20936"/>
  <c r="B17" i="20936"/>
  <c r="C17" i="20936"/>
  <c r="D17" i="20936"/>
  <c r="E17" i="20936"/>
  <c r="F17" i="20936"/>
  <c r="G17" i="20936"/>
  <c r="H17" i="20936"/>
  <c r="I17" i="20936"/>
  <c r="J17" i="20936"/>
  <c r="K17" i="20936"/>
  <c r="L17" i="20936"/>
  <c r="M17" i="20936"/>
  <c r="N17" i="20936"/>
  <c r="O17" i="20936"/>
  <c r="P17" i="20936"/>
  <c r="Q17" i="20936"/>
  <c r="U17" i="20936"/>
  <c r="W17" i="20936"/>
  <c r="A18" i="20936"/>
  <c r="B18" i="20936"/>
  <c r="C18" i="20936"/>
  <c r="D18" i="20936"/>
  <c r="E18" i="20936"/>
  <c r="F18" i="20936"/>
  <c r="G18" i="20936"/>
  <c r="H18" i="20936"/>
  <c r="I18" i="20936"/>
  <c r="J18" i="20936"/>
  <c r="K18" i="20936"/>
  <c r="L18" i="20936"/>
  <c r="M18" i="20936"/>
  <c r="N18" i="20936"/>
  <c r="O18" i="20936"/>
  <c r="P18" i="20936"/>
  <c r="Q18" i="20936"/>
  <c r="U18" i="20936"/>
  <c r="A19" i="20936"/>
  <c r="B19" i="20936"/>
  <c r="C19" i="20936"/>
  <c r="D19" i="20936"/>
  <c r="E19" i="20936"/>
  <c r="F19" i="20936"/>
  <c r="G19" i="20936"/>
  <c r="H19" i="20936"/>
  <c r="I19" i="20936"/>
  <c r="J19" i="20936"/>
  <c r="K19" i="20936"/>
  <c r="L19" i="20936"/>
  <c r="M19" i="20936"/>
  <c r="N19" i="20936"/>
  <c r="O19" i="20936"/>
  <c r="P19" i="20936"/>
  <c r="Q19" i="20936"/>
  <c r="U19" i="20936"/>
  <c r="A20" i="20936"/>
  <c r="B20" i="20936"/>
  <c r="C20" i="20936"/>
  <c r="D20" i="20936"/>
  <c r="E20" i="20936"/>
  <c r="F20" i="20936"/>
  <c r="G20" i="20936"/>
  <c r="H20" i="20936"/>
  <c r="I20" i="20936"/>
  <c r="J20" i="20936"/>
  <c r="K20" i="20936"/>
  <c r="L20" i="20936"/>
  <c r="M20" i="20936"/>
  <c r="N20" i="20936"/>
  <c r="O20" i="20936"/>
  <c r="P20" i="20936"/>
  <c r="Q20" i="20936"/>
  <c r="U20" i="20936"/>
  <c r="A21" i="20936"/>
  <c r="B21" i="20936"/>
  <c r="C21" i="20936"/>
  <c r="D21" i="20936"/>
  <c r="E21" i="20936"/>
  <c r="F21" i="20936"/>
  <c r="G21" i="20936"/>
  <c r="H21" i="20936"/>
  <c r="I21" i="20936"/>
  <c r="J21" i="20936"/>
  <c r="K21" i="20936"/>
  <c r="L21" i="20936"/>
  <c r="M21" i="20936"/>
  <c r="N21" i="20936"/>
  <c r="O21" i="20936"/>
  <c r="P21" i="20936"/>
  <c r="Q21" i="20936"/>
  <c r="U21" i="20936"/>
  <c r="A22" i="20936"/>
  <c r="B22" i="20936"/>
  <c r="C22" i="20936"/>
  <c r="D22" i="20936"/>
  <c r="E22" i="20936"/>
  <c r="F22" i="20936"/>
  <c r="G22" i="20936"/>
  <c r="H22" i="20936"/>
  <c r="I22" i="20936"/>
  <c r="J22" i="20936"/>
  <c r="K22" i="20936"/>
  <c r="L22" i="20936"/>
  <c r="M22" i="20936"/>
  <c r="N22" i="20936"/>
  <c r="O22" i="20936"/>
  <c r="P22" i="20936"/>
  <c r="Q22" i="20936"/>
  <c r="U22" i="20936"/>
  <c r="A23" i="20936"/>
  <c r="B23" i="20936"/>
  <c r="C23" i="20936"/>
  <c r="D23" i="20936"/>
  <c r="E23" i="20936"/>
  <c r="F23" i="20936"/>
  <c r="G23" i="20936"/>
  <c r="H23" i="20936"/>
  <c r="I23" i="20936"/>
  <c r="J23" i="20936"/>
  <c r="K23" i="20936"/>
  <c r="L23" i="20936"/>
  <c r="M23" i="20936"/>
  <c r="N23" i="20936"/>
  <c r="O23" i="20936"/>
  <c r="P23" i="20936"/>
  <c r="Q23" i="20936"/>
  <c r="U23" i="20936"/>
  <c r="A24" i="20936"/>
  <c r="B24" i="20936"/>
  <c r="C24" i="20936"/>
  <c r="D24" i="20936"/>
  <c r="E24" i="20936"/>
  <c r="F24" i="20936"/>
  <c r="G24" i="20936"/>
  <c r="H24" i="20936"/>
  <c r="I24" i="20936"/>
  <c r="J24" i="20936"/>
  <c r="K24" i="20936"/>
  <c r="L24" i="20936"/>
  <c r="M24" i="20936"/>
  <c r="N24" i="20936"/>
  <c r="O24" i="20936"/>
  <c r="P24" i="20936"/>
  <c r="Q24" i="20936"/>
  <c r="U24" i="20936"/>
  <c r="A25" i="20936"/>
  <c r="B25" i="20936"/>
  <c r="C25" i="20936"/>
  <c r="D25" i="20936"/>
  <c r="E25" i="20936"/>
  <c r="F25" i="20936"/>
  <c r="G25" i="20936"/>
  <c r="H25" i="20936"/>
  <c r="I25" i="20936"/>
  <c r="J25" i="20936"/>
  <c r="K25" i="20936"/>
  <c r="L25" i="20936"/>
  <c r="M25" i="20936"/>
  <c r="N25" i="20936"/>
  <c r="O25" i="20936"/>
  <c r="P25" i="20936"/>
  <c r="Q25" i="20936"/>
  <c r="U25" i="20936"/>
  <c r="A26" i="20936"/>
  <c r="B26" i="20936"/>
  <c r="C26" i="20936"/>
  <c r="D26" i="20936"/>
  <c r="E26" i="20936"/>
  <c r="F26" i="20936"/>
  <c r="G26" i="20936"/>
  <c r="H26" i="20936"/>
  <c r="I26" i="20936"/>
  <c r="J26" i="20936"/>
  <c r="K26" i="20936"/>
  <c r="L26" i="20936"/>
  <c r="M26" i="20936"/>
  <c r="N26" i="20936"/>
  <c r="O26" i="20936"/>
  <c r="P26" i="20936"/>
  <c r="Q26" i="20936"/>
  <c r="U26" i="20936"/>
  <c r="A27" i="20936"/>
  <c r="B27" i="20936"/>
  <c r="C27" i="20936"/>
  <c r="D27" i="20936"/>
  <c r="E27" i="20936"/>
  <c r="F27" i="20936"/>
  <c r="G27" i="20936"/>
  <c r="H27" i="20936"/>
  <c r="I27" i="20936"/>
  <c r="J27" i="20936"/>
  <c r="K27" i="20936"/>
  <c r="L27" i="20936"/>
  <c r="M27" i="20936"/>
  <c r="N27" i="20936"/>
  <c r="O27" i="20936"/>
  <c r="P27" i="20936"/>
  <c r="Q27" i="20936"/>
  <c r="U27" i="20936"/>
  <c r="A28" i="20936"/>
  <c r="E28" i="20936"/>
  <c r="F28" i="20936"/>
  <c r="G28" i="20936"/>
  <c r="H28" i="20936"/>
  <c r="I28" i="20936"/>
  <c r="J28" i="20936"/>
  <c r="K28" i="20936"/>
  <c r="L28" i="20936"/>
  <c r="M28" i="20936"/>
  <c r="N28" i="20936"/>
  <c r="O28" i="20936"/>
  <c r="P28" i="20936"/>
  <c r="Q28" i="20936"/>
  <c r="E29" i="20936"/>
  <c r="F29" i="20936"/>
  <c r="G29" i="20936"/>
  <c r="H29" i="20936"/>
  <c r="I29" i="20936"/>
  <c r="J29" i="20936"/>
  <c r="K29" i="20936"/>
  <c r="L29" i="20936"/>
  <c r="M29" i="20936"/>
  <c r="N29" i="20936"/>
  <c r="O29" i="20936"/>
  <c r="P29" i="20936"/>
  <c r="B61" i="20936"/>
  <c r="C61" i="20936"/>
  <c r="B62" i="20936"/>
  <c r="C62" i="20936"/>
  <c r="B63" i="20936"/>
  <c r="C63" i="20936"/>
  <c r="B64" i="20936"/>
  <c r="C64" i="20936"/>
  <c r="B65" i="20936"/>
  <c r="C65" i="20936"/>
  <c r="B66" i="20936"/>
  <c r="C66" i="20936"/>
  <c r="C67" i="20936"/>
  <c r="C68" i="20936"/>
  <c r="C69" i="20936"/>
  <c r="C70" i="20936"/>
  <c r="C71" i="20936"/>
  <c r="C72" i="20936"/>
  <c r="C73" i="20936"/>
  <c r="C74" i="20936"/>
  <c r="C75" i="20936"/>
  <c r="C76" i="20936"/>
  <c r="C77" i="20936"/>
  <c r="C78" i="20936"/>
  <c r="C79" i="20936"/>
  <c r="C80" i="20936"/>
  <c r="C81" i="20936"/>
  <c r="C82" i="20936"/>
  <c r="C83" i="20936"/>
  <c r="C84" i="20936"/>
  <c r="C85" i="20936"/>
  <c r="C86" i="20936"/>
  <c r="C87" i="20936"/>
  <c r="P4" i="267"/>
  <c r="Q4" i="267"/>
  <c r="R4" i="267"/>
  <c r="C5" i="267"/>
  <c r="D5" i="267"/>
  <c r="H5" i="267"/>
  <c r="I5" i="267"/>
  <c r="P5" i="267"/>
  <c r="Q5" i="267"/>
  <c r="R5" i="267"/>
  <c r="C6" i="267"/>
  <c r="D6" i="267"/>
  <c r="H6" i="267"/>
  <c r="I6" i="267"/>
  <c r="P6" i="267"/>
  <c r="Q6" i="267"/>
  <c r="R6" i="267"/>
  <c r="C7" i="267"/>
  <c r="D7" i="267"/>
  <c r="H7" i="267"/>
  <c r="I7" i="267"/>
  <c r="P7" i="267"/>
  <c r="Q7" i="267"/>
  <c r="R7" i="267"/>
  <c r="C8" i="267"/>
  <c r="D8" i="267"/>
  <c r="H8" i="267"/>
  <c r="I8" i="267"/>
  <c r="P8" i="267"/>
  <c r="Q8" i="267"/>
  <c r="R8" i="267"/>
  <c r="C9" i="267"/>
  <c r="D9" i="267"/>
  <c r="H9" i="267"/>
  <c r="I9" i="267"/>
  <c r="P9" i="267"/>
  <c r="Q9" i="267"/>
  <c r="R9" i="267"/>
  <c r="C10" i="267"/>
  <c r="D10" i="267"/>
  <c r="H10" i="267"/>
  <c r="I10" i="267"/>
  <c r="P10" i="267"/>
  <c r="Q10" i="267"/>
  <c r="R10" i="267"/>
  <c r="C11" i="267"/>
  <c r="D11" i="267"/>
  <c r="H11" i="267"/>
  <c r="I11" i="267"/>
  <c r="P11" i="267"/>
  <c r="Q11" i="267"/>
  <c r="R11" i="267"/>
  <c r="C12" i="267"/>
  <c r="D12" i="267"/>
  <c r="H12" i="267"/>
  <c r="I12" i="267"/>
  <c r="P12" i="267"/>
  <c r="Q12" i="267"/>
  <c r="R12" i="267"/>
  <c r="C13" i="267"/>
  <c r="D13" i="267"/>
  <c r="H13" i="267"/>
  <c r="I13" i="267"/>
  <c r="P13" i="267"/>
  <c r="Q13" i="267"/>
  <c r="R13" i="267"/>
  <c r="C14" i="267"/>
  <c r="D14" i="267"/>
  <c r="H14" i="267"/>
  <c r="I14" i="267"/>
  <c r="P14" i="267"/>
  <c r="Q14" i="267"/>
  <c r="R14" i="267"/>
  <c r="C15" i="267"/>
  <c r="D15" i="267"/>
  <c r="H15" i="267"/>
  <c r="I15" i="267"/>
  <c r="P15" i="267"/>
  <c r="Q15" i="267"/>
  <c r="R15" i="267"/>
  <c r="C16" i="267"/>
  <c r="D16" i="267"/>
  <c r="H16" i="267"/>
  <c r="I16" i="267"/>
  <c r="P16" i="267"/>
  <c r="Q16" i="267"/>
  <c r="R16" i="267"/>
  <c r="C17" i="267"/>
  <c r="D17" i="267"/>
  <c r="H17" i="267"/>
  <c r="I17" i="267"/>
  <c r="P17" i="267"/>
  <c r="Q17" i="267"/>
  <c r="R17" i="267"/>
  <c r="C18" i="267"/>
  <c r="D18" i="267"/>
  <c r="H18" i="267"/>
  <c r="I18" i="267"/>
  <c r="P18" i="267"/>
  <c r="Q18" i="267"/>
  <c r="R18" i="267"/>
  <c r="C19" i="267"/>
  <c r="D19" i="267"/>
  <c r="H19" i="267"/>
  <c r="I19" i="267"/>
  <c r="P19" i="267"/>
  <c r="Q19" i="267"/>
  <c r="R19" i="267"/>
  <c r="P20" i="267"/>
  <c r="Q20" i="267"/>
  <c r="R20" i="267"/>
  <c r="P21" i="267"/>
  <c r="Q21" i="267"/>
  <c r="R21" i="267"/>
  <c r="P22" i="267"/>
  <c r="Q22" i="267"/>
  <c r="R22" i="267"/>
  <c r="P23" i="267"/>
  <c r="Q23" i="267"/>
  <c r="R23" i="267"/>
  <c r="P24" i="267"/>
  <c r="Q24" i="267"/>
  <c r="R24" i="267"/>
  <c r="R25" i="267"/>
  <c r="R26" i="267"/>
  <c r="N4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R7" i="1"/>
  <c r="S7" i="1"/>
  <c r="T7" i="1"/>
  <c r="V7" i="1"/>
  <c r="X7" i="1"/>
  <c r="Z7" i="1"/>
  <c r="AA7" i="1"/>
  <c r="AB7" i="1"/>
  <c r="AC7" i="1"/>
  <c r="AD7" i="1"/>
  <c r="AE7" i="1"/>
  <c r="AF7" i="1"/>
  <c r="AG7" i="1"/>
  <c r="AH7" i="1"/>
  <c r="AI7" i="1"/>
  <c r="AM7" i="1"/>
  <c r="AP7" i="1"/>
  <c r="AQ7" i="1"/>
  <c r="AR7" i="1"/>
  <c r="AS7" i="1"/>
  <c r="AT7" i="1"/>
  <c r="AU7" i="1"/>
  <c r="AY7" i="1"/>
  <c r="BC7" i="1"/>
  <c r="BD7" i="1"/>
  <c r="BE7" i="1"/>
  <c r="BG7" i="1"/>
  <c r="BH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R8" i="1"/>
  <c r="S8" i="1"/>
  <c r="T8" i="1"/>
  <c r="V8" i="1"/>
  <c r="X8" i="1"/>
  <c r="Z8" i="1"/>
  <c r="AA8" i="1"/>
  <c r="AB8" i="1"/>
  <c r="AC8" i="1"/>
  <c r="AD8" i="1"/>
  <c r="AE8" i="1"/>
  <c r="AF8" i="1"/>
  <c r="AG8" i="1"/>
  <c r="AH8" i="1"/>
  <c r="AI8" i="1"/>
  <c r="AM8" i="1"/>
  <c r="AP8" i="1"/>
  <c r="AQ8" i="1"/>
  <c r="AR8" i="1"/>
  <c r="AS8" i="1"/>
  <c r="AT8" i="1"/>
  <c r="AU8" i="1"/>
  <c r="AY8" i="1"/>
  <c r="BC8" i="1"/>
  <c r="BD8" i="1"/>
  <c r="BE8" i="1"/>
  <c r="BG8" i="1"/>
  <c r="BH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X9" i="1"/>
  <c r="Z9" i="1"/>
  <c r="AA9" i="1"/>
  <c r="AB9" i="1"/>
  <c r="AC9" i="1"/>
  <c r="AD9" i="1"/>
  <c r="AE9" i="1"/>
  <c r="AF9" i="1"/>
  <c r="AG9" i="1"/>
  <c r="AH9" i="1"/>
  <c r="AI9" i="1"/>
  <c r="AM9" i="1"/>
  <c r="AP9" i="1"/>
  <c r="AQ9" i="1"/>
  <c r="AR9" i="1"/>
  <c r="AS9" i="1"/>
  <c r="AT9" i="1"/>
  <c r="AU9" i="1"/>
  <c r="AY9" i="1"/>
  <c r="BC9" i="1"/>
  <c r="BD9" i="1"/>
  <c r="BE9" i="1"/>
  <c r="BG9" i="1"/>
  <c r="BH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R10" i="1"/>
  <c r="S10" i="1"/>
  <c r="T10" i="1"/>
  <c r="V10" i="1"/>
  <c r="X10" i="1"/>
  <c r="Z10" i="1"/>
  <c r="AA10" i="1"/>
  <c r="AB10" i="1"/>
  <c r="AC10" i="1"/>
  <c r="AD10" i="1"/>
  <c r="AE10" i="1"/>
  <c r="AF10" i="1"/>
  <c r="AG10" i="1"/>
  <c r="AH10" i="1"/>
  <c r="AI10" i="1"/>
  <c r="AM10" i="1"/>
  <c r="AP10" i="1"/>
  <c r="AQ10" i="1"/>
  <c r="AR10" i="1"/>
  <c r="AS10" i="1"/>
  <c r="AT10" i="1"/>
  <c r="AU10" i="1"/>
  <c r="AY10" i="1"/>
  <c r="BC10" i="1"/>
  <c r="BD10" i="1"/>
  <c r="BE10" i="1"/>
  <c r="BG10" i="1"/>
  <c r="BH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R11" i="1"/>
  <c r="S11" i="1"/>
  <c r="T11" i="1"/>
  <c r="V11" i="1"/>
  <c r="X11" i="1"/>
  <c r="Z11" i="1"/>
  <c r="AA11" i="1"/>
  <c r="AB11" i="1"/>
  <c r="AC11" i="1"/>
  <c r="AD11" i="1"/>
  <c r="AE11" i="1"/>
  <c r="AF11" i="1"/>
  <c r="AG11" i="1"/>
  <c r="AH11" i="1"/>
  <c r="AI11" i="1"/>
  <c r="AM11" i="1"/>
  <c r="AP11" i="1"/>
  <c r="AQ11" i="1"/>
  <c r="AR11" i="1"/>
  <c r="AS11" i="1"/>
  <c r="AT11" i="1"/>
  <c r="AU11" i="1"/>
  <c r="AY11" i="1"/>
  <c r="BC11" i="1"/>
  <c r="BD11" i="1"/>
  <c r="BE11" i="1"/>
  <c r="BG11" i="1"/>
  <c r="BH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R12" i="1"/>
  <c r="S12" i="1"/>
  <c r="T12" i="1"/>
  <c r="V12" i="1"/>
  <c r="X12" i="1"/>
  <c r="Z12" i="1"/>
  <c r="AA12" i="1"/>
  <c r="AB12" i="1"/>
  <c r="AC12" i="1"/>
  <c r="AD12" i="1"/>
  <c r="AE12" i="1"/>
  <c r="AF12" i="1"/>
  <c r="AG12" i="1"/>
  <c r="AH12" i="1"/>
  <c r="AI12" i="1"/>
  <c r="AM12" i="1"/>
  <c r="AP12" i="1"/>
  <c r="AQ12" i="1"/>
  <c r="AR12" i="1"/>
  <c r="AS12" i="1"/>
  <c r="AT12" i="1"/>
  <c r="AU12" i="1"/>
  <c r="AY12" i="1"/>
  <c r="BC12" i="1"/>
  <c r="BD12" i="1"/>
  <c r="BE12" i="1"/>
  <c r="BG12" i="1"/>
  <c r="BH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R13" i="1"/>
  <c r="S13" i="1"/>
  <c r="T13" i="1"/>
  <c r="V13" i="1"/>
  <c r="X13" i="1"/>
  <c r="Z13" i="1"/>
  <c r="AA13" i="1"/>
  <c r="AB13" i="1"/>
  <c r="AC13" i="1"/>
  <c r="AD13" i="1"/>
  <c r="AE13" i="1"/>
  <c r="AF13" i="1"/>
  <c r="AG13" i="1"/>
  <c r="AH13" i="1"/>
  <c r="AI13" i="1"/>
  <c r="AM13" i="1"/>
  <c r="AP13" i="1"/>
  <c r="AQ13" i="1"/>
  <c r="AR13" i="1"/>
  <c r="AS13" i="1"/>
  <c r="AT13" i="1"/>
  <c r="AU13" i="1"/>
  <c r="AY13" i="1"/>
  <c r="BC13" i="1"/>
  <c r="BD13" i="1"/>
  <c r="BE13" i="1"/>
  <c r="BG13" i="1"/>
  <c r="BH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R14" i="1"/>
  <c r="S14" i="1"/>
  <c r="T14" i="1"/>
  <c r="V14" i="1"/>
  <c r="X14" i="1"/>
  <c r="Z14" i="1"/>
  <c r="AA14" i="1"/>
  <c r="AB14" i="1"/>
  <c r="AC14" i="1"/>
  <c r="AD14" i="1"/>
  <c r="AE14" i="1"/>
  <c r="AF14" i="1"/>
  <c r="AG14" i="1"/>
  <c r="AH14" i="1"/>
  <c r="AI14" i="1"/>
  <c r="AM14" i="1"/>
  <c r="AP14" i="1"/>
  <c r="AQ14" i="1"/>
  <c r="AR14" i="1"/>
  <c r="AS14" i="1"/>
  <c r="AT14" i="1"/>
  <c r="AU14" i="1"/>
  <c r="AY14" i="1"/>
  <c r="BC14" i="1"/>
  <c r="BD14" i="1"/>
  <c r="BE14" i="1"/>
  <c r="BG14" i="1"/>
  <c r="BH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R15" i="1"/>
  <c r="S15" i="1"/>
  <c r="T15" i="1"/>
  <c r="V15" i="1"/>
  <c r="X15" i="1"/>
  <c r="Z15" i="1"/>
  <c r="AA15" i="1"/>
  <c r="AB15" i="1"/>
  <c r="AC15" i="1"/>
  <c r="AD15" i="1"/>
  <c r="AE15" i="1"/>
  <c r="AF15" i="1"/>
  <c r="AG15" i="1"/>
  <c r="AH15" i="1"/>
  <c r="AI15" i="1"/>
  <c r="AM15" i="1"/>
  <c r="AP15" i="1"/>
  <c r="AQ15" i="1"/>
  <c r="AR15" i="1"/>
  <c r="AS15" i="1"/>
  <c r="AT15" i="1"/>
  <c r="AU15" i="1"/>
  <c r="AY15" i="1"/>
  <c r="BC15" i="1"/>
  <c r="BD15" i="1"/>
  <c r="BE15" i="1"/>
  <c r="BG15" i="1"/>
  <c r="BH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R16" i="1"/>
  <c r="S16" i="1"/>
  <c r="T16" i="1"/>
  <c r="V16" i="1"/>
  <c r="X16" i="1"/>
  <c r="Z16" i="1"/>
  <c r="AA16" i="1"/>
  <c r="AB16" i="1"/>
  <c r="AC16" i="1"/>
  <c r="AD16" i="1"/>
  <c r="AE16" i="1"/>
  <c r="AF16" i="1"/>
  <c r="AG16" i="1"/>
  <c r="AH16" i="1"/>
  <c r="AI16" i="1"/>
  <c r="AM16" i="1"/>
  <c r="AP16" i="1"/>
  <c r="AQ16" i="1"/>
  <c r="AR16" i="1"/>
  <c r="AS16" i="1"/>
  <c r="AT16" i="1"/>
  <c r="AU16" i="1"/>
  <c r="AY16" i="1"/>
  <c r="BC16" i="1"/>
  <c r="BD16" i="1"/>
  <c r="BE16" i="1"/>
  <c r="BG16" i="1"/>
  <c r="BH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R17" i="1"/>
  <c r="S17" i="1"/>
  <c r="T17" i="1"/>
  <c r="V17" i="1"/>
  <c r="X17" i="1"/>
  <c r="Z17" i="1"/>
  <c r="AA17" i="1"/>
  <c r="AB17" i="1"/>
  <c r="AC17" i="1"/>
  <c r="AD17" i="1"/>
  <c r="AE17" i="1"/>
  <c r="AF17" i="1"/>
  <c r="AG17" i="1"/>
  <c r="AH17" i="1"/>
  <c r="AI17" i="1"/>
  <c r="AM17" i="1"/>
  <c r="AP17" i="1"/>
  <c r="AQ17" i="1"/>
  <c r="AR17" i="1"/>
  <c r="AS17" i="1"/>
  <c r="AT17" i="1"/>
  <c r="AU17" i="1"/>
  <c r="AY17" i="1"/>
  <c r="BC17" i="1"/>
  <c r="BD17" i="1"/>
  <c r="BE17" i="1"/>
  <c r="BG17" i="1"/>
  <c r="BH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R18" i="1"/>
  <c r="S18" i="1"/>
  <c r="T18" i="1"/>
  <c r="V18" i="1"/>
  <c r="X18" i="1"/>
  <c r="Z18" i="1"/>
  <c r="AA18" i="1"/>
  <c r="AB18" i="1"/>
  <c r="AC18" i="1"/>
  <c r="AD18" i="1"/>
  <c r="AE18" i="1"/>
  <c r="AF18" i="1"/>
  <c r="AG18" i="1"/>
  <c r="AH18" i="1"/>
  <c r="AI18" i="1"/>
  <c r="AM18" i="1"/>
  <c r="AP18" i="1"/>
  <c r="AQ18" i="1"/>
  <c r="AR18" i="1"/>
  <c r="AS18" i="1"/>
  <c r="AT18" i="1"/>
  <c r="AU18" i="1"/>
  <c r="AY18" i="1"/>
  <c r="BC18" i="1"/>
  <c r="BD18" i="1"/>
  <c r="BE18" i="1"/>
  <c r="BG18" i="1"/>
  <c r="BH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R19" i="1"/>
  <c r="S19" i="1"/>
  <c r="T19" i="1"/>
  <c r="V19" i="1"/>
  <c r="X19" i="1"/>
  <c r="Z19" i="1"/>
  <c r="AA19" i="1"/>
  <c r="AB19" i="1"/>
  <c r="AC19" i="1"/>
  <c r="AD19" i="1"/>
  <c r="AE19" i="1"/>
  <c r="AF19" i="1"/>
  <c r="AG19" i="1"/>
  <c r="AH19" i="1"/>
  <c r="AI19" i="1"/>
  <c r="AM19" i="1"/>
  <c r="AP19" i="1"/>
  <c r="AQ19" i="1"/>
  <c r="AR19" i="1"/>
  <c r="AS19" i="1"/>
  <c r="AT19" i="1"/>
  <c r="AU19" i="1"/>
  <c r="AY19" i="1"/>
  <c r="BC19" i="1"/>
  <c r="BD19" i="1"/>
  <c r="BE19" i="1"/>
  <c r="BG19" i="1"/>
  <c r="BH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R20" i="1"/>
  <c r="S20" i="1"/>
  <c r="T20" i="1"/>
  <c r="V20" i="1"/>
  <c r="X20" i="1"/>
  <c r="Z20" i="1"/>
  <c r="AA20" i="1"/>
  <c r="AB20" i="1"/>
  <c r="AC20" i="1"/>
  <c r="AD20" i="1"/>
  <c r="AE20" i="1"/>
  <c r="AF20" i="1"/>
  <c r="AG20" i="1"/>
  <c r="AH20" i="1"/>
  <c r="AI20" i="1"/>
  <c r="AM20" i="1"/>
  <c r="AP20" i="1"/>
  <c r="AQ20" i="1"/>
  <c r="AR20" i="1"/>
  <c r="AS20" i="1"/>
  <c r="AT20" i="1"/>
  <c r="AU20" i="1"/>
  <c r="AY20" i="1"/>
  <c r="BC20" i="1"/>
  <c r="BD20" i="1"/>
  <c r="BE20" i="1"/>
  <c r="BG20" i="1"/>
  <c r="BH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R21" i="1"/>
  <c r="S21" i="1"/>
  <c r="T21" i="1"/>
  <c r="V21" i="1"/>
  <c r="X21" i="1"/>
  <c r="Z21" i="1"/>
  <c r="AA21" i="1"/>
  <c r="AB21" i="1"/>
  <c r="AC21" i="1"/>
  <c r="AD21" i="1"/>
  <c r="AE21" i="1"/>
  <c r="AF21" i="1"/>
  <c r="AG21" i="1"/>
  <c r="AH21" i="1"/>
  <c r="AI21" i="1"/>
  <c r="AM21" i="1"/>
  <c r="AP21" i="1"/>
  <c r="AQ21" i="1"/>
  <c r="AR21" i="1"/>
  <c r="AS21" i="1"/>
  <c r="AT21" i="1"/>
  <c r="AU21" i="1"/>
  <c r="AY21" i="1"/>
  <c r="BC21" i="1"/>
  <c r="BD21" i="1"/>
  <c r="BE21" i="1"/>
  <c r="BG21" i="1"/>
  <c r="BH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R22" i="1"/>
  <c r="S22" i="1"/>
  <c r="T22" i="1"/>
  <c r="V22" i="1"/>
  <c r="X22" i="1"/>
  <c r="Z22" i="1"/>
  <c r="AA22" i="1"/>
  <c r="AB22" i="1"/>
  <c r="AC22" i="1"/>
  <c r="AD22" i="1"/>
  <c r="AE22" i="1"/>
  <c r="AF22" i="1"/>
  <c r="AG22" i="1"/>
  <c r="AH22" i="1"/>
  <c r="AI22" i="1"/>
  <c r="AM22" i="1"/>
  <c r="AP22" i="1"/>
  <c r="AQ22" i="1"/>
  <c r="AR22" i="1"/>
  <c r="AS22" i="1"/>
  <c r="AT22" i="1"/>
  <c r="AU22" i="1"/>
  <c r="AY22" i="1"/>
  <c r="BC22" i="1"/>
  <c r="BD22" i="1"/>
  <c r="BE22" i="1"/>
  <c r="BG22" i="1"/>
  <c r="BH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R23" i="1"/>
  <c r="S23" i="1"/>
  <c r="T23" i="1"/>
  <c r="V23" i="1"/>
  <c r="X23" i="1"/>
  <c r="Z23" i="1"/>
  <c r="AA23" i="1"/>
  <c r="AB23" i="1"/>
  <c r="AC23" i="1"/>
  <c r="AD23" i="1"/>
  <c r="AE23" i="1"/>
  <c r="AF23" i="1"/>
  <c r="AG23" i="1"/>
  <c r="AH23" i="1"/>
  <c r="AI23" i="1"/>
  <c r="AM23" i="1"/>
  <c r="AP23" i="1"/>
  <c r="AQ23" i="1"/>
  <c r="AR23" i="1"/>
  <c r="AS23" i="1"/>
  <c r="AT23" i="1"/>
  <c r="AU23" i="1"/>
  <c r="AY23" i="1"/>
  <c r="BC23" i="1"/>
  <c r="BD23" i="1"/>
  <c r="BE23" i="1"/>
  <c r="BG23" i="1"/>
  <c r="BH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R24" i="1"/>
  <c r="S24" i="1"/>
  <c r="T24" i="1"/>
  <c r="V24" i="1"/>
  <c r="X24" i="1"/>
  <c r="Z24" i="1"/>
  <c r="AA24" i="1"/>
  <c r="AB24" i="1"/>
  <c r="AC24" i="1"/>
  <c r="AD24" i="1"/>
  <c r="AE24" i="1"/>
  <c r="AF24" i="1"/>
  <c r="AG24" i="1"/>
  <c r="AH24" i="1"/>
  <c r="AI24" i="1"/>
  <c r="AM24" i="1"/>
  <c r="AP24" i="1"/>
  <c r="AQ24" i="1"/>
  <c r="AR24" i="1"/>
  <c r="AS24" i="1"/>
  <c r="AT24" i="1"/>
  <c r="AU24" i="1"/>
  <c r="AY24" i="1"/>
  <c r="BC24" i="1"/>
  <c r="BD24" i="1"/>
  <c r="BE24" i="1"/>
  <c r="BG24" i="1"/>
  <c r="BH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R25" i="1"/>
  <c r="S25" i="1"/>
  <c r="T25" i="1"/>
  <c r="V25" i="1"/>
  <c r="X25" i="1"/>
  <c r="Z25" i="1"/>
  <c r="AA25" i="1"/>
  <c r="AB25" i="1"/>
  <c r="AC25" i="1"/>
  <c r="AD25" i="1"/>
  <c r="AE25" i="1"/>
  <c r="AF25" i="1"/>
  <c r="AG25" i="1"/>
  <c r="AH25" i="1"/>
  <c r="AI25" i="1"/>
  <c r="AM25" i="1"/>
  <c r="AP25" i="1"/>
  <c r="AQ25" i="1"/>
  <c r="AR25" i="1"/>
  <c r="AS25" i="1"/>
  <c r="AT25" i="1"/>
  <c r="AU25" i="1"/>
  <c r="AY25" i="1"/>
  <c r="BC25" i="1"/>
  <c r="BD25" i="1"/>
  <c r="BE25" i="1"/>
  <c r="BG25" i="1"/>
  <c r="BH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R26" i="1"/>
  <c r="S26" i="1"/>
  <c r="T26" i="1"/>
  <c r="V26" i="1"/>
  <c r="X26" i="1"/>
  <c r="Z26" i="1"/>
  <c r="AA26" i="1"/>
  <c r="AB26" i="1"/>
  <c r="AC26" i="1"/>
  <c r="AD26" i="1"/>
  <c r="AE26" i="1"/>
  <c r="AF26" i="1"/>
  <c r="AG26" i="1"/>
  <c r="AH26" i="1"/>
  <c r="AI26" i="1"/>
  <c r="AM26" i="1"/>
  <c r="AP26" i="1"/>
  <c r="AQ26" i="1"/>
  <c r="AR26" i="1"/>
  <c r="AS26" i="1"/>
  <c r="AT26" i="1"/>
  <c r="AU26" i="1"/>
  <c r="AY26" i="1"/>
  <c r="BC26" i="1"/>
  <c r="BD26" i="1"/>
  <c r="BE26" i="1"/>
  <c r="BG26" i="1"/>
  <c r="BH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R27" i="1"/>
  <c r="S27" i="1"/>
  <c r="T27" i="1"/>
  <c r="V27" i="1"/>
  <c r="X27" i="1"/>
  <c r="Z27" i="1"/>
  <c r="AA27" i="1"/>
  <c r="AB27" i="1"/>
  <c r="AC27" i="1"/>
  <c r="AD27" i="1"/>
  <c r="AE27" i="1"/>
  <c r="AF27" i="1"/>
  <c r="AG27" i="1"/>
  <c r="AH27" i="1"/>
  <c r="AI27" i="1"/>
  <c r="AM27" i="1"/>
  <c r="AP27" i="1"/>
  <c r="AQ27" i="1"/>
  <c r="AR27" i="1"/>
  <c r="AS27" i="1"/>
  <c r="AT27" i="1"/>
  <c r="AU27" i="1"/>
  <c r="AY27" i="1"/>
  <c r="BC27" i="1"/>
  <c r="BD27" i="1"/>
  <c r="BE27" i="1"/>
  <c r="BG27" i="1"/>
  <c r="BH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R28" i="1"/>
  <c r="S28" i="1"/>
  <c r="T28" i="1"/>
  <c r="V28" i="1"/>
  <c r="X28" i="1"/>
  <c r="Z28" i="1"/>
  <c r="AA28" i="1"/>
  <c r="AB28" i="1"/>
  <c r="AC28" i="1"/>
  <c r="AD28" i="1"/>
  <c r="AE28" i="1"/>
  <c r="AF28" i="1"/>
  <c r="AG28" i="1"/>
  <c r="AH28" i="1"/>
  <c r="AI28" i="1"/>
  <c r="AM28" i="1"/>
  <c r="AP28" i="1"/>
  <c r="AQ28" i="1"/>
  <c r="AR28" i="1"/>
  <c r="AS28" i="1"/>
  <c r="AT28" i="1"/>
  <c r="AU28" i="1"/>
  <c r="AY28" i="1"/>
  <c r="BC28" i="1"/>
  <c r="BD28" i="1"/>
  <c r="BE28" i="1"/>
  <c r="BG28" i="1"/>
  <c r="BH28" i="1"/>
  <c r="A29" i="1"/>
  <c r="V29" i="1"/>
  <c r="X29" i="1"/>
  <c r="AC29" i="1"/>
  <c r="AD29" i="1"/>
  <c r="AI29" i="1"/>
  <c r="AJ29" i="1"/>
  <c r="AM29" i="1"/>
  <c r="AT29" i="1"/>
  <c r="AU29" i="1"/>
  <c r="AW29" i="1"/>
  <c r="AY29" i="1"/>
  <c r="A5" i="560"/>
  <c r="B5" i="560"/>
  <c r="B11" i="560"/>
  <c r="B12" i="560"/>
  <c r="B13" i="560"/>
  <c r="B15" i="560"/>
  <c r="B16" i="560"/>
  <c r="B17" i="560"/>
  <c r="B19" i="560"/>
  <c r="B20" i="560"/>
  <c r="B21" i="560"/>
  <c r="B22" i="560"/>
  <c r="B23" i="560"/>
  <c r="A7" i="556"/>
  <c r="B7" i="556"/>
  <c r="C7" i="556"/>
  <c r="D7" i="556"/>
  <c r="E7" i="556"/>
  <c r="F7" i="556"/>
  <c r="G7" i="556"/>
  <c r="H7" i="556"/>
  <c r="I7" i="556"/>
  <c r="J7" i="556"/>
  <c r="K7" i="556"/>
  <c r="L7" i="556"/>
  <c r="M7" i="556"/>
  <c r="S7" i="556"/>
  <c r="T7" i="556"/>
  <c r="U7" i="556"/>
  <c r="W7" i="556"/>
  <c r="X7" i="556"/>
  <c r="Y7" i="556"/>
  <c r="Z7" i="556"/>
  <c r="AA7" i="556"/>
  <c r="AB7" i="556"/>
  <c r="AC7" i="556"/>
  <c r="AD7" i="556"/>
  <c r="AE7" i="556"/>
  <c r="AF7" i="556"/>
  <c r="AG7" i="556"/>
  <c r="AH7" i="556"/>
  <c r="AI7" i="556"/>
  <c r="AJ7" i="556"/>
  <c r="AK7" i="556"/>
  <c r="AL7" i="556"/>
  <c r="AM7" i="556"/>
  <c r="AN7" i="556"/>
  <c r="AO7" i="556"/>
  <c r="AP7" i="556"/>
  <c r="AS7" i="556"/>
  <c r="AT7" i="556"/>
  <c r="AU7" i="556"/>
  <c r="AV7" i="556"/>
  <c r="AW7" i="556"/>
  <c r="AX7" i="556"/>
  <c r="AY7" i="556"/>
  <c r="AZ7" i="556"/>
  <c r="BA7" i="556"/>
  <c r="BB7" i="556"/>
  <c r="BC7" i="556"/>
  <c r="BE7" i="556"/>
  <c r="BF7" i="556"/>
  <c r="A8" i="556"/>
  <c r="B8" i="556"/>
  <c r="C8" i="556"/>
  <c r="D8" i="556"/>
  <c r="E8" i="556"/>
  <c r="F8" i="556"/>
  <c r="G8" i="556"/>
  <c r="H8" i="556"/>
  <c r="I8" i="556"/>
  <c r="J8" i="556"/>
  <c r="K8" i="556"/>
  <c r="L8" i="556"/>
  <c r="M8" i="556"/>
  <c r="S8" i="556"/>
  <c r="T8" i="556"/>
  <c r="U8" i="556"/>
  <c r="W8" i="556"/>
  <c r="X8" i="556"/>
  <c r="Y8" i="556"/>
  <c r="Z8" i="556"/>
  <c r="AA8" i="556"/>
  <c r="AB8" i="556"/>
  <c r="AC8" i="556"/>
  <c r="AD8" i="556"/>
  <c r="AE8" i="556"/>
  <c r="AF8" i="556"/>
  <c r="AG8" i="556"/>
  <c r="AH8" i="556"/>
  <c r="AI8" i="556"/>
  <c r="AJ8" i="556"/>
  <c r="AK8" i="556"/>
  <c r="AL8" i="556"/>
  <c r="AM8" i="556"/>
  <c r="AN8" i="556"/>
  <c r="AO8" i="556"/>
  <c r="AP8" i="556"/>
  <c r="AS8" i="556"/>
  <c r="AT8" i="556"/>
  <c r="AU8" i="556"/>
  <c r="AV8" i="556"/>
  <c r="AW8" i="556"/>
  <c r="AX8" i="556"/>
  <c r="AY8" i="556"/>
  <c r="AZ8" i="556"/>
  <c r="BA8" i="556"/>
  <c r="BB8" i="556"/>
  <c r="BC8" i="556"/>
  <c r="BE8" i="556"/>
  <c r="BF8" i="556"/>
  <c r="A9" i="556"/>
  <c r="B9" i="556"/>
  <c r="C9" i="556"/>
  <c r="D9" i="556"/>
  <c r="E9" i="556"/>
  <c r="F9" i="556"/>
  <c r="G9" i="556"/>
  <c r="H9" i="556"/>
  <c r="I9" i="556"/>
  <c r="J9" i="556"/>
  <c r="K9" i="556"/>
  <c r="L9" i="556"/>
  <c r="M9" i="556"/>
  <c r="S9" i="556"/>
  <c r="T9" i="556"/>
  <c r="U9" i="556"/>
  <c r="W9" i="556"/>
  <c r="X9" i="556"/>
  <c r="Y9" i="556"/>
  <c r="Z9" i="556"/>
  <c r="AA9" i="556"/>
  <c r="AB9" i="556"/>
  <c r="AC9" i="556"/>
  <c r="AD9" i="556"/>
  <c r="AE9" i="556"/>
  <c r="AF9" i="556"/>
  <c r="AG9" i="556"/>
  <c r="AH9" i="556"/>
  <c r="AI9" i="556"/>
  <c r="AJ9" i="556"/>
  <c r="AK9" i="556"/>
  <c r="AL9" i="556"/>
  <c r="AM9" i="556"/>
  <c r="AN9" i="556"/>
  <c r="AO9" i="556"/>
  <c r="AP9" i="556"/>
  <c r="AS9" i="556"/>
  <c r="AT9" i="556"/>
  <c r="AU9" i="556"/>
  <c r="AV9" i="556"/>
  <c r="AW9" i="556"/>
  <c r="AX9" i="556"/>
  <c r="AY9" i="556"/>
  <c r="AZ9" i="556"/>
  <c r="BA9" i="556"/>
  <c r="BB9" i="556"/>
  <c r="BC9" i="556"/>
  <c r="BE9" i="556"/>
  <c r="BF9" i="556"/>
  <c r="A10" i="556"/>
  <c r="B10" i="556"/>
  <c r="C10" i="556"/>
  <c r="D10" i="556"/>
  <c r="E10" i="556"/>
  <c r="F10" i="556"/>
  <c r="G10" i="556"/>
  <c r="H10" i="556"/>
  <c r="I10" i="556"/>
  <c r="J10" i="556"/>
  <c r="K10" i="556"/>
  <c r="L10" i="556"/>
  <c r="M10" i="556"/>
  <c r="S10" i="556"/>
  <c r="T10" i="556"/>
  <c r="U10" i="556"/>
  <c r="W10" i="556"/>
  <c r="X10" i="556"/>
  <c r="Y10" i="556"/>
  <c r="Z10" i="556"/>
  <c r="AA10" i="556"/>
  <c r="AB10" i="556"/>
  <c r="AC10" i="556"/>
  <c r="AD10" i="556"/>
  <c r="AE10" i="556"/>
  <c r="AF10" i="556"/>
  <c r="AG10" i="556"/>
  <c r="AH10" i="556"/>
  <c r="AI10" i="556"/>
  <c r="AJ10" i="556"/>
  <c r="AK10" i="556"/>
  <c r="AL10" i="556"/>
  <c r="AM10" i="556"/>
  <c r="AN10" i="556"/>
  <c r="AO10" i="556"/>
  <c r="AP10" i="556"/>
  <c r="AS10" i="556"/>
  <c r="AT10" i="556"/>
  <c r="AU10" i="556"/>
  <c r="AV10" i="556"/>
  <c r="AW10" i="556"/>
  <c r="AX10" i="556"/>
  <c r="AY10" i="556"/>
  <c r="AZ10" i="556"/>
  <c r="BA10" i="556"/>
  <c r="BB10" i="556"/>
  <c r="BC10" i="556"/>
  <c r="BE10" i="556"/>
  <c r="BF10" i="556"/>
  <c r="A11" i="556"/>
  <c r="B11" i="556"/>
  <c r="C11" i="556"/>
  <c r="D11" i="556"/>
  <c r="E11" i="556"/>
  <c r="F11" i="556"/>
  <c r="G11" i="556"/>
  <c r="H11" i="556"/>
  <c r="I11" i="556"/>
  <c r="J11" i="556"/>
  <c r="K11" i="556"/>
  <c r="L11" i="556"/>
  <c r="M11" i="556"/>
  <c r="S11" i="556"/>
  <c r="T11" i="556"/>
  <c r="U11" i="556"/>
  <c r="W11" i="556"/>
  <c r="X11" i="556"/>
  <c r="Y11" i="556"/>
  <c r="Z11" i="556"/>
  <c r="AA11" i="556"/>
  <c r="AB11" i="556"/>
  <c r="AC11" i="556"/>
  <c r="AD11" i="556"/>
  <c r="AE11" i="556"/>
  <c r="AF11" i="556"/>
  <c r="AG11" i="556"/>
  <c r="AH11" i="556"/>
  <c r="AI11" i="556"/>
  <c r="AJ11" i="556"/>
  <c r="AK11" i="556"/>
  <c r="AL11" i="556"/>
  <c r="AM11" i="556"/>
  <c r="AN11" i="556"/>
  <c r="AO11" i="556"/>
  <c r="AP11" i="556"/>
  <c r="AS11" i="556"/>
  <c r="AT11" i="556"/>
  <c r="AU11" i="556"/>
  <c r="AV11" i="556"/>
  <c r="AW11" i="556"/>
  <c r="AX11" i="556"/>
  <c r="AY11" i="556"/>
  <c r="AZ11" i="556"/>
  <c r="BA11" i="556"/>
  <c r="BB11" i="556"/>
  <c r="BC11" i="556"/>
  <c r="BE11" i="556"/>
  <c r="BF11" i="556"/>
  <c r="A12" i="556"/>
  <c r="B12" i="556"/>
  <c r="C12" i="556"/>
  <c r="D12" i="556"/>
  <c r="E12" i="556"/>
  <c r="F12" i="556"/>
  <c r="G12" i="556"/>
  <c r="H12" i="556"/>
  <c r="I12" i="556"/>
  <c r="J12" i="556"/>
  <c r="K12" i="556"/>
  <c r="L12" i="556"/>
  <c r="M12" i="556"/>
  <c r="S12" i="556"/>
  <c r="T12" i="556"/>
  <c r="U12" i="556"/>
  <c r="W12" i="556"/>
  <c r="X12" i="556"/>
  <c r="Y12" i="556"/>
  <c r="Z12" i="556"/>
  <c r="AA12" i="556"/>
  <c r="AB12" i="556"/>
  <c r="AC12" i="556"/>
  <c r="AD12" i="556"/>
  <c r="AE12" i="556"/>
  <c r="AF12" i="556"/>
  <c r="AG12" i="556"/>
  <c r="AH12" i="556"/>
  <c r="AI12" i="556"/>
  <c r="AJ12" i="556"/>
  <c r="AK12" i="556"/>
  <c r="AL12" i="556"/>
  <c r="AM12" i="556"/>
  <c r="AN12" i="556"/>
  <c r="AO12" i="556"/>
  <c r="AP12" i="556"/>
  <c r="AS12" i="556"/>
  <c r="AT12" i="556"/>
  <c r="AU12" i="556"/>
  <c r="AV12" i="556"/>
  <c r="AW12" i="556"/>
  <c r="AX12" i="556"/>
  <c r="AY12" i="556"/>
  <c r="AZ12" i="556"/>
  <c r="BA12" i="556"/>
  <c r="BB12" i="556"/>
  <c r="BC12" i="556"/>
  <c r="BE12" i="556"/>
  <c r="BF12" i="556"/>
  <c r="A13" i="556"/>
  <c r="B13" i="556"/>
  <c r="C13" i="556"/>
  <c r="D13" i="556"/>
  <c r="E13" i="556"/>
  <c r="F13" i="556"/>
  <c r="G13" i="556"/>
  <c r="H13" i="556"/>
  <c r="I13" i="556"/>
  <c r="J13" i="556"/>
  <c r="K13" i="556"/>
  <c r="L13" i="556"/>
  <c r="M13" i="556"/>
  <c r="S13" i="556"/>
  <c r="T13" i="556"/>
  <c r="U13" i="556"/>
  <c r="W13" i="556"/>
  <c r="X13" i="556"/>
  <c r="Y13" i="556"/>
  <c r="Z13" i="556"/>
  <c r="AA13" i="556"/>
  <c r="AB13" i="556"/>
  <c r="AC13" i="556"/>
  <c r="AD13" i="556"/>
  <c r="AE13" i="556"/>
  <c r="AF13" i="556"/>
  <c r="AG13" i="556"/>
  <c r="AH13" i="556"/>
  <c r="AI13" i="556"/>
  <c r="AJ13" i="556"/>
  <c r="AK13" i="556"/>
  <c r="AL13" i="556"/>
  <c r="AM13" i="556"/>
  <c r="AN13" i="556"/>
  <c r="AO13" i="556"/>
  <c r="AP13" i="556"/>
  <c r="AS13" i="556"/>
  <c r="AT13" i="556"/>
  <c r="AU13" i="556"/>
  <c r="AV13" i="556"/>
  <c r="AW13" i="556"/>
  <c r="AX13" i="556"/>
  <c r="AY13" i="556"/>
  <c r="AZ13" i="556"/>
  <c r="BA13" i="556"/>
  <c r="BB13" i="556"/>
  <c r="BC13" i="556"/>
  <c r="BE13" i="556"/>
  <c r="BF13" i="556"/>
  <c r="A14" i="556"/>
  <c r="B14" i="556"/>
  <c r="C14" i="556"/>
  <c r="D14" i="556"/>
  <c r="E14" i="556"/>
  <c r="F14" i="556"/>
  <c r="G14" i="556"/>
  <c r="H14" i="556"/>
  <c r="I14" i="556"/>
  <c r="J14" i="556"/>
  <c r="K14" i="556"/>
  <c r="L14" i="556"/>
  <c r="M14" i="556"/>
  <c r="S14" i="556"/>
  <c r="T14" i="556"/>
  <c r="U14" i="556"/>
  <c r="W14" i="556"/>
  <c r="X14" i="556"/>
  <c r="Y14" i="556"/>
  <c r="Z14" i="556"/>
  <c r="AA14" i="556"/>
  <c r="AB14" i="556"/>
  <c r="AC14" i="556"/>
  <c r="AD14" i="556"/>
  <c r="AE14" i="556"/>
  <c r="AF14" i="556"/>
  <c r="AG14" i="556"/>
  <c r="AH14" i="556"/>
  <c r="AI14" i="556"/>
  <c r="AJ14" i="556"/>
  <c r="AK14" i="556"/>
  <c r="AL14" i="556"/>
  <c r="AM14" i="556"/>
  <c r="AN14" i="556"/>
  <c r="AO14" i="556"/>
  <c r="AP14" i="556"/>
  <c r="AS14" i="556"/>
  <c r="AT14" i="556"/>
  <c r="AU14" i="556"/>
  <c r="AV14" i="556"/>
  <c r="AW14" i="556"/>
  <c r="AX14" i="556"/>
  <c r="AY14" i="556"/>
  <c r="AZ14" i="556"/>
  <c r="BA14" i="556"/>
  <c r="BB14" i="556"/>
  <c r="BC14" i="556"/>
  <c r="BE14" i="556"/>
  <c r="BF14" i="556"/>
  <c r="A15" i="556"/>
  <c r="B15" i="556"/>
  <c r="C15" i="556"/>
  <c r="D15" i="556"/>
  <c r="E15" i="556"/>
  <c r="F15" i="556"/>
  <c r="G15" i="556"/>
  <c r="H15" i="556"/>
  <c r="I15" i="556"/>
  <c r="J15" i="556"/>
  <c r="K15" i="556"/>
  <c r="L15" i="556"/>
  <c r="M15" i="556"/>
  <c r="S15" i="556"/>
  <c r="T15" i="556"/>
  <c r="U15" i="556"/>
  <c r="W15" i="556"/>
  <c r="X15" i="556"/>
  <c r="Y15" i="556"/>
  <c r="Z15" i="556"/>
  <c r="AA15" i="556"/>
  <c r="AB15" i="556"/>
  <c r="AC15" i="556"/>
  <c r="AD15" i="556"/>
  <c r="AE15" i="556"/>
  <c r="AF15" i="556"/>
  <c r="AG15" i="556"/>
  <c r="AH15" i="556"/>
  <c r="AI15" i="556"/>
  <c r="AJ15" i="556"/>
  <c r="AK15" i="556"/>
  <c r="AL15" i="556"/>
  <c r="AM15" i="556"/>
  <c r="AN15" i="556"/>
  <c r="AO15" i="556"/>
  <c r="AP15" i="556"/>
  <c r="AS15" i="556"/>
  <c r="AT15" i="556"/>
  <c r="AU15" i="556"/>
  <c r="AV15" i="556"/>
  <c r="AW15" i="556"/>
  <c r="AX15" i="556"/>
  <c r="AY15" i="556"/>
  <c r="AZ15" i="556"/>
  <c r="BA15" i="556"/>
  <c r="BB15" i="556"/>
  <c r="BC15" i="556"/>
  <c r="BE15" i="556"/>
  <c r="BF15" i="556"/>
  <c r="A16" i="556"/>
  <c r="B16" i="556"/>
  <c r="C16" i="556"/>
  <c r="D16" i="556"/>
  <c r="E16" i="556"/>
  <c r="F16" i="556"/>
  <c r="G16" i="556"/>
  <c r="H16" i="556"/>
  <c r="I16" i="556"/>
  <c r="J16" i="556"/>
  <c r="K16" i="556"/>
  <c r="L16" i="556"/>
  <c r="M16" i="556"/>
  <c r="S16" i="556"/>
  <c r="T16" i="556"/>
  <c r="U16" i="556"/>
  <c r="W16" i="556"/>
  <c r="X16" i="556"/>
  <c r="Y16" i="556"/>
  <c r="Z16" i="556"/>
  <c r="AA16" i="556"/>
  <c r="AB16" i="556"/>
  <c r="AC16" i="556"/>
  <c r="AD16" i="556"/>
  <c r="AE16" i="556"/>
  <c r="AF16" i="556"/>
  <c r="AG16" i="556"/>
  <c r="AH16" i="556"/>
  <c r="AI16" i="556"/>
  <c r="AJ16" i="556"/>
  <c r="AK16" i="556"/>
  <c r="AL16" i="556"/>
  <c r="AM16" i="556"/>
  <c r="AN16" i="556"/>
  <c r="AO16" i="556"/>
  <c r="AP16" i="556"/>
  <c r="AS16" i="556"/>
  <c r="AT16" i="556"/>
  <c r="AU16" i="556"/>
  <c r="AV16" i="556"/>
  <c r="AW16" i="556"/>
  <c r="AX16" i="556"/>
  <c r="AY16" i="556"/>
  <c r="AZ16" i="556"/>
  <c r="BA16" i="556"/>
  <c r="BB16" i="556"/>
  <c r="BC16" i="556"/>
  <c r="BE16" i="556"/>
  <c r="BF16" i="556"/>
  <c r="A17" i="556"/>
  <c r="B17" i="556"/>
  <c r="C17" i="556"/>
  <c r="D17" i="556"/>
  <c r="E17" i="556"/>
  <c r="F17" i="556"/>
  <c r="G17" i="556"/>
  <c r="H17" i="556"/>
  <c r="I17" i="556"/>
  <c r="J17" i="556"/>
  <c r="K17" i="556"/>
  <c r="L17" i="556"/>
  <c r="M17" i="556"/>
  <c r="S17" i="556"/>
  <c r="T17" i="556"/>
  <c r="U17" i="556"/>
  <c r="W17" i="556"/>
  <c r="X17" i="556"/>
  <c r="Y17" i="556"/>
  <c r="Z17" i="556"/>
  <c r="AA17" i="556"/>
  <c r="AB17" i="556"/>
  <c r="AC17" i="556"/>
  <c r="AD17" i="556"/>
  <c r="AE17" i="556"/>
  <c r="AF17" i="556"/>
  <c r="AG17" i="556"/>
  <c r="AH17" i="556"/>
  <c r="AI17" i="556"/>
  <c r="AJ17" i="556"/>
  <c r="AK17" i="556"/>
  <c r="AL17" i="556"/>
  <c r="AM17" i="556"/>
  <c r="AN17" i="556"/>
  <c r="AO17" i="556"/>
  <c r="AP17" i="556"/>
  <c r="AS17" i="556"/>
  <c r="AT17" i="556"/>
  <c r="AU17" i="556"/>
  <c r="AV17" i="556"/>
  <c r="AW17" i="556"/>
  <c r="AX17" i="556"/>
  <c r="AY17" i="556"/>
  <c r="AZ17" i="556"/>
  <c r="BA17" i="556"/>
  <c r="BB17" i="556"/>
  <c r="BC17" i="556"/>
  <c r="BE17" i="556"/>
  <c r="BF17" i="556"/>
  <c r="A18" i="556"/>
  <c r="B18" i="556"/>
  <c r="C18" i="556"/>
  <c r="D18" i="556"/>
  <c r="E18" i="556"/>
  <c r="F18" i="556"/>
  <c r="G18" i="556"/>
  <c r="H18" i="556"/>
  <c r="I18" i="556"/>
  <c r="J18" i="556"/>
  <c r="K18" i="556"/>
  <c r="L18" i="556"/>
  <c r="M18" i="556"/>
  <c r="S18" i="556"/>
  <c r="T18" i="556"/>
  <c r="U18" i="556"/>
  <c r="W18" i="556"/>
  <c r="X18" i="556"/>
  <c r="Y18" i="556"/>
  <c r="Z18" i="556"/>
  <c r="AA18" i="556"/>
  <c r="AB18" i="556"/>
  <c r="AC18" i="556"/>
  <c r="AD18" i="556"/>
  <c r="AE18" i="556"/>
  <c r="AF18" i="556"/>
  <c r="AG18" i="556"/>
  <c r="AH18" i="556"/>
  <c r="AI18" i="556"/>
  <c r="AJ18" i="556"/>
  <c r="AK18" i="556"/>
  <c r="AL18" i="556"/>
  <c r="AM18" i="556"/>
  <c r="AN18" i="556"/>
  <c r="AO18" i="556"/>
  <c r="AP18" i="556"/>
  <c r="AS18" i="556"/>
  <c r="AT18" i="556"/>
  <c r="AU18" i="556"/>
  <c r="AV18" i="556"/>
  <c r="AW18" i="556"/>
  <c r="AX18" i="556"/>
  <c r="AY18" i="556"/>
  <c r="AZ18" i="556"/>
  <c r="BA18" i="556"/>
  <c r="BB18" i="556"/>
  <c r="BC18" i="556"/>
  <c r="BE18" i="556"/>
  <c r="BF18" i="556"/>
  <c r="A19" i="556"/>
  <c r="B19" i="556"/>
  <c r="C19" i="556"/>
  <c r="D19" i="556"/>
  <c r="E19" i="556"/>
  <c r="F19" i="556"/>
  <c r="G19" i="556"/>
  <c r="H19" i="556"/>
  <c r="I19" i="556"/>
  <c r="J19" i="556"/>
  <c r="K19" i="556"/>
  <c r="L19" i="556"/>
  <c r="M19" i="556"/>
  <c r="S19" i="556"/>
  <c r="T19" i="556"/>
  <c r="U19" i="556"/>
  <c r="W19" i="556"/>
  <c r="X19" i="556"/>
  <c r="Y19" i="556"/>
  <c r="Z19" i="556"/>
  <c r="AA19" i="556"/>
  <c r="AB19" i="556"/>
  <c r="AC19" i="556"/>
  <c r="AD19" i="556"/>
  <c r="AE19" i="556"/>
  <c r="AF19" i="556"/>
  <c r="AG19" i="556"/>
  <c r="AH19" i="556"/>
  <c r="AI19" i="556"/>
  <c r="AJ19" i="556"/>
  <c r="AK19" i="556"/>
  <c r="AL19" i="556"/>
  <c r="AM19" i="556"/>
  <c r="AN19" i="556"/>
  <c r="AO19" i="556"/>
  <c r="AP19" i="556"/>
  <c r="AS19" i="556"/>
  <c r="AT19" i="556"/>
  <c r="AU19" i="556"/>
  <c r="AV19" i="556"/>
  <c r="AW19" i="556"/>
  <c r="AX19" i="556"/>
  <c r="AY19" i="556"/>
  <c r="AZ19" i="556"/>
  <c r="BA19" i="556"/>
  <c r="BB19" i="556"/>
  <c r="BC19" i="556"/>
  <c r="BE19" i="556"/>
  <c r="BF19" i="556"/>
  <c r="A20" i="556"/>
  <c r="B20" i="556"/>
  <c r="C20" i="556"/>
  <c r="D20" i="556"/>
  <c r="E20" i="556"/>
  <c r="F20" i="556"/>
  <c r="G20" i="556"/>
  <c r="H20" i="556"/>
  <c r="I20" i="556"/>
  <c r="J20" i="556"/>
  <c r="K20" i="556"/>
  <c r="L20" i="556"/>
  <c r="M20" i="556"/>
  <c r="S20" i="556"/>
  <c r="T20" i="556"/>
  <c r="U20" i="556"/>
  <c r="W20" i="556"/>
  <c r="X20" i="556"/>
  <c r="Y20" i="556"/>
  <c r="Z20" i="556"/>
  <c r="AA20" i="556"/>
  <c r="AB20" i="556"/>
  <c r="AC20" i="556"/>
  <c r="AD20" i="556"/>
  <c r="AE20" i="556"/>
  <c r="AF20" i="556"/>
  <c r="AG20" i="556"/>
  <c r="AH20" i="556"/>
  <c r="AI20" i="556"/>
  <c r="AJ20" i="556"/>
  <c r="AK20" i="556"/>
  <c r="AL20" i="556"/>
  <c r="AM20" i="556"/>
  <c r="AN20" i="556"/>
  <c r="AO20" i="556"/>
  <c r="AP20" i="556"/>
  <c r="AS20" i="556"/>
  <c r="AT20" i="556"/>
  <c r="AU20" i="556"/>
  <c r="AV20" i="556"/>
  <c r="AW20" i="556"/>
  <c r="AX20" i="556"/>
  <c r="AY20" i="556"/>
  <c r="AZ20" i="556"/>
  <c r="BA20" i="556"/>
  <c r="BB20" i="556"/>
  <c r="BC20" i="556"/>
  <c r="BE20" i="556"/>
  <c r="BF20" i="556"/>
  <c r="A21" i="556"/>
  <c r="B21" i="556"/>
  <c r="C21" i="556"/>
  <c r="D21" i="556"/>
  <c r="E21" i="556"/>
  <c r="F21" i="556"/>
  <c r="G21" i="556"/>
  <c r="H21" i="556"/>
  <c r="I21" i="556"/>
  <c r="J21" i="556"/>
  <c r="K21" i="556"/>
  <c r="L21" i="556"/>
  <c r="M21" i="556"/>
  <c r="S21" i="556"/>
  <c r="T21" i="556"/>
  <c r="U21" i="556"/>
  <c r="W21" i="556"/>
  <c r="X21" i="556"/>
  <c r="Y21" i="556"/>
  <c r="Z21" i="556"/>
  <c r="AA21" i="556"/>
  <c r="AB21" i="556"/>
  <c r="AC21" i="556"/>
  <c r="AD21" i="556"/>
  <c r="AE21" i="556"/>
  <c r="AF21" i="556"/>
  <c r="AG21" i="556"/>
  <c r="AH21" i="556"/>
  <c r="AI21" i="556"/>
  <c r="AJ21" i="556"/>
  <c r="AK21" i="556"/>
  <c r="AL21" i="556"/>
  <c r="AM21" i="556"/>
  <c r="AN21" i="556"/>
  <c r="AO21" i="556"/>
  <c r="AP21" i="556"/>
  <c r="AS21" i="556"/>
  <c r="AT21" i="556"/>
  <c r="AU21" i="556"/>
  <c r="AV21" i="556"/>
  <c r="AW21" i="556"/>
  <c r="AX21" i="556"/>
  <c r="AY21" i="556"/>
  <c r="AZ21" i="556"/>
  <c r="BA21" i="556"/>
  <c r="BB21" i="556"/>
  <c r="BC21" i="556"/>
  <c r="BE21" i="556"/>
  <c r="BF21" i="556"/>
  <c r="A22" i="556"/>
  <c r="B22" i="556"/>
  <c r="C22" i="556"/>
  <c r="D22" i="556"/>
  <c r="E22" i="556"/>
  <c r="F22" i="556"/>
  <c r="G22" i="556"/>
  <c r="H22" i="556"/>
  <c r="I22" i="556"/>
  <c r="J22" i="556"/>
  <c r="K22" i="556"/>
  <c r="L22" i="556"/>
  <c r="M22" i="556"/>
  <c r="S22" i="556"/>
  <c r="T22" i="556"/>
  <c r="U22" i="556"/>
  <c r="W22" i="556"/>
  <c r="X22" i="556"/>
  <c r="Y22" i="556"/>
  <c r="Z22" i="556"/>
  <c r="AA22" i="556"/>
  <c r="AB22" i="556"/>
  <c r="AC22" i="556"/>
  <c r="AD22" i="556"/>
  <c r="AE22" i="556"/>
  <c r="AF22" i="556"/>
  <c r="AG22" i="556"/>
  <c r="AH22" i="556"/>
  <c r="AI22" i="556"/>
  <c r="AJ22" i="556"/>
  <c r="AK22" i="556"/>
  <c r="AL22" i="556"/>
  <c r="AM22" i="556"/>
  <c r="AN22" i="556"/>
  <c r="AO22" i="556"/>
  <c r="AP22" i="556"/>
  <c r="AS22" i="556"/>
  <c r="AT22" i="556"/>
  <c r="AU22" i="556"/>
  <c r="AV22" i="556"/>
  <c r="AW22" i="556"/>
  <c r="AX22" i="556"/>
  <c r="AY22" i="556"/>
  <c r="AZ22" i="556"/>
  <c r="BA22" i="556"/>
  <c r="BB22" i="556"/>
  <c r="BC22" i="556"/>
  <c r="BE22" i="556"/>
  <c r="BF22" i="556"/>
  <c r="A23" i="556"/>
  <c r="B23" i="556"/>
  <c r="C23" i="556"/>
  <c r="D23" i="556"/>
  <c r="E23" i="556"/>
  <c r="F23" i="556"/>
  <c r="G23" i="556"/>
  <c r="H23" i="556"/>
  <c r="I23" i="556"/>
  <c r="J23" i="556"/>
  <c r="K23" i="556"/>
  <c r="L23" i="556"/>
  <c r="M23" i="556"/>
  <c r="S23" i="556"/>
  <c r="T23" i="556"/>
  <c r="U23" i="556"/>
  <c r="W23" i="556"/>
  <c r="X23" i="556"/>
  <c r="Y23" i="556"/>
  <c r="Z23" i="556"/>
  <c r="AA23" i="556"/>
  <c r="AB23" i="556"/>
  <c r="AC23" i="556"/>
  <c r="AD23" i="556"/>
  <c r="AE23" i="556"/>
  <c r="AF23" i="556"/>
  <c r="AG23" i="556"/>
  <c r="AH23" i="556"/>
  <c r="AI23" i="556"/>
  <c r="AJ23" i="556"/>
  <c r="AK23" i="556"/>
  <c r="AL23" i="556"/>
  <c r="AM23" i="556"/>
  <c r="AN23" i="556"/>
  <c r="AO23" i="556"/>
  <c r="AP23" i="556"/>
  <c r="AS23" i="556"/>
  <c r="AT23" i="556"/>
  <c r="AU23" i="556"/>
  <c r="AV23" i="556"/>
  <c r="AW23" i="556"/>
  <c r="AX23" i="556"/>
  <c r="AY23" i="556"/>
  <c r="AZ23" i="556"/>
  <c r="BA23" i="556"/>
  <c r="BB23" i="556"/>
  <c r="BC23" i="556"/>
  <c r="BE23" i="556"/>
  <c r="BF23" i="556"/>
  <c r="A24" i="556"/>
  <c r="B24" i="556"/>
  <c r="C24" i="556"/>
  <c r="D24" i="556"/>
  <c r="E24" i="556"/>
  <c r="F24" i="556"/>
  <c r="G24" i="556"/>
  <c r="H24" i="556"/>
  <c r="I24" i="556"/>
  <c r="J24" i="556"/>
  <c r="K24" i="556"/>
  <c r="L24" i="556"/>
  <c r="M24" i="556"/>
  <c r="S24" i="556"/>
  <c r="T24" i="556"/>
  <c r="U24" i="556"/>
  <c r="W24" i="556"/>
  <c r="X24" i="556"/>
  <c r="Y24" i="556"/>
  <c r="Z24" i="556"/>
  <c r="AA24" i="556"/>
  <c r="AB24" i="556"/>
  <c r="AC24" i="556"/>
  <c r="AD24" i="556"/>
  <c r="AE24" i="556"/>
  <c r="AF24" i="556"/>
  <c r="AG24" i="556"/>
  <c r="AH24" i="556"/>
  <c r="AI24" i="556"/>
  <c r="AJ24" i="556"/>
  <c r="AK24" i="556"/>
  <c r="AL24" i="556"/>
  <c r="AM24" i="556"/>
  <c r="AN24" i="556"/>
  <c r="AO24" i="556"/>
  <c r="AP24" i="556"/>
  <c r="AS24" i="556"/>
  <c r="AT24" i="556"/>
  <c r="AU24" i="556"/>
  <c r="AV24" i="556"/>
  <c r="AW24" i="556"/>
  <c r="AX24" i="556"/>
  <c r="AY24" i="556"/>
  <c r="AZ24" i="556"/>
  <c r="BA24" i="556"/>
  <c r="BB24" i="556"/>
  <c r="BC24" i="556"/>
  <c r="BE24" i="556"/>
  <c r="BF24" i="556"/>
  <c r="A25" i="556"/>
  <c r="B25" i="556"/>
  <c r="C25" i="556"/>
  <c r="D25" i="556"/>
  <c r="E25" i="556"/>
  <c r="F25" i="556"/>
  <c r="G25" i="556"/>
  <c r="H25" i="556"/>
  <c r="I25" i="556"/>
  <c r="J25" i="556"/>
  <c r="K25" i="556"/>
  <c r="L25" i="556"/>
  <c r="M25" i="556"/>
  <c r="S25" i="556"/>
  <c r="T25" i="556"/>
  <c r="U25" i="556"/>
  <c r="W25" i="556"/>
  <c r="X25" i="556"/>
  <c r="Y25" i="556"/>
  <c r="Z25" i="556"/>
  <c r="AA25" i="556"/>
  <c r="AB25" i="556"/>
  <c r="AC25" i="556"/>
  <c r="AD25" i="556"/>
  <c r="AE25" i="556"/>
  <c r="AF25" i="556"/>
  <c r="AG25" i="556"/>
  <c r="AH25" i="556"/>
  <c r="AI25" i="556"/>
  <c r="AJ25" i="556"/>
  <c r="AK25" i="556"/>
  <c r="AL25" i="556"/>
  <c r="AM25" i="556"/>
  <c r="AN25" i="556"/>
  <c r="AO25" i="556"/>
  <c r="AP25" i="556"/>
  <c r="AS25" i="556"/>
  <c r="AT25" i="556"/>
  <c r="AU25" i="556"/>
  <c r="AV25" i="556"/>
  <c r="AW25" i="556"/>
  <c r="AX25" i="556"/>
  <c r="AY25" i="556"/>
  <c r="AZ25" i="556"/>
  <c r="BA25" i="556"/>
  <c r="BB25" i="556"/>
  <c r="BC25" i="556"/>
  <c r="BE25" i="556"/>
  <c r="BF25" i="556"/>
  <c r="A26" i="556"/>
  <c r="B26" i="556"/>
  <c r="C26" i="556"/>
  <c r="D26" i="556"/>
  <c r="E26" i="556"/>
  <c r="F26" i="556"/>
  <c r="G26" i="556"/>
  <c r="H26" i="556"/>
  <c r="I26" i="556"/>
  <c r="J26" i="556"/>
  <c r="K26" i="556"/>
  <c r="L26" i="556"/>
  <c r="M26" i="556"/>
  <c r="S26" i="556"/>
  <c r="T26" i="556"/>
  <c r="U26" i="556"/>
  <c r="W26" i="556"/>
  <c r="X26" i="556"/>
  <c r="Y26" i="556"/>
  <c r="Z26" i="556"/>
  <c r="AA26" i="556"/>
  <c r="AB26" i="556"/>
  <c r="AC26" i="556"/>
  <c r="AD26" i="556"/>
  <c r="AE26" i="556"/>
  <c r="AF26" i="556"/>
  <c r="AG26" i="556"/>
  <c r="AH26" i="556"/>
  <c r="AI26" i="556"/>
  <c r="AJ26" i="556"/>
  <c r="AK26" i="556"/>
  <c r="AL26" i="556"/>
  <c r="AM26" i="556"/>
  <c r="AN26" i="556"/>
  <c r="AO26" i="556"/>
  <c r="AP26" i="556"/>
  <c r="AS26" i="556"/>
  <c r="AT26" i="556"/>
  <c r="AU26" i="556"/>
  <c r="AV26" i="556"/>
  <c r="AW26" i="556"/>
  <c r="AX26" i="556"/>
  <c r="AY26" i="556"/>
  <c r="AZ26" i="556"/>
  <c r="BA26" i="556"/>
  <c r="BB26" i="556"/>
  <c r="BC26" i="556"/>
  <c r="BE26" i="556"/>
  <c r="BF26" i="556"/>
  <c r="A27" i="556"/>
  <c r="B27" i="556"/>
  <c r="C27" i="556"/>
  <c r="D27" i="556"/>
  <c r="E27" i="556"/>
  <c r="F27" i="556"/>
  <c r="G27" i="556"/>
  <c r="H27" i="556"/>
  <c r="I27" i="556"/>
  <c r="J27" i="556"/>
  <c r="K27" i="556"/>
  <c r="L27" i="556"/>
  <c r="M27" i="556"/>
  <c r="S27" i="556"/>
  <c r="T27" i="556"/>
  <c r="U27" i="556"/>
  <c r="W27" i="556"/>
  <c r="X27" i="556"/>
  <c r="Y27" i="556"/>
  <c r="Z27" i="556"/>
  <c r="AA27" i="556"/>
  <c r="AB27" i="556"/>
  <c r="AC27" i="556"/>
  <c r="AD27" i="556"/>
  <c r="AE27" i="556"/>
  <c r="AF27" i="556"/>
  <c r="AG27" i="556"/>
  <c r="AH27" i="556"/>
  <c r="AI27" i="556"/>
  <c r="AJ27" i="556"/>
  <c r="AK27" i="556"/>
  <c r="AL27" i="556"/>
  <c r="AM27" i="556"/>
  <c r="AN27" i="556"/>
  <c r="AO27" i="556"/>
  <c r="AP27" i="556"/>
  <c r="AS27" i="556"/>
  <c r="AT27" i="556"/>
  <c r="AU27" i="556"/>
  <c r="AV27" i="556"/>
  <c r="AW27" i="556"/>
  <c r="AX27" i="556"/>
  <c r="AY27" i="556"/>
  <c r="AZ27" i="556"/>
  <c r="BA27" i="556"/>
  <c r="BB27" i="556"/>
  <c r="BC27" i="556"/>
  <c r="BE27" i="556"/>
  <c r="BF27" i="556"/>
  <c r="A28" i="556"/>
  <c r="B28" i="556"/>
  <c r="C28" i="556"/>
  <c r="D28" i="556"/>
  <c r="E28" i="556"/>
  <c r="F28" i="556"/>
  <c r="G28" i="556"/>
  <c r="H28" i="556"/>
  <c r="I28" i="556"/>
  <c r="J28" i="556"/>
  <c r="K28" i="556"/>
  <c r="L28" i="556"/>
  <c r="M28" i="556"/>
  <c r="S28" i="556"/>
  <c r="T28" i="556"/>
  <c r="U28" i="556"/>
  <c r="W28" i="556"/>
  <c r="X28" i="556"/>
  <c r="Y28" i="556"/>
  <c r="Z28" i="556"/>
  <c r="AA28" i="556"/>
  <c r="AB28" i="556"/>
  <c r="AC28" i="556"/>
  <c r="AD28" i="556"/>
  <c r="AE28" i="556"/>
  <c r="AF28" i="556"/>
  <c r="AG28" i="556"/>
  <c r="AH28" i="556"/>
  <c r="AI28" i="556"/>
  <c r="AJ28" i="556"/>
  <c r="AK28" i="556"/>
  <c r="AL28" i="556"/>
  <c r="AM28" i="556"/>
  <c r="AN28" i="556"/>
  <c r="AO28" i="556"/>
  <c r="AP28" i="556"/>
  <c r="AS28" i="556"/>
  <c r="AT28" i="556"/>
  <c r="AU28" i="556"/>
  <c r="AV28" i="556"/>
  <c r="AW28" i="556"/>
  <c r="AX28" i="556"/>
  <c r="AY28" i="556"/>
  <c r="AZ28" i="556"/>
  <c r="BA28" i="556"/>
  <c r="BB28" i="556"/>
  <c r="BC28" i="556"/>
  <c r="BE28" i="556"/>
  <c r="BF28" i="556"/>
  <c r="AS29" i="556"/>
  <c r="AT29" i="556"/>
  <c r="AU29" i="556"/>
  <c r="AV29" i="556"/>
  <c r="AW29" i="556"/>
  <c r="AX29" i="556"/>
  <c r="AY29" i="556"/>
  <c r="AZ29" i="556"/>
  <c r="BA29" i="556"/>
  <c r="BB29" i="556"/>
  <c r="BC29" i="556"/>
  <c r="A30" i="556"/>
  <c r="D30" i="556"/>
  <c r="E30" i="556"/>
  <c r="F30" i="556"/>
  <c r="H30" i="556"/>
  <c r="I30" i="556"/>
  <c r="J30" i="556"/>
  <c r="K30" i="556"/>
  <c r="L30" i="556"/>
  <c r="M30" i="556"/>
</calcChain>
</file>

<file path=xl/sharedStrings.xml><?xml version="1.0" encoding="utf-8"?>
<sst xmlns="http://schemas.openxmlformats.org/spreadsheetml/2006/main" count="307" uniqueCount="165">
  <si>
    <t>Prepared for:</t>
  </si>
  <si>
    <t>Select Lower of</t>
  </si>
  <si>
    <t>Call</t>
  </si>
  <si>
    <t>Annual Income</t>
  </si>
  <si>
    <t>Portfolio Weighting</t>
  </si>
  <si>
    <t>Weighted Days to Maturity</t>
  </si>
  <si>
    <t>Weighting</t>
  </si>
  <si>
    <t>Weighted Yield</t>
  </si>
  <si>
    <t>Current Yield</t>
  </si>
  <si>
    <t>Average Cost</t>
  </si>
  <si>
    <t>Proceeds/Cost</t>
  </si>
  <si>
    <t>Accrued %</t>
  </si>
  <si>
    <t>Average Weighted Coupon</t>
  </si>
  <si>
    <t>YTM</t>
  </si>
  <si>
    <t>Call/Mat Yld</t>
  </si>
  <si>
    <t>Par</t>
  </si>
  <si>
    <t>Rating</t>
  </si>
  <si>
    <t>Description</t>
  </si>
  <si>
    <t>Coupon</t>
  </si>
  <si>
    <t>Maturity</t>
  </si>
  <si>
    <t>Date</t>
  </si>
  <si>
    <t>Price</t>
  </si>
  <si>
    <t>YTC</t>
  </si>
  <si>
    <t>CY</t>
  </si>
  <si>
    <t>Row #</t>
  </si>
  <si>
    <t>(Select Maturity Date)</t>
  </si>
  <si>
    <t>DAYS360(SD, Mat )</t>
  </si>
  <si>
    <t>(Y6*AC6)</t>
  </si>
  <si>
    <t>If B6=0,0,AG</t>
  </si>
  <si>
    <t>Yield</t>
  </si>
  <si>
    <t>Yield x % of Par</t>
  </si>
  <si>
    <t>Select Coupon</t>
  </si>
  <si>
    <t>%/(mkt px/100)</t>
  </si>
  <si>
    <t>(Face*Bid)</t>
  </si>
  <si>
    <t>(Bid_Price*10*Face Value)</t>
  </si>
  <si>
    <t>(Coupon * %0f Par Weighting)</t>
  </si>
  <si>
    <t>(IF/Then)</t>
  </si>
  <si>
    <t>Projected Annual Income</t>
  </si>
  <si>
    <t>Estimated Market Value</t>
  </si>
  <si>
    <t>Accrued Interest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</si>
  <si>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</si>
  <si>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</si>
  <si>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</si>
  <si>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</si>
  <si>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</si>
  <si>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</si>
  <si>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</si>
  <si>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</si>
  <si>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</si>
  <si>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</si>
  <si>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</si>
  <si>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</si>
  <si>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</si>
  <si>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% of Total Annual Income</t>
  </si>
  <si>
    <t>Percentage</t>
  </si>
  <si>
    <t>Month</t>
  </si>
  <si>
    <t>Year</t>
  </si>
  <si>
    <t>(000)</t>
  </si>
  <si>
    <t xml:space="preserve">Year </t>
  </si>
  <si>
    <t>Value</t>
  </si>
  <si>
    <t>% Total</t>
  </si>
  <si>
    <t>2028+</t>
  </si>
  <si>
    <t>DTD</t>
  </si>
  <si>
    <t>New</t>
  </si>
  <si>
    <t>Issue</t>
  </si>
  <si>
    <t>Settlement</t>
  </si>
  <si>
    <t>Mduration</t>
  </si>
  <si>
    <t>NO</t>
  </si>
  <si>
    <t>Change</t>
  </si>
  <si>
    <t>Basis Pts</t>
  </si>
  <si>
    <t>+100</t>
  </si>
  <si>
    <t>+50</t>
  </si>
  <si>
    <t xml:space="preserve">1 year </t>
  </si>
  <si>
    <t>Interest</t>
  </si>
  <si>
    <t xml:space="preserve">Market Price </t>
  </si>
  <si>
    <t>1 year</t>
  </si>
  <si>
    <t>Return</t>
  </si>
  <si>
    <t>NO CHANGE</t>
  </si>
  <si>
    <t>Average</t>
  </si>
  <si>
    <t>PAR*COUPON</t>
  </si>
  <si>
    <t>MATURITY</t>
  </si>
  <si>
    <t>DURATION</t>
  </si>
  <si>
    <t>-100</t>
  </si>
  <si>
    <t>-50</t>
  </si>
  <si>
    <t>No Chage</t>
  </si>
  <si>
    <t>Prem.</t>
  </si>
  <si>
    <t>Prem. Call</t>
  </si>
  <si>
    <t>Redemption $</t>
  </si>
  <si>
    <t>PREMIUM</t>
  </si>
  <si>
    <t>PAR</t>
  </si>
  <si>
    <t>Prem</t>
  </si>
  <si>
    <t>Pre-Re</t>
  </si>
  <si>
    <t>Y/N</t>
  </si>
  <si>
    <t>What Call</t>
  </si>
  <si>
    <t>Pr,Par,Mat</t>
  </si>
  <si>
    <t>TOTAL</t>
  </si>
  <si>
    <t>Total Market Value</t>
  </si>
  <si>
    <t xml:space="preserve">Calculation of Duration </t>
  </si>
  <si>
    <t>Calculation of 12 Mo. Horizon</t>
  </si>
  <si>
    <t>YIELD</t>
  </si>
  <si>
    <t xml:space="preserve"> CURRENT YIELD</t>
  </si>
  <si>
    <t xml:space="preserve">Par Amount </t>
  </si>
  <si>
    <t>If C6=0,0,AC6</t>
  </si>
  <si>
    <t>Par Value</t>
  </si>
  <si>
    <t>Enter Account/Broker Name:</t>
  </si>
  <si>
    <t>Premium</t>
  </si>
  <si>
    <t>TEY Multiplier:</t>
  </si>
  <si>
    <t>6m0/bond</t>
  </si>
  <si>
    <t>%6mo</t>
  </si>
  <si>
    <t>Total</t>
  </si>
  <si>
    <t>Calculations</t>
  </si>
  <si>
    <t>Average Maturity ( Years )</t>
  </si>
  <si>
    <t>Average Duration ( Modified )</t>
  </si>
  <si>
    <t>Average Current Yield</t>
  </si>
  <si>
    <t>($000's)</t>
  </si>
  <si>
    <t>Calculation of Weighted Averages</t>
  </si>
  <si>
    <t>Average Market Yield</t>
  </si>
  <si>
    <t>Market Value</t>
  </si>
  <si>
    <t>Effective Mat</t>
  </si>
  <si>
    <t>% of Market Value</t>
  </si>
  <si>
    <t>TEY*</t>
  </si>
  <si>
    <t xml:space="preserve">This proposal represents one potential scenario based on our understanding of your investment objectives and constraints. The actual portfolio that you choose may differ.  Bids/Offerings </t>
  </si>
  <si>
    <t xml:space="preserve">are subject to change and/or availability and should not be considered as an offer to sell any issue.  PaineWebber Incorporated and/or Mitchell Hutchins Asset Management Inc. affiliated  </t>
  </si>
  <si>
    <t xml:space="preserve">subject to gains/losses based on the level of interest rates, market conditions and credit quality of the issuer.  Zero coupon securities are more volatile than interest bearing securities.  </t>
  </si>
  <si>
    <t>*  Does not assume any reinvestment of coupon payments</t>
  </si>
  <si>
    <t>Average Coupon</t>
  </si>
  <si>
    <t>Note:    Averages are weighted by market value</t>
  </si>
  <si>
    <t>TOTAL SC</t>
  </si>
  <si>
    <t xml:space="preserve">companies and/or their officers, directors, employees or stockholders may at times have a position in the securities described herein. Please contact your tax advisor regarding suitability of   </t>
  </si>
  <si>
    <t xml:space="preserve">    federal taxes. Intangible taxes are not considered.</t>
  </si>
  <si>
    <t xml:space="preserve">    (Illinois, Iowa, Oklahoma, and Wisconsin) generally tax the interest from in-state bonds, therefore the taxable equivalents for those states assume a bond exempt only from </t>
  </si>
  <si>
    <t>Y=Yes</t>
  </si>
  <si>
    <t>Pre-Re  TRUE/FALSE</t>
  </si>
  <si>
    <t>tax-exempt securities investments for your portfolio. Income from municipal bonds may be subject to state and  local taxes as well as the Alternative Minimum Tax. Municipal securities are</t>
  </si>
  <si>
    <t xml:space="preserve">*  Assumes a ______combined effective Federal and _____ State income tax bracket and that all bonds are free from both federal and state income tax . However certain states </t>
  </si>
  <si>
    <t>Mod.</t>
  </si>
  <si>
    <t>Dur.</t>
  </si>
  <si>
    <t>Proposal</t>
  </si>
  <si>
    <t>Income Distribution</t>
  </si>
  <si>
    <t>Maturity Profile</t>
  </si>
  <si>
    <t xml:space="preserve">Projected Return on 12 Month Horizon </t>
  </si>
  <si>
    <t>Summary</t>
  </si>
  <si>
    <t>Portfolio Profile</t>
  </si>
  <si>
    <t>Projected Annual Income Distribution</t>
  </si>
  <si>
    <t xml:space="preserve">This proposal represents one potential scenario based on our understanding of your investment objectives and constraints. The actual portfolio that you choose may differ.  Bids/Offerings are subject to change and/or availability and should </t>
  </si>
  <si>
    <t xml:space="preserve">not be considered as an offer to sell any issue.  PaineWebber Incorporated and/or Mitchell Hutchins Asset Management Inc. affiliated  companies and/or their officers, directors, employees or stockholders may at times have a position in the </t>
  </si>
  <si>
    <t xml:space="preserve">securities described herein. Please contact your tax advisor regarding suitability of   tax-exempt securities investments for your portfolio. Income from municipal bonds may be subject to state and  local taxes as well as the Alternative Minimum Tax. </t>
  </si>
  <si>
    <t xml:space="preserve">Municipal securities are subject to gains/losses based on the level of interest rates, market conditions and credit quality of the issuer.  Zero coupon securities are more volatile than interest bearing securities.  </t>
  </si>
  <si>
    <t>Settlement:</t>
  </si>
  <si>
    <t>*  Assumes a ______combined effective Federal and _____ State income tax bracket and that all bonds are free from both federal and state income tax . However certain states (Illinois, Iowa, Oklahoma,</t>
  </si>
  <si>
    <t xml:space="preserve">     and Wisconsin) generally tax the interest from in-state bonds, therefore the taxable equivalents for those states assume a bond exempt only from federal taxes. Intangible taxes are not considered.</t>
  </si>
  <si>
    <t>AAA/AAA</t>
  </si>
  <si>
    <t>HOUSTON TX CCD</t>
  </si>
  <si>
    <t>SPRING TX ISD PSF</t>
  </si>
  <si>
    <t>MONROE WISC SCH</t>
  </si>
  <si>
    <t>AAA/AA+</t>
  </si>
  <si>
    <t>TROY MICH</t>
  </si>
  <si>
    <t>N.HARRIS MONT CCD</t>
  </si>
  <si>
    <t>PHILADELPHIA PA SCH</t>
  </si>
  <si>
    <t>SEATTLE WASH WTR</t>
  </si>
  <si>
    <t>PASADENA TX COMB</t>
  </si>
  <si>
    <t>PORT HOUSTON</t>
  </si>
  <si>
    <t>TEXAS TURNPIKE</t>
  </si>
  <si>
    <t>SAN ANTONIO ISD</t>
  </si>
  <si>
    <t>Scott Neal Muni Ladder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</si>
</sst>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"/>
    <numFmt numFmtId="165" formatCode="0.000%"/>
    <numFmt numFmtId="166" formatCode="#,##0.0000"/>
    <numFmt numFmtId="167" formatCode="0.00000"/>
    <numFmt numFmtId="168" formatCode="0.0000"/>
    <numFmt numFmtId="170" formatCode="&quot;$&quot;#,##0.00"/>
    <numFmt numFmtId="172" formatCode="&quot;$&quot;#,##0"/>
    <numFmt numFmtId="178" formatCode="mm/dd/yy"/>
    <numFmt numFmtId="185" formatCode="0.000000000"/>
  </numFmts>
  <fonts count="31" x14ac:knownFonts="1">
    <font>
      <sz val="10"/>
      <name val="MS Sans Serif"/>
    </font>
    <font>
      <sz val="10"/>
      <name val="Arial"/>
    </font>
    <font>
      <sz val="10"/>
      <name val="Times New Roman"/>
      <family val="1"/>
    </font>
    <font>
      <b/>
      <sz val="16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8"/>
      <name val="Times New Roman"/>
      <family val="1"/>
    </font>
    <font>
      <b/>
      <sz val="11"/>
      <color indexed="48"/>
      <name val="Times New Roman"/>
      <family val="1"/>
    </font>
    <font>
      <b/>
      <i/>
      <sz val="10"/>
      <name val="Times New Roman"/>
      <family val="1"/>
    </font>
    <font>
      <sz val="12"/>
      <color indexed="10"/>
      <name val="Times New Roman"/>
      <family val="1"/>
    </font>
    <font>
      <sz val="14"/>
      <color indexed="10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53"/>
      <name val="Times New Roman"/>
      <family val="1"/>
    </font>
    <font>
      <b/>
      <sz val="14"/>
      <name val="Times New Roman"/>
      <family val="1"/>
    </font>
    <font>
      <b/>
      <sz val="16"/>
      <name val="MS Sans Serif"/>
      <family val="2"/>
    </font>
    <font>
      <sz val="10.5"/>
      <name val="Times New Roman"/>
      <family val="1"/>
    </font>
    <font>
      <b/>
      <sz val="13"/>
      <name val="Times New Roman"/>
      <family val="1"/>
    </font>
    <font>
      <sz val="13"/>
      <color indexed="12"/>
      <name val="Times New Roman"/>
      <family val="1"/>
    </font>
    <font>
      <sz val="13"/>
      <name val="MS Sans Serif"/>
    </font>
    <font>
      <sz val="12"/>
      <name val="MS Sans Serif"/>
      <family val="2"/>
    </font>
    <font>
      <i/>
      <sz val="12"/>
      <name val="MS Sans Serif"/>
      <family val="2"/>
    </font>
    <font>
      <b/>
      <sz val="14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79">
    <xf numFmtId="0" fontId="0" fillId="0" borderId="0" xfId="0"/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172" fontId="2" fillId="0" borderId="0" xfId="0" applyNumberFormat="1" applyFont="1" applyAlignment="1" applyProtection="1">
      <alignment horizontal="center"/>
      <protection hidden="1"/>
    </xf>
    <xf numFmtId="10" fontId="2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10" fontId="4" fillId="0" borderId="0" xfId="0" applyNumberFormat="1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Continuous"/>
      <protection hidden="1"/>
    </xf>
    <xf numFmtId="0" fontId="5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6" fillId="0" borderId="0" xfId="0" applyFont="1" applyBorder="1" applyAlignment="1" applyProtection="1">
      <alignment horizontal="centerContinuous"/>
      <protection hidden="1"/>
    </xf>
    <xf numFmtId="0" fontId="6" fillId="0" borderId="0" xfId="0" applyFont="1" applyBorder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Protection="1">
      <protection hidden="1"/>
    </xf>
    <xf numFmtId="0" fontId="6" fillId="0" borderId="1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Continuous"/>
      <protection hidden="1"/>
    </xf>
    <xf numFmtId="10" fontId="2" fillId="0" borderId="0" xfId="0" applyNumberFormat="1" applyFont="1" applyProtection="1">
      <protection hidden="1"/>
    </xf>
    <xf numFmtId="0" fontId="2" fillId="0" borderId="2" xfId="0" applyFont="1" applyBorder="1" applyProtection="1">
      <protection hidden="1"/>
    </xf>
    <xf numFmtId="0" fontId="3" fillId="0" borderId="1" xfId="0" applyFont="1" applyBorder="1" applyAlignment="1" applyProtection="1">
      <alignment horizontal="left"/>
      <protection hidden="1"/>
    </xf>
    <xf numFmtId="10" fontId="2" fillId="0" borderId="1" xfId="0" applyNumberFormat="1" applyFont="1" applyBorder="1" applyProtection="1">
      <protection hidden="1"/>
    </xf>
    <xf numFmtId="0" fontId="11" fillId="0" borderId="0" xfId="0" applyFont="1" applyBorder="1" applyAlignment="1" applyProtection="1">
      <alignment horizontal="centerContinuous"/>
      <protection hidden="1"/>
    </xf>
    <xf numFmtId="0" fontId="11" fillId="0" borderId="0" xfId="0" applyFont="1" applyBorder="1" applyProtection="1">
      <protection hidden="1"/>
    </xf>
    <xf numFmtId="10" fontId="11" fillId="0" borderId="0" xfId="0" applyNumberFormat="1" applyFont="1" applyBorder="1" applyProtection="1">
      <protection hidden="1"/>
    </xf>
    <xf numFmtId="0" fontId="12" fillId="0" borderId="3" xfId="0" applyFont="1" applyBorder="1" applyAlignment="1" applyProtection="1">
      <alignment horizontal="centerContinuous"/>
      <protection hidden="1"/>
    </xf>
    <xf numFmtId="14" fontId="12" fillId="0" borderId="3" xfId="0" applyNumberFormat="1" applyFont="1" applyBorder="1" applyProtection="1">
      <protection hidden="1"/>
    </xf>
    <xf numFmtId="0" fontId="11" fillId="0" borderId="3" xfId="0" applyFont="1" applyBorder="1" applyProtection="1">
      <protection hidden="1"/>
    </xf>
    <xf numFmtId="10" fontId="11" fillId="0" borderId="3" xfId="0" applyNumberFormat="1" applyFont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3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14" fontId="2" fillId="0" borderId="0" xfId="0" applyNumberFormat="1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3" fontId="11" fillId="0" borderId="0" xfId="0" applyNumberFormat="1" applyFont="1" applyBorder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10" fontId="11" fillId="0" borderId="0" xfId="0" applyNumberFormat="1" applyFont="1" applyProtection="1">
      <protection hidden="1"/>
    </xf>
    <xf numFmtId="0" fontId="11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5" fillId="0" borderId="1" xfId="0" applyFont="1" applyBorder="1" applyAlignment="1" applyProtection="1">
      <alignment horizontal="centerContinuous"/>
      <protection hidden="1"/>
    </xf>
    <xf numFmtId="0" fontId="2" fillId="0" borderId="1" xfId="0" applyFont="1" applyBorder="1" applyAlignment="1" applyProtection="1">
      <alignment horizontal="centerContinuous"/>
      <protection hidden="1"/>
    </xf>
    <xf numFmtId="0" fontId="2" fillId="0" borderId="0" xfId="0" applyFont="1" applyFill="1" applyBorder="1" applyProtection="1">
      <protection hidden="1"/>
    </xf>
    <xf numFmtId="0" fontId="9" fillId="0" borderId="1" xfId="0" applyFont="1" applyBorder="1" applyAlignment="1" applyProtection="1">
      <alignment horizontal="right"/>
      <protection hidden="1"/>
    </xf>
    <xf numFmtId="0" fontId="17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Protection="1">
      <protection hidden="1"/>
    </xf>
    <xf numFmtId="0" fontId="13" fillId="2" borderId="0" xfId="0" applyFont="1" applyFill="1" applyBorder="1" applyProtection="1">
      <protection hidden="1"/>
    </xf>
    <xf numFmtId="0" fontId="15" fillId="2" borderId="0" xfId="0" applyFont="1" applyFill="1" applyBorder="1" applyProtection="1">
      <protection hidden="1"/>
    </xf>
    <xf numFmtId="0" fontId="5" fillId="2" borderId="0" xfId="0" applyFont="1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Protection="1">
      <protection hidden="1"/>
    </xf>
    <xf numFmtId="0" fontId="2" fillId="2" borderId="8" xfId="0" applyFont="1" applyFill="1" applyBorder="1" applyAlignment="1" applyProtection="1">
      <alignment horizontal="center"/>
      <protection hidden="1"/>
    </xf>
    <xf numFmtId="178" fontId="2" fillId="2" borderId="5" xfId="0" applyNumberFormat="1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Protection="1">
      <protection hidden="1"/>
    </xf>
    <xf numFmtId="0" fontId="2" fillId="2" borderId="9" xfId="0" applyFont="1" applyFill="1" applyBorder="1" applyProtection="1">
      <protection hidden="1"/>
    </xf>
    <xf numFmtId="0" fontId="13" fillId="2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2" fillId="2" borderId="8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5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Protection="1">
      <protection hidden="1"/>
    </xf>
    <xf numFmtId="14" fontId="2" fillId="2" borderId="10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10" fontId="2" fillId="2" borderId="0" xfId="0" applyNumberFormat="1" applyFont="1" applyFill="1" applyBorder="1" applyAlignment="1" applyProtection="1">
      <alignment horizontal="center"/>
      <protection hidden="1"/>
    </xf>
    <xf numFmtId="2" fontId="2" fillId="2" borderId="5" xfId="0" applyNumberFormat="1" applyFont="1" applyFill="1" applyBorder="1" applyAlignment="1" applyProtection="1">
      <alignment horizontal="center"/>
      <protection hidden="1"/>
    </xf>
    <xf numFmtId="166" fontId="2" fillId="2" borderId="0" xfId="0" applyNumberFormat="1" applyFont="1" applyFill="1" applyBorder="1" applyAlignment="1" applyProtection="1">
      <alignment horizontal="center"/>
      <protection hidden="1"/>
    </xf>
    <xf numFmtId="167" fontId="2" fillId="2" borderId="4" xfId="0" applyNumberFormat="1" applyFont="1" applyFill="1" applyBorder="1" applyAlignment="1" applyProtection="1">
      <alignment horizontal="center"/>
      <protection hidden="1"/>
    </xf>
    <xf numFmtId="2" fontId="2" fillId="2" borderId="0" xfId="0" applyNumberFormat="1" applyFont="1" applyFill="1" applyBorder="1" applyAlignment="1" applyProtection="1">
      <alignment horizontal="center"/>
      <protection hidden="1"/>
    </xf>
    <xf numFmtId="165" fontId="2" fillId="2" borderId="5" xfId="0" applyNumberFormat="1" applyFont="1" applyFill="1" applyBorder="1" applyAlignment="1" applyProtection="1">
      <alignment horizontal="center"/>
      <protection hidden="1"/>
    </xf>
    <xf numFmtId="165" fontId="2" fillId="2" borderId="4" xfId="0" applyNumberFormat="1" applyFont="1" applyFill="1" applyBorder="1" applyAlignment="1" applyProtection="1">
      <alignment horizontal="center"/>
      <protection hidden="1"/>
    </xf>
    <xf numFmtId="165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5" xfId="0" applyNumberFormat="1" applyFont="1" applyFill="1" applyBorder="1" applyAlignment="1" applyProtection="1">
      <alignment horizont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178" fontId="2" fillId="2" borderId="6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Protection="1">
      <protection hidden="1"/>
    </xf>
    <xf numFmtId="14" fontId="2" fillId="2" borderId="6" xfId="0" applyNumberFormat="1" applyFont="1" applyFill="1" applyBorder="1" applyAlignment="1" applyProtection="1">
      <alignment horizontal="center"/>
      <protection hidden="1"/>
    </xf>
    <xf numFmtId="1" fontId="2" fillId="2" borderId="3" xfId="0" applyNumberFormat="1" applyFont="1" applyFill="1" applyBorder="1" applyAlignment="1" applyProtection="1">
      <alignment horizontal="center"/>
      <protection hidden="1"/>
    </xf>
    <xf numFmtId="168" fontId="2" fillId="2" borderId="3" xfId="0" applyNumberFormat="1" applyFont="1" applyFill="1" applyBorder="1" applyAlignment="1" applyProtection="1">
      <alignment horizontal="center"/>
      <protection hidden="1"/>
    </xf>
    <xf numFmtId="10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6" xfId="0" applyNumberFormat="1" applyFont="1" applyFill="1" applyBorder="1" applyAlignment="1" applyProtection="1">
      <alignment horizontal="center"/>
      <protection hidden="1"/>
    </xf>
    <xf numFmtId="166" fontId="2" fillId="2" borderId="3" xfId="0" applyNumberFormat="1" applyFont="1" applyFill="1" applyBorder="1" applyAlignment="1" applyProtection="1">
      <alignment horizontal="center"/>
      <protection hidden="1"/>
    </xf>
    <xf numFmtId="167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3" xfId="0" applyNumberFormat="1" applyFont="1" applyFill="1" applyBorder="1" applyAlignment="1" applyProtection="1">
      <alignment horizontal="center"/>
      <protection hidden="1"/>
    </xf>
    <xf numFmtId="165" fontId="2" fillId="2" borderId="6" xfId="0" applyNumberFormat="1" applyFont="1" applyFill="1" applyBorder="1" applyAlignment="1" applyProtection="1">
      <alignment horizontal="center"/>
      <protection hidden="1"/>
    </xf>
    <xf numFmtId="165" fontId="2" fillId="2" borderId="3" xfId="0" applyNumberFormat="1" applyFont="1" applyFill="1" applyBorder="1" applyAlignment="1" applyProtection="1">
      <alignment horizontal="center"/>
      <protection hidden="1"/>
    </xf>
    <xf numFmtId="14" fontId="2" fillId="2" borderId="3" xfId="0" applyNumberFormat="1" applyFont="1" applyFill="1" applyBorder="1" applyAlignment="1" applyProtection="1">
      <alignment horizontal="center"/>
      <protection hidden="1"/>
    </xf>
    <xf numFmtId="0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72" fontId="2" fillId="2" borderId="8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Border="1" applyAlignment="1" applyProtection="1">
      <alignment horizontal="left"/>
      <protection hidden="1"/>
    </xf>
    <xf numFmtId="0" fontId="16" fillId="2" borderId="5" xfId="0" applyFont="1" applyFill="1" applyBorder="1" applyAlignment="1" applyProtection="1">
      <alignment horizontal="left"/>
      <protection hidden="1"/>
    </xf>
    <xf numFmtId="0" fontId="6" fillId="2" borderId="3" xfId="0" applyFont="1" applyFill="1" applyBorder="1" applyAlignment="1" applyProtection="1">
      <alignment horizontal="center"/>
      <protection hidden="1"/>
    </xf>
    <xf numFmtId="14" fontId="2" fillId="2" borderId="4" xfId="0" applyNumberFormat="1" applyFont="1" applyFill="1" applyBorder="1" applyAlignment="1" applyProtection="1">
      <alignment horizontal="center"/>
      <protection hidden="1"/>
    </xf>
    <xf numFmtId="0" fontId="19" fillId="0" borderId="1" xfId="0" applyFont="1" applyBorder="1" applyProtection="1">
      <protection hidden="1"/>
    </xf>
    <xf numFmtId="2" fontId="6" fillId="0" borderId="1" xfId="0" applyNumberFormat="1" applyFont="1" applyBorder="1" applyAlignment="1" applyProtection="1">
      <alignment horizontal="center"/>
      <protection hidden="1"/>
    </xf>
    <xf numFmtId="10" fontId="6" fillId="0" borderId="1" xfId="0" applyNumberFormat="1" applyFont="1" applyBorder="1" applyAlignment="1" applyProtection="1">
      <alignment horizontal="center"/>
      <protection hidden="1"/>
    </xf>
    <xf numFmtId="2" fontId="6" fillId="0" borderId="4" xfId="0" applyNumberFormat="1" applyFont="1" applyBorder="1" applyAlignment="1" applyProtection="1">
      <alignment horizontal="center"/>
      <protection hidden="1"/>
    </xf>
    <xf numFmtId="10" fontId="6" fillId="0" borderId="4" xfId="0" applyNumberFormat="1" applyFont="1" applyBorder="1" applyAlignment="1" applyProtection="1">
      <alignment horizontal="center"/>
      <protection hidden="1"/>
    </xf>
    <xf numFmtId="2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Border="1" applyAlignment="1" applyProtection="1">
      <alignment horizontal="center"/>
      <protection hidden="1"/>
    </xf>
    <xf numFmtId="0" fontId="16" fillId="3" borderId="11" xfId="0" applyFont="1" applyFill="1" applyBorder="1" applyAlignment="1" applyProtection="1">
      <alignment horizontal="center"/>
      <protection hidden="1"/>
    </xf>
    <xf numFmtId="0" fontId="2" fillId="2" borderId="12" xfId="0" applyFont="1" applyFill="1" applyBorder="1" applyProtection="1">
      <protection hidden="1"/>
    </xf>
    <xf numFmtId="178" fontId="2" fillId="2" borderId="10" xfId="0" applyNumberFormat="1" applyFont="1" applyFill="1" applyBorder="1" applyAlignment="1" applyProtection="1">
      <alignment horizontal="center"/>
      <protection hidden="1"/>
    </xf>
    <xf numFmtId="10" fontId="2" fillId="2" borderId="4" xfId="0" applyNumberFormat="1" applyFont="1" applyFill="1" applyBorder="1" applyAlignment="1" applyProtection="1">
      <alignment horizontal="center"/>
      <protection hidden="1"/>
    </xf>
    <xf numFmtId="0" fontId="17" fillId="0" borderId="0" xfId="0" quotePrefix="1" applyFont="1" applyFill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left"/>
      <protection hidden="1"/>
    </xf>
    <xf numFmtId="0" fontId="17" fillId="0" borderId="3" xfId="0" applyFont="1" applyFill="1" applyBorder="1" applyAlignment="1" applyProtection="1">
      <alignment horizontal="center"/>
      <protection hidden="1"/>
    </xf>
    <xf numFmtId="0" fontId="19" fillId="0" borderId="0" xfId="0" applyFont="1" applyBorder="1" applyProtection="1"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right"/>
      <protection hidden="1"/>
    </xf>
    <xf numFmtId="170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applyNumberFormat="1" applyFont="1" applyBorder="1" applyAlignment="1" applyProtection="1">
      <alignment horizontal="right"/>
      <protection hidden="1"/>
    </xf>
    <xf numFmtId="4" fontId="20" fillId="0" borderId="0" xfId="0" applyNumberFormat="1" applyFont="1" applyBorder="1" applyAlignment="1" applyProtection="1">
      <alignment horizontal="right"/>
      <protection hidden="1"/>
    </xf>
    <xf numFmtId="0" fontId="6" fillId="0" borderId="0" xfId="0" applyFont="1" applyBorder="1" applyAlignment="1" applyProtection="1">
      <alignment horizontal="center"/>
      <protection hidden="1"/>
    </xf>
    <xf numFmtId="2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quotePrefix="1" applyNumberFormat="1" applyFont="1" applyBorder="1" applyAlignment="1" applyProtection="1">
      <alignment horizontal="right"/>
      <protection hidden="1"/>
    </xf>
    <xf numFmtId="0" fontId="6" fillId="0" borderId="13" xfId="0" applyFont="1" applyBorder="1" applyAlignment="1" applyProtection="1">
      <alignment horizontal="right"/>
      <protection hidden="1"/>
    </xf>
    <xf numFmtId="0" fontId="6" fillId="0" borderId="14" xfId="0" applyFont="1" applyBorder="1" applyAlignment="1" applyProtection="1">
      <alignment horizontal="left"/>
      <protection hidden="1"/>
    </xf>
    <xf numFmtId="172" fontId="6" fillId="0" borderId="14" xfId="0" applyNumberFormat="1" applyFont="1" applyBorder="1" applyAlignment="1" applyProtection="1">
      <alignment horizontal="center"/>
      <protection hidden="1"/>
    </xf>
    <xf numFmtId="172" fontId="6" fillId="0" borderId="9" xfId="0" applyNumberFormat="1" applyFont="1" applyBorder="1" applyAlignment="1" applyProtection="1">
      <alignment horizontal="center"/>
      <protection hidden="1"/>
    </xf>
    <xf numFmtId="0" fontId="6" fillId="0" borderId="13" xfId="0" applyFont="1" applyBorder="1" applyAlignment="1" applyProtection="1">
      <alignment horizontal="left"/>
      <protection hidden="1"/>
    </xf>
    <xf numFmtId="172" fontId="6" fillId="0" borderId="13" xfId="0" applyNumberFormat="1" applyFont="1" applyBorder="1" applyAlignment="1" applyProtection="1">
      <alignment horizontal="center"/>
      <protection hidden="1"/>
    </xf>
    <xf numFmtId="172" fontId="6" fillId="0" borderId="8" xfId="0" applyNumberFormat="1" applyFont="1" applyBorder="1" applyAlignment="1" applyProtection="1">
      <alignment horizontal="center"/>
      <protection hidden="1"/>
    </xf>
    <xf numFmtId="0" fontId="6" fillId="0" borderId="12" xfId="0" applyFont="1" applyBorder="1" applyAlignment="1" applyProtection="1">
      <alignment horizontal="right"/>
      <protection hidden="1"/>
    </xf>
    <xf numFmtId="0" fontId="6" fillId="0" borderId="12" xfId="0" applyFont="1" applyBorder="1" applyAlignment="1" applyProtection="1">
      <alignment horizontal="left"/>
      <protection hidden="1"/>
    </xf>
    <xf numFmtId="172" fontId="6" fillId="0" borderId="12" xfId="0" applyNumberFormat="1" applyFont="1" applyBorder="1" applyAlignment="1" applyProtection="1">
      <alignment horizontal="center"/>
      <protection hidden="1"/>
    </xf>
    <xf numFmtId="172" fontId="6" fillId="0" borderId="7" xfId="0" applyNumberFormat="1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right"/>
      <protection hidden="1"/>
    </xf>
    <xf numFmtId="10" fontId="6" fillId="0" borderId="0" xfId="0" applyNumberFormat="1" applyFont="1" applyAlignment="1" applyProtection="1">
      <alignment horizontal="center"/>
      <protection hidden="1"/>
    </xf>
    <xf numFmtId="172" fontId="6" fillId="0" borderId="0" xfId="0" applyNumberFormat="1" applyFont="1" applyAlignment="1" applyProtection="1">
      <alignment horizontal="center"/>
      <protection hidden="1"/>
    </xf>
    <xf numFmtId="14" fontId="6" fillId="0" borderId="0" xfId="0" applyNumberFormat="1" applyFont="1" applyAlignment="1" applyProtection="1">
      <alignment horizontal="center"/>
      <protection hidden="1"/>
    </xf>
    <xf numFmtId="165" fontId="6" fillId="0" borderId="0" xfId="0" applyNumberFormat="1" applyFont="1" applyAlignment="1" applyProtection="1">
      <alignment horizontal="center"/>
      <protection hidden="1"/>
    </xf>
    <xf numFmtId="165" fontId="20" fillId="0" borderId="0" xfId="0" applyNumberFormat="1" applyFont="1" applyFill="1" applyBorder="1" applyAlignment="1" applyProtection="1">
      <alignment horizontal="center"/>
      <protection hidden="1"/>
    </xf>
    <xf numFmtId="165" fontId="20" fillId="0" borderId="4" xfId="0" applyNumberFormat="1" applyFont="1" applyFill="1" applyBorder="1" applyAlignment="1" applyProtection="1">
      <alignment horizontal="center"/>
      <protection hidden="1"/>
    </xf>
    <xf numFmtId="165" fontId="20" fillId="0" borderId="1" xfId="0" applyNumberFormat="1" applyFont="1" applyFill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left"/>
      <protection hidden="1"/>
    </xf>
    <xf numFmtId="10" fontId="6" fillId="0" borderId="1" xfId="0" applyNumberFormat="1" applyFont="1" applyBorder="1" applyProtection="1">
      <protection hidden="1"/>
    </xf>
    <xf numFmtId="0" fontId="6" fillId="2" borderId="5" xfId="0" applyFont="1" applyFill="1" applyBorder="1" applyProtection="1"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16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Protection="1">
      <protection hidden="1"/>
    </xf>
    <xf numFmtId="0" fontId="6" fillId="2" borderId="8" xfId="0" applyFont="1" applyFill="1" applyBorder="1" applyAlignment="1" applyProtection="1">
      <alignment horizontal="center"/>
      <protection hidden="1"/>
    </xf>
    <xf numFmtId="0" fontId="6" fillId="0" borderId="15" xfId="0" applyFont="1" applyBorder="1" applyAlignment="1" applyProtection="1">
      <alignment horizontal="left"/>
      <protection hidden="1"/>
    </xf>
    <xf numFmtId="0" fontId="6" fillId="0" borderId="15" xfId="0" applyFont="1" applyBorder="1" applyProtection="1">
      <protection hidden="1"/>
    </xf>
    <xf numFmtId="10" fontId="6" fillId="0" borderId="0" xfId="0" applyNumberFormat="1" applyFont="1" applyBorder="1" applyProtection="1">
      <protection hidden="1"/>
    </xf>
    <xf numFmtId="2" fontId="6" fillId="2" borderId="0" xfId="0" applyNumberFormat="1" applyFont="1" applyFill="1" applyBorder="1" applyAlignment="1" applyProtection="1">
      <alignment horizontal="left"/>
      <protection hidden="1"/>
    </xf>
    <xf numFmtId="1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6" fillId="0" borderId="3" xfId="0" applyFont="1" applyBorder="1" applyProtection="1">
      <protection hidden="1"/>
    </xf>
    <xf numFmtId="0" fontId="9" fillId="0" borderId="3" xfId="0" applyFont="1" applyBorder="1" applyAlignment="1" applyProtection="1">
      <alignment horizontal="centerContinuous"/>
      <protection hidden="1"/>
    </xf>
    <xf numFmtId="14" fontId="9" fillId="0" borderId="3" xfId="0" applyNumberFormat="1" applyFont="1" applyBorder="1" applyProtection="1">
      <protection hidden="1"/>
    </xf>
    <xf numFmtId="0" fontId="21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0" fontId="6" fillId="2" borderId="5" xfId="0" applyFont="1" applyFill="1" applyBorder="1" applyAlignment="1" applyProtection="1">
      <alignment horizontal="center"/>
      <protection hidden="1"/>
    </xf>
    <xf numFmtId="0" fontId="6" fillId="2" borderId="3" xfId="0" quotePrefix="1" applyFont="1" applyFill="1" applyBorder="1" applyAlignment="1" applyProtection="1">
      <alignment horizontal="center"/>
      <protection hidden="1"/>
    </xf>
    <xf numFmtId="0" fontId="10" fillId="2" borderId="3" xfId="0" applyFont="1" applyFill="1" applyBorder="1" applyAlignment="1" applyProtection="1">
      <alignment horizontal="center"/>
      <protection hidden="1"/>
    </xf>
    <xf numFmtId="2" fontId="6" fillId="2" borderId="14" xfId="0" applyNumberFormat="1" applyFont="1" applyFill="1" applyBorder="1" applyAlignment="1" applyProtection="1">
      <alignment horizontal="center"/>
      <protection hidden="1"/>
    </xf>
    <xf numFmtId="4" fontId="6" fillId="2" borderId="9" xfId="0" applyNumberFormat="1" applyFont="1" applyFill="1" applyBorder="1" applyAlignment="1" applyProtection="1">
      <alignment horizontal="center"/>
      <protection hidden="1"/>
    </xf>
    <xf numFmtId="4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4" xfId="0" applyNumberFormat="1" applyFont="1" applyFill="1" applyBorder="1" applyAlignment="1" applyProtection="1">
      <alignment horizontal="center"/>
      <protection hidden="1"/>
    </xf>
    <xf numFmtId="2" fontId="6" fillId="2" borderId="8" xfId="0" applyNumberFormat="1" applyFont="1" applyFill="1" applyBorder="1" applyAlignment="1" applyProtection="1">
      <alignment horizontal="center"/>
      <protection hidden="1"/>
    </xf>
    <xf numFmtId="185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13" xfId="0" applyNumberFormat="1" applyFont="1" applyFill="1" applyBorder="1" applyAlignment="1" applyProtection="1">
      <alignment horizontal="center"/>
      <protection hidden="1"/>
    </xf>
    <xf numFmtId="4" fontId="6" fillId="2" borderId="8" xfId="0" applyNumberFormat="1" applyFont="1" applyFill="1" applyBorder="1" applyAlignment="1" applyProtection="1">
      <alignment horizontal="center"/>
      <protection hidden="1"/>
    </xf>
    <xf numFmtId="165" fontId="6" fillId="2" borderId="8" xfId="0" applyNumberFormat="1" applyFont="1" applyFill="1" applyBorder="1" applyAlignment="1" applyProtection="1">
      <alignment horizontal="center"/>
      <protection hidden="1"/>
    </xf>
    <xf numFmtId="2" fontId="6" fillId="2" borderId="5" xfId="0" applyNumberFormat="1" applyFont="1" applyFill="1" applyBorder="1" applyAlignment="1" applyProtection="1">
      <alignment horizontal="center"/>
      <protection hidden="1"/>
    </xf>
    <xf numFmtId="2" fontId="6" fillId="2" borderId="12" xfId="0" applyNumberFormat="1" applyFont="1" applyFill="1" applyBorder="1" applyAlignment="1" applyProtection="1">
      <alignment horizontal="center"/>
      <protection hidden="1"/>
    </xf>
    <xf numFmtId="4" fontId="6" fillId="2" borderId="3" xfId="0" applyNumberFormat="1" applyFont="1" applyFill="1" applyBorder="1" applyAlignment="1" applyProtection="1">
      <alignment horizontal="center"/>
      <protection hidden="1"/>
    </xf>
    <xf numFmtId="4" fontId="6" fillId="2" borderId="5" xfId="0" applyNumberFormat="1" applyFont="1" applyFill="1" applyBorder="1" applyAlignment="1" applyProtection="1">
      <alignment horizontal="center"/>
      <protection hidden="1"/>
    </xf>
    <xf numFmtId="164" fontId="6" fillId="2" borderId="3" xfId="0" applyNumberFormat="1" applyFont="1" applyFill="1" applyBorder="1" applyAlignment="1" applyProtection="1">
      <alignment horizontal="center"/>
      <protection hidden="1"/>
    </xf>
    <xf numFmtId="165" fontId="6" fillId="2" borderId="7" xfId="0" applyNumberFormat="1" applyFont="1" applyFill="1" applyBorder="1" applyAlignment="1" applyProtection="1">
      <alignment horizontal="center"/>
      <protection hidden="1"/>
    </xf>
    <xf numFmtId="2" fontId="6" fillId="2" borderId="6" xfId="0" applyNumberFormat="1" applyFont="1" applyFill="1" applyBorder="1" applyAlignment="1" applyProtection="1">
      <alignment horizontal="center"/>
      <protection hidden="1"/>
    </xf>
    <xf numFmtId="2" fontId="6" fillId="2" borderId="3" xfId="0" applyNumberFormat="1" applyFont="1" applyFill="1" applyBorder="1" applyAlignment="1" applyProtection="1">
      <alignment horizontal="center"/>
      <protection hidden="1"/>
    </xf>
    <xf numFmtId="2" fontId="6" fillId="2" borderId="7" xfId="0" applyNumberFormat="1" applyFont="1" applyFill="1" applyBorder="1" applyAlignment="1" applyProtection="1">
      <alignment horizontal="center"/>
      <protection hidden="1"/>
    </xf>
    <xf numFmtId="185" fontId="6" fillId="2" borderId="3" xfId="0" applyNumberFormat="1" applyFont="1" applyFill="1" applyBorder="1" applyAlignment="1" applyProtection="1">
      <alignment horizontal="center"/>
      <protection hidden="1"/>
    </xf>
    <xf numFmtId="10" fontId="6" fillId="2" borderId="0" xfId="0" applyNumberFormat="1" applyFont="1" applyFill="1" applyBorder="1" applyAlignment="1" applyProtection="1">
      <alignment horizontal="center"/>
      <protection hidden="1"/>
    </xf>
    <xf numFmtId="178" fontId="6" fillId="2" borderId="0" xfId="0" applyNumberFormat="1" applyFont="1" applyFill="1" applyBorder="1" applyAlignment="1" applyProtection="1">
      <alignment horizontal="center"/>
      <protection hidden="1"/>
    </xf>
    <xf numFmtId="10" fontId="6" fillId="0" borderId="0" xfId="0" applyNumberFormat="1" applyFont="1" applyFill="1" applyBorder="1" applyAlignment="1" applyProtection="1">
      <alignment horizontal="center"/>
      <protection hidden="1"/>
    </xf>
    <xf numFmtId="165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Protection="1">
      <protection hidden="1"/>
    </xf>
    <xf numFmtId="0" fontId="6" fillId="0" borderId="0" xfId="0" applyFont="1" applyAlignment="1" applyProtection="1">
      <alignment horizontal="centerContinuous"/>
      <protection hidden="1"/>
    </xf>
    <xf numFmtId="0" fontId="19" fillId="0" borderId="0" xfId="0" applyFont="1" applyBorder="1" applyAlignment="1" applyProtection="1">
      <alignment horizontal="centerContinuous"/>
      <protection hidden="1"/>
    </xf>
    <xf numFmtId="178" fontId="6" fillId="0" borderId="0" xfId="1" applyNumberFormat="1" applyFont="1" applyBorder="1" applyAlignment="1" applyProtection="1">
      <alignment horizontal="center"/>
      <protection hidden="1"/>
    </xf>
    <xf numFmtId="14" fontId="6" fillId="0" borderId="0" xfId="1" applyNumberFormat="1" applyFont="1" applyBorder="1" applyAlignment="1" applyProtection="1">
      <alignment horizontal="center"/>
      <protection hidden="1"/>
    </xf>
    <xf numFmtId="165" fontId="6" fillId="0" borderId="0" xfId="1" applyNumberFormat="1" applyFont="1" applyBorder="1" applyAlignment="1" applyProtection="1">
      <alignment horizontal="center"/>
      <protection hidden="1"/>
    </xf>
    <xf numFmtId="2" fontId="6" fillId="0" borderId="4" xfId="1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Alignment="1" applyProtection="1">
      <alignment horizontal="center"/>
      <protection hidden="1"/>
    </xf>
    <xf numFmtId="2" fontId="6" fillId="0" borderId="0" xfId="1" applyNumberFormat="1" applyFont="1" applyBorder="1" applyAlignment="1" applyProtection="1">
      <alignment horizontal="center"/>
      <protection hidden="1"/>
    </xf>
    <xf numFmtId="164" fontId="6" fillId="0" borderId="0" xfId="1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right"/>
      <protection hidden="1"/>
    </xf>
    <xf numFmtId="178" fontId="6" fillId="0" borderId="1" xfId="1" applyNumberFormat="1" applyFont="1" applyBorder="1" applyAlignment="1" applyProtection="1">
      <alignment horizontal="center"/>
      <protection hidden="1"/>
    </xf>
    <xf numFmtId="14" fontId="6" fillId="0" borderId="1" xfId="1" applyNumberFormat="1" applyFont="1" applyBorder="1" applyAlignment="1" applyProtection="1">
      <alignment horizontal="left"/>
      <protection hidden="1"/>
    </xf>
    <xf numFmtId="165" fontId="6" fillId="0" borderId="1" xfId="1" applyNumberFormat="1" applyFont="1" applyBorder="1" applyAlignment="1" applyProtection="1">
      <alignment horizontal="center"/>
      <protection hidden="1"/>
    </xf>
    <xf numFmtId="2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0" applyNumberFormat="1" applyFont="1" applyBorder="1" applyAlignment="1" applyProtection="1">
      <alignment horizontal="center"/>
      <protection hidden="1"/>
    </xf>
    <xf numFmtId="0" fontId="18" fillId="0" borderId="11" xfId="0" applyFont="1" applyBorder="1" applyAlignment="1" applyProtection="1">
      <alignment horizontal="center"/>
      <protection hidden="1"/>
    </xf>
    <xf numFmtId="0" fontId="6" fillId="0" borderId="11" xfId="0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left"/>
      <protection hidden="1"/>
    </xf>
    <xf numFmtId="178" fontId="14" fillId="0" borderId="3" xfId="0" applyNumberFormat="1" applyFont="1" applyBorder="1" applyAlignment="1" applyProtection="1">
      <alignment horizontal="left"/>
      <protection hidden="1"/>
    </xf>
    <xf numFmtId="0" fontId="6" fillId="0" borderId="4" xfId="0" applyFont="1" applyBorder="1" applyAlignment="1" applyProtection="1">
      <alignment horizontal="right"/>
      <protection hidden="1"/>
    </xf>
    <xf numFmtId="14" fontId="6" fillId="0" borderId="4" xfId="1" applyNumberFormat="1" applyFont="1" applyBorder="1" applyAlignment="1" applyProtection="1">
      <alignment horizontal="center"/>
      <protection hidden="1"/>
    </xf>
    <xf numFmtId="165" fontId="6" fillId="0" borderId="4" xfId="1" applyNumberFormat="1" applyFont="1" applyBorder="1" applyAlignment="1" applyProtection="1">
      <alignment horizontal="center"/>
      <protection hidden="1"/>
    </xf>
    <xf numFmtId="178" fontId="6" fillId="0" borderId="4" xfId="1" applyNumberFormat="1" applyFont="1" applyBorder="1" applyAlignment="1" applyProtection="1">
      <alignment horizontal="center"/>
      <protection hidden="1"/>
    </xf>
    <xf numFmtId="164" fontId="6" fillId="0" borderId="4" xfId="1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right"/>
      <protection hidden="1"/>
    </xf>
    <xf numFmtId="14" fontId="6" fillId="0" borderId="1" xfId="1" applyNumberFormat="1" applyFont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4" fillId="2" borderId="8" xfId="0" applyFont="1" applyFill="1" applyBorder="1" applyAlignment="1" applyProtection="1">
      <alignment horizontal="center"/>
      <protection hidden="1"/>
    </xf>
    <xf numFmtId="3" fontId="2" fillId="2" borderId="0" xfId="0" applyNumberFormat="1" applyFont="1" applyFill="1" applyBorder="1" applyAlignment="1" applyProtection="1">
      <alignment horizontal="center"/>
      <protection hidden="1"/>
    </xf>
    <xf numFmtId="3" fontId="2" fillId="2" borderId="3" xfId="0" applyNumberFormat="1" applyFont="1" applyFill="1" applyBorder="1" applyAlignment="1" applyProtection="1">
      <alignment horizontal="center"/>
      <protection hidden="1"/>
    </xf>
    <xf numFmtId="3" fontId="2" fillId="0" borderId="0" xfId="0" applyNumberFormat="1" applyFont="1" applyAlignment="1" applyProtection="1">
      <alignment horizontal="center"/>
      <protection hidden="1"/>
    </xf>
    <xf numFmtId="165" fontId="6" fillId="0" borderId="4" xfId="0" applyNumberFormat="1" applyFont="1" applyBorder="1" applyAlignment="1" applyProtection="1">
      <alignment horizontal="center"/>
      <protection hidden="1"/>
    </xf>
    <xf numFmtId="178" fontId="6" fillId="0" borderId="0" xfId="0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5" fontId="6" fillId="0" borderId="1" xfId="0" applyNumberFormat="1" applyFont="1" applyBorder="1" applyAlignment="1" applyProtection="1">
      <alignment horizontal="center"/>
      <protection hidden="1"/>
    </xf>
    <xf numFmtId="178" fontId="6" fillId="2" borderId="3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protection hidden="1"/>
    </xf>
    <xf numFmtId="14" fontId="6" fillId="0" borderId="0" xfId="0" applyNumberFormat="1" applyFont="1" applyBorder="1" applyAlignment="1" applyProtection="1">
      <alignment horizontal="center"/>
      <protection hidden="1"/>
    </xf>
    <xf numFmtId="10" fontId="6" fillId="0" borderId="10" xfId="0" applyNumberFormat="1" applyFont="1" applyBorder="1" applyAlignment="1" applyProtection="1">
      <alignment horizontal="center"/>
      <protection hidden="1"/>
    </xf>
    <xf numFmtId="10" fontId="6" fillId="0" borderId="5" xfId="0" applyNumberFormat="1" applyFont="1" applyBorder="1" applyAlignment="1" applyProtection="1">
      <alignment horizontal="center"/>
      <protection hidden="1"/>
    </xf>
    <xf numFmtId="10" fontId="6" fillId="0" borderId="6" xfId="0" applyNumberFormat="1" applyFont="1" applyBorder="1" applyAlignment="1" applyProtection="1">
      <alignment horizontal="center"/>
      <protection hidden="1"/>
    </xf>
    <xf numFmtId="178" fontId="6" fillId="0" borderId="14" xfId="0" applyNumberFormat="1" applyFont="1" applyBorder="1" applyAlignment="1" applyProtection="1">
      <alignment horizontal="center"/>
      <protection hidden="1"/>
    </xf>
    <xf numFmtId="178" fontId="6" fillId="0" borderId="13" xfId="0" applyNumberFormat="1" applyFont="1" applyBorder="1" applyAlignment="1" applyProtection="1">
      <alignment horizontal="center"/>
      <protection hidden="1"/>
    </xf>
    <xf numFmtId="178" fontId="6" fillId="0" borderId="12" xfId="0" applyNumberFormat="1" applyFont="1" applyBorder="1" applyAlignment="1" applyProtection="1">
      <alignment horizontal="center"/>
      <protection hidden="1"/>
    </xf>
    <xf numFmtId="14" fontId="11" fillId="0" borderId="4" xfId="1" applyNumberFormat="1" applyFont="1" applyBorder="1" applyAlignment="1" applyProtection="1">
      <alignment horizontal="left"/>
      <protection hidden="1"/>
    </xf>
    <xf numFmtId="14" fontId="11" fillId="0" borderId="0" xfId="1" applyNumberFormat="1" applyFont="1" applyBorder="1" applyAlignment="1" applyProtection="1">
      <alignment horizontal="left"/>
      <protection hidden="1"/>
    </xf>
    <xf numFmtId="0" fontId="11" fillId="0" borderId="1" xfId="0" applyFont="1" applyBorder="1" applyAlignment="1" applyProtection="1">
      <alignment horizontal="left"/>
      <protection hidden="1"/>
    </xf>
    <xf numFmtId="165" fontId="6" fillId="2" borderId="3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7" fillId="0" borderId="0" xfId="0" quotePrefix="1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0" fontId="7" fillId="0" borderId="0" xfId="0" applyNumberFormat="1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Continuous"/>
      <protection hidden="1"/>
    </xf>
    <xf numFmtId="0" fontId="7" fillId="0" borderId="1" xfId="0" applyFont="1" applyBorder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0" fontId="24" fillId="0" borderId="0" xfId="0" applyFont="1" applyBorder="1" applyProtection="1">
      <protection hidden="1"/>
    </xf>
    <xf numFmtId="0" fontId="24" fillId="0" borderId="0" xfId="0" applyFont="1" applyBorder="1" applyAlignment="1" applyProtection="1">
      <alignment horizontal="left"/>
      <protection hidden="1"/>
    </xf>
    <xf numFmtId="0" fontId="24" fillId="0" borderId="0" xfId="0" applyFont="1" applyBorder="1" applyAlignment="1" applyProtection="1">
      <alignment horizontal="centerContinuous"/>
      <protection hidden="1"/>
    </xf>
    <xf numFmtId="0" fontId="25" fillId="0" borderId="0" xfId="0" applyFont="1" applyBorder="1" applyAlignment="1" applyProtection="1">
      <alignment horizontal="left"/>
      <protection hidden="1"/>
    </xf>
    <xf numFmtId="170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Protection="1">
      <protection hidden="1"/>
    </xf>
    <xf numFmtId="0" fontId="18" fillId="0" borderId="4" xfId="0" applyFont="1" applyBorder="1" applyAlignment="1" applyProtection="1">
      <alignment horizontal="right"/>
      <protection hidden="1"/>
    </xf>
    <xf numFmtId="14" fontId="18" fillId="0" borderId="4" xfId="1" applyNumberFormat="1" applyFont="1" applyBorder="1" applyAlignment="1" applyProtection="1">
      <alignment horizontal="center"/>
      <protection hidden="1"/>
    </xf>
    <xf numFmtId="14" fontId="18" fillId="0" borderId="4" xfId="1" applyNumberFormat="1" applyFont="1" applyBorder="1" applyAlignment="1" applyProtection="1">
      <alignment horizontal="left"/>
      <protection hidden="1"/>
    </xf>
    <xf numFmtId="165" fontId="18" fillId="0" borderId="4" xfId="1" applyNumberFormat="1" applyFont="1" applyBorder="1" applyAlignment="1" applyProtection="1">
      <alignment horizontal="center"/>
      <protection hidden="1"/>
    </xf>
    <xf numFmtId="178" fontId="18" fillId="0" borderId="4" xfId="1" applyNumberFormat="1" applyFont="1" applyBorder="1" applyAlignment="1" applyProtection="1">
      <alignment horizontal="center"/>
      <protection hidden="1"/>
    </xf>
    <xf numFmtId="2" fontId="18" fillId="0" borderId="4" xfId="1" applyNumberFormat="1" applyFont="1" applyBorder="1" applyAlignment="1" applyProtection="1">
      <alignment horizontal="center"/>
      <protection hidden="1"/>
    </xf>
    <xf numFmtId="164" fontId="18" fillId="0" borderId="4" xfId="1" applyNumberFormat="1" applyFont="1" applyBorder="1" applyAlignment="1" applyProtection="1">
      <alignment horizontal="center"/>
      <protection hidden="1"/>
    </xf>
    <xf numFmtId="165" fontId="26" fillId="0" borderId="0" xfId="0" applyNumberFormat="1" applyFont="1" applyFill="1" applyBorder="1" applyAlignment="1" applyProtection="1">
      <alignment horizontal="center"/>
      <protection hidden="1"/>
    </xf>
    <xf numFmtId="165" fontId="26" fillId="0" borderId="4" xfId="0" applyNumberFormat="1" applyFont="1" applyFill="1" applyBorder="1" applyAlignment="1" applyProtection="1">
      <alignment horizontal="center"/>
      <protection hidden="1"/>
    </xf>
    <xf numFmtId="165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Protection="1">
      <protection hidden="1"/>
    </xf>
    <xf numFmtId="0" fontId="18" fillId="0" borderId="0" xfId="0" applyFont="1" applyBorder="1" applyAlignment="1" applyProtection="1">
      <alignment horizontal="right"/>
      <protection hidden="1"/>
    </xf>
    <xf numFmtId="14" fontId="18" fillId="0" borderId="0" xfId="1" applyNumberFormat="1" applyFont="1" applyBorder="1" applyAlignment="1" applyProtection="1">
      <alignment horizontal="center"/>
      <protection hidden="1"/>
    </xf>
    <xf numFmtId="14" fontId="18" fillId="0" borderId="0" xfId="1" applyNumberFormat="1" applyFont="1" applyBorder="1" applyAlignment="1" applyProtection="1">
      <alignment horizontal="left"/>
      <protection hidden="1"/>
    </xf>
    <xf numFmtId="165" fontId="18" fillId="0" borderId="0" xfId="1" applyNumberFormat="1" applyFont="1" applyBorder="1" applyAlignment="1" applyProtection="1">
      <alignment horizontal="center"/>
      <protection hidden="1"/>
    </xf>
    <xf numFmtId="178" fontId="18" fillId="0" borderId="0" xfId="1" applyNumberFormat="1" applyFont="1" applyBorder="1" applyAlignment="1" applyProtection="1">
      <alignment horizontal="center"/>
      <protection hidden="1"/>
    </xf>
    <xf numFmtId="2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0" applyNumberFormat="1" applyFont="1" applyBorder="1" applyAlignment="1" applyProtection="1">
      <alignment horizontal="center"/>
      <protection hidden="1"/>
    </xf>
    <xf numFmtId="4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Alignment="1" applyProtection="1">
      <alignment horizontal="center"/>
      <protection hidden="1"/>
    </xf>
    <xf numFmtId="2" fontId="26" fillId="0" borderId="0" xfId="0" applyNumberFormat="1" applyFont="1" applyBorder="1" applyAlignment="1" applyProtection="1">
      <alignment horizontal="right"/>
      <protection hidden="1"/>
    </xf>
    <xf numFmtId="165" fontId="26" fillId="0" borderId="0" xfId="0" quotePrefix="1" applyNumberFormat="1" applyFont="1" applyBorder="1" applyAlignment="1" applyProtection="1">
      <alignment horizontal="right"/>
      <protection hidden="1"/>
    </xf>
    <xf numFmtId="0" fontId="18" fillId="0" borderId="1" xfId="0" applyFont="1" applyBorder="1" applyAlignment="1" applyProtection="1">
      <alignment horizontal="right"/>
      <protection hidden="1"/>
    </xf>
    <xf numFmtId="14" fontId="18" fillId="0" borderId="1" xfId="1" applyNumberFormat="1" applyFont="1" applyBorder="1" applyAlignment="1" applyProtection="1">
      <alignment horizontal="center"/>
      <protection hidden="1"/>
    </xf>
    <xf numFmtId="14" fontId="18" fillId="0" borderId="1" xfId="1" applyNumberFormat="1" applyFont="1" applyBorder="1" applyAlignment="1" applyProtection="1">
      <alignment horizontal="left"/>
      <protection hidden="1"/>
    </xf>
    <xf numFmtId="165" fontId="18" fillId="0" borderId="1" xfId="1" applyNumberFormat="1" applyFont="1" applyBorder="1" applyAlignment="1" applyProtection="1">
      <alignment horizontal="center"/>
      <protection hidden="1"/>
    </xf>
    <xf numFmtId="178" fontId="18" fillId="0" borderId="1" xfId="1" applyNumberFormat="1" applyFont="1" applyBorder="1" applyAlignment="1" applyProtection="1">
      <alignment horizontal="center"/>
      <protection hidden="1"/>
    </xf>
    <xf numFmtId="2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0" applyNumberFormat="1" applyFont="1" applyBorder="1" applyAlignment="1" applyProtection="1">
      <alignment horizontal="center"/>
      <protection hidden="1"/>
    </xf>
    <xf numFmtId="165" fontId="26" fillId="0" borderId="1" xfId="0" applyNumberFormat="1" applyFont="1" applyFill="1" applyBorder="1" applyAlignment="1" applyProtection="1">
      <alignment horizontal="center"/>
      <protection hidden="1"/>
    </xf>
    <xf numFmtId="3" fontId="18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Alignment="1" applyProtection="1">
      <alignment horizontal="left"/>
      <protection hidden="1"/>
    </xf>
    <xf numFmtId="0" fontId="16" fillId="0" borderId="0" xfId="0" applyFont="1" applyBorder="1" applyAlignment="1" applyProtection="1">
      <alignment horizontal="center"/>
      <protection hidden="1"/>
    </xf>
    <xf numFmtId="14" fontId="6" fillId="0" borderId="11" xfId="0" applyNumberFormat="1" applyFont="1" applyBorder="1" applyAlignment="1" applyProtection="1">
      <alignment horizontal="center"/>
      <protection hidden="1"/>
    </xf>
    <xf numFmtId="0" fontId="29" fillId="0" borderId="3" xfId="0" applyFont="1" applyBorder="1" applyAlignment="1">
      <alignment horizontal="center"/>
    </xf>
    <xf numFmtId="178" fontId="28" fillId="0" borderId="3" xfId="0" applyNumberFormat="1" applyFont="1" applyBorder="1" applyAlignment="1">
      <alignment horizontal="center"/>
    </xf>
    <xf numFmtId="0" fontId="19" fillId="0" borderId="0" xfId="0" applyFont="1" applyBorder="1" applyAlignment="1" applyProtection="1">
      <alignment horizontal="center"/>
      <protection hidden="1"/>
    </xf>
    <xf numFmtId="22" fontId="3" fillId="0" borderId="0" xfId="0" applyNumberFormat="1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0" fontId="28" fillId="0" borderId="0" xfId="0" applyFont="1" applyAlignment="1" applyProtection="1">
      <alignment horizontal="center"/>
      <protection hidden="1"/>
    </xf>
    <xf numFmtId="0" fontId="29" fillId="0" borderId="0" xfId="0" applyFont="1" applyAlignment="1" applyProtection="1">
      <alignment horizontal="center"/>
      <protection hidden="1"/>
    </xf>
    <xf numFmtId="178" fontId="28" fillId="0" borderId="0" xfId="0" applyNumberFormat="1" applyFont="1" applyAlignment="1" applyProtection="1">
      <alignment horizontal="center"/>
      <protection hidden="1"/>
    </xf>
    <xf numFmtId="0" fontId="27" fillId="0" borderId="0" xfId="0" applyFont="1" applyProtection="1">
      <protection hidden="1"/>
    </xf>
    <xf numFmtId="10" fontId="28" fillId="0" borderId="0" xfId="0" applyNumberFormat="1" applyFont="1" applyAlignment="1" applyProtection="1">
      <alignment horizontal="center"/>
      <protection hidden="1"/>
    </xf>
    <xf numFmtId="178" fontId="6" fillId="0" borderId="1" xfId="0" applyNumberFormat="1" applyFont="1" applyBorder="1" applyAlignment="1" applyProtection="1">
      <alignment horizontal="center"/>
      <protection hidden="1"/>
    </xf>
    <xf numFmtId="0" fontId="18" fillId="0" borderId="0" xfId="0" applyFont="1" applyBorder="1" applyAlignment="1" applyProtection="1">
      <alignment horizontal="right"/>
      <protection locked="0" hidden="1"/>
    </xf>
    <xf numFmtId="178" fontId="18" fillId="0" borderId="0" xfId="1" applyNumberFormat="1" applyFont="1" applyBorder="1" applyAlignment="1" applyProtection="1">
      <alignment horizontal="center"/>
      <protection locked="0" hidden="1"/>
    </xf>
    <xf numFmtId="14" fontId="18" fillId="0" borderId="0" xfId="1" applyNumberFormat="1" applyFont="1" applyBorder="1" applyAlignment="1" applyProtection="1">
      <alignment horizontal="center"/>
      <protection locked="0" hidden="1"/>
    </xf>
    <xf numFmtId="165" fontId="18" fillId="0" borderId="0" xfId="1" applyNumberFormat="1" applyFont="1" applyBorder="1" applyAlignment="1" applyProtection="1">
      <alignment horizontal="center"/>
      <protection locked="0" hidden="1"/>
    </xf>
    <xf numFmtId="2" fontId="18" fillId="0" borderId="4" xfId="1" applyNumberFormat="1" applyFont="1" applyBorder="1" applyAlignment="1" applyProtection="1">
      <alignment horizontal="center"/>
      <protection locked="0" hidden="1"/>
    </xf>
    <xf numFmtId="0" fontId="18" fillId="0" borderId="0" xfId="1" applyFont="1" applyBorder="1" applyAlignment="1" applyProtection="1">
      <alignment horizontal="center"/>
      <protection locked="0" hidden="1"/>
    </xf>
    <xf numFmtId="164" fontId="18" fillId="0" borderId="0" xfId="0" applyNumberFormat="1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right"/>
      <protection locked="0" hidden="1"/>
    </xf>
    <xf numFmtId="2" fontId="18" fillId="0" borderId="0" xfId="1" applyNumberFormat="1" applyFont="1" applyBorder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center"/>
      <protection locked="0" hidden="1"/>
    </xf>
    <xf numFmtId="178" fontId="18" fillId="0" borderId="0" xfId="1" applyNumberFormat="1" applyFont="1" applyFill="1" applyBorder="1" applyAlignment="1" applyProtection="1">
      <alignment horizontal="center"/>
      <protection locked="0" hidden="1"/>
    </xf>
    <xf numFmtId="164" fontId="18" fillId="0" borderId="0" xfId="1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right"/>
      <protection locked="0" hidden="1"/>
    </xf>
    <xf numFmtId="178" fontId="18" fillId="0" borderId="0" xfId="1" applyNumberFormat="1" applyFont="1" applyAlignment="1" applyProtection="1">
      <alignment horizontal="center"/>
      <protection locked="0" hidden="1"/>
    </xf>
    <xf numFmtId="14" fontId="18" fillId="0" borderId="0" xfId="1" applyNumberFormat="1" applyFont="1" applyAlignment="1" applyProtection="1">
      <alignment horizontal="center"/>
      <protection locked="0" hidden="1"/>
    </xf>
    <xf numFmtId="165" fontId="18" fillId="0" borderId="0" xfId="1" applyNumberFormat="1" applyFont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right"/>
      <protection locked="0" hidden="1"/>
    </xf>
    <xf numFmtId="178" fontId="18" fillId="0" borderId="1" xfId="1" applyNumberFormat="1" applyFont="1" applyBorder="1" applyAlignment="1" applyProtection="1">
      <alignment horizontal="center"/>
      <protection locked="0" hidden="1"/>
    </xf>
    <xf numFmtId="14" fontId="18" fillId="0" borderId="1" xfId="1" applyNumberFormat="1" applyFont="1" applyBorder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center"/>
      <protection locked="0" hidden="1"/>
    </xf>
    <xf numFmtId="165" fontId="18" fillId="0" borderId="1" xfId="1" applyNumberFormat="1" applyFont="1" applyBorder="1" applyAlignment="1" applyProtection="1">
      <alignment horizontal="center"/>
      <protection locked="0" hidden="1"/>
    </xf>
    <xf numFmtId="2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1" applyNumberFormat="1" applyFont="1" applyBorder="1" applyAlignment="1" applyProtection="1">
      <alignment horizontal="center"/>
      <protection locked="0" hidden="1"/>
    </xf>
    <xf numFmtId="0" fontId="19" fillId="4" borderId="10" xfId="0" applyFont="1" applyFill="1" applyBorder="1" applyAlignment="1" applyProtection="1">
      <alignment horizontal="center"/>
      <protection hidden="1"/>
    </xf>
    <xf numFmtId="0" fontId="19" fillId="4" borderId="9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178" fontId="6" fillId="4" borderId="7" xfId="0" applyNumberFormat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center"/>
      <protection hidden="1"/>
    </xf>
    <xf numFmtId="0" fontId="6" fillId="4" borderId="0" xfId="0" applyFont="1" applyFill="1" applyBorder="1" applyAlignment="1" applyProtection="1">
      <alignment horizontal="left"/>
      <protection hidden="1"/>
    </xf>
    <xf numFmtId="0" fontId="6" fillId="4" borderId="0" xfId="0" applyFont="1" applyFill="1" applyBorder="1" applyAlignment="1" applyProtection="1">
      <alignment horizontal="center"/>
      <protection hidden="1"/>
    </xf>
    <xf numFmtId="0" fontId="6" fillId="4" borderId="0" xfId="0" applyFont="1" applyFill="1" applyAlignment="1" applyProtection="1">
      <alignment horizontal="center"/>
      <protection hidden="1"/>
    </xf>
    <xf numFmtId="10" fontId="20" fillId="4" borderId="3" xfId="0" applyNumberFormat="1" applyFont="1" applyFill="1" applyBorder="1" applyAlignment="1" applyProtection="1">
      <alignment horizontal="center"/>
      <protection hidden="1"/>
    </xf>
    <xf numFmtId="0" fontId="20" fillId="4" borderId="3" xfId="0" applyFont="1" applyFill="1" applyBorder="1" applyAlignment="1" applyProtection="1">
      <alignment horizontal="center"/>
      <protection hidden="1"/>
    </xf>
    <xf numFmtId="0" fontId="6" fillId="4" borderId="4" xfId="0" quotePrefix="1" applyFont="1" applyFill="1" applyBorder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left"/>
      <protection hidden="1"/>
    </xf>
    <xf numFmtId="0" fontId="6" fillId="4" borderId="3" xfId="0" applyFont="1" applyFill="1" applyBorder="1" applyAlignment="1" applyProtection="1">
      <alignment horizontal="center"/>
      <protection hidden="1"/>
    </xf>
    <xf numFmtId="0" fontId="22" fillId="4" borderId="4" xfId="0" applyFont="1" applyFill="1" applyBorder="1" applyAlignment="1" applyProtection="1">
      <alignment horizontal="center"/>
      <protection hidden="1"/>
    </xf>
    <xf numFmtId="0" fontId="22" fillId="4" borderId="3" xfId="0" applyFont="1" applyFill="1" applyBorder="1" applyAlignment="1" applyProtection="1">
      <alignment horizontal="center"/>
      <protection hidden="1"/>
    </xf>
    <xf numFmtId="0" fontId="22" fillId="4" borderId="3" xfId="0" quotePrefix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Border="1" applyAlignment="1" applyProtection="1">
      <alignment horizontal="center"/>
      <protection hidden="1"/>
    </xf>
    <xf numFmtId="0" fontId="11" fillId="4" borderId="3" xfId="0" applyFont="1" applyFill="1" applyBorder="1" applyAlignment="1" applyProtection="1">
      <alignment horizontal="center"/>
      <protection hidden="1"/>
    </xf>
    <xf numFmtId="0" fontId="29" fillId="4" borderId="10" xfId="0" applyFont="1" applyFill="1" applyBorder="1" applyAlignment="1" applyProtection="1">
      <alignment horizontal="center"/>
      <protection hidden="1"/>
    </xf>
    <xf numFmtId="0" fontId="29" fillId="4" borderId="9" xfId="0" applyFont="1" applyFill="1" applyBorder="1" applyAlignment="1" applyProtection="1">
      <alignment horizontal="center"/>
      <protection hidden="1"/>
    </xf>
    <xf numFmtId="0" fontId="30" fillId="4" borderId="6" xfId="0" applyFont="1" applyFill="1" applyBorder="1" applyAlignment="1" applyProtection="1">
      <alignment horizontal="center"/>
      <protection hidden="1"/>
    </xf>
    <xf numFmtId="178" fontId="28" fillId="4" borderId="7" xfId="0" applyNumberFormat="1" applyFont="1" applyFill="1" applyBorder="1" applyAlignment="1" applyProtection="1">
      <alignment horizontal="center"/>
      <protection hidden="1"/>
    </xf>
    <xf numFmtId="0" fontId="6" fillId="4" borderId="10" xfId="0" quotePrefix="1" applyFont="1" applyFill="1" applyBorder="1" applyAlignment="1" applyProtection="1">
      <alignment horizontal="center"/>
      <protection hidden="1"/>
    </xf>
    <xf numFmtId="0" fontId="6" fillId="4" borderId="9" xfId="0" applyFont="1" applyFill="1" applyBorder="1" applyAlignment="1" applyProtection="1">
      <alignment horizontal="center"/>
      <protection hidden="1"/>
    </xf>
    <xf numFmtId="0" fontId="6" fillId="4" borderId="6" xfId="0" applyFont="1" applyFill="1" applyBorder="1" applyAlignment="1" applyProtection="1">
      <alignment horizontal="center"/>
      <protection hidden="1"/>
    </xf>
    <xf numFmtId="0" fontId="20" fillId="4" borderId="7" xfId="0" applyFont="1" applyFill="1" applyBorder="1" applyAlignment="1" applyProtection="1">
      <alignment horizontal="center"/>
      <protection hidden="1"/>
    </xf>
    <xf numFmtId="0" fontId="6" fillId="4" borderId="10" xfId="0" applyFont="1" applyFill="1" applyBorder="1" applyAlignment="1" applyProtection="1">
      <alignment horizontal="center"/>
      <protection hidden="1"/>
    </xf>
    <xf numFmtId="0" fontId="6" fillId="4" borderId="7" xfId="0" applyFont="1" applyFill="1" applyBorder="1" applyAlignment="1" applyProtection="1">
      <alignment horizontal="center"/>
      <protection hidden="1"/>
    </xf>
    <xf numFmtId="0" fontId="17" fillId="0" borderId="0" xfId="0" quotePrefix="1" applyFont="1" applyFill="1" applyBorder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</cellXfs>
  <cellStyles count="2">
    <cellStyle name="Normal" xfId="0" builtinId="0"/>
    <cellStyle name="Normal_Propos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Projected Annual Income Distribution</a:t>
            </a:r>
          </a:p>
        </c:rich>
      </c:tx>
      <c:layout>
        <c:manualLayout>
          <c:xMode val="edge"/>
          <c:yMode val="edge"/>
          <c:x val="0.73800054052773967"/>
          <c:y val="1.900239733613853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6000070312551491E-2"/>
          <c:y val="9.5011986680692689E-2"/>
          <c:w val="0.90100065991259271"/>
          <c:h val="0.7814735904486973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2500</c:v>
                </c:pt>
                <c:pt idx="1">
                  <c:v>20000</c:v>
                </c:pt>
                <c:pt idx="2">
                  <c:v>0</c:v>
                </c:pt>
                <c:pt idx="3">
                  <c:v>21225</c:v>
                </c:pt>
                <c:pt idx="4">
                  <c:v>5000</c:v>
                </c:pt>
                <c:pt idx="5">
                  <c:v>0</c:v>
                </c:pt>
                <c:pt idx="6">
                  <c:v>2500</c:v>
                </c:pt>
                <c:pt idx="7">
                  <c:v>20000</c:v>
                </c:pt>
                <c:pt idx="8">
                  <c:v>0</c:v>
                </c:pt>
                <c:pt idx="9">
                  <c:v>21225</c:v>
                </c:pt>
                <c:pt idx="10">
                  <c:v>5000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A-4F90-BE84-6AFF7E0F2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919632"/>
        <c:axId val="1"/>
        <c:axId val="0"/>
      </c:bar3DChart>
      <c:catAx>
        <c:axId val="17891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19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Effective Maturity Profile</a:t>
            </a:r>
          </a:p>
        </c:rich>
      </c:tx>
      <c:layout>
        <c:manualLayout>
          <c:xMode val="edge"/>
          <c:yMode val="edge"/>
          <c:x val="0.81943727236922981"/>
          <c:y val="2.09923664122137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2.5952528168028167E-2"/>
          <c:y val="0.20229007633587789"/>
          <c:w val="0.96907844542317945"/>
          <c:h val="0.6851145038167939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Maturity!$B$4</c:f>
              <c:strCache>
                <c:ptCount val="1"/>
                <c:pt idx="0">
                  <c:v>Year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(Maturity!$B$5:$B$19,Maturity!$G$5:$G$19)</c:f>
              <c:strCache>
                <c:ptCount val="3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2028+</c:v>
                </c:pt>
              </c:strCache>
            </c:strRef>
          </c:cat>
          <c:val>
            <c:numRef>
              <c:f>(Maturity!$C$5:$C$19,Maturity!$H$5:$H$19)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0</c:v>
                </c:pt>
                <c:pt idx="24">
                  <c:v>200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1-424D-A761-910581AB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39192"/>
        <c:axId val="1"/>
        <c:axId val="0"/>
      </c:bar3DChart>
      <c:catAx>
        <c:axId val="150339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339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3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7587586932407113E-2"/>
          <c:y val="0.11827963199325438"/>
          <c:w val="0.91984496965007023"/>
          <c:h val="0.7870971874460199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2500</c:v>
                </c:pt>
                <c:pt idx="1">
                  <c:v>20000</c:v>
                </c:pt>
                <c:pt idx="2">
                  <c:v>0</c:v>
                </c:pt>
                <c:pt idx="3">
                  <c:v>21225</c:v>
                </c:pt>
                <c:pt idx="4">
                  <c:v>5000</c:v>
                </c:pt>
                <c:pt idx="5">
                  <c:v>0</c:v>
                </c:pt>
                <c:pt idx="6">
                  <c:v>2500</c:v>
                </c:pt>
                <c:pt idx="7">
                  <c:v>20000</c:v>
                </c:pt>
                <c:pt idx="8">
                  <c:v>0</c:v>
                </c:pt>
                <c:pt idx="9">
                  <c:v>21225</c:v>
                </c:pt>
                <c:pt idx="10">
                  <c:v>5000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7-451C-AA5A-7D456DEB3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449672"/>
        <c:axId val="1"/>
        <c:axId val="0"/>
      </c:bar3DChart>
      <c:catAx>
        <c:axId val="18044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49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68580</xdr:rowOff>
        </xdr:from>
        <xdr:to>
          <xdr:col>1</xdr:col>
          <xdr:colOff>541020</xdr:colOff>
          <xdr:row>0</xdr:row>
          <xdr:rowOff>571500</xdr:rowOff>
        </xdr:to>
        <xdr:sp macro="" textlink="">
          <xdr:nvSpPr>
            <xdr:cNvPr id="13329" name="Object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457200</xdr:colOff>
      <xdr:row>28</xdr:row>
      <xdr:rowOff>68580</xdr:rowOff>
    </xdr:from>
    <xdr:to>
      <xdr:col>47</xdr:col>
      <xdr:colOff>655320</xdr:colOff>
      <xdr:row>28</xdr:row>
      <xdr:rowOff>68580</xdr:rowOff>
    </xdr:to>
    <xdr:sp macro="" textlink="">
      <xdr:nvSpPr>
        <xdr:cNvPr id="6299" name="Line 155"/>
        <xdr:cNvSpPr>
          <a:spLocks noChangeShapeType="1"/>
        </xdr:cNvSpPr>
      </xdr:nvSpPr>
      <xdr:spPr bwMode="auto">
        <a:xfrm>
          <a:off x="43914060" y="5882640"/>
          <a:ext cx="198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29</xdr:row>
      <xdr:rowOff>121920</xdr:rowOff>
    </xdr:from>
    <xdr:to>
      <xdr:col>17</xdr:col>
      <xdr:colOff>0</xdr:colOff>
      <xdr:row>48</xdr:row>
      <xdr:rowOff>144780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38100</xdr:rowOff>
    </xdr:from>
    <xdr:to>
      <xdr:col>10</xdr:col>
      <xdr:colOff>7620</xdr:colOff>
      <xdr:row>40</xdr:row>
      <xdr:rowOff>68580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0.10185</cdr:x>
      <cdr:y>0.13938</cdr:y>
    </cdr:from>
    <cdr:to>
      <cdr:x>0.10185</cdr:x>
      <cdr:y>0.13938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3750" y="55505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54864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950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PaineWebber</a:t>
          </a:r>
        </a:p>
      </cdr:txBody>
    </cdr:sp>
  </cdr:relSizeAnchor>
  <cdr:relSizeAnchor xmlns:cdr="http://schemas.openxmlformats.org/drawingml/2006/chartDrawing">
    <cdr:from>
      <cdr:x>0.04355</cdr:x>
      <cdr:y>0.06176</cdr:y>
    </cdr:from>
    <cdr:to>
      <cdr:x>0.55458</cdr:x>
      <cdr:y>0.73603</cdr:y>
    </cdr:to>
    <cdr:sp macro="" textlink="">
      <cdr:nvSpPr>
        <cdr:cNvPr id="184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8830" y="244518"/>
          <a:ext cx="7055892" cy="26974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($000's)</a:t>
          </a: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32</xdr:row>
      <xdr:rowOff>0</xdr:rowOff>
    </xdr:from>
    <xdr:to>
      <xdr:col>9</xdr:col>
      <xdr:colOff>525780</xdr:colOff>
      <xdr:row>50</xdr:row>
      <xdr:rowOff>15240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68580</xdr:rowOff>
        </xdr:from>
        <xdr:to>
          <xdr:col>3</xdr:col>
          <xdr:colOff>502920</xdr:colOff>
          <xdr:row>0</xdr:row>
          <xdr:rowOff>655320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D37"/>
  <sheetViews>
    <sheetView showGridLines="0" zoomScale="70" workbookViewId="0">
      <selection activeCell="G28" sqref="G28"/>
    </sheetView>
  </sheetViews>
  <sheetFormatPr defaultColWidth="9.109375" defaultRowHeight="13.2" x14ac:dyDescent="0.25"/>
  <cols>
    <col min="1" max="1" width="8.6640625" style="2" customWidth="1"/>
    <col min="2" max="2" width="11.6640625" style="2" customWidth="1"/>
    <col min="3" max="3" width="16.33203125" style="2" customWidth="1"/>
    <col min="4" max="4" width="15.5546875" style="2" customWidth="1"/>
    <col min="5" max="5" width="35.33203125" style="2" customWidth="1"/>
    <col min="6" max="6" width="13" style="2" customWidth="1"/>
    <col min="7" max="7" width="13.33203125" style="2" customWidth="1"/>
    <col min="8" max="8" width="17" style="2" customWidth="1"/>
    <col min="9" max="9" width="14.6640625" style="2" customWidth="1"/>
    <col min="10" max="10" width="12.33203125" style="2" customWidth="1"/>
    <col min="11" max="11" width="12.5546875" style="2" customWidth="1"/>
    <col min="12" max="12" width="13.6640625" style="2" customWidth="1"/>
    <col min="13" max="16384" width="9.109375" style="2"/>
  </cols>
  <sheetData>
    <row r="1" spans="1:30" ht="18" customHeight="1" x14ac:dyDescent="0.35">
      <c r="A1" s="132" t="s">
        <v>57</v>
      </c>
      <c r="B1" s="133"/>
      <c r="C1" s="133"/>
      <c r="D1" s="133"/>
      <c r="E1" s="134"/>
      <c r="F1" s="133"/>
      <c r="G1" s="133"/>
      <c r="H1" s="133" t="s">
        <v>85</v>
      </c>
      <c r="I1" s="133" t="s">
        <v>86</v>
      </c>
      <c r="J1" s="133" t="s">
        <v>15</v>
      </c>
      <c r="K1" s="133" t="s">
        <v>91</v>
      </c>
      <c r="L1" s="51"/>
    </row>
    <row r="2" spans="1:30" ht="16.5" customHeight="1" x14ac:dyDescent="0.35">
      <c r="A2" s="135" t="s">
        <v>15</v>
      </c>
      <c r="B2" s="135" t="s">
        <v>62</v>
      </c>
      <c r="C2" s="135" t="s">
        <v>65</v>
      </c>
      <c r="D2" s="135" t="s">
        <v>16</v>
      </c>
      <c r="E2" s="135" t="s">
        <v>17</v>
      </c>
      <c r="F2" s="135" t="s">
        <v>18</v>
      </c>
      <c r="G2" s="135" t="s">
        <v>19</v>
      </c>
      <c r="H2" s="135" t="s">
        <v>2</v>
      </c>
      <c r="I2" s="135" t="s">
        <v>21</v>
      </c>
      <c r="J2" s="135" t="s">
        <v>2</v>
      </c>
      <c r="K2" s="135" t="s">
        <v>131</v>
      </c>
      <c r="L2" s="135" t="s">
        <v>21</v>
      </c>
      <c r="AD2" s="2" t="s">
        <v>127</v>
      </c>
    </row>
    <row r="3" spans="1:30" ht="15.75" customHeight="1" x14ac:dyDescent="0.3">
      <c r="A3" s="324">
        <v>200</v>
      </c>
      <c r="B3" s="325">
        <v>37226</v>
      </c>
      <c r="C3" s="326">
        <v>37211</v>
      </c>
      <c r="D3" s="326" t="s">
        <v>151</v>
      </c>
      <c r="E3" s="326" t="s">
        <v>153</v>
      </c>
      <c r="F3" s="327">
        <v>0.05</v>
      </c>
      <c r="G3" s="326">
        <v>42597</v>
      </c>
      <c r="H3" s="326">
        <v>40770</v>
      </c>
      <c r="I3" s="328">
        <v>100</v>
      </c>
      <c r="J3" s="326"/>
      <c r="K3" s="333"/>
      <c r="L3" s="330">
        <v>104.70699999999999</v>
      </c>
      <c r="AD3" s="18" t="e">
        <f>#REF!*A3</f>
        <v>#REF!</v>
      </c>
    </row>
    <row r="4" spans="1:30" ht="15" customHeight="1" x14ac:dyDescent="0.3">
      <c r="A4" s="324">
        <v>200</v>
      </c>
      <c r="B4" s="325">
        <v>37196</v>
      </c>
      <c r="C4" s="326">
        <v>37224</v>
      </c>
      <c r="D4" s="326" t="s">
        <v>151</v>
      </c>
      <c r="E4" s="326" t="s">
        <v>161</v>
      </c>
      <c r="F4" s="327">
        <v>4.7500000000000001E-2</v>
      </c>
      <c r="G4" s="326">
        <v>43009</v>
      </c>
      <c r="H4" s="326">
        <v>40817</v>
      </c>
      <c r="I4" s="332">
        <v>100</v>
      </c>
      <c r="J4" s="326"/>
      <c r="K4" s="329"/>
      <c r="L4" s="330">
        <v>101.566</v>
      </c>
      <c r="AD4" s="18" t="e">
        <f>#REF!*A4</f>
        <v>#REF!</v>
      </c>
    </row>
    <row r="5" spans="1:30" ht="15" customHeight="1" x14ac:dyDescent="0.3">
      <c r="A5" s="324">
        <v>200</v>
      </c>
      <c r="B5" s="325">
        <v>37196</v>
      </c>
      <c r="C5" s="326">
        <v>37211</v>
      </c>
      <c r="D5" s="326" t="s">
        <v>151</v>
      </c>
      <c r="E5" s="326" t="s">
        <v>154</v>
      </c>
      <c r="F5" s="327">
        <v>4.8750000000000002E-2</v>
      </c>
      <c r="G5" s="326">
        <v>43191</v>
      </c>
      <c r="H5" s="326">
        <v>40634</v>
      </c>
      <c r="I5" s="332">
        <v>100</v>
      </c>
      <c r="J5" s="326"/>
      <c r="K5" s="329"/>
      <c r="L5" s="330">
        <v>101.309</v>
      </c>
      <c r="AD5" s="18" t="e">
        <f>#REF!*A5</f>
        <v>#REF!</v>
      </c>
    </row>
    <row r="6" spans="1:30" ht="15" customHeight="1" x14ac:dyDescent="0.3">
      <c r="A6" s="324">
        <v>200</v>
      </c>
      <c r="B6" s="325">
        <v>37196</v>
      </c>
      <c r="C6" s="326">
        <v>37211</v>
      </c>
      <c r="D6" s="326" t="s">
        <v>155</v>
      </c>
      <c r="E6" s="326" t="s">
        <v>156</v>
      </c>
      <c r="F6" s="327">
        <v>4.5999999999999999E-2</v>
      </c>
      <c r="G6" s="326">
        <v>43739</v>
      </c>
      <c r="H6" s="326">
        <v>40452</v>
      </c>
      <c r="I6" s="332">
        <v>100.5</v>
      </c>
      <c r="J6" s="326">
        <v>41183</v>
      </c>
      <c r="K6" s="329"/>
      <c r="L6" s="330">
        <v>99.266999999999996</v>
      </c>
      <c r="AD6" s="18" t="e">
        <f>#REF!*A6</f>
        <v>#REF!</v>
      </c>
    </row>
    <row r="7" spans="1:30" ht="15" customHeight="1" x14ac:dyDescent="0.3">
      <c r="A7" s="324">
        <v>200</v>
      </c>
      <c r="B7" s="325">
        <v>37210</v>
      </c>
      <c r="C7" s="326">
        <v>37215</v>
      </c>
      <c r="D7" s="326" t="s">
        <v>151</v>
      </c>
      <c r="E7" s="326" t="s">
        <v>160</v>
      </c>
      <c r="F7" s="327">
        <v>0.05</v>
      </c>
      <c r="G7" s="326">
        <v>43876</v>
      </c>
      <c r="H7" s="326">
        <v>40224</v>
      </c>
      <c r="I7" s="332">
        <v>100</v>
      </c>
      <c r="J7" s="326"/>
      <c r="K7" s="333"/>
      <c r="L7" s="336">
        <v>101.68</v>
      </c>
      <c r="AD7" s="18" t="e">
        <f>#REF!*A7</f>
        <v>#REF!</v>
      </c>
    </row>
    <row r="8" spans="1:30" ht="15" customHeight="1" x14ac:dyDescent="0.3">
      <c r="A8" s="324">
        <v>200</v>
      </c>
      <c r="B8" s="334">
        <v>36965</v>
      </c>
      <c r="C8" s="326">
        <v>37211</v>
      </c>
      <c r="D8" s="326" t="s">
        <v>151</v>
      </c>
      <c r="E8" s="326" t="s">
        <v>157</v>
      </c>
      <c r="F8" s="327">
        <v>0.05</v>
      </c>
      <c r="G8" s="326">
        <v>44242</v>
      </c>
      <c r="H8" s="326">
        <v>40224</v>
      </c>
      <c r="I8" s="332">
        <v>100</v>
      </c>
      <c r="J8" s="326"/>
      <c r="K8" s="335"/>
      <c r="L8" s="336">
        <v>101.002</v>
      </c>
      <c r="AD8" s="18" t="e">
        <f>#REF!*A8</f>
        <v>#REF!</v>
      </c>
    </row>
    <row r="9" spans="1:30" ht="15" customHeight="1" x14ac:dyDescent="0.3">
      <c r="A9" s="324">
        <v>200</v>
      </c>
      <c r="B9" s="334">
        <v>36144</v>
      </c>
      <c r="C9" s="326">
        <v>37211</v>
      </c>
      <c r="D9" s="326" t="s">
        <v>151</v>
      </c>
      <c r="E9" s="326" t="s">
        <v>158</v>
      </c>
      <c r="F9" s="327">
        <v>4.4999999999999998E-2</v>
      </c>
      <c r="G9" s="326">
        <v>45017</v>
      </c>
      <c r="H9" s="326">
        <v>39904</v>
      </c>
      <c r="I9" s="332">
        <v>100</v>
      </c>
      <c r="J9" s="326"/>
      <c r="K9" s="335"/>
      <c r="L9" s="330">
        <v>96.012</v>
      </c>
      <c r="AD9" s="18" t="e">
        <f>#REF!*A9</f>
        <v>#REF!</v>
      </c>
    </row>
    <row r="10" spans="1:30" ht="15" customHeight="1" x14ac:dyDescent="0.3">
      <c r="A10" s="324">
        <v>100</v>
      </c>
      <c r="B10" s="325">
        <v>35034</v>
      </c>
      <c r="C10" s="326">
        <v>37211</v>
      </c>
      <c r="D10" s="326" t="s">
        <v>151</v>
      </c>
      <c r="E10" s="326" t="s">
        <v>162</v>
      </c>
      <c r="F10" s="327">
        <v>0.05</v>
      </c>
      <c r="G10" s="326">
        <v>45658</v>
      </c>
      <c r="H10" s="326">
        <v>38718</v>
      </c>
      <c r="I10" s="332">
        <v>102</v>
      </c>
      <c r="J10" s="326">
        <v>39448</v>
      </c>
      <c r="K10" s="333"/>
      <c r="L10" s="330">
        <v>100.517</v>
      </c>
      <c r="AD10" s="18" t="e">
        <f>#REF!*A10</f>
        <v>#REF!</v>
      </c>
    </row>
    <row r="11" spans="1:30" ht="15" customHeight="1" x14ac:dyDescent="0.3">
      <c r="A11" s="324">
        <v>100</v>
      </c>
      <c r="B11" s="325">
        <v>37196</v>
      </c>
      <c r="C11" s="326">
        <v>37211</v>
      </c>
      <c r="D11" s="326" t="s">
        <v>151</v>
      </c>
      <c r="E11" s="326" t="s">
        <v>152</v>
      </c>
      <c r="F11" s="327">
        <v>0.05</v>
      </c>
      <c r="G11" s="326">
        <v>45762</v>
      </c>
      <c r="H11" s="326">
        <v>40648</v>
      </c>
      <c r="I11" s="332">
        <v>100</v>
      </c>
      <c r="J11" s="326"/>
      <c r="K11" s="329"/>
      <c r="L11" s="330">
        <v>101.111</v>
      </c>
      <c r="AD11" s="18" t="e">
        <f>#REF!*A11</f>
        <v>#REF!</v>
      </c>
    </row>
    <row r="12" spans="1:30" ht="15" customHeight="1" x14ac:dyDescent="0.3">
      <c r="A12" s="324">
        <v>200</v>
      </c>
      <c r="B12" s="334">
        <v>37196</v>
      </c>
      <c r="C12" s="326">
        <v>37215</v>
      </c>
      <c r="D12" s="326" t="s">
        <v>151</v>
      </c>
      <c r="E12" s="326" t="s">
        <v>159</v>
      </c>
      <c r="F12" s="327">
        <v>0.05</v>
      </c>
      <c r="G12" s="326">
        <v>46327</v>
      </c>
      <c r="H12" s="326">
        <v>40848</v>
      </c>
      <c r="I12" s="332">
        <v>100</v>
      </c>
      <c r="J12" s="326"/>
      <c r="K12" s="335"/>
      <c r="L12" s="330">
        <v>100.919</v>
      </c>
      <c r="AD12" s="18" t="e">
        <f>#REF!*A12</f>
        <v>#REF!</v>
      </c>
    </row>
    <row r="13" spans="1:30" ht="15" customHeight="1" x14ac:dyDescent="0.3">
      <c r="A13" s="324">
        <v>200</v>
      </c>
      <c r="B13" s="325">
        <v>35735</v>
      </c>
      <c r="C13" s="326">
        <v>37211</v>
      </c>
      <c r="D13" s="326" t="s">
        <v>151</v>
      </c>
      <c r="E13" s="326" t="s">
        <v>163</v>
      </c>
      <c r="F13" s="327">
        <v>0.05</v>
      </c>
      <c r="G13" s="326">
        <v>46614</v>
      </c>
      <c r="H13" s="326">
        <v>39675</v>
      </c>
      <c r="I13" s="332">
        <v>100</v>
      </c>
      <c r="J13" s="326"/>
      <c r="K13" s="333"/>
      <c r="L13" s="336">
        <v>100.56100000000001</v>
      </c>
      <c r="AD13" s="18" t="e">
        <f>#REF!*A13</f>
        <v>#REF!</v>
      </c>
    </row>
    <row r="14" spans="1:30" ht="15" customHeight="1" x14ac:dyDescent="0.3">
      <c r="A14" s="324"/>
      <c r="B14" s="325"/>
      <c r="C14" s="326"/>
      <c r="D14" s="326"/>
      <c r="E14" s="326"/>
      <c r="F14" s="327"/>
      <c r="G14" s="326"/>
      <c r="H14" s="326"/>
      <c r="I14" s="332"/>
      <c r="J14" s="326"/>
      <c r="K14" s="333"/>
      <c r="L14" s="336"/>
      <c r="AD14" s="18" t="e">
        <f>#REF!*A14</f>
        <v>#REF!</v>
      </c>
    </row>
    <row r="15" spans="1:30" ht="15" customHeight="1" x14ac:dyDescent="0.3">
      <c r="A15" s="324"/>
      <c r="B15" s="325"/>
      <c r="C15" s="326"/>
      <c r="D15" s="326"/>
      <c r="E15" s="326"/>
      <c r="F15" s="327"/>
      <c r="G15" s="326"/>
      <c r="H15" s="326"/>
      <c r="I15" s="332"/>
      <c r="J15" s="326"/>
      <c r="K15" s="333"/>
      <c r="L15" s="336"/>
      <c r="AD15" s="18" t="e">
        <f>#REF!*A15</f>
        <v>#REF!</v>
      </c>
    </row>
    <row r="16" spans="1:30" ht="15" customHeight="1" x14ac:dyDescent="0.3">
      <c r="A16" s="324"/>
      <c r="B16" s="325"/>
      <c r="C16" s="326"/>
      <c r="D16" s="326"/>
      <c r="E16" s="326"/>
      <c r="F16" s="327"/>
      <c r="G16" s="326"/>
      <c r="H16" s="326"/>
      <c r="I16" s="332"/>
      <c r="J16" s="326"/>
      <c r="K16" s="333"/>
      <c r="L16" s="336"/>
      <c r="AD16" s="18" t="e">
        <f>#REF!*A16</f>
        <v>#REF!</v>
      </c>
    </row>
    <row r="17" spans="1:30" ht="15" customHeight="1" x14ac:dyDescent="0.3">
      <c r="A17" s="331"/>
      <c r="B17" s="325"/>
      <c r="C17" s="326"/>
      <c r="D17" s="326"/>
      <c r="E17" s="326"/>
      <c r="F17" s="327"/>
      <c r="G17" s="326"/>
      <c r="H17" s="326"/>
      <c r="I17" s="332"/>
      <c r="J17" s="326"/>
      <c r="K17" s="333"/>
      <c r="L17" s="330"/>
      <c r="AD17" s="18" t="e">
        <f>#REF!*A17</f>
        <v>#REF!</v>
      </c>
    </row>
    <row r="18" spans="1:30" ht="15" customHeight="1" x14ac:dyDescent="0.3">
      <c r="A18" s="324"/>
      <c r="B18" s="334"/>
      <c r="C18" s="326"/>
      <c r="D18" s="326"/>
      <c r="E18" s="326"/>
      <c r="F18" s="327"/>
      <c r="G18" s="326"/>
      <c r="H18" s="326"/>
      <c r="I18" s="332"/>
      <c r="J18" s="326"/>
      <c r="K18" s="335"/>
      <c r="L18" s="330"/>
      <c r="AD18" s="18" t="e">
        <f>#REF!*A18</f>
        <v>#REF!</v>
      </c>
    </row>
    <row r="19" spans="1:30" ht="15" customHeight="1" x14ac:dyDescent="0.3">
      <c r="A19" s="324"/>
      <c r="B19" s="325"/>
      <c r="C19" s="326"/>
      <c r="D19" s="326"/>
      <c r="E19" s="326"/>
      <c r="F19" s="327"/>
      <c r="G19" s="326"/>
      <c r="H19" s="326"/>
      <c r="I19" s="332"/>
      <c r="J19" s="326"/>
      <c r="K19" s="329"/>
      <c r="L19" s="330"/>
      <c r="AD19" s="18" t="e">
        <f>#REF!*A19</f>
        <v>#REF!</v>
      </c>
    </row>
    <row r="20" spans="1:30" ht="15" customHeight="1" x14ac:dyDescent="0.3">
      <c r="A20" s="324"/>
      <c r="B20" s="325"/>
      <c r="C20" s="326"/>
      <c r="D20" s="326"/>
      <c r="E20" s="326"/>
      <c r="F20" s="327"/>
      <c r="G20" s="326"/>
      <c r="H20" s="326"/>
      <c r="I20" s="332"/>
      <c r="J20" s="326"/>
      <c r="K20" s="333"/>
      <c r="L20" s="336"/>
      <c r="AD20" s="18" t="e">
        <f>#REF!*A20</f>
        <v>#REF!</v>
      </c>
    </row>
    <row r="21" spans="1:30" ht="15" customHeight="1" x14ac:dyDescent="0.3">
      <c r="A21" s="324"/>
      <c r="B21" s="325"/>
      <c r="C21" s="326"/>
      <c r="D21" s="326"/>
      <c r="E21" s="326"/>
      <c r="F21" s="327"/>
      <c r="G21" s="326"/>
      <c r="H21" s="326"/>
      <c r="I21" s="332"/>
      <c r="J21" s="326"/>
      <c r="K21" s="329"/>
      <c r="L21" s="330"/>
      <c r="AD21" s="18" t="e">
        <f>#REF!*A21</f>
        <v>#REF!</v>
      </c>
    </row>
    <row r="22" spans="1:30" ht="15" customHeight="1" x14ac:dyDescent="0.3">
      <c r="A22" s="331"/>
      <c r="B22" s="325"/>
      <c r="C22" s="326"/>
      <c r="D22" s="326"/>
      <c r="E22" s="326"/>
      <c r="F22" s="327"/>
      <c r="G22" s="326"/>
      <c r="H22" s="326"/>
      <c r="I22" s="332"/>
      <c r="J22" s="326"/>
      <c r="K22" s="333"/>
      <c r="L22" s="336"/>
      <c r="AD22" s="18" t="e">
        <f>#REF!*A22</f>
        <v>#REF!</v>
      </c>
    </row>
    <row r="23" spans="1:30" ht="15" customHeight="1" x14ac:dyDescent="0.3">
      <c r="A23" s="337"/>
      <c r="B23" s="338"/>
      <c r="C23" s="326"/>
      <c r="D23" s="333"/>
      <c r="E23" s="339"/>
      <c r="F23" s="340"/>
      <c r="G23" s="339"/>
      <c r="H23" s="326"/>
      <c r="I23" s="332"/>
      <c r="J23" s="326"/>
      <c r="K23" s="333"/>
      <c r="L23" s="335"/>
      <c r="AD23" s="18" t="e">
        <f>#REF!*A23</f>
        <v>#REF!</v>
      </c>
    </row>
    <row r="24" spans="1:30" ht="15" customHeight="1" thickBot="1" x14ac:dyDescent="0.35">
      <c r="A24" s="341"/>
      <c r="B24" s="342"/>
      <c r="C24" s="343"/>
      <c r="D24" s="344"/>
      <c r="E24" s="343"/>
      <c r="F24" s="345"/>
      <c r="G24" s="343"/>
      <c r="H24" s="343"/>
      <c r="I24" s="346"/>
      <c r="J24" s="343"/>
      <c r="K24" s="344"/>
      <c r="L24" s="347"/>
      <c r="AD24" s="18" t="e">
        <f>#REF!*A24</f>
        <v>#REF!</v>
      </c>
    </row>
    <row r="25" spans="1:30" ht="15" customHeight="1" x14ac:dyDescent="0.35">
      <c r="A25" s="20">
        <f>SUM(A3:A24)</f>
        <v>2000</v>
      </c>
      <c r="B25" s="132"/>
      <c r="AD25" s="18"/>
    </row>
    <row r="26" spans="1:30" ht="17.25" customHeight="1" x14ac:dyDescent="0.35">
      <c r="B26" s="142"/>
      <c r="C26" s="310" t="s">
        <v>65</v>
      </c>
      <c r="E26" s="132" t="s">
        <v>104</v>
      </c>
      <c r="G26" s="132" t="s">
        <v>106</v>
      </c>
      <c r="AD26" s="18"/>
    </row>
    <row r="27" spans="1:30" ht="15" customHeight="1" x14ac:dyDescent="0.35">
      <c r="B27" s="142"/>
      <c r="C27" s="311">
        <v>37211</v>
      </c>
      <c r="D27" s="142"/>
      <c r="E27" s="229" t="s">
        <v>164</v>
      </c>
      <c r="G27" s="230">
        <v>1.6419999999999999</v>
      </c>
      <c r="L27" s="377"/>
    </row>
    <row r="28" spans="1:30" ht="15" customHeight="1" x14ac:dyDescent="0.3">
      <c r="B28" s="142"/>
      <c r="C28" s="252"/>
      <c r="E28" s="214"/>
      <c r="F28" s="231"/>
      <c r="G28" s="142"/>
    </row>
    <row r="29" spans="1:30" ht="15" customHeight="1" x14ac:dyDescent="0.3">
      <c r="B29" s="142"/>
      <c r="C29" s="142"/>
    </row>
    <row r="30" spans="1:30" ht="15" customHeight="1" x14ac:dyDescent="0.3">
      <c r="B30" s="142"/>
      <c r="C30" s="142"/>
      <c r="F30" s="20"/>
      <c r="G30" s="20"/>
    </row>
    <row r="31" spans="1:30" ht="15" customHeight="1" x14ac:dyDescent="0.3">
      <c r="B31" s="142"/>
      <c r="C31" s="142"/>
      <c r="G31" s="19"/>
    </row>
    <row r="32" spans="1:30" ht="15" customHeight="1" x14ac:dyDescent="0.3">
      <c r="B32" s="142"/>
      <c r="C32" s="142"/>
      <c r="F32" s="46"/>
      <c r="G32" s="19"/>
    </row>
    <row r="33" spans="2:9" ht="14.25" customHeight="1" x14ac:dyDescent="0.3">
      <c r="B33" s="18"/>
      <c r="C33" s="18"/>
      <c r="F33" s="46"/>
      <c r="G33" s="19"/>
      <c r="H33" s="156"/>
      <c r="I33" s="142"/>
    </row>
    <row r="34" spans="2:9" ht="14.25" customHeight="1" x14ac:dyDescent="0.3">
      <c r="C34" s="20"/>
      <c r="D34" s="20"/>
    </row>
    <row r="35" spans="2:9" ht="14.25" customHeight="1" x14ac:dyDescent="0.3">
      <c r="C35" s="20"/>
      <c r="D35" s="20"/>
    </row>
    <row r="36" spans="2:9" ht="14.25" customHeight="1" x14ac:dyDescent="0.3">
      <c r="C36" s="20"/>
      <c r="D36" s="20"/>
    </row>
    <row r="37" spans="2:9" ht="14.25" customHeight="1" x14ac:dyDescent="0.25"/>
  </sheetData>
  <phoneticPr fontId="0" type="noConversion"/>
  <pageMargins left="0.5" right="0" top="1" bottom="0" header="0" footer="0"/>
  <pageSetup scale="8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J39"/>
  <sheetViews>
    <sheetView showGridLines="0" showZeros="0" tabSelected="1" topLeftCell="A4" zoomScale="75" workbookViewId="0">
      <selection activeCell="A50" sqref="A50"/>
    </sheetView>
  </sheetViews>
  <sheetFormatPr defaultColWidth="9.109375" defaultRowHeight="13.2" x14ac:dyDescent="0.25"/>
  <cols>
    <col min="1" max="1" width="49.109375" style="2" customWidth="1"/>
    <col min="2" max="2" width="23.109375" style="2" customWidth="1"/>
    <col min="3" max="3" width="22" style="2" customWidth="1"/>
    <col min="4" max="6" width="22.6640625" style="2" customWidth="1"/>
    <col min="7" max="7" width="21.109375" style="2" customWidth="1"/>
    <col min="8" max="8" width="12.5546875" style="2" customWidth="1"/>
    <col min="9" max="9" width="7.109375" style="2" customWidth="1"/>
    <col min="10" max="10" width="0.33203125" style="2" hidden="1" customWidth="1"/>
    <col min="11" max="16384" width="9.109375" style="2"/>
  </cols>
  <sheetData>
    <row r="1" spans="1:9" ht="49.5" customHeight="1" thickBot="1" x14ac:dyDescent="0.4">
      <c r="A1" s="121"/>
      <c r="B1" s="21"/>
      <c r="C1" s="21"/>
      <c r="D1" s="21"/>
      <c r="E1" s="50"/>
      <c r="F1" s="21"/>
      <c r="G1" s="50"/>
      <c r="H1" s="50"/>
      <c r="I1" s="50"/>
    </row>
    <row r="2" spans="1:9" ht="20.25" customHeight="1" x14ac:dyDescent="0.3">
      <c r="A2" s="136"/>
      <c r="B2" s="17"/>
      <c r="C2" s="17"/>
      <c r="D2" s="17"/>
      <c r="E2" s="17"/>
      <c r="F2" s="137"/>
      <c r="G2" s="138"/>
      <c r="H2" s="20"/>
      <c r="I2" s="20"/>
    </row>
    <row r="3" spans="1:9" ht="20.25" customHeight="1" x14ac:dyDescent="0.3">
      <c r="A3" s="20"/>
      <c r="B3" s="20"/>
      <c r="C3" s="20"/>
      <c r="D3" s="16"/>
      <c r="E3" s="17"/>
      <c r="F3" s="20"/>
      <c r="G3" s="20"/>
      <c r="H3" s="20"/>
      <c r="I3" s="20"/>
    </row>
    <row r="4" spans="1:9" ht="20.25" customHeight="1" x14ac:dyDescent="0.3">
      <c r="A4" s="348" t="s">
        <v>0</v>
      </c>
      <c r="B4" s="349" t="s">
        <v>20</v>
      </c>
      <c r="C4" s="20"/>
      <c r="D4" s="16"/>
      <c r="E4" s="17"/>
      <c r="F4" s="20"/>
      <c r="G4" s="20"/>
      <c r="H4" s="20"/>
      <c r="I4" s="20"/>
    </row>
    <row r="5" spans="1:9" ht="20.25" customHeight="1" x14ac:dyDescent="0.35">
      <c r="A5" s="350" t="str">
        <f>Enter!E27</f>
        <v>Scott Neal Muni Ladder</v>
      </c>
      <c r="B5" s="351">
        <f ca="1">NOW()</f>
        <v>37208.425726851849</v>
      </c>
      <c r="C5" s="20"/>
      <c r="D5" s="17"/>
      <c r="E5" s="17"/>
      <c r="F5" s="20"/>
      <c r="G5" s="20"/>
      <c r="H5" s="20"/>
      <c r="I5" s="20"/>
    </row>
    <row r="6" spans="1:9" ht="20.25" customHeight="1" x14ac:dyDescent="0.3">
      <c r="A6" s="20"/>
      <c r="B6" s="20"/>
      <c r="C6" s="20"/>
      <c r="D6" s="20"/>
      <c r="E6" s="17"/>
      <c r="F6" s="20"/>
      <c r="G6" s="20"/>
      <c r="H6" s="20"/>
      <c r="I6" s="20"/>
    </row>
    <row r="7" spans="1:9" ht="20.25" customHeight="1" x14ac:dyDescent="0.3">
      <c r="A7" s="20"/>
      <c r="B7" s="20"/>
      <c r="C7" s="20"/>
      <c r="D7" s="20"/>
      <c r="E7" s="17"/>
      <c r="F7" s="20"/>
      <c r="G7" s="20"/>
      <c r="H7" s="20"/>
      <c r="I7" s="20"/>
    </row>
    <row r="8" spans="1:9" ht="20.25" customHeight="1" x14ac:dyDescent="0.3">
      <c r="A8" s="20"/>
      <c r="B8" s="20"/>
      <c r="C8" s="20"/>
      <c r="D8" s="20"/>
      <c r="E8" s="17"/>
      <c r="F8" s="20"/>
      <c r="G8" s="20"/>
      <c r="H8" s="20"/>
      <c r="I8" s="20"/>
    </row>
    <row r="9" spans="1:9" ht="20.25" customHeight="1" x14ac:dyDescent="0.3">
      <c r="A9" s="20"/>
      <c r="B9" s="19"/>
      <c r="C9" s="20"/>
      <c r="D9" s="20"/>
      <c r="E9" s="17"/>
      <c r="F9" s="20"/>
      <c r="G9" s="20"/>
      <c r="H9" s="20"/>
      <c r="I9" s="20"/>
    </row>
    <row r="10" spans="1:9" ht="20.25" customHeight="1" x14ac:dyDescent="0.3">
      <c r="A10" s="20"/>
      <c r="B10" s="19"/>
      <c r="C10" s="20"/>
      <c r="D10" s="20"/>
      <c r="E10" s="17"/>
      <c r="F10" s="20"/>
      <c r="G10" s="20"/>
      <c r="H10" s="20"/>
      <c r="I10" s="20"/>
    </row>
    <row r="11" spans="1:9" ht="16.5" customHeight="1" x14ac:dyDescent="0.3">
      <c r="A11" s="137" t="s">
        <v>101</v>
      </c>
      <c r="B11" s="139">
        <f>SUM(Proposal!A7:A28)*1000</f>
        <v>2000000</v>
      </c>
      <c r="C11" s="20"/>
      <c r="D11" s="20"/>
      <c r="E11" s="20"/>
      <c r="F11" s="20"/>
      <c r="G11" s="20"/>
      <c r="H11" s="20"/>
      <c r="I11" s="20"/>
    </row>
    <row r="12" spans="1:9" ht="16.5" customHeight="1" x14ac:dyDescent="0.3">
      <c r="A12" s="137" t="s">
        <v>125</v>
      </c>
      <c r="B12" s="140">
        <f>Proposal!AY29</f>
        <v>4.8752100538083036E-2</v>
      </c>
      <c r="C12" s="20"/>
      <c r="D12" s="20"/>
      <c r="E12" s="20"/>
      <c r="F12" s="20"/>
      <c r="G12" s="20"/>
      <c r="H12" s="20"/>
      <c r="I12" s="20"/>
    </row>
    <row r="13" spans="1:9" ht="16.5" customHeight="1" x14ac:dyDescent="0.3">
      <c r="A13" s="137" t="s">
        <v>37</v>
      </c>
      <c r="B13" s="139">
        <f>Proposal!V29</f>
        <v>97450</v>
      </c>
      <c r="C13" s="20"/>
      <c r="D13" s="20"/>
      <c r="E13" s="20"/>
      <c r="F13" s="20"/>
      <c r="G13" s="20"/>
      <c r="H13" s="20"/>
      <c r="I13" s="20"/>
    </row>
    <row r="14" spans="1:9" ht="16.5" customHeight="1" x14ac:dyDescent="0.3">
      <c r="A14" s="137"/>
      <c r="B14" s="141"/>
      <c r="C14" s="17"/>
      <c r="D14" s="20"/>
      <c r="E14" s="20"/>
      <c r="F14" s="20"/>
      <c r="G14" s="20"/>
      <c r="H14" s="20"/>
      <c r="I14" s="20"/>
    </row>
    <row r="15" spans="1:9" ht="16.5" customHeight="1" x14ac:dyDescent="0.3">
      <c r="A15" s="137" t="s">
        <v>38</v>
      </c>
      <c r="B15" s="139">
        <f>Proposal!AM29</f>
        <v>2015674</v>
      </c>
      <c r="C15" s="17"/>
      <c r="D15" s="142"/>
      <c r="E15" s="17"/>
      <c r="F15" s="20"/>
      <c r="G15" s="20"/>
      <c r="H15" s="20"/>
      <c r="I15" s="20"/>
    </row>
    <row r="16" spans="1:9" ht="16.5" customHeight="1" x14ac:dyDescent="0.3">
      <c r="A16" s="137" t="s">
        <v>39</v>
      </c>
      <c r="B16" s="139">
        <f>Proposal!AW29</f>
        <v>10042.361111111084</v>
      </c>
      <c r="C16" s="142"/>
      <c r="D16" s="142"/>
      <c r="E16" s="17"/>
      <c r="F16" s="20"/>
      <c r="G16" s="20"/>
      <c r="H16" s="20"/>
      <c r="I16" s="20"/>
    </row>
    <row r="17" spans="1:9" ht="16.5" customHeight="1" x14ac:dyDescent="0.3">
      <c r="A17" s="137" t="s">
        <v>96</v>
      </c>
      <c r="B17" s="139">
        <f>SUM(B15:B16)</f>
        <v>2025716.361111111</v>
      </c>
      <c r="C17" s="20"/>
      <c r="D17" s="20"/>
      <c r="E17" s="20"/>
      <c r="F17" s="20"/>
      <c r="G17" s="20"/>
      <c r="H17" s="20"/>
      <c r="I17" s="20"/>
    </row>
    <row r="18" spans="1:9" ht="15.6" x14ac:dyDescent="0.3">
      <c r="A18" s="20"/>
      <c r="B18" s="20"/>
      <c r="C18" s="20"/>
      <c r="D18" s="20"/>
      <c r="E18" s="20"/>
      <c r="F18" s="20"/>
      <c r="G18" s="20"/>
      <c r="H18" s="20"/>
      <c r="I18" s="20"/>
    </row>
    <row r="19" spans="1:9" ht="15.6" x14ac:dyDescent="0.3">
      <c r="A19" s="137" t="s">
        <v>111</v>
      </c>
      <c r="B19" s="143">
        <f>Proposal!AC29</f>
        <v>19.734757216031294</v>
      </c>
      <c r="C19" s="20"/>
      <c r="D19" s="20"/>
      <c r="E19" s="20"/>
      <c r="F19" s="20"/>
      <c r="G19" s="20"/>
      <c r="H19" s="20"/>
      <c r="I19" s="20"/>
    </row>
    <row r="20" spans="1:9" ht="15.6" x14ac:dyDescent="0.3">
      <c r="A20" s="137" t="s">
        <v>112</v>
      </c>
      <c r="B20" s="143">
        <f>Volatility!H30</f>
        <v>8.0732870449453777</v>
      </c>
      <c r="C20" s="20"/>
      <c r="D20" s="20"/>
      <c r="E20" s="20"/>
      <c r="F20" s="20"/>
      <c r="G20" s="20"/>
      <c r="H20" s="20"/>
      <c r="I20" s="20"/>
    </row>
    <row r="21" spans="1:9" ht="15.6" x14ac:dyDescent="0.3">
      <c r="A21" s="137" t="s">
        <v>113</v>
      </c>
      <c r="B21" s="144">
        <f>Volatility!AW$29</f>
        <v>4.8346111523986511E-2</v>
      </c>
      <c r="C21" s="20"/>
      <c r="D21" s="20"/>
      <c r="E21" s="20"/>
      <c r="F21" s="20"/>
      <c r="G21" s="20"/>
      <c r="H21" s="20"/>
      <c r="I21" s="20"/>
    </row>
    <row r="22" spans="1:9" ht="15.6" x14ac:dyDescent="0.3">
      <c r="A22" s="137" t="s">
        <v>116</v>
      </c>
      <c r="B22" s="144">
        <f>Volatility!AV$29</f>
        <v>4.7351871089068236E-2</v>
      </c>
      <c r="C22" s="20"/>
      <c r="D22" s="20"/>
      <c r="E22" s="20"/>
      <c r="F22" s="20"/>
      <c r="G22" s="20"/>
      <c r="H22" s="20"/>
      <c r="I22" s="20"/>
    </row>
    <row r="23" spans="1:9" ht="15.6" x14ac:dyDescent="0.3">
      <c r="A23" s="137" t="s">
        <v>9</v>
      </c>
      <c r="B23" s="139">
        <f>Proposal!AJ29</f>
        <v>100.7837</v>
      </c>
      <c r="C23" s="20"/>
      <c r="D23" s="20"/>
      <c r="E23" s="20"/>
      <c r="F23" s="20"/>
      <c r="G23" s="20"/>
      <c r="H23" s="20"/>
      <c r="I23" s="20"/>
    </row>
    <row r="24" spans="1:9" ht="15.6" x14ac:dyDescent="0.3">
      <c r="A24" s="20"/>
      <c r="B24" s="20"/>
      <c r="C24" s="20"/>
      <c r="D24" s="20"/>
      <c r="E24" s="20"/>
      <c r="F24" s="17"/>
      <c r="G24" s="20"/>
      <c r="H24" s="20"/>
      <c r="I24" s="20"/>
    </row>
    <row r="25" spans="1:9" ht="15.6" x14ac:dyDescent="0.3">
      <c r="A25" s="20" t="s">
        <v>126</v>
      </c>
      <c r="B25" s="20"/>
      <c r="C25" s="20"/>
      <c r="D25" s="20"/>
      <c r="E25" s="20"/>
      <c r="F25" s="17"/>
      <c r="G25" s="20"/>
      <c r="H25" s="20"/>
      <c r="I25" s="20"/>
    </row>
    <row r="26" spans="1:9" ht="15.6" x14ac:dyDescent="0.3">
      <c r="A26" s="20"/>
      <c r="B26" s="20"/>
      <c r="C26" s="20"/>
      <c r="D26" s="20"/>
      <c r="E26" s="20"/>
      <c r="F26" s="20"/>
      <c r="G26" s="20"/>
      <c r="H26" s="17"/>
      <c r="I26" s="17"/>
    </row>
    <row r="27" spans="1:9" ht="15.6" x14ac:dyDescent="0.3">
      <c r="A27" s="20" t="s">
        <v>121</v>
      </c>
      <c r="B27" s="20"/>
      <c r="C27" s="20"/>
      <c r="D27" s="20"/>
      <c r="E27" s="20"/>
      <c r="F27" s="20"/>
      <c r="G27" s="20"/>
      <c r="H27" s="20"/>
      <c r="I27" s="20"/>
    </row>
    <row r="28" spans="1:9" ht="15.6" x14ac:dyDescent="0.3">
      <c r="A28" s="20" t="s">
        <v>122</v>
      </c>
      <c r="B28" s="20"/>
      <c r="C28" s="20"/>
      <c r="D28" s="20"/>
      <c r="E28" s="20"/>
      <c r="F28" s="20"/>
      <c r="G28" s="20"/>
      <c r="H28" s="20"/>
      <c r="I28" s="20"/>
    </row>
    <row r="29" spans="1:9" ht="15.6" x14ac:dyDescent="0.3">
      <c r="A29" s="20" t="s">
        <v>128</v>
      </c>
      <c r="B29" s="20"/>
      <c r="C29" s="20"/>
      <c r="D29" s="20"/>
      <c r="E29" s="20"/>
      <c r="F29" s="20"/>
      <c r="G29" s="20"/>
      <c r="H29" s="20"/>
      <c r="I29" s="20"/>
    </row>
    <row r="30" spans="1:9" ht="15.6" x14ac:dyDescent="0.3">
      <c r="A30" s="20" t="s">
        <v>133</v>
      </c>
      <c r="B30" s="20"/>
      <c r="C30" s="20"/>
      <c r="D30" s="20"/>
      <c r="E30" s="20"/>
      <c r="F30" s="20"/>
      <c r="G30" s="20"/>
      <c r="H30" s="20"/>
      <c r="I30" s="20"/>
    </row>
    <row r="31" spans="1:9" ht="15.6" x14ac:dyDescent="0.3">
      <c r="A31" s="20" t="s">
        <v>123</v>
      </c>
      <c r="B31" s="20"/>
      <c r="C31" s="20"/>
      <c r="D31" s="20"/>
      <c r="E31" s="20"/>
      <c r="F31" s="20"/>
      <c r="G31" s="20"/>
      <c r="H31" s="20"/>
      <c r="I31" s="20"/>
    </row>
    <row r="32" spans="1:9" ht="15.6" x14ac:dyDescent="0.3">
      <c r="A32" s="20"/>
      <c r="B32" s="20"/>
      <c r="C32" s="20"/>
      <c r="D32" s="20"/>
      <c r="E32" s="20"/>
      <c r="F32" s="20"/>
      <c r="G32" s="20"/>
      <c r="H32" s="20"/>
      <c r="I32" s="20"/>
    </row>
    <row r="33" spans="1:9" ht="16.2" thickBot="1" x14ac:dyDescent="0.35">
      <c r="A33" s="21"/>
      <c r="B33" s="21"/>
      <c r="C33" s="21"/>
      <c r="D33" s="21"/>
      <c r="E33" s="21"/>
      <c r="F33" s="21"/>
      <c r="G33" s="21"/>
      <c r="H33" s="21"/>
      <c r="I33" s="21"/>
    </row>
    <row r="35" spans="1:9" x14ac:dyDescent="0.25">
      <c r="A35" s="14"/>
      <c r="B35" s="11"/>
      <c r="C35" s="11"/>
      <c r="D35" s="11"/>
      <c r="E35" s="11"/>
    </row>
    <row r="36" spans="1:9" x14ac:dyDescent="0.25">
      <c r="A36" s="14"/>
      <c r="B36" s="15"/>
      <c r="C36" s="15"/>
      <c r="D36" s="15"/>
      <c r="E36" s="11"/>
    </row>
    <row r="37" spans="1:9" x14ac:dyDescent="0.25">
      <c r="A37" s="14"/>
      <c r="B37" s="11"/>
      <c r="C37" s="11"/>
      <c r="D37" s="11"/>
      <c r="E37" s="11"/>
    </row>
    <row r="38" spans="1:9" x14ac:dyDescent="0.25">
      <c r="A38" s="11"/>
      <c r="B38" s="11"/>
      <c r="C38" s="11"/>
      <c r="D38" s="11"/>
      <c r="E38" s="11"/>
    </row>
    <row r="39" spans="1:9" x14ac:dyDescent="0.25">
      <c r="B39" s="11"/>
      <c r="C39" s="13"/>
      <c r="D39" s="11"/>
    </row>
  </sheetData>
  <sheetProtection password="DD15" sheet="1" objects="1" scenarios="1"/>
  <phoneticPr fontId="0" type="noConversion"/>
  <pageMargins left="0.25" right="0" top="1" bottom="0" header="0.5" footer="0"/>
  <pageSetup scale="8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3329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68580</xdr:rowOff>
              </from>
              <to>
                <xdr:col>1</xdr:col>
                <xdr:colOff>541020</xdr:colOff>
                <xdr:row>0</xdr:row>
                <xdr:rowOff>571500</xdr:rowOff>
              </to>
            </anchor>
          </objectPr>
        </oleObject>
      </mc:Choice>
      <mc:Fallback>
        <oleObject progId="Word.Picture.8" shapeId="1332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I577"/>
  <sheetViews>
    <sheetView showGridLines="0" showZeros="0" zoomScale="75" workbookViewId="0">
      <selection activeCell="B7" sqref="B7"/>
    </sheetView>
  </sheetViews>
  <sheetFormatPr defaultColWidth="9.109375" defaultRowHeight="13.2" x14ac:dyDescent="0.25"/>
  <cols>
    <col min="1" max="1" width="11.88671875" style="2" customWidth="1"/>
    <col min="2" max="2" width="12.5546875" style="2" customWidth="1"/>
    <col min="3" max="3" width="31.33203125" style="1" customWidth="1"/>
    <col min="4" max="4" width="11.6640625" style="2" customWidth="1"/>
    <col min="5" max="5" width="12.33203125" style="2" customWidth="1"/>
    <col min="6" max="6" width="13" style="2" customWidth="1"/>
    <col min="7" max="7" width="14.109375" style="2" customWidth="1"/>
    <col min="8" max="8" width="12" style="2" customWidth="1"/>
    <col min="9" max="9" width="10.33203125" style="2" customWidth="1"/>
    <col min="10" max="10" width="11.33203125" style="2" customWidth="1"/>
    <col min="11" max="11" width="11.6640625" style="2" customWidth="1"/>
    <col min="12" max="12" width="11.6640625" style="24" customWidth="1"/>
    <col min="13" max="13" width="13.33203125" style="2" customWidth="1"/>
    <col min="14" max="14" width="11.33203125" style="2" customWidth="1"/>
    <col min="15" max="15" width="22.44140625" style="2" customWidth="1"/>
    <col min="16" max="16" width="22.5546875" style="2" customWidth="1"/>
    <col min="17" max="17" width="14.44140625" style="2" customWidth="1"/>
    <col min="18" max="18" width="21.44140625" style="2" customWidth="1"/>
    <col min="19" max="19" width="15.88671875" style="2" customWidth="1"/>
    <col min="20" max="20" width="16.5546875" style="5" customWidth="1"/>
    <col min="21" max="21" width="10.44140625" style="25" customWidth="1"/>
    <col min="22" max="22" width="12.44140625" style="2" customWidth="1"/>
    <col min="23" max="24" width="9.109375" style="2"/>
    <col min="25" max="25" width="14.6640625" style="2" customWidth="1"/>
    <col min="26" max="26" width="20" style="5" customWidth="1"/>
    <col min="27" max="27" width="21.109375" style="5" customWidth="1"/>
    <col min="28" max="28" width="13.44140625" style="5" customWidth="1"/>
    <col min="29" max="29" width="14.88671875" style="5" customWidth="1"/>
    <col min="30" max="30" width="17.33203125" style="5" customWidth="1"/>
    <col min="31" max="31" width="11.33203125" style="5" customWidth="1"/>
    <col min="32" max="32" width="14.44140625" style="5" customWidth="1"/>
    <col min="33" max="33" width="13.88671875" style="5" customWidth="1"/>
    <col min="34" max="34" width="16.33203125" style="5" customWidth="1"/>
    <col min="35" max="38" width="9.109375" style="5"/>
    <col min="39" max="39" width="17.109375" style="5" customWidth="1"/>
    <col min="40" max="42" width="9.109375" style="5"/>
    <col min="43" max="43" width="11.109375" style="5" bestFit="1" customWidth="1"/>
    <col min="44" max="44" width="9.109375" style="5"/>
    <col min="45" max="46" width="9.88671875" style="5" customWidth="1"/>
    <col min="47" max="47" width="12.33203125" style="5" bestFit="1" customWidth="1"/>
    <col min="48" max="48" width="10.6640625" style="5" bestFit="1" customWidth="1"/>
    <col min="49" max="50" width="9.109375" style="5"/>
    <col min="51" max="51" width="13.88671875" style="5" customWidth="1"/>
    <col min="52" max="55" width="9.109375" style="5"/>
    <col min="56" max="56" width="13.33203125" style="5" customWidth="1"/>
    <col min="57" max="57" width="15.5546875" style="5" customWidth="1"/>
    <col min="58" max="58" width="8.109375" style="5" customWidth="1"/>
    <col min="59" max="59" width="17.88671875" style="5" customWidth="1"/>
    <col min="60" max="16384" width="9.109375" style="2"/>
  </cols>
  <sheetData>
    <row r="1" spans="1:61" ht="21" thickBot="1" x14ac:dyDescent="0.4">
      <c r="A1" s="121"/>
      <c r="B1" s="4"/>
      <c r="C1" s="26"/>
      <c r="D1" s="4"/>
      <c r="E1" s="4"/>
      <c r="F1" s="4"/>
      <c r="G1" s="4"/>
      <c r="H1" s="4"/>
      <c r="I1" s="4"/>
      <c r="J1" s="4"/>
      <c r="K1" s="4"/>
      <c r="L1" s="27"/>
      <c r="M1" s="50"/>
      <c r="N1" s="238" t="s">
        <v>137</v>
      </c>
      <c r="T1" s="35"/>
      <c r="U1" s="11"/>
      <c r="V1" s="11"/>
      <c r="W1" s="11"/>
      <c r="X1" s="11"/>
      <c r="Y1" s="11"/>
      <c r="Z1" s="35"/>
    </row>
    <row r="2" spans="1:61" ht="18" customHeight="1" x14ac:dyDescent="0.3">
      <c r="A2" s="213"/>
      <c r="B2" s="212"/>
      <c r="C2" s="314"/>
      <c r="D2" s="28"/>
      <c r="E2" s="29"/>
      <c r="F2" s="29"/>
      <c r="G2" s="29"/>
      <c r="H2" s="29"/>
      <c r="I2" s="29"/>
      <c r="J2" s="29"/>
      <c r="K2" s="29"/>
      <c r="L2" s="30"/>
      <c r="M2" s="29"/>
      <c r="S2" s="36"/>
      <c r="T2" s="35"/>
      <c r="U2" s="49"/>
      <c r="V2" s="49"/>
      <c r="W2" s="49"/>
      <c r="X2" s="49"/>
      <c r="Y2" s="49"/>
      <c r="Z2" s="52"/>
    </row>
    <row r="3" spans="1:61" ht="22.8" x14ac:dyDescent="0.4">
      <c r="B3" s="19"/>
      <c r="C3" s="315"/>
      <c r="D3" s="28"/>
      <c r="E3" s="29"/>
      <c r="F3" s="22"/>
      <c r="G3" s="22"/>
      <c r="H3" s="22"/>
      <c r="I3" s="29"/>
      <c r="J3" s="29"/>
      <c r="K3" s="29"/>
      <c r="L3" s="30"/>
      <c r="M3" s="29"/>
      <c r="R3" s="128" t="s">
        <v>110</v>
      </c>
      <c r="S3" s="55"/>
      <c r="T3" s="54"/>
      <c r="U3" s="54"/>
      <c r="V3" s="54"/>
      <c r="W3" s="54"/>
      <c r="X3" s="54"/>
      <c r="Y3" s="54"/>
      <c r="Z3" s="70"/>
      <c r="AA3" s="70"/>
      <c r="AB3" s="70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71"/>
      <c r="BH3" s="71"/>
      <c r="BI3" s="72"/>
    </row>
    <row r="4" spans="1:61" ht="21" customHeight="1" x14ac:dyDescent="0.4">
      <c r="A4" s="31"/>
      <c r="B4" s="23"/>
      <c r="C4" s="232"/>
      <c r="D4" s="31"/>
      <c r="E4" s="32"/>
      <c r="F4" s="32"/>
      <c r="G4" s="33"/>
      <c r="H4" s="33"/>
      <c r="I4" s="33"/>
      <c r="J4" s="33"/>
      <c r="K4" s="33"/>
      <c r="L4" s="34"/>
      <c r="M4" s="312" t="s">
        <v>148</v>
      </c>
      <c r="N4" s="313">
        <f>Enter!C27</f>
        <v>37211</v>
      </c>
      <c r="R4" s="55"/>
      <c r="S4" s="55"/>
      <c r="T4" s="56"/>
      <c r="U4" s="57"/>
      <c r="V4" s="58"/>
      <c r="W4" s="58"/>
      <c r="X4" s="58"/>
      <c r="Y4" s="58"/>
      <c r="Z4" s="73"/>
      <c r="AA4" s="73"/>
      <c r="AB4" s="73"/>
      <c r="AC4" s="73"/>
      <c r="AD4" s="73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74" t="s">
        <v>1</v>
      </c>
      <c r="BH4" s="61"/>
      <c r="BI4" s="75"/>
    </row>
    <row r="5" spans="1:61" ht="15.6" x14ac:dyDescent="0.3">
      <c r="A5" s="352" t="s">
        <v>114</v>
      </c>
      <c r="B5" s="353"/>
      <c r="C5" s="354"/>
      <c r="D5" s="355"/>
      <c r="E5" s="355"/>
      <c r="F5" s="355" t="s">
        <v>85</v>
      </c>
      <c r="G5" s="355" t="s">
        <v>86</v>
      </c>
      <c r="H5" s="355" t="s">
        <v>15</v>
      </c>
      <c r="I5" s="355" t="s">
        <v>91</v>
      </c>
      <c r="J5" s="356"/>
      <c r="K5" s="355"/>
      <c r="L5" s="355"/>
      <c r="M5" s="355"/>
      <c r="N5" s="355"/>
      <c r="R5" s="55"/>
      <c r="S5" s="55"/>
      <c r="T5" s="56"/>
      <c r="U5" s="59"/>
      <c r="V5" s="60" t="s">
        <v>3</v>
      </c>
      <c r="W5" s="61"/>
      <c r="X5" s="60" t="s">
        <v>4</v>
      </c>
      <c r="Y5" s="60"/>
      <c r="Z5" s="74" t="s">
        <v>5</v>
      </c>
      <c r="AA5" s="76"/>
      <c r="AB5" s="56"/>
      <c r="AC5" s="56" t="s">
        <v>6</v>
      </c>
      <c r="AD5" s="77" t="s">
        <v>7</v>
      </c>
      <c r="AE5" s="61"/>
      <c r="AF5" s="56"/>
      <c r="AG5" s="78" t="s">
        <v>8</v>
      </c>
      <c r="AH5" s="56"/>
      <c r="AI5" s="77" t="s">
        <v>9</v>
      </c>
      <c r="AJ5" s="56"/>
      <c r="AK5" s="56"/>
      <c r="AL5" s="56"/>
      <c r="AM5" s="78" t="s">
        <v>10</v>
      </c>
      <c r="AN5" s="56"/>
      <c r="AO5" s="56"/>
      <c r="AP5" s="77" t="s">
        <v>11</v>
      </c>
      <c r="AQ5" s="56"/>
      <c r="AR5" s="56"/>
      <c r="AS5" s="56"/>
      <c r="AT5" s="56"/>
      <c r="AU5" s="56" t="s">
        <v>63</v>
      </c>
      <c r="AV5" s="56"/>
      <c r="AW5" s="56"/>
      <c r="AX5" s="56"/>
      <c r="AY5" s="77" t="s">
        <v>12</v>
      </c>
      <c r="AZ5" s="56"/>
      <c r="BA5" s="56"/>
      <c r="BB5" s="56"/>
      <c r="BC5" s="77" t="s">
        <v>13</v>
      </c>
      <c r="BD5" s="76" t="s">
        <v>22</v>
      </c>
      <c r="BE5" s="76" t="s">
        <v>22</v>
      </c>
      <c r="BF5" s="76"/>
      <c r="BG5" s="60" t="s">
        <v>14</v>
      </c>
      <c r="BH5" s="61" t="s">
        <v>93</v>
      </c>
      <c r="BI5" s="75"/>
    </row>
    <row r="6" spans="1:61" ht="15.6" x14ac:dyDescent="0.3">
      <c r="A6" s="355" t="s">
        <v>15</v>
      </c>
      <c r="B6" s="355" t="s">
        <v>16</v>
      </c>
      <c r="C6" s="355" t="s">
        <v>17</v>
      </c>
      <c r="D6" s="355" t="s">
        <v>18</v>
      </c>
      <c r="E6" s="355" t="s">
        <v>19</v>
      </c>
      <c r="F6" s="355" t="s">
        <v>2</v>
      </c>
      <c r="G6" s="355" t="s">
        <v>21</v>
      </c>
      <c r="H6" s="355" t="s">
        <v>2</v>
      </c>
      <c r="I6" s="355" t="s">
        <v>92</v>
      </c>
      <c r="J6" s="355" t="s">
        <v>21</v>
      </c>
      <c r="K6" s="357" t="s">
        <v>22</v>
      </c>
      <c r="L6" s="357" t="s">
        <v>13</v>
      </c>
      <c r="M6" s="358" t="s">
        <v>23</v>
      </c>
      <c r="N6" s="358" t="s">
        <v>120</v>
      </c>
      <c r="R6" s="129" t="s">
        <v>132</v>
      </c>
      <c r="S6" s="64" t="s">
        <v>118</v>
      </c>
      <c r="T6" s="79" t="s">
        <v>87</v>
      </c>
      <c r="U6" s="63" t="s">
        <v>24</v>
      </c>
      <c r="V6" s="63"/>
      <c r="W6" s="63"/>
      <c r="X6" s="64" t="s">
        <v>119</v>
      </c>
      <c r="Y6" s="65"/>
      <c r="Z6" s="79" t="s">
        <v>25</v>
      </c>
      <c r="AA6" s="79" t="s">
        <v>26</v>
      </c>
      <c r="AB6" s="79" t="s">
        <v>102</v>
      </c>
      <c r="AC6" s="79" t="s">
        <v>27</v>
      </c>
      <c r="AD6" s="64" t="s">
        <v>28</v>
      </c>
      <c r="AE6" s="79" t="s">
        <v>29</v>
      </c>
      <c r="AF6" s="79" t="s">
        <v>30</v>
      </c>
      <c r="AG6" s="80" t="s">
        <v>31</v>
      </c>
      <c r="AH6" s="63" t="s">
        <v>32</v>
      </c>
      <c r="AI6" s="81" t="s">
        <v>33</v>
      </c>
      <c r="AJ6" s="79"/>
      <c r="AK6" s="79"/>
      <c r="AL6" s="79"/>
      <c r="AM6" s="81" t="s">
        <v>34</v>
      </c>
      <c r="AN6" s="79"/>
      <c r="AO6" s="79"/>
      <c r="AP6" s="64" t="s">
        <v>107</v>
      </c>
      <c r="AQ6" s="79"/>
      <c r="AR6" s="79" t="s">
        <v>108</v>
      </c>
      <c r="AS6" s="79"/>
      <c r="AT6" s="79"/>
      <c r="AU6" s="79" t="s">
        <v>64</v>
      </c>
      <c r="AV6" s="79"/>
      <c r="AW6" s="79"/>
      <c r="AX6" s="79"/>
      <c r="AY6" s="81" t="s">
        <v>35</v>
      </c>
      <c r="AZ6" s="79"/>
      <c r="BA6" s="79"/>
      <c r="BB6" s="79"/>
      <c r="BC6" s="80"/>
      <c r="BD6" s="82" t="s">
        <v>88</v>
      </c>
      <c r="BE6" s="82" t="s">
        <v>89</v>
      </c>
      <c r="BF6" s="82"/>
      <c r="BG6" s="56" t="s">
        <v>36</v>
      </c>
      <c r="BH6" s="61" t="s">
        <v>94</v>
      </c>
      <c r="BI6" s="83"/>
    </row>
    <row r="7" spans="1:61" ht="15.6" x14ac:dyDescent="0.3">
      <c r="A7" s="233">
        <f>Enter!A3</f>
        <v>200</v>
      </c>
      <c r="B7" s="234" t="str">
        <f>Enter!D3</f>
        <v>AAA/AAA</v>
      </c>
      <c r="C7" s="259" t="str">
        <f>Enter!E3</f>
        <v>SPRING TX ISD PSF</v>
      </c>
      <c r="D7" s="235">
        <f>Enter!F3</f>
        <v>0.05</v>
      </c>
      <c r="E7" s="236">
        <f>Enter!G3</f>
        <v>42597</v>
      </c>
      <c r="F7" s="236">
        <f>Enter!H3</f>
        <v>40770</v>
      </c>
      <c r="G7" s="217">
        <f>Enter!I3</f>
        <v>100</v>
      </c>
      <c r="H7" s="236">
        <f>Enter!J3</f>
        <v>0</v>
      </c>
      <c r="I7" s="237">
        <f>Enter!K3</f>
        <v>0</v>
      </c>
      <c r="J7" s="237">
        <f>Enter!L3</f>
        <v>104.70699999999999</v>
      </c>
      <c r="K7" s="161">
        <f>IF(J7=100,0,IF(BG7=BC7,0,BG7))</f>
        <v>4.4000789567477272E-2</v>
      </c>
      <c r="L7" s="161">
        <f>IF(A7=0,0,IF(R7=TRUE,0,BC7))</f>
        <v>4.5574833942321029E-2</v>
      </c>
      <c r="M7" s="162">
        <f>IF(AG7=0,0,AH7)</f>
        <v>4.7752299273210008E-2</v>
      </c>
      <c r="N7" s="161">
        <f>IF(A7=0,0,IF(K7=0,L7*Enter!G$27,K7*Enter!G$27))</f>
        <v>7.2249296469797678E-2</v>
      </c>
      <c r="R7" s="55" t="b">
        <f>IF(I7&gt;0,TRUE,FALSE)</f>
        <v>0</v>
      </c>
      <c r="S7" s="130">
        <f>IF(R7=TRUE,F7,E7)</f>
        <v>42597</v>
      </c>
      <c r="T7" s="69">
        <f>IF(R7=TRUE,G7*A7*10,100*A7)</f>
        <v>20000</v>
      </c>
      <c r="U7" s="53">
        <v>1</v>
      </c>
      <c r="V7" s="66">
        <f t="shared" ref="V7:V28" si="0">(A7*D7)*1000</f>
        <v>10000</v>
      </c>
      <c r="W7" s="61"/>
      <c r="X7" s="62">
        <f>Volatility!AS7/Volatility!AS$29</f>
        <v>0.10389279218762557</v>
      </c>
      <c r="Y7" s="67"/>
      <c r="Z7" s="84">
        <f>S7</f>
        <v>42597</v>
      </c>
      <c r="AA7" s="56">
        <f>DAYS360(Enter!C3,Z7)</f>
        <v>5309</v>
      </c>
      <c r="AB7" s="85">
        <f t="shared" ref="AB7:AB28" si="1">IF(A7=0,0,AA7)</f>
        <v>5309</v>
      </c>
      <c r="AC7" s="56">
        <f t="shared" ref="AC7:AC28" si="2">X7*AB7</f>
        <v>551.56683372410407</v>
      </c>
      <c r="AD7" s="62">
        <f t="shared" ref="AD7:AD28" si="3">IF(A7=0,0,AF7)</f>
        <v>4.5713648866253596E-3</v>
      </c>
      <c r="AE7" s="86">
        <f t="shared" ref="AE7:AE28" si="4">BG7</f>
        <v>4.4000789567477272E-2</v>
      </c>
      <c r="AF7" s="86">
        <f t="shared" ref="AF7:AF28" si="5">AE7*X7</f>
        <v>4.5713648866253596E-3</v>
      </c>
      <c r="AG7" s="55">
        <f t="shared" ref="AG7:AG28" si="6">IF(A7=0,0,D7)</f>
        <v>0.05</v>
      </c>
      <c r="AH7" s="87">
        <f t="shared" ref="AH7:AH28" si="7">D7/(J7/100)</f>
        <v>4.7752299273210008E-2</v>
      </c>
      <c r="AI7" s="62">
        <f t="shared" ref="AI7:AI28" si="8">A7*J7</f>
        <v>20941.399999999998</v>
      </c>
      <c r="AJ7" s="56"/>
      <c r="AK7" s="56"/>
      <c r="AL7" s="56"/>
      <c r="AM7" s="88">
        <f t="shared" ref="AM7:AM28" si="9">(J7*10)*A7</f>
        <v>209414</v>
      </c>
      <c r="AN7" s="56"/>
      <c r="AO7" s="56"/>
      <c r="AP7" s="88">
        <f t="shared" ref="AP7:AP28" si="10">((D7/360)*180)*1000</f>
        <v>25</v>
      </c>
      <c r="AQ7" s="89">
        <f>DAYS360(Enter!C3,E7)/180</f>
        <v>29.494444444444444</v>
      </c>
      <c r="AR7" s="89">
        <f t="shared" ref="AR7:AR28" si="11">AQ7-INT(AQ7)</f>
        <v>0.49444444444444358</v>
      </c>
      <c r="AS7" s="90">
        <f>IF(AR7=0,0,AP7-(AP7)*AR7)</f>
        <v>12.638888888888911</v>
      </c>
      <c r="AT7" s="91">
        <f>IF(DAYS360(Enter!B3,Enter!C3)&lt;180,0,AS7*A7)</f>
        <v>0</v>
      </c>
      <c r="AU7" s="69">
        <f>IF((DAYS360(Enter!B3,Enter!C3))&lt;180,(DAYS360(Enter!B3,Enter!C3))/180*AP7*A7,0)</f>
        <v>-416.66666666666663</v>
      </c>
      <c r="AV7" s="89"/>
      <c r="AW7" s="89"/>
      <c r="AX7" s="56"/>
      <c r="AY7" s="62">
        <f t="shared" ref="AY7:AY28" si="12">X7*D7</f>
        <v>5.194639609381279E-3</v>
      </c>
      <c r="AZ7" s="56"/>
      <c r="BA7" s="56"/>
      <c r="BB7" s="56"/>
      <c r="BC7" s="92">
        <f>IF(A7=0,0,IF(J7=100,D7,YIELD(Enter!C3,E7,D7,J7,100,2,0)))</f>
        <v>4.5574833942321029E-2</v>
      </c>
      <c r="BD7" s="94">
        <f>IF(A7=0,100,IF(F7=0,100,YIELD(Enter!C3,F7,D7,J7,G7,2,0)))</f>
        <v>4.4000789567477272E-2</v>
      </c>
      <c r="BE7" s="93">
        <f>IF(A7=0,1000,IF(H7=0,1000,YIELD(Enter!C3,H7,D7,J7,100,2,0)))</f>
        <v>1000</v>
      </c>
      <c r="BF7" s="93"/>
      <c r="BG7" s="131">
        <f>IF(R7=TRUE,BD7,MIN(BC7:BE7))</f>
        <v>4.4000789567477272E-2</v>
      </c>
      <c r="BH7" s="120">
        <f>IF(R7=TRUE,F7,IF(J7=100,E7,IF(MIN(BC7:BE7)=BC7,E7,IF(MIN(BC7:BE7)=BD7,F7,H7))))</f>
        <v>40770</v>
      </c>
      <c r="BI7" s="75"/>
    </row>
    <row r="8" spans="1:61" ht="15.6" x14ac:dyDescent="0.3">
      <c r="A8" s="222">
        <f>Enter!A4</f>
        <v>200</v>
      </c>
      <c r="B8" s="215" t="str">
        <f>Enter!D4</f>
        <v>AAA/AAA</v>
      </c>
      <c r="C8" s="260" t="str">
        <f>Enter!E4</f>
        <v>PORT HOUSTON</v>
      </c>
      <c r="D8" s="216">
        <f>Enter!F4</f>
        <v>4.7500000000000001E-2</v>
      </c>
      <c r="E8" s="214">
        <f>Enter!G4</f>
        <v>43009</v>
      </c>
      <c r="F8" s="214">
        <f>Enter!H4</f>
        <v>40817</v>
      </c>
      <c r="G8" s="220">
        <f>Enter!I4</f>
        <v>100</v>
      </c>
      <c r="H8" s="214">
        <f>Enter!J4</f>
        <v>0</v>
      </c>
      <c r="I8" s="221">
        <f>Enter!K4</f>
        <v>0</v>
      </c>
      <c r="J8" s="218">
        <f>Enter!L4</f>
        <v>101.566</v>
      </c>
      <c r="K8" s="161">
        <f t="shared" ref="K8:K28" si="13">IF(J8=100,0,IF(BG8=BC8,0,BG8))</f>
        <v>4.5500440824577805E-2</v>
      </c>
      <c r="L8" s="161">
        <f t="shared" ref="L8:L28" si="14">IF(A8=0,0,IF(R8=TRUE,0,BC8))</f>
        <v>4.6090725004782424E-2</v>
      </c>
      <c r="M8" s="161">
        <f t="shared" ref="M8:M28" si="15">IF(AG8=0,0,AH8)</f>
        <v>4.6767619085126916E-2</v>
      </c>
      <c r="N8" s="161">
        <f>IF(A8=0,0,IF(K8=0,L8*Enter!G$27,K8*Enter!G$27))</f>
        <v>7.4711723833956745E-2</v>
      </c>
      <c r="R8" s="55" t="b">
        <f>IF(I8&gt;0,TRUE,FALSE)</f>
        <v>0</v>
      </c>
      <c r="S8" s="68">
        <f t="shared" ref="S8:S28" si="16">IF(R8=TRUE,F8,E8)</f>
        <v>43009</v>
      </c>
      <c r="T8" s="69">
        <f t="shared" ref="T8:T28" si="17">IF(R8=TRUE,G8*A8*10,100*A8)</f>
        <v>20000</v>
      </c>
      <c r="U8" s="56">
        <v>2</v>
      </c>
      <c r="V8" s="66">
        <f t="shared" si="0"/>
        <v>9500</v>
      </c>
      <c r="W8" s="61"/>
      <c r="X8" s="62">
        <f>Volatility!AS8/Volatility!AS$29</f>
        <v>0.10077621678902442</v>
      </c>
      <c r="Y8" s="67"/>
      <c r="Z8" s="96">
        <f t="shared" ref="Z8:Z28" si="18">S8</f>
        <v>43009</v>
      </c>
      <c r="AA8" s="56">
        <f>DAYS360(Enter!C4,Z8)</f>
        <v>5702</v>
      </c>
      <c r="AB8" s="85">
        <f t="shared" si="1"/>
        <v>5702</v>
      </c>
      <c r="AC8" s="56">
        <f t="shared" si="2"/>
        <v>574.62598813101727</v>
      </c>
      <c r="AD8" s="62">
        <f t="shared" si="3"/>
        <v>4.5853622885338296E-3</v>
      </c>
      <c r="AE8" s="86">
        <f t="shared" si="4"/>
        <v>4.5500440824577805E-2</v>
      </c>
      <c r="AF8" s="86">
        <f t="shared" si="5"/>
        <v>4.5853622885338296E-3</v>
      </c>
      <c r="AG8" s="55">
        <f t="shared" si="6"/>
        <v>4.7500000000000001E-2</v>
      </c>
      <c r="AH8" s="87">
        <f t="shared" si="7"/>
        <v>4.6767619085126916E-2</v>
      </c>
      <c r="AI8" s="62">
        <f t="shared" si="8"/>
        <v>20313.2</v>
      </c>
      <c r="AJ8" s="56"/>
      <c r="AK8" s="56"/>
      <c r="AL8" s="56"/>
      <c r="AM8" s="88">
        <f t="shared" si="9"/>
        <v>203132.00000000003</v>
      </c>
      <c r="AN8" s="56"/>
      <c r="AO8" s="56"/>
      <c r="AP8" s="88">
        <f t="shared" si="10"/>
        <v>23.750000000000004</v>
      </c>
      <c r="AQ8" s="89">
        <f>DAYS360(Enter!C4,E8)/180</f>
        <v>31.677777777777777</v>
      </c>
      <c r="AR8" s="89">
        <f t="shared" si="11"/>
        <v>0.67777777777777715</v>
      </c>
      <c r="AS8" s="97">
        <f t="shared" ref="AS8:AS28" si="19">IF(AR8=0,0,AP8-(AP8)*AR8)</f>
        <v>7.6527777777777928</v>
      </c>
      <c r="AT8" s="91">
        <f>IF(DAYS360(Enter!B4,Enter!C4)&lt;180,0,AS8*A8)</f>
        <v>0</v>
      </c>
      <c r="AU8" s="69">
        <f>IF((DAYS360(Enter!B4,Enter!C4))&lt;180,(DAYS360(Enter!B4,Enter!C4))/180*AP8*A8,0)</f>
        <v>738.88888888888903</v>
      </c>
      <c r="AV8" s="89"/>
      <c r="AW8" s="89"/>
      <c r="AX8" s="56"/>
      <c r="AY8" s="62">
        <f t="shared" si="12"/>
        <v>4.7868702974786601E-3</v>
      </c>
      <c r="AZ8" s="56"/>
      <c r="BA8" s="56"/>
      <c r="BB8" s="56"/>
      <c r="BC8" s="92">
        <f>IF(A8=0,0,IF(J8=100,D8,YIELD(Enter!C4,E8,D8,J8,100,2,0)))</f>
        <v>4.6090725004782424E-2</v>
      </c>
      <c r="BD8" s="94">
        <f>IF(A8=0,100,IF(F8=0,100,YIELD(Enter!C4,F8,D8,J8,G8,2,0)))</f>
        <v>4.5500440824577805E-2</v>
      </c>
      <c r="BE8" s="94">
        <f>IF(A8=0,1000,IF(H8=0,1000,YIELD(Enter!C4,H8,D8,J8,100,2,0)))</f>
        <v>1000</v>
      </c>
      <c r="BF8" s="94"/>
      <c r="BG8" s="87">
        <f>IF(R8=TRUE,BD8,MIN(BC8:BE8))</f>
        <v>4.5500440824577805E-2</v>
      </c>
      <c r="BH8" s="95">
        <f>IF(R8=TRUE,F8,IF(J8=100,E8,IF(MIN(BC8:BE8)=BC8,E8,IF(MIN(BC8:BE8)=BD8,F8,H8))))</f>
        <v>40817</v>
      </c>
      <c r="BI8" s="75"/>
    </row>
    <row r="9" spans="1:61" ht="15.6" x14ac:dyDescent="0.3">
      <c r="A9" s="222">
        <f>Enter!A5</f>
        <v>200</v>
      </c>
      <c r="B9" s="215" t="str">
        <f>Enter!D5</f>
        <v>AAA/AAA</v>
      </c>
      <c r="C9" s="260" t="str">
        <f>Enter!E5</f>
        <v>MONROE WISC SCH</v>
      </c>
      <c r="D9" s="216">
        <f>Enter!F5</f>
        <v>4.8750000000000002E-2</v>
      </c>
      <c r="E9" s="214">
        <f>Enter!G5</f>
        <v>43191</v>
      </c>
      <c r="F9" s="214">
        <f>Enter!H5</f>
        <v>40634</v>
      </c>
      <c r="G9" s="220">
        <f>Enter!I5</f>
        <v>100</v>
      </c>
      <c r="H9" s="214">
        <f>Enter!J5</f>
        <v>0</v>
      </c>
      <c r="I9" s="221">
        <f>Enter!K5</f>
        <v>0</v>
      </c>
      <c r="J9" s="218">
        <f>Enter!L5</f>
        <v>101.309</v>
      </c>
      <c r="K9" s="161">
        <f t="shared" si="13"/>
        <v>4.7000461142918955E-2</v>
      </c>
      <c r="L9" s="161">
        <f t="shared" si="14"/>
        <v>4.7585356373638601E-2</v>
      </c>
      <c r="M9" s="161">
        <f t="shared" si="15"/>
        <v>4.8120107789041446E-2</v>
      </c>
      <c r="N9" s="161">
        <f>IF(A9=0,0,IF(K9=0,L9*Enter!G$27,K9*Enter!G$27))</f>
        <v>7.7174757196672925E-2</v>
      </c>
      <c r="R9" s="55" t="b">
        <f t="shared" ref="R9:R28" si="20">IF(I9&gt;0,TRUE,FALSE)</f>
        <v>0</v>
      </c>
      <c r="S9" s="68">
        <f t="shared" si="16"/>
        <v>43191</v>
      </c>
      <c r="T9" s="69">
        <f t="shared" si="17"/>
        <v>20000</v>
      </c>
      <c r="U9" s="56">
        <v>3</v>
      </c>
      <c r="V9" s="66">
        <f t="shared" si="0"/>
        <v>9750</v>
      </c>
      <c r="W9" s="61"/>
      <c r="X9" s="62">
        <f>Volatility!AS9/Volatility!AS$29</f>
        <v>0.10052121523619395</v>
      </c>
      <c r="Y9" s="67"/>
      <c r="Z9" s="96">
        <f t="shared" si="18"/>
        <v>43191</v>
      </c>
      <c r="AA9" s="56">
        <f>DAYS360(Enter!C5,Z9)</f>
        <v>5895</v>
      </c>
      <c r="AB9" s="85">
        <f t="shared" si="1"/>
        <v>5895</v>
      </c>
      <c r="AC9" s="56">
        <f t="shared" si="2"/>
        <v>592.57256381736329</v>
      </c>
      <c r="AD9" s="62">
        <f t="shared" si="3"/>
        <v>4.7245434707477267E-3</v>
      </c>
      <c r="AE9" s="86">
        <f t="shared" si="4"/>
        <v>4.7000461142918955E-2</v>
      </c>
      <c r="AF9" s="86">
        <f t="shared" si="5"/>
        <v>4.7245434707477267E-3</v>
      </c>
      <c r="AG9" s="55">
        <f t="shared" si="6"/>
        <v>4.8750000000000002E-2</v>
      </c>
      <c r="AH9" s="87">
        <f t="shared" si="7"/>
        <v>4.8120107789041446E-2</v>
      </c>
      <c r="AI9" s="62">
        <f t="shared" si="8"/>
        <v>20261.8</v>
      </c>
      <c r="AJ9" s="56"/>
      <c r="AK9" s="56"/>
      <c r="AL9" s="56"/>
      <c r="AM9" s="88">
        <f t="shared" si="9"/>
        <v>202617.99999999997</v>
      </c>
      <c r="AN9" s="56"/>
      <c r="AO9" s="56"/>
      <c r="AP9" s="88">
        <f t="shared" si="10"/>
        <v>24.374999999999996</v>
      </c>
      <c r="AQ9" s="89">
        <f>DAYS360(Enter!C5,E9)/180</f>
        <v>32.75</v>
      </c>
      <c r="AR9" s="89">
        <f t="shared" si="11"/>
        <v>0.75</v>
      </c>
      <c r="AS9" s="97">
        <f t="shared" si="19"/>
        <v>6.09375</v>
      </c>
      <c r="AT9" s="91">
        <f>IF(DAYS360(Enter!B5,Enter!C5)&lt;180,0,AS9*A9)</f>
        <v>0</v>
      </c>
      <c r="AU9" s="69">
        <f>IF((DAYS360(Enter!B5,Enter!C5))&lt;180,(DAYS360(Enter!B5,Enter!C5))/180*AP9*A9,0)</f>
        <v>406.24999999999989</v>
      </c>
      <c r="AV9" s="89"/>
      <c r="AW9" s="89"/>
      <c r="AX9" s="56"/>
      <c r="AY9" s="62">
        <f t="shared" si="12"/>
        <v>4.9004092427644549E-3</v>
      </c>
      <c r="AZ9" s="56"/>
      <c r="BA9" s="56"/>
      <c r="BB9" s="56"/>
      <c r="BC9" s="92">
        <f>IF(A9=0,0,IF(J9=100,D9,YIELD(Enter!C5,E9,D9,J9,100,2,0)))</f>
        <v>4.7585356373638601E-2</v>
      </c>
      <c r="BD9" s="94">
        <f>IF(A9=0,100,IF(F9=0,100,YIELD(Enter!C5,F9,D9,J9,G9,2,0)))</f>
        <v>4.7000461142918955E-2</v>
      </c>
      <c r="BE9" s="94">
        <f>IF(A9=0,1000,IF(H9=0,1000,YIELD(Enter!C5,H9,D9,J9,100,2,0)))</f>
        <v>1000</v>
      </c>
      <c r="BF9" s="94"/>
      <c r="BG9" s="87">
        <f>IF(R9=TRUE,BD9,MIN(BC9:BE9))</f>
        <v>4.7000461142918955E-2</v>
      </c>
      <c r="BH9" s="95">
        <f>IF(R9=TRUE,F9,IF(J9=100,E9,IF(MIN(BC9:BE9)=BC9,E9,IF(MIN(BC9:BE9)=BD9,F9,H9))))</f>
        <v>40634</v>
      </c>
      <c r="BI9" s="75"/>
    </row>
    <row r="10" spans="1:61" ht="15.6" x14ac:dyDescent="0.3">
      <c r="A10" s="222">
        <f>Enter!A6</f>
        <v>200</v>
      </c>
      <c r="B10" s="215" t="str">
        <f>Enter!D6</f>
        <v>AAA/AA+</v>
      </c>
      <c r="C10" s="260" t="str">
        <f>Enter!E6</f>
        <v>TROY MICH</v>
      </c>
      <c r="D10" s="216">
        <f>Enter!F6</f>
        <v>4.5999999999999999E-2</v>
      </c>
      <c r="E10" s="214">
        <f>Enter!G6</f>
        <v>43739</v>
      </c>
      <c r="F10" s="214">
        <f>Enter!H6</f>
        <v>40452</v>
      </c>
      <c r="G10" s="220">
        <f>Enter!I6</f>
        <v>100.5</v>
      </c>
      <c r="H10" s="214">
        <f>Enter!J6</f>
        <v>41183</v>
      </c>
      <c r="I10" s="221">
        <f>Enter!K6</f>
        <v>0</v>
      </c>
      <c r="J10" s="218">
        <f>Enter!L6</f>
        <v>99.266999999999996</v>
      </c>
      <c r="K10" s="161">
        <f t="shared" si="13"/>
        <v>0</v>
      </c>
      <c r="L10" s="161">
        <f t="shared" si="14"/>
        <v>4.6604700544822665E-2</v>
      </c>
      <c r="M10" s="161">
        <f t="shared" si="15"/>
        <v>4.6339669779483617E-2</v>
      </c>
      <c r="N10" s="161">
        <f>IF(A10=0,0,IF(K10=0,L10*Enter!G$27,K10*Enter!G$27))</f>
        <v>7.6524918294598815E-2</v>
      </c>
      <c r="R10" s="55" t="b">
        <f t="shared" si="20"/>
        <v>0</v>
      </c>
      <c r="S10" s="68">
        <f t="shared" si="16"/>
        <v>43739</v>
      </c>
      <c r="T10" s="69">
        <f t="shared" si="17"/>
        <v>20000</v>
      </c>
      <c r="U10" s="56">
        <v>4</v>
      </c>
      <c r="V10" s="66">
        <f t="shared" si="0"/>
        <v>9200</v>
      </c>
      <c r="W10" s="61"/>
      <c r="X10" s="62">
        <f>Volatility!AS10/Volatility!AS$29</f>
        <v>9.8495093948723841E-2</v>
      </c>
      <c r="Y10" s="67"/>
      <c r="Z10" s="96">
        <f t="shared" si="18"/>
        <v>43739</v>
      </c>
      <c r="AA10" s="56">
        <f>DAYS360(Enter!C6,Z10)</f>
        <v>6435</v>
      </c>
      <c r="AB10" s="85">
        <f t="shared" si="1"/>
        <v>6435</v>
      </c>
      <c r="AC10" s="56">
        <f t="shared" si="2"/>
        <v>633.81592956003794</v>
      </c>
      <c r="AD10" s="62">
        <f t="shared" si="3"/>
        <v>4.5903343586144495E-3</v>
      </c>
      <c r="AE10" s="86">
        <f t="shared" si="4"/>
        <v>4.6604700544822665E-2</v>
      </c>
      <c r="AF10" s="86">
        <f t="shared" si="5"/>
        <v>4.5903343586144495E-3</v>
      </c>
      <c r="AG10" s="55">
        <f t="shared" si="6"/>
        <v>4.5999999999999999E-2</v>
      </c>
      <c r="AH10" s="87">
        <f t="shared" si="7"/>
        <v>4.6339669779483617E-2</v>
      </c>
      <c r="AI10" s="62">
        <f t="shared" si="8"/>
        <v>19853.399999999998</v>
      </c>
      <c r="AJ10" s="56"/>
      <c r="AK10" s="56"/>
      <c r="AL10" s="56"/>
      <c r="AM10" s="88">
        <f t="shared" si="9"/>
        <v>198534</v>
      </c>
      <c r="AN10" s="56"/>
      <c r="AO10" s="56"/>
      <c r="AP10" s="88">
        <f t="shared" si="10"/>
        <v>22.999999999999996</v>
      </c>
      <c r="AQ10" s="89">
        <f>DAYS360(Enter!C6,E10)/180</f>
        <v>35.75</v>
      </c>
      <c r="AR10" s="89">
        <f t="shared" si="11"/>
        <v>0.75</v>
      </c>
      <c r="AS10" s="97">
        <f t="shared" si="19"/>
        <v>5.75</v>
      </c>
      <c r="AT10" s="91">
        <f>IF(DAYS360(Enter!B6,Enter!C6)&lt;180,0,AS10*A10)</f>
        <v>0</v>
      </c>
      <c r="AU10" s="69">
        <f>IF((DAYS360(Enter!B6,Enter!C6))&lt;180,(DAYS360(Enter!B6,Enter!C6))/180*AP10*A10,0)</f>
        <v>383.33333333333326</v>
      </c>
      <c r="AV10" s="89"/>
      <c r="AW10" s="89"/>
      <c r="AX10" s="56"/>
      <c r="AY10" s="62">
        <f t="shared" si="12"/>
        <v>4.5307743216412965E-3</v>
      </c>
      <c r="AZ10" s="56"/>
      <c r="BA10" s="56"/>
      <c r="BB10" s="56"/>
      <c r="BC10" s="92">
        <f>IF(A10=0,0,IF(J10=100,D10,YIELD(Enter!C6,E10,D10,J10,100,2,0)))</f>
        <v>4.6604700544822665E-2</v>
      </c>
      <c r="BD10" s="94">
        <f>IF(A10=0,100,IF(F10=0,100,YIELD(Enter!C6,F10,D10,J10,G10,2,0)))</f>
        <v>4.747424460525513E-2</v>
      </c>
      <c r="BE10" s="94">
        <f>IF(A10=0,1000,IF(H10=0,1000,YIELD(Enter!C6,H10,D10,J10,100,2,0)))</f>
        <v>4.6862095371505187E-2</v>
      </c>
      <c r="BF10" s="94"/>
      <c r="BG10" s="87">
        <f>IF(R10=TRUE,BD10,MIN(BC10:BE10))</f>
        <v>4.6604700544822665E-2</v>
      </c>
      <c r="BH10" s="95">
        <f>IF(R10=TRUE,F10,IF(J10=100,E10,IF(MIN(BC10:BE10)=BC10,E10,IF(MIN(BC10:BE10)=BD10,F10,H10))))</f>
        <v>43739</v>
      </c>
      <c r="BI10" s="75"/>
    </row>
    <row r="11" spans="1:61" ht="15.6" x14ac:dyDescent="0.3">
      <c r="A11" s="222">
        <f>Enter!A7</f>
        <v>200</v>
      </c>
      <c r="B11" s="215" t="str">
        <f>Enter!D7</f>
        <v>AAA/AAA</v>
      </c>
      <c r="C11" s="260" t="str">
        <f>Enter!E7</f>
        <v>PASADENA TX COMB</v>
      </c>
      <c r="D11" s="216">
        <f>Enter!F7</f>
        <v>0.05</v>
      </c>
      <c r="E11" s="214">
        <f>Enter!G7</f>
        <v>43876</v>
      </c>
      <c r="F11" s="214">
        <f>Enter!H7</f>
        <v>40224</v>
      </c>
      <c r="G11" s="220">
        <f>Enter!I7</f>
        <v>100</v>
      </c>
      <c r="H11" s="214">
        <f>Enter!J7</f>
        <v>0</v>
      </c>
      <c r="I11" s="221">
        <f>Enter!K7</f>
        <v>0</v>
      </c>
      <c r="J11" s="218">
        <f>Enter!L7</f>
        <v>101.68</v>
      </c>
      <c r="K11" s="161">
        <f t="shared" si="13"/>
        <v>4.7500586515454503E-2</v>
      </c>
      <c r="L11" s="161">
        <f t="shared" si="14"/>
        <v>4.8594360187443356E-2</v>
      </c>
      <c r="M11" s="161">
        <f t="shared" si="15"/>
        <v>4.9173878835562547E-2</v>
      </c>
      <c r="N11" s="161">
        <f>IF(A11=0,0,IF(K11=0,L11*Enter!G$27,K11*Enter!G$27))</f>
        <v>7.7995963058376291E-2</v>
      </c>
      <c r="R11" s="55" t="b">
        <f t="shared" si="20"/>
        <v>0</v>
      </c>
      <c r="S11" s="68">
        <f t="shared" si="16"/>
        <v>43876</v>
      </c>
      <c r="T11" s="69">
        <f t="shared" si="17"/>
        <v>20000</v>
      </c>
      <c r="U11" s="56">
        <v>5</v>
      </c>
      <c r="V11" s="66">
        <f t="shared" si="0"/>
        <v>10000</v>
      </c>
      <c r="W11" s="61"/>
      <c r="X11" s="62">
        <f>Volatility!AS11/Volatility!AS$29</f>
        <v>0.10088933031829551</v>
      </c>
      <c r="Y11" s="67"/>
      <c r="Z11" s="96">
        <f t="shared" si="18"/>
        <v>43876</v>
      </c>
      <c r="AA11" s="56">
        <f>DAYS360(Enter!C7,Z11)</f>
        <v>6565</v>
      </c>
      <c r="AB11" s="85">
        <f t="shared" si="1"/>
        <v>6565</v>
      </c>
      <c r="AC11" s="56">
        <f t="shared" si="2"/>
        <v>662.3384535396101</v>
      </c>
      <c r="AD11" s="62">
        <f t="shared" si="3"/>
        <v>4.7923023632704632E-3</v>
      </c>
      <c r="AE11" s="86">
        <f t="shared" si="4"/>
        <v>4.7500586515454503E-2</v>
      </c>
      <c r="AF11" s="86">
        <f t="shared" si="5"/>
        <v>4.7923023632704632E-3</v>
      </c>
      <c r="AG11" s="55">
        <f t="shared" si="6"/>
        <v>0.05</v>
      </c>
      <c r="AH11" s="87">
        <f t="shared" si="7"/>
        <v>4.9173878835562547E-2</v>
      </c>
      <c r="AI11" s="62">
        <f t="shared" si="8"/>
        <v>20336</v>
      </c>
      <c r="AJ11" s="56"/>
      <c r="AK11" s="56"/>
      <c r="AL11" s="56"/>
      <c r="AM11" s="88">
        <f t="shared" si="9"/>
        <v>203360</v>
      </c>
      <c r="AN11" s="56"/>
      <c r="AO11" s="56"/>
      <c r="AP11" s="88">
        <f t="shared" si="10"/>
        <v>25</v>
      </c>
      <c r="AQ11" s="89">
        <f>DAYS360(Enter!C7,E11)/180</f>
        <v>36.472222222222221</v>
      </c>
      <c r="AR11" s="89">
        <f t="shared" si="11"/>
        <v>0.47222222222222143</v>
      </c>
      <c r="AS11" s="97">
        <f t="shared" si="19"/>
        <v>13.194444444444464</v>
      </c>
      <c r="AT11" s="91">
        <f>IF(DAYS360(Enter!B7,Enter!C7)&lt;180,0,AS11*A11)</f>
        <v>0</v>
      </c>
      <c r="AU11" s="69">
        <f>IF((DAYS360(Enter!B7,Enter!C7))&lt;180,(DAYS360(Enter!B7,Enter!C7))/180*AP11*A11,0)</f>
        <v>138.88888888888889</v>
      </c>
      <c r="AV11" s="89"/>
      <c r="AW11" s="89"/>
      <c r="AX11" s="56"/>
      <c r="AY11" s="62">
        <f t="shared" si="12"/>
        <v>5.0444665159147762E-3</v>
      </c>
      <c r="AZ11" s="56"/>
      <c r="BA11" s="56"/>
      <c r="BB11" s="56"/>
      <c r="BC11" s="92">
        <f>IF(A11=0,0,IF(J11=100,D11,YIELD(Enter!C7,E11,D11,J11,100,2,0)))</f>
        <v>4.8594360187443356E-2</v>
      </c>
      <c r="BD11" s="94">
        <f>IF(A11=0,100,IF(F11=0,100,YIELD(Enter!C7,F11,D11,J11,G11,2,0)))</f>
        <v>4.7500586515454503E-2</v>
      </c>
      <c r="BE11" s="94">
        <f>IF(A11=0,1000,IF(H11=0,1000,YIELD(Enter!C7,H11,D11,J11,100,2,0)))</f>
        <v>1000</v>
      </c>
      <c r="BF11" s="94"/>
      <c r="BG11" s="87">
        <f t="shared" ref="BG11:BG28" si="21">IF(R11=TRUE,BD11,MIN(BC11:BE11))</f>
        <v>4.7500586515454503E-2</v>
      </c>
      <c r="BH11" s="95">
        <f t="shared" ref="BH11:BH28" si="22">IF(R11=TRUE,F11,IF(J11=100,E11,IF(MIN(BC11:BE11)=BC11,E11,IF(MIN(BC11:BE11)=BD11,F11,H11))))</f>
        <v>40224</v>
      </c>
      <c r="BI11" s="75"/>
    </row>
    <row r="12" spans="1:61" ht="15.6" x14ac:dyDescent="0.3">
      <c r="A12" s="222">
        <f>Enter!A8</f>
        <v>200</v>
      </c>
      <c r="B12" s="215" t="str">
        <f>Enter!D8</f>
        <v>AAA/AAA</v>
      </c>
      <c r="C12" s="260" t="str">
        <f>Enter!E8</f>
        <v>N.HARRIS MONT CCD</v>
      </c>
      <c r="D12" s="216">
        <f>Enter!F8</f>
        <v>0.05</v>
      </c>
      <c r="E12" s="214">
        <f>Enter!G8</f>
        <v>44242</v>
      </c>
      <c r="F12" s="214">
        <f>Enter!H8</f>
        <v>40224</v>
      </c>
      <c r="G12" s="220">
        <f>Enter!I8</f>
        <v>100</v>
      </c>
      <c r="H12" s="214">
        <f>Enter!J8</f>
        <v>0</v>
      </c>
      <c r="I12" s="221">
        <f>Enter!K8</f>
        <v>0</v>
      </c>
      <c r="J12" s="218">
        <f>Enter!L8</f>
        <v>101.002</v>
      </c>
      <c r="K12" s="161">
        <f t="shared" si="13"/>
        <v>4.8500299553935262E-2</v>
      </c>
      <c r="L12" s="161">
        <f t="shared" si="14"/>
        <v>4.9182622476135932E-2</v>
      </c>
      <c r="M12" s="161">
        <f t="shared" si="15"/>
        <v>4.9503970218411526E-2</v>
      </c>
      <c r="N12" s="161">
        <f>IF(A12=0,0,IF(K12=0,L12*Enter!G$27,K12*Enter!G$27))</f>
        <v>7.9637491867561694E-2</v>
      </c>
      <c r="R12" s="55" t="b">
        <f t="shared" si="20"/>
        <v>0</v>
      </c>
      <c r="S12" s="68">
        <f t="shared" si="16"/>
        <v>44242</v>
      </c>
      <c r="T12" s="69">
        <f t="shared" si="17"/>
        <v>20000</v>
      </c>
      <c r="U12" s="56">
        <v>6</v>
      </c>
      <c r="V12" s="66">
        <f t="shared" si="0"/>
        <v>10000</v>
      </c>
      <c r="W12" s="61"/>
      <c r="X12" s="62">
        <f>Volatility!AS12/Volatility!AS$29</f>
        <v>0.10021660248631474</v>
      </c>
      <c r="Y12" s="67"/>
      <c r="Z12" s="96">
        <f t="shared" si="18"/>
        <v>44242</v>
      </c>
      <c r="AA12" s="56">
        <f>DAYS360(Enter!C8,Z12)</f>
        <v>6929</v>
      </c>
      <c r="AB12" s="85">
        <f t="shared" si="1"/>
        <v>6929</v>
      </c>
      <c r="AC12" s="56">
        <f t="shared" si="2"/>
        <v>694.40083862767483</v>
      </c>
      <c r="AD12" s="62">
        <f t="shared" si="3"/>
        <v>4.8605352408639182E-3</v>
      </c>
      <c r="AE12" s="86">
        <f t="shared" si="4"/>
        <v>4.8500299553935262E-2</v>
      </c>
      <c r="AF12" s="86">
        <f t="shared" si="5"/>
        <v>4.8605352408639182E-3</v>
      </c>
      <c r="AG12" s="55">
        <f t="shared" si="6"/>
        <v>0.05</v>
      </c>
      <c r="AH12" s="87">
        <f t="shared" si="7"/>
        <v>4.9503970218411526E-2</v>
      </c>
      <c r="AI12" s="62">
        <f t="shared" si="8"/>
        <v>20200.399999999998</v>
      </c>
      <c r="AJ12" s="56"/>
      <c r="AK12" s="56"/>
      <c r="AL12" s="56"/>
      <c r="AM12" s="88">
        <f t="shared" si="9"/>
        <v>202004</v>
      </c>
      <c r="AN12" s="56"/>
      <c r="AO12" s="56"/>
      <c r="AP12" s="88">
        <f t="shared" si="10"/>
        <v>25</v>
      </c>
      <c r="AQ12" s="89">
        <f>DAYS360(Enter!C8,E12)/180</f>
        <v>38.494444444444447</v>
      </c>
      <c r="AR12" s="89">
        <f t="shared" si="11"/>
        <v>0.49444444444444713</v>
      </c>
      <c r="AS12" s="97">
        <f t="shared" si="19"/>
        <v>12.638888888888822</v>
      </c>
      <c r="AT12" s="91">
        <f>IF(DAYS360(Enter!B8,Enter!C8)&lt;180,0,AS12*A12)</f>
        <v>2527.7777777777642</v>
      </c>
      <c r="AU12" s="69">
        <f>IF((DAYS360(Enter!B8,Enter!C8))&lt;180,(DAYS360(Enter!B8,Enter!C8))/180*AP12*A12,0)</f>
        <v>0</v>
      </c>
      <c r="AV12" s="89"/>
      <c r="AW12" s="89"/>
      <c r="AX12" s="56"/>
      <c r="AY12" s="62">
        <f t="shared" si="12"/>
        <v>5.0108301243157374E-3</v>
      </c>
      <c r="AZ12" s="56"/>
      <c r="BA12" s="56"/>
      <c r="BB12" s="56"/>
      <c r="BC12" s="92">
        <f>IF(A12=0,0,IF(J12=100,D12,YIELD(Enter!C8,E12,D12,J12,100,2,0)))</f>
        <v>4.9182622476135932E-2</v>
      </c>
      <c r="BD12" s="94">
        <f>IF(A12=0,100,IF(F12=0,100,YIELD(Enter!C8,F12,D12,J12,G12,2,0)))</f>
        <v>4.8500299553935262E-2</v>
      </c>
      <c r="BE12" s="94">
        <f>IF(A12=0,1000,IF(H12=0,1000,YIELD(Enter!C8,H12,D12,J12,100,2,0)))</f>
        <v>1000</v>
      </c>
      <c r="BF12" s="94"/>
      <c r="BG12" s="87">
        <f t="shared" si="21"/>
        <v>4.8500299553935262E-2</v>
      </c>
      <c r="BH12" s="95">
        <f t="shared" si="22"/>
        <v>40224</v>
      </c>
      <c r="BI12" s="75"/>
    </row>
    <row r="13" spans="1:61" ht="15.6" x14ac:dyDescent="0.3">
      <c r="A13" s="222">
        <f>Enter!A9</f>
        <v>200</v>
      </c>
      <c r="B13" s="215" t="str">
        <f>Enter!D9</f>
        <v>AAA/AAA</v>
      </c>
      <c r="C13" s="260" t="str">
        <f>Enter!E9</f>
        <v>PHILADELPHIA PA SCH</v>
      </c>
      <c r="D13" s="216">
        <f>Enter!F9</f>
        <v>4.4999999999999998E-2</v>
      </c>
      <c r="E13" s="214">
        <f>Enter!G9</f>
        <v>45017</v>
      </c>
      <c r="F13" s="214">
        <f>Enter!H9</f>
        <v>39904</v>
      </c>
      <c r="G13" s="220">
        <f>Enter!I9</f>
        <v>100</v>
      </c>
      <c r="H13" s="214">
        <f>Enter!J9</f>
        <v>0</v>
      </c>
      <c r="I13" s="221">
        <f>Enter!K9</f>
        <v>0</v>
      </c>
      <c r="J13" s="218">
        <f>Enter!L9</f>
        <v>96.012</v>
      </c>
      <c r="K13" s="161">
        <f t="shared" si="13"/>
        <v>0</v>
      </c>
      <c r="L13" s="161">
        <f t="shared" si="14"/>
        <v>4.8000431302579576E-2</v>
      </c>
      <c r="M13" s="161">
        <f t="shared" si="15"/>
        <v>4.6869141357330335E-2</v>
      </c>
      <c r="N13" s="161">
        <f>IF(A13=0,0,IF(K13=0,L13*Enter!G$27,K13*Enter!G$27))</f>
        <v>7.8816708198835655E-2</v>
      </c>
      <c r="R13" s="55" t="b">
        <f t="shared" si="20"/>
        <v>0</v>
      </c>
      <c r="S13" s="68">
        <f t="shared" si="16"/>
        <v>45017</v>
      </c>
      <c r="T13" s="69">
        <f t="shared" si="17"/>
        <v>20000</v>
      </c>
      <c r="U13" s="56">
        <v>7</v>
      </c>
      <c r="V13" s="66">
        <f t="shared" si="0"/>
        <v>9000</v>
      </c>
      <c r="W13" s="61"/>
      <c r="X13" s="62">
        <f>Volatility!AS13/Volatility!AS$29</f>
        <v>9.5265405020851582E-2</v>
      </c>
      <c r="Y13" s="67"/>
      <c r="Z13" s="96">
        <f t="shared" si="18"/>
        <v>45017</v>
      </c>
      <c r="AA13" s="56">
        <f>DAYS360(Enter!C9,Z13)</f>
        <v>7695</v>
      </c>
      <c r="AB13" s="85">
        <f t="shared" si="1"/>
        <v>7695</v>
      </c>
      <c r="AC13" s="56">
        <f t="shared" si="2"/>
        <v>733.06729163545288</v>
      </c>
      <c r="AD13" s="62">
        <f t="shared" si="3"/>
        <v>4.572780529215806E-3</v>
      </c>
      <c r="AE13" s="86">
        <f t="shared" si="4"/>
        <v>4.8000431302579576E-2</v>
      </c>
      <c r="AF13" s="86">
        <f t="shared" si="5"/>
        <v>4.572780529215806E-3</v>
      </c>
      <c r="AG13" s="55">
        <f t="shared" si="6"/>
        <v>4.4999999999999998E-2</v>
      </c>
      <c r="AH13" s="87">
        <f t="shared" si="7"/>
        <v>4.6869141357330335E-2</v>
      </c>
      <c r="AI13" s="62">
        <f t="shared" si="8"/>
        <v>19202.400000000001</v>
      </c>
      <c r="AJ13" s="56"/>
      <c r="AK13" s="56"/>
      <c r="AL13" s="56"/>
      <c r="AM13" s="88">
        <f t="shared" si="9"/>
        <v>192024</v>
      </c>
      <c r="AN13" s="56"/>
      <c r="AO13" s="56"/>
      <c r="AP13" s="88">
        <f t="shared" si="10"/>
        <v>22.5</v>
      </c>
      <c r="AQ13" s="89">
        <f>DAYS360(Enter!C9,E13)/180</f>
        <v>42.75</v>
      </c>
      <c r="AR13" s="89">
        <f t="shared" si="11"/>
        <v>0.75</v>
      </c>
      <c r="AS13" s="97">
        <f t="shared" si="19"/>
        <v>5.625</v>
      </c>
      <c r="AT13" s="91">
        <f>IF(DAYS360(Enter!B9,Enter!C9)&lt;180,0,AS13*A13)</f>
        <v>1125</v>
      </c>
      <c r="AU13" s="69">
        <f>IF((DAYS360(Enter!B9,Enter!C9))&lt;180,(DAYS360(Enter!B9,Enter!C9))/180*AP13*A13,0)</f>
        <v>0</v>
      </c>
      <c r="AV13" s="89"/>
      <c r="AW13" s="89"/>
      <c r="AX13" s="56"/>
      <c r="AY13" s="62">
        <f t="shared" si="12"/>
        <v>4.2869432259383207E-3</v>
      </c>
      <c r="AZ13" s="56"/>
      <c r="BA13" s="56"/>
      <c r="BB13" s="56"/>
      <c r="BC13" s="92">
        <f>IF(A13=0,0,IF(J13=100,D13,YIELD(Enter!C9,E13,D13,J13,100,2,0)))</f>
        <v>4.8000431302579576E-2</v>
      </c>
      <c r="BD13" s="94">
        <f>IF(A13=0,100,IF(F13=0,100,YIELD(Enter!C9,F13,D13,J13,G13,2,0)))</f>
        <v>5.1560333875848061E-2</v>
      </c>
      <c r="BE13" s="94">
        <f>IF(A13=0,1000,IF(H13=0,1000,YIELD(Enter!C9,H13,D13,J13,100,2,0)))</f>
        <v>1000</v>
      </c>
      <c r="BF13" s="94"/>
      <c r="BG13" s="87">
        <f t="shared" si="21"/>
        <v>4.8000431302579576E-2</v>
      </c>
      <c r="BH13" s="95">
        <f t="shared" si="22"/>
        <v>45017</v>
      </c>
      <c r="BI13" s="75"/>
    </row>
    <row r="14" spans="1:61" ht="15.6" x14ac:dyDescent="0.3">
      <c r="A14" s="222">
        <f>Enter!A10</f>
        <v>100</v>
      </c>
      <c r="B14" s="215" t="str">
        <f>Enter!D10</f>
        <v>AAA/AAA</v>
      </c>
      <c r="C14" s="260" t="str">
        <f>Enter!E10</f>
        <v>TEXAS TURNPIKE</v>
      </c>
      <c r="D14" s="216">
        <f>Enter!F10</f>
        <v>0.05</v>
      </c>
      <c r="E14" s="214">
        <f>Enter!G10</f>
        <v>45658</v>
      </c>
      <c r="F14" s="214">
        <f>Enter!H10</f>
        <v>38718</v>
      </c>
      <c r="G14" s="220">
        <f>Enter!I10</f>
        <v>102</v>
      </c>
      <c r="H14" s="214">
        <f>Enter!J10</f>
        <v>39448</v>
      </c>
      <c r="I14" s="221">
        <f>Enter!K10</f>
        <v>0</v>
      </c>
      <c r="J14" s="218">
        <f>Enter!L10</f>
        <v>100.517</v>
      </c>
      <c r="K14" s="161">
        <f t="shared" si="13"/>
        <v>4.9001843414157857E-2</v>
      </c>
      <c r="L14" s="161">
        <f t="shared" si="14"/>
        <v>4.961747272547868E-2</v>
      </c>
      <c r="M14" s="161">
        <f t="shared" si="15"/>
        <v>4.9742829571117329E-2</v>
      </c>
      <c r="N14" s="161">
        <f>IF(A14=0,0,IF(K14=0,L14*Enter!G$27,K14*Enter!G$27))</f>
        <v>8.0461026886047199E-2</v>
      </c>
      <c r="R14" s="55" t="b">
        <f t="shared" si="20"/>
        <v>0</v>
      </c>
      <c r="S14" s="68">
        <f t="shared" si="16"/>
        <v>45658</v>
      </c>
      <c r="T14" s="69">
        <f t="shared" si="17"/>
        <v>10000</v>
      </c>
      <c r="U14" s="56">
        <v>8</v>
      </c>
      <c r="V14" s="66">
        <f t="shared" si="0"/>
        <v>5000</v>
      </c>
      <c r="W14" s="61"/>
      <c r="X14" s="62">
        <f>Volatility!AS14/Volatility!AS$29</f>
        <v>4.9867686937471033E-2</v>
      </c>
      <c r="Y14" s="67"/>
      <c r="Z14" s="96">
        <f t="shared" si="18"/>
        <v>45658</v>
      </c>
      <c r="AA14" s="56">
        <f>DAYS360(Enter!C10,Z14)</f>
        <v>8325</v>
      </c>
      <c r="AB14" s="85">
        <f t="shared" si="1"/>
        <v>8325</v>
      </c>
      <c r="AC14" s="56">
        <f t="shared" si="2"/>
        <v>415.14849375444635</v>
      </c>
      <c r="AD14" s="62">
        <f t="shared" si="3"/>
        <v>2.4436085867362007E-3</v>
      </c>
      <c r="AE14" s="86">
        <f t="shared" si="4"/>
        <v>4.9001843414157857E-2</v>
      </c>
      <c r="AF14" s="86">
        <f t="shared" si="5"/>
        <v>2.4436085867362007E-3</v>
      </c>
      <c r="AG14" s="55">
        <f t="shared" si="6"/>
        <v>0.05</v>
      </c>
      <c r="AH14" s="87">
        <f t="shared" si="7"/>
        <v>4.9742829571117329E-2</v>
      </c>
      <c r="AI14" s="62">
        <f t="shared" si="8"/>
        <v>10051.699999999999</v>
      </c>
      <c r="AJ14" s="56"/>
      <c r="AK14" s="56"/>
      <c r="AL14" s="56"/>
      <c r="AM14" s="88">
        <f t="shared" si="9"/>
        <v>100517</v>
      </c>
      <c r="AN14" s="56"/>
      <c r="AO14" s="56"/>
      <c r="AP14" s="88">
        <f t="shared" si="10"/>
        <v>25</v>
      </c>
      <c r="AQ14" s="89">
        <f>DAYS360(Enter!C10,E14)/180</f>
        <v>46.25</v>
      </c>
      <c r="AR14" s="89">
        <f t="shared" si="11"/>
        <v>0.25</v>
      </c>
      <c r="AS14" s="97">
        <f t="shared" si="19"/>
        <v>18.75</v>
      </c>
      <c r="AT14" s="91">
        <f>IF(DAYS360(Enter!B10,Enter!C10)&lt;180,0,AS14*A14)</f>
        <v>1875</v>
      </c>
      <c r="AU14" s="69">
        <f>IF((DAYS360(Enter!B10,Enter!C10))&lt;180,(DAYS360(Enter!B10,Enter!C10))/180*AP14*A14,0)</f>
        <v>0</v>
      </c>
      <c r="AV14" s="89"/>
      <c r="AW14" s="89"/>
      <c r="AX14" s="56"/>
      <c r="AY14" s="62">
        <f t="shared" si="12"/>
        <v>2.493384346873552E-3</v>
      </c>
      <c r="AZ14" s="56"/>
      <c r="BA14" s="56"/>
      <c r="BB14" s="56"/>
      <c r="BC14" s="92">
        <f>IF(A14=0,0,IF(J14=100,D14,YIELD(Enter!C10,E14,D14,J14,100,2,0)))</f>
        <v>4.961747272547868E-2</v>
      </c>
      <c r="BD14" s="94">
        <f>IF(A14=0,100,IF(F14=0,100,YIELD(Enter!C10,F14,D14,J14,G14,2,0)))</f>
        <v>5.2973229263801283E-2</v>
      </c>
      <c r="BE14" s="94">
        <f>IF(A14=0,1000,IF(H14=0,1000,YIELD(Enter!C10,H14,D14,J14,100,2,0)))</f>
        <v>4.9001843414157857E-2</v>
      </c>
      <c r="BF14" s="94"/>
      <c r="BG14" s="87">
        <f t="shared" si="21"/>
        <v>4.9001843414157857E-2</v>
      </c>
      <c r="BH14" s="95">
        <f t="shared" si="22"/>
        <v>39448</v>
      </c>
      <c r="BI14" s="75"/>
    </row>
    <row r="15" spans="1:61" ht="15.6" x14ac:dyDescent="0.3">
      <c r="A15" s="222">
        <f>Enter!A11</f>
        <v>100</v>
      </c>
      <c r="B15" s="215" t="str">
        <f>Enter!D11</f>
        <v>AAA/AAA</v>
      </c>
      <c r="C15" s="260" t="str">
        <f>Enter!E11</f>
        <v>HOUSTON TX CCD</v>
      </c>
      <c r="D15" s="216">
        <f>Enter!F11</f>
        <v>0.05</v>
      </c>
      <c r="E15" s="214">
        <f>Enter!G11</f>
        <v>45762</v>
      </c>
      <c r="F15" s="214">
        <f>Enter!H11</f>
        <v>40648</v>
      </c>
      <c r="G15" s="220">
        <f>Enter!I11</f>
        <v>100</v>
      </c>
      <c r="H15" s="214">
        <f>Enter!J11</f>
        <v>0</v>
      </c>
      <c r="I15" s="221">
        <f>Enter!K11</f>
        <v>0</v>
      </c>
      <c r="J15" s="218">
        <f>Enter!L11</f>
        <v>101.111</v>
      </c>
      <c r="K15" s="161">
        <f t="shared" si="13"/>
        <v>4.8510212358435521E-2</v>
      </c>
      <c r="L15" s="161">
        <f t="shared" si="14"/>
        <v>4.9192554722216585E-2</v>
      </c>
      <c r="M15" s="161">
        <f t="shared" si="15"/>
        <v>4.9450603791872307E-2</v>
      </c>
      <c r="N15" s="161">
        <f>IF(A15=0,0,IF(K15=0,L15*Enter!G$27,K15*Enter!G$27))</f>
        <v>7.9653768692551127E-2</v>
      </c>
      <c r="R15" s="55" t="b">
        <f t="shared" si="20"/>
        <v>0</v>
      </c>
      <c r="S15" s="68">
        <f t="shared" si="16"/>
        <v>45762</v>
      </c>
      <c r="T15" s="69">
        <f t="shared" si="17"/>
        <v>10000</v>
      </c>
      <c r="U15" s="56">
        <v>9</v>
      </c>
      <c r="V15" s="66">
        <f t="shared" si="0"/>
        <v>5000</v>
      </c>
      <c r="W15" s="61"/>
      <c r="X15" s="62">
        <f>Volatility!AS15/Volatility!AS$29</f>
        <v>5.0162377447940491E-2</v>
      </c>
      <c r="Y15" s="67"/>
      <c r="Z15" s="96">
        <f t="shared" si="18"/>
        <v>45762</v>
      </c>
      <c r="AA15" s="56">
        <f>DAYS360(Enter!C11,Z15)</f>
        <v>8429</v>
      </c>
      <c r="AB15" s="85">
        <f t="shared" si="1"/>
        <v>8429</v>
      </c>
      <c r="AC15" s="56">
        <f t="shared" si="2"/>
        <v>422.81867950869042</v>
      </c>
      <c r="AD15" s="62">
        <f t="shared" si="3"/>
        <v>2.4333875824035902E-3</v>
      </c>
      <c r="AE15" s="86">
        <f t="shared" si="4"/>
        <v>4.8510212358435521E-2</v>
      </c>
      <c r="AF15" s="86">
        <f t="shared" si="5"/>
        <v>2.4333875824035902E-3</v>
      </c>
      <c r="AG15" s="55">
        <f t="shared" si="6"/>
        <v>0.05</v>
      </c>
      <c r="AH15" s="87">
        <f t="shared" si="7"/>
        <v>4.9450603791872307E-2</v>
      </c>
      <c r="AI15" s="62">
        <f t="shared" si="8"/>
        <v>10111.1</v>
      </c>
      <c r="AJ15" s="56"/>
      <c r="AK15" s="56"/>
      <c r="AL15" s="56"/>
      <c r="AM15" s="88">
        <f t="shared" si="9"/>
        <v>101111</v>
      </c>
      <c r="AN15" s="56"/>
      <c r="AO15" s="56"/>
      <c r="AP15" s="88">
        <f t="shared" si="10"/>
        <v>25</v>
      </c>
      <c r="AQ15" s="89">
        <f>DAYS360(Enter!C11,E15)/180</f>
        <v>46.827777777777776</v>
      </c>
      <c r="AR15" s="89">
        <f t="shared" si="11"/>
        <v>0.82777777777777573</v>
      </c>
      <c r="AS15" s="97">
        <f t="shared" si="19"/>
        <v>4.3055555555556069</v>
      </c>
      <c r="AT15" s="91">
        <f>IF(DAYS360(Enter!B11,Enter!C11)&lt;180,0,AS15*A15)</f>
        <v>0</v>
      </c>
      <c r="AU15" s="69">
        <f>IF((DAYS360(Enter!B11,Enter!C11))&lt;180,(DAYS360(Enter!B11,Enter!C11))/180*AP15*A15,0)</f>
        <v>208.33333333333331</v>
      </c>
      <c r="AV15" s="89"/>
      <c r="AW15" s="89"/>
      <c r="AX15" s="56"/>
      <c r="AY15" s="62">
        <f t="shared" si="12"/>
        <v>2.5081188723970246E-3</v>
      </c>
      <c r="AZ15" s="56"/>
      <c r="BA15" s="56"/>
      <c r="BB15" s="56"/>
      <c r="BC15" s="92">
        <f>IF(A15=0,0,IF(J15=100,D15,YIELD(Enter!C11,E15,D15,J15,100,2,0)))</f>
        <v>4.9192554722216585E-2</v>
      </c>
      <c r="BD15" s="94">
        <f>IF(A15=0,100,IF(F15=0,100,YIELD(Enter!C11,F15,D15,J15,G15,2,0)))</f>
        <v>4.8510212358435521E-2</v>
      </c>
      <c r="BE15" s="94">
        <f>IF(A15=0,1000,IF(H15=0,1000,YIELD(Enter!C11,H15,D15,J15,100,2,0)))</f>
        <v>1000</v>
      </c>
      <c r="BF15" s="94"/>
      <c r="BG15" s="87">
        <f t="shared" si="21"/>
        <v>4.8510212358435521E-2</v>
      </c>
      <c r="BH15" s="95">
        <f t="shared" si="22"/>
        <v>40648</v>
      </c>
      <c r="BI15" s="75"/>
    </row>
    <row r="16" spans="1:61" ht="15.6" x14ac:dyDescent="0.3">
      <c r="A16" s="222">
        <f>Enter!A12</f>
        <v>200</v>
      </c>
      <c r="B16" s="215" t="str">
        <f>Enter!D12</f>
        <v>AAA/AAA</v>
      </c>
      <c r="C16" s="260" t="str">
        <f>Enter!E12</f>
        <v>SEATTLE WASH WTR</v>
      </c>
      <c r="D16" s="216">
        <f>Enter!F12</f>
        <v>0.05</v>
      </c>
      <c r="E16" s="214">
        <f>Enter!G12</f>
        <v>46327</v>
      </c>
      <c r="F16" s="214">
        <f>Enter!H12</f>
        <v>40848</v>
      </c>
      <c r="G16" s="220">
        <f>Enter!I12</f>
        <v>100</v>
      </c>
      <c r="H16" s="214">
        <f>Enter!J12</f>
        <v>0</v>
      </c>
      <c r="I16" s="221">
        <f>Enter!K12</f>
        <v>0</v>
      </c>
      <c r="J16" s="218">
        <f>Enter!L12</f>
        <v>100.919</v>
      </c>
      <c r="K16" s="161">
        <f t="shared" si="13"/>
        <v>4.8819066195941202E-2</v>
      </c>
      <c r="L16" s="161">
        <f t="shared" si="14"/>
        <v>4.9353428932541007E-2</v>
      </c>
      <c r="M16" s="161">
        <f t="shared" si="15"/>
        <v>4.9544684350816E-2</v>
      </c>
      <c r="N16" s="161">
        <f>IF(A16=0,0,IF(K16=0,L16*Enter!G$27,K16*Enter!G$27))</f>
        <v>8.0160906693735448E-2</v>
      </c>
      <c r="R16" s="55" t="b">
        <f t="shared" si="20"/>
        <v>0</v>
      </c>
      <c r="S16" s="68">
        <f t="shared" si="16"/>
        <v>46327</v>
      </c>
      <c r="T16" s="69">
        <f t="shared" si="17"/>
        <v>20000</v>
      </c>
      <c r="U16" s="56">
        <v>10</v>
      </c>
      <c r="V16" s="66">
        <f t="shared" si="0"/>
        <v>10000</v>
      </c>
      <c r="W16" s="61"/>
      <c r="X16" s="62">
        <f>Volatility!AS16/Volatility!AS$29</f>
        <v>0.10013424789921387</v>
      </c>
      <c r="Y16" s="67"/>
      <c r="Z16" s="96">
        <f t="shared" si="18"/>
        <v>46327</v>
      </c>
      <c r="AA16" s="56">
        <f>DAYS360(Enter!C12,Z16)</f>
        <v>8981</v>
      </c>
      <c r="AB16" s="85">
        <f t="shared" si="1"/>
        <v>8981</v>
      </c>
      <c r="AC16" s="56">
        <f t="shared" si="2"/>
        <v>899.30568038283968</v>
      </c>
      <c r="AD16" s="62">
        <f t="shared" si="3"/>
        <v>4.8884604766725077E-3</v>
      </c>
      <c r="AE16" s="86">
        <f t="shared" si="4"/>
        <v>4.8819066195941202E-2</v>
      </c>
      <c r="AF16" s="86">
        <f t="shared" si="5"/>
        <v>4.8884604766725077E-3</v>
      </c>
      <c r="AG16" s="55">
        <f t="shared" si="6"/>
        <v>0.05</v>
      </c>
      <c r="AH16" s="87">
        <f t="shared" si="7"/>
        <v>4.9544684350816E-2</v>
      </c>
      <c r="AI16" s="62">
        <f t="shared" si="8"/>
        <v>20183.8</v>
      </c>
      <c r="AJ16" s="56"/>
      <c r="AK16" s="56"/>
      <c r="AL16" s="56"/>
      <c r="AM16" s="88">
        <f t="shared" si="9"/>
        <v>201838</v>
      </c>
      <c r="AN16" s="56"/>
      <c r="AO16" s="56"/>
      <c r="AP16" s="88">
        <f t="shared" si="10"/>
        <v>25</v>
      </c>
      <c r="AQ16" s="89">
        <f>DAYS360(Enter!C12,E16)/180</f>
        <v>49.894444444444446</v>
      </c>
      <c r="AR16" s="89">
        <f t="shared" si="11"/>
        <v>0.89444444444444571</v>
      </c>
      <c r="AS16" s="97">
        <f t="shared" si="19"/>
        <v>2.6388888888888573</v>
      </c>
      <c r="AT16" s="91">
        <f>IF(DAYS360(Enter!B12,Enter!C12)&lt;180,0,AS16*A16)</f>
        <v>0</v>
      </c>
      <c r="AU16" s="69">
        <f>IF((DAYS360(Enter!B12,Enter!C12))&lt;180,(DAYS360(Enter!B12,Enter!C12))/180*AP16*A16,0)</f>
        <v>527.77777777777771</v>
      </c>
      <c r="AV16" s="89"/>
      <c r="AW16" s="89"/>
      <c r="AX16" s="56"/>
      <c r="AY16" s="62">
        <f t="shared" si="12"/>
        <v>5.0067123949606935E-3</v>
      </c>
      <c r="AZ16" s="56"/>
      <c r="BA16" s="56"/>
      <c r="BB16" s="56"/>
      <c r="BC16" s="92">
        <f>IF(A16=0,0,IF(J16=100,D16,YIELD(Enter!C12,E16,D16,J16,100,2,0)))</f>
        <v>4.9353428932541007E-2</v>
      </c>
      <c r="BD16" s="94">
        <f>IF(A16=0,100,IF(F16=0,100,YIELD(Enter!C12,F16,D16,J16,G16,2,0)))</f>
        <v>4.8819066195941202E-2</v>
      </c>
      <c r="BE16" s="94">
        <f>IF(A16=0,1000,IF(H16=0,1000,YIELD(Enter!C12,H16,D16,J16,100,2,0)))</f>
        <v>1000</v>
      </c>
      <c r="BF16" s="94"/>
      <c r="BG16" s="87">
        <f t="shared" si="21"/>
        <v>4.8819066195941202E-2</v>
      </c>
      <c r="BH16" s="95">
        <f t="shared" si="22"/>
        <v>40848</v>
      </c>
      <c r="BI16" s="75"/>
    </row>
    <row r="17" spans="1:61" ht="15.6" x14ac:dyDescent="0.3">
      <c r="A17" s="222">
        <f>Enter!A13</f>
        <v>200</v>
      </c>
      <c r="B17" s="215" t="str">
        <f>Enter!D13</f>
        <v>AAA/AAA</v>
      </c>
      <c r="C17" s="260" t="str">
        <f>Enter!E13</f>
        <v>SAN ANTONIO ISD</v>
      </c>
      <c r="D17" s="216">
        <f>Enter!F13</f>
        <v>0.05</v>
      </c>
      <c r="E17" s="214">
        <f>Enter!G13</f>
        <v>46614</v>
      </c>
      <c r="F17" s="214">
        <f>Enter!H13</f>
        <v>39675</v>
      </c>
      <c r="G17" s="220">
        <f>Enter!I13</f>
        <v>100</v>
      </c>
      <c r="H17" s="214">
        <f>Enter!J13</f>
        <v>0</v>
      </c>
      <c r="I17" s="221">
        <f>Enter!K13</f>
        <v>0</v>
      </c>
      <c r="J17" s="218">
        <f>Enter!L13</f>
        <v>100.56100000000001</v>
      </c>
      <c r="K17" s="161">
        <f t="shared" si="13"/>
        <v>4.9000187922203224E-2</v>
      </c>
      <c r="L17" s="161">
        <f t="shared" si="14"/>
        <v>4.9606466107895889E-2</v>
      </c>
      <c r="M17" s="161">
        <f t="shared" si="15"/>
        <v>4.9721064826324317E-2</v>
      </c>
      <c r="N17" s="161">
        <f>IF(A17=0,0,IF(K17=0,L17*Enter!G$27,K17*Enter!G$27))</f>
        <v>8.0458308568257683E-2</v>
      </c>
      <c r="R17" s="55" t="b">
        <f t="shared" si="20"/>
        <v>0</v>
      </c>
      <c r="S17" s="68">
        <f t="shared" si="16"/>
        <v>46614</v>
      </c>
      <c r="T17" s="69">
        <f t="shared" si="17"/>
        <v>20000</v>
      </c>
      <c r="U17" s="56">
        <v>11</v>
      </c>
      <c r="V17" s="66">
        <f t="shared" si="0"/>
        <v>10000</v>
      </c>
      <c r="W17" s="61"/>
      <c r="X17" s="62">
        <f>Volatility!AS17/Volatility!AS$29</f>
        <v>9.9779031728344958E-2</v>
      </c>
      <c r="Y17" s="67"/>
      <c r="Z17" s="96">
        <f t="shared" si="18"/>
        <v>46614</v>
      </c>
      <c r="AA17" s="56">
        <f>DAYS360(Enter!C13,Z17)</f>
        <v>9269</v>
      </c>
      <c r="AB17" s="85">
        <f t="shared" si="1"/>
        <v>9269</v>
      </c>
      <c r="AC17" s="56">
        <f t="shared" si="2"/>
        <v>924.85184509002943</v>
      </c>
      <c r="AD17" s="62">
        <f t="shared" si="3"/>
        <v>4.8891913053843812E-3</v>
      </c>
      <c r="AE17" s="86">
        <f t="shared" si="4"/>
        <v>4.9000187922203224E-2</v>
      </c>
      <c r="AF17" s="86">
        <f t="shared" si="5"/>
        <v>4.8891913053843812E-3</v>
      </c>
      <c r="AG17" s="55">
        <f t="shared" si="6"/>
        <v>0.05</v>
      </c>
      <c r="AH17" s="87">
        <f t="shared" si="7"/>
        <v>4.9721064826324317E-2</v>
      </c>
      <c r="AI17" s="62">
        <f t="shared" si="8"/>
        <v>20112.2</v>
      </c>
      <c r="AJ17" s="56"/>
      <c r="AK17" s="56"/>
      <c r="AL17" s="56"/>
      <c r="AM17" s="88">
        <f t="shared" si="9"/>
        <v>201122.00000000003</v>
      </c>
      <c r="AN17" s="56"/>
      <c r="AO17" s="56"/>
      <c r="AP17" s="88">
        <f t="shared" si="10"/>
        <v>25</v>
      </c>
      <c r="AQ17" s="89">
        <f>DAYS360(Enter!C13,E17)/180</f>
        <v>51.494444444444447</v>
      </c>
      <c r="AR17" s="89">
        <f t="shared" si="11"/>
        <v>0.49444444444444713</v>
      </c>
      <c r="AS17" s="97">
        <f t="shared" si="19"/>
        <v>12.638888888888822</v>
      </c>
      <c r="AT17" s="91">
        <f>IF(DAYS360(Enter!B13,Enter!C13)&lt;180,0,AS17*A17)</f>
        <v>2527.7777777777642</v>
      </c>
      <c r="AU17" s="69">
        <f>IF((DAYS360(Enter!B13,Enter!C13))&lt;180,(DAYS360(Enter!B13,Enter!C13))/180*AP17*A17,0)</f>
        <v>0</v>
      </c>
      <c r="AV17" s="89"/>
      <c r="AW17" s="89"/>
      <c r="AX17" s="56"/>
      <c r="AY17" s="62">
        <f t="shared" si="12"/>
        <v>4.9889515864172482E-3</v>
      </c>
      <c r="AZ17" s="56"/>
      <c r="BA17" s="56"/>
      <c r="BB17" s="56"/>
      <c r="BC17" s="92">
        <f>IF(A17=0,0,IF(J17=100,D17,YIELD(Enter!C13,E17,D17,J17,100,2,0)))</f>
        <v>4.9606466107895889E-2</v>
      </c>
      <c r="BD17" s="94">
        <f>IF(A17=0,100,IF(F17=0,100,YIELD(Enter!C13,F17,D17,J17,G17,2,0)))</f>
        <v>4.9000187922203224E-2</v>
      </c>
      <c r="BE17" s="94">
        <f>IF(A17=0,1000,IF(H17=0,1000,YIELD(Enter!C13,H17,D17,J17,100,2,0)))</f>
        <v>1000</v>
      </c>
      <c r="BF17" s="94"/>
      <c r="BG17" s="87">
        <f t="shared" si="21"/>
        <v>4.9000187922203224E-2</v>
      </c>
      <c r="BH17" s="95">
        <f t="shared" si="22"/>
        <v>39675</v>
      </c>
      <c r="BI17" s="75"/>
    </row>
    <row r="18" spans="1:61" ht="15.6" x14ac:dyDescent="0.3">
      <c r="A18" s="222">
        <f>Enter!A14</f>
        <v>0</v>
      </c>
      <c r="B18" s="215">
        <f>Enter!D14</f>
        <v>0</v>
      </c>
      <c r="C18" s="260">
        <f>Enter!E14</f>
        <v>0</v>
      </c>
      <c r="D18" s="216">
        <f>Enter!F14</f>
        <v>0</v>
      </c>
      <c r="E18" s="214">
        <f>Enter!G14</f>
        <v>0</v>
      </c>
      <c r="F18" s="214">
        <f>Enter!H14</f>
        <v>0</v>
      </c>
      <c r="G18" s="220">
        <f>Enter!I14</f>
        <v>0</v>
      </c>
      <c r="H18" s="214">
        <f>Enter!J14</f>
        <v>0</v>
      </c>
      <c r="I18" s="221">
        <f>Enter!K14</f>
        <v>0</v>
      </c>
      <c r="J18" s="218">
        <f>Enter!L14</f>
        <v>0</v>
      </c>
      <c r="K18" s="161">
        <f t="shared" si="13"/>
        <v>0</v>
      </c>
      <c r="L18" s="161">
        <f t="shared" si="14"/>
        <v>0</v>
      </c>
      <c r="M18" s="161">
        <f t="shared" si="15"/>
        <v>0</v>
      </c>
      <c r="N18" s="161">
        <f>IF(A18=0,0,IF(K18=0,L18*Enter!G$27,K18*Enter!G$27))</f>
        <v>0</v>
      </c>
      <c r="R18" s="55" t="b">
        <f t="shared" si="20"/>
        <v>0</v>
      </c>
      <c r="S18" s="68">
        <f t="shared" si="16"/>
        <v>0</v>
      </c>
      <c r="T18" s="69">
        <f t="shared" si="17"/>
        <v>0</v>
      </c>
      <c r="U18" s="56">
        <v>12</v>
      </c>
      <c r="V18" s="66">
        <f t="shared" si="0"/>
        <v>0</v>
      </c>
      <c r="W18" s="61"/>
      <c r="X18" s="62">
        <f>Volatility!AS18/Volatility!AS$29</f>
        <v>0</v>
      </c>
      <c r="Y18" s="67"/>
      <c r="Z18" s="96">
        <f t="shared" si="18"/>
        <v>0</v>
      </c>
      <c r="AA18" s="56">
        <f>DAYS360(Enter!C14,Z18)</f>
        <v>0</v>
      </c>
      <c r="AB18" s="85">
        <f t="shared" si="1"/>
        <v>0</v>
      </c>
      <c r="AC18" s="56">
        <f t="shared" si="2"/>
        <v>0</v>
      </c>
      <c r="AD18" s="62">
        <f t="shared" si="3"/>
        <v>0</v>
      </c>
      <c r="AE18" s="86">
        <f t="shared" si="4"/>
        <v>0</v>
      </c>
      <c r="AF18" s="86">
        <f t="shared" si="5"/>
        <v>0</v>
      </c>
      <c r="AG18" s="55">
        <f t="shared" si="6"/>
        <v>0</v>
      </c>
      <c r="AH18" s="87" t="e">
        <f t="shared" si="7"/>
        <v>#DIV/0!</v>
      </c>
      <c r="AI18" s="62">
        <f t="shared" si="8"/>
        <v>0</v>
      </c>
      <c r="AJ18" s="56"/>
      <c r="AK18" s="56"/>
      <c r="AL18" s="56"/>
      <c r="AM18" s="88">
        <f t="shared" si="9"/>
        <v>0</v>
      </c>
      <c r="AN18" s="56"/>
      <c r="AO18" s="56"/>
      <c r="AP18" s="88">
        <f t="shared" si="10"/>
        <v>0</v>
      </c>
      <c r="AQ18" s="89">
        <f>DAYS360(Enter!C14,E18)/180</f>
        <v>0</v>
      </c>
      <c r="AR18" s="89">
        <f t="shared" si="11"/>
        <v>0</v>
      </c>
      <c r="AS18" s="97">
        <f t="shared" si="19"/>
        <v>0</v>
      </c>
      <c r="AT18" s="91">
        <f>IF(DAYS360(Enter!B14,Enter!C14)&lt;180,0,AS18*A18)</f>
        <v>0</v>
      </c>
      <c r="AU18" s="69">
        <f>IF((DAYS360(Enter!B14,Enter!C14))&lt;180,(DAYS360(Enter!B14,Enter!C14))/180*AP18*A18,0)</f>
        <v>0</v>
      </c>
      <c r="AV18" s="89"/>
      <c r="AW18" s="89"/>
      <c r="AX18" s="56"/>
      <c r="AY18" s="62">
        <f t="shared" si="12"/>
        <v>0</v>
      </c>
      <c r="AZ18" s="56"/>
      <c r="BA18" s="56"/>
      <c r="BB18" s="56"/>
      <c r="BC18" s="92">
        <f>IF(A18=0,0,IF(J18=100,D18,YIELD(Enter!C14,E18,D18,J18,100,2,0)))</f>
        <v>0</v>
      </c>
      <c r="BD18" s="94">
        <f>IF(A18=0,100,IF(F18=0,100,YIELD(Enter!C14,F18,D18,J18,G18,2,0)))</f>
        <v>100</v>
      </c>
      <c r="BE18" s="94">
        <f>IF(A18=0,1000,IF(H18=0,1000,YIELD(Enter!C14,H18,D18,J18,100,2,0)))</f>
        <v>1000</v>
      </c>
      <c r="BF18" s="94"/>
      <c r="BG18" s="87">
        <f t="shared" si="21"/>
        <v>0</v>
      </c>
      <c r="BH18" s="95">
        <f t="shared" si="22"/>
        <v>0</v>
      </c>
      <c r="BI18" s="75"/>
    </row>
    <row r="19" spans="1:61" ht="15.6" x14ac:dyDescent="0.3">
      <c r="A19" s="222">
        <f>Enter!A15</f>
        <v>0</v>
      </c>
      <c r="B19" s="215">
        <f>Enter!D15</f>
        <v>0</v>
      </c>
      <c r="C19" s="260">
        <f>Enter!E15</f>
        <v>0</v>
      </c>
      <c r="D19" s="216">
        <f>Enter!F15</f>
        <v>0</v>
      </c>
      <c r="E19" s="214">
        <f>Enter!G15</f>
        <v>0</v>
      </c>
      <c r="F19" s="214">
        <f>Enter!H15</f>
        <v>0</v>
      </c>
      <c r="G19" s="220">
        <f>Enter!I15</f>
        <v>0</v>
      </c>
      <c r="H19" s="214">
        <f>Enter!J15</f>
        <v>0</v>
      </c>
      <c r="I19" s="221">
        <f>Enter!K15</f>
        <v>0</v>
      </c>
      <c r="J19" s="218">
        <f>Enter!L15</f>
        <v>0</v>
      </c>
      <c r="K19" s="161">
        <f t="shared" si="13"/>
        <v>0</v>
      </c>
      <c r="L19" s="161">
        <f t="shared" si="14"/>
        <v>0</v>
      </c>
      <c r="M19" s="161">
        <f t="shared" si="15"/>
        <v>0</v>
      </c>
      <c r="N19" s="161">
        <f>IF(A19=0,0,IF(K19=0,L19*Enter!G$27,K19*Enter!G$27))</f>
        <v>0</v>
      </c>
      <c r="R19" s="55" t="b">
        <f t="shared" si="20"/>
        <v>0</v>
      </c>
      <c r="S19" s="68">
        <f t="shared" si="16"/>
        <v>0</v>
      </c>
      <c r="T19" s="69">
        <f t="shared" si="17"/>
        <v>0</v>
      </c>
      <c r="U19" s="56">
        <v>13</v>
      </c>
      <c r="V19" s="66">
        <f t="shared" si="0"/>
        <v>0</v>
      </c>
      <c r="W19" s="61"/>
      <c r="X19" s="62">
        <f>Volatility!AS19/Volatility!AS$29</f>
        <v>0</v>
      </c>
      <c r="Y19" s="67"/>
      <c r="Z19" s="96">
        <f t="shared" si="18"/>
        <v>0</v>
      </c>
      <c r="AA19" s="56">
        <f>DAYS360(Enter!C15,Z19)</f>
        <v>0</v>
      </c>
      <c r="AB19" s="85">
        <f t="shared" si="1"/>
        <v>0</v>
      </c>
      <c r="AC19" s="56">
        <f t="shared" si="2"/>
        <v>0</v>
      </c>
      <c r="AD19" s="62">
        <f t="shared" si="3"/>
        <v>0</v>
      </c>
      <c r="AE19" s="86">
        <f t="shared" si="4"/>
        <v>0</v>
      </c>
      <c r="AF19" s="86">
        <f t="shared" si="5"/>
        <v>0</v>
      </c>
      <c r="AG19" s="55">
        <f t="shared" si="6"/>
        <v>0</v>
      </c>
      <c r="AH19" s="87" t="e">
        <f t="shared" si="7"/>
        <v>#DIV/0!</v>
      </c>
      <c r="AI19" s="62">
        <f t="shared" si="8"/>
        <v>0</v>
      </c>
      <c r="AJ19" s="56"/>
      <c r="AK19" s="56"/>
      <c r="AL19" s="56"/>
      <c r="AM19" s="88">
        <f t="shared" si="9"/>
        <v>0</v>
      </c>
      <c r="AN19" s="56"/>
      <c r="AO19" s="56"/>
      <c r="AP19" s="88">
        <f t="shared" si="10"/>
        <v>0</v>
      </c>
      <c r="AQ19" s="89">
        <f>DAYS360(Enter!C15,E19)/180</f>
        <v>0</v>
      </c>
      <c r="AR19" s="89">
        <f t="shared" si="11"/>
        <v>0</v>
      </c>
      <c r="AS19" s="97">
        <f t="shared" si="19"/>
        <v>0</v>
      </c>
      <c r="AT19" s="91">
        <f>IF(DAYS360(Enter!B15,Enter!C15)&lt;180,0,AS19*A19)</f>
        <v>0</v>
      </c>
      <c r="AU19" s="69">
        <f>IF((DAYS360(Enter!B15,Enter!C15))&lt;180,(DAYS360(Enter!B15,Enter!C15))/180*AP19*A19,0)</f>
        <v>0</v>
      </c>
      <c r="AV19" s="89"/>
      <c r="AW19" s="89"/>
      <c r="AX19" s="56"/>
      <c r="AY19" s="62">
        <f t="shared" si="12"/>
        <v>0</v>
      </c>
      <c r="AZ19" s="56"/>
      <c r="BA19" s="56"/>
      <c r="BB19" s="56"/>
      <c r="BC19" s="92">
        <f>IF(A19=0,0,IF(J19=100,D19,YIELD(Enter!C15,E19,D19,J19,100,2,0)))</f>
        <v>0</v>
      </c>
      <c r="BD19" s="94">
        <f>IF(A19=0,100,IF(F19=0,100,YIELD(Enter!C15,F19,D19,J19,G19,2,0)))</f>
        <v>100</v>
      </c>
      <c r="BE19" s="94">
        <f>IF(A19=0,1000,IF(H19=0,1000,YIELD(Enter!C15,H19,D19,J19,100,2,0)))</f>
        <v>1000</v>
      </c>
      <c r="BF19" s="94"/>
      <c r="BG19" s="87">
        <f t="shared" si="21"/>
        <v>0</v>
      </c>
      <c r="BH19" s="95">
        <f t="shared" si="22"/>
        <v>0</v>
      </c>
      <c r="BI19" s="75"/>
    </row>
    <row r="20" spans="1:61" ht="15.6" x14ac:dyDescent="0.3">
      <c r="A20" s="222">
        <f>Enter!A16</f>
        <v>0</v>
      </c>
      <c r="B20" s="215">
        <f>Enter!D16</f>
        <v>0</v>
      </c>
      <c r="C20" s="260">
        <f>Enter!E16</f>
        <v>0</v>
      </c>
      <c r="D20" s="216">
        <f>Enter!F16</f>
        <v>0</v>
      </c>
      <c r="E20" s="214">
        <f>Enter!G16</f>
        <v>0</v>
      </c>
      <c r="F20" s="214">
        <f>Enter!H16</f>
        <v>0</v>
      </c>
      <c r="G20" s="220">
        <f>Enter!I16</f>
        <v>0</v>
      </c>
      <c r="H20" s="214">
        <f>Enter!J16</f>
        <v>0</v>
      </c>
      <c r="I20" s="221">
        <f>Enter!K16</f>
        <v>0</v>
      </c>
      <c r="J20" s="218">
        <f>Enter!L16</f>
        <v>0</v>
      </c>
      <c r="K20" s="161">
        <f t="shared" si="13"/>
        <v>0</v>
      </c>
      <c r="L20" s="161">
        <f t="shared" si="14"/>
        <v>0</v>
      </c>
      <c r="M20" s="161">
        <f t="shared" si="15"/>
        <v>0</v>
      </c>
      <c r="N20" s="161">
        <f>IF(A20=0,0,IF(K20=0,L20*Enter!G$27,K20*Enter!G$27))</f>
        <v>0</v>
      </c>
      <c r="R20" s="55" t="b">
        <f t="shared" si="20"/>
        <v>0</v>
      </c>
      <c r="S20" s="68">
        <f t="shared" si="16"/>
        <v>0</v>
      </c>
      <c r="T20" s="69">
        <f t="shared" si="17"/>
        <v>0</v>
      </c>
      <c r="U20" s="56">
        <v>14</v>
      </c>
      <c r="V20" s="66">
        <f t="shared" si="0"/>
        <v>0</v>
      </c>
      <c r="W20" s="61"/>
      <c r="X20" s="62">
        <f>Volatility!AS20/Volatility!AS$29</f>
        <v>0</v>
      </c>
      <c r="Y20" s="67"/>
      <c r="Z20" s="96">
        <f t="shared" si="18"/>
        <v>0</v>
      </c>
      <c r="AA20" s="56">
        <f>DAYS360(Enter!C16,Z20)</f>
        <v>0</v>
      </c>
      <c r="AB20" s="85">
        <f t="shared" si="1"/>
        <v>0</v>
      </c>
      <c r="AC20" s="56">
        <f>X20*AB20</f>
        <v>0</v>
      </c>
      <c r="AD20" s="62">
        <f t="shared" si="3"/>
        <v>0</v>
      </c>
      <c r="AE20" s="86">
        <f>BG20</f>
        <v>0</v>
      </c>
      <c r="AF20" s="86">
        <f>AE20*X20</f>
        <v>0</v>
      </c>
      <c r="AG20" s="55">
        <f t="shared" si="6"/>
        <v>0</v>
      </c>
      <c r="AH20" s="87" t="e">
        <f t="shared" si="7"/>
        <v>#DIV/0!</v>
      </c>
      <c r="AI20" s="62">
        <f t="shared" si="8"/>
        <v>0</v>
      </c>
      <c r="AJ20" s="56"/>
      <c r="AK20" s="56"/>
      <c r="AL20" s="56"/>
      <c r="AM20" s="88">
        <f t="shared" si="9"/>
        <v>0</v>
      </c>
      <c r="AN20" s="56"/>
      <c r="AO20" s="56"/>
      <c r="AP20" s="88">
        <f>((D20/360)*180)*1000</f>
        <v>0</v>
      </c>
      <c r="AQ20" s="89">
        <f>DAYS360(Enter!C16,E20)/180</f>
        <v>0</v>
      </c>
      <c r="AR20" s="89">
        <f t="shared" si="11"/>
        <v>0</v>
      </c>
      <c r="AS20" s="97">
        <f t="shared" si="19"/>
        <v>0</v>
      </c>
      <c r="AT20" s="91">
        <f>IF(DAYS360(Enter!B16,Enter!C16)&lt;180,0,AS20*A20)</f>
        <v>0</v>
      </c>
      <c r="AU20" s="69">
        <f>IF((DAYS360(Enter!B16,Enter!C16))&lt;180,(DAYS360(Enter!B16,Enter!C16))/180*AP20*A20,0)</f>
        <v>0</v>
      </c>
      <c r="AV20" s="89"/>
      <c r="AW20" s="89"/>
      <c r="AX20" s="56"/>
      <c r="AY20" s="62">
        <f t="shared" si="12"/>
        <v>0</v>
      </c>
      <c r="AZ20" s="56"/>
      <c r="BA20" s="56"/>
      <c r="BB20" s="56"/>
      <c r="BC20" s="92">
        <f>IF(A20=0,0,IF(J20=100,D20,YIELD(Enter!C16,E20,D20,J20,100,2,0)))</f>
        <v>0</v>
      </c>
      <c r="BD20" s="94">
        <f>IF(A20=0,100,IF(F20=0,100,YIELD(Enter!C16,F20,D20,J20,G20,2,0)))</f>
        <v>100</v>
      </c>
      <c r="BE20" s="94">
        <f>IF(A20=0,1000,IF(H20=0,1000,YIELD(Enter!C16,H20,D20,J20,100,2,0)))</f>
        <v>1000</v>
      </c>
      <c r="BF20" s="94"/>
      <c r="BG20" s="87">
        <f t="shared" si="21"/>
        <v>0</v>
      </c>
      <c r="BH20" s="95">
        <f t="shared" si="22"/>
        <v>0</v>
      </c>
      <c r="BI20" s="75"/>
    </row>
    <row r="21" spans="1:61" ht="15.6" x14ac:dyDescent="0.3">
      <c r="A21" s="222">
        <f>Enter!A17</f>
        <v>0</v>
      </c>
      <c r="B21" s="215">
        <f>Enter!D17</f>
        <v>0</v>
      </c>
      <c r="C21" s="260">
        <f>Enter!E17</f>
        <v>0</v>
      </c>
      <c r="D21" s="216">
        <f>Enter!F17</f>
        <v>0</v>
      </c>
      <c r="E21" s="214">
        <f>Enter!G17</f>
        <v>0</v>
      </c>
      <c r="F21" s="214">
        <f>Enter!H17</f>
        <v>0</v>
      </c>
      <c r="G21" s="220">
        <f>Enter!I17</f>
        <v>0</v>
      </c>
      <c r="H21" s="214">
        <f>Enter!J17</f>
        <v>0</v>
      </c>
      <c r="I21" s="221">
        <f>Enter!K17</f>
        <v>0</v>
      </c>
      <c r="J21" s="218">
        <f>Enter!L17</f>
        <v>0</v>
      </c>
      <c r="K21" s="161">
        <f t="shared" si="13"/>
        <v>0</v>
      </c>
      <c r="L21" s="161">
        <f t="shared" si="14"/>
        <v>0</v>
      </c>
      <c r="M21" s="161">
        <f t="shared" si="15"/>
        <v>0</v>
      </c>
      <c r="N21" s="161">
        <f>IF(A21=0,0,IF(K21=0,L21*Enter!G$27,K21*Enter!G$27))</f>
        <v>0</v>
      </c>
      <c r="R21" s="55" t="b">
        <f t="shared" si="20"/>
        <v>0</v>
      </c>
      <c r="S21" s="68">
        <f t="shared" si="16"/>
        <v>0</v>
      </c>
      <c r="T21" s="69">
        <f t="shared" si="17"/>
        <v>0</v>
      </c>
      <c r="U21" s="56">
        <v>15</v>
      </c>
      <c r="V21" s="66">
        <f t="shared" si="0"/>
        <v>0</v>
      </c>
      <c r="W21" s="61"/>
      <c r="X21" s="62">
        <f>Volatility!AS21/Volatility!AS$29</f>
        <v>0</v>
      </c>
      <c r="Y21" s="67"/>
      <c r="Z21" s="96">
        <f t="shared" si="18"/>
        <v>0</v>
      </c>
      <c r="AA21" s="56">
        <f>DAYS360(Enter!C17,Z21)</f>
        <v>0</v>
      </c>
      <c r="AB21" s="85">
        <f t="shared" si="1"/>
        <v>0</v>
      </c>
      <c r="AC21" s="56">
        <f>X21*AB21</f>
        <v>0</v>
      </c>
      <c r="AD21" s="62">
        <f t="shared" si="3"/>
        <v>0</v>
      </c>
      <c r="AE21" s="86">
        <f>BG21</f>
        <v>0</v>
      </c>
      <c r="AF21" s="86">
        <f>AE21*X21</f>
        <v>0</v>
      </c>
      <c r="AG21" s="55">
        <f t="shared" si="6"/>
        <v>0</v>
      </c>
      <c r="AH21" s="87" t="e">
        <f t="shared" si="7"/>
        <v>#DIV/0!</v>
      </c>
      <c r="AI21" s="62">
        <f t="shared" si="8"/>
        <v>0</v>
      </c>
      <c r="AJ21" s="56"/>
      <c r="AK21" s="56"/>
      <c r="AL21" s="56"/>
      <c r="AM21" s="88">
        <f t="shared" si="9"/>
        <v>0</v>
      </c>
      <c r="AN21" s="56"/>
      <c r="AO21" s="56"/>
      <c r="AP21" s="88">
        <f>((D21/360)*180)*1000</f>
        <v>0</v>
      </c>
      <c r="AQ21" s="89">
        <f>DAYS360(Enter!C17,E21)/180</f>
        <v>0</v>
      </c>
      <c r="AR21" s="89">
        <f t="shared" si="11"/>
        <v>0</v>
      </c>
      <c r="AS21" s="97">
        <f t="shared" si="19"/>
        <v>0</v>
      </c>
      <c r="AT21" s="91">
        <f>IF(DAYS360(Enter!B17,Enter!C17)&lt;180,0,AS21*A21)</f>
        <v>0</v>
      </c>
      <c r="AU21" s="69">
        <f>IF((DAYS360(Enter!B17,Enter!C17))&lt;180,(DAYS360(Enter!B17,Enter!C17))/180*AP21*A21,0)</f>
        <v>0</v>
      </c>
      <c r="AV21" s="89"/>
      <c r="AW21" s="89"/>
      <c r="AX21" s="56"/>
      <c r="AY21" s="62">
        <f t="shared" si="12"/>
        <v>0</v>
      </c>
      <c r="AZ21" s="56"/>
      <c r="BA21" s="56"/>
      <c r="BB21" s="56"/>
      <c r="BC21" s="92">
        <f>IF(A21=0,0,IF(J21=100,D21,YIELD(Enter!C17,E21,D21,J21,100,2,0)))</f>
        <v>0</v>
      </c>
      <c r="BD21" s="94">
        <f>IF(A21=0,100,IF(F21=0,100,YIELD(Enter!C17,F21,D21,J21,G21,2,0)))</f>
        <v>100</v>
      </c>
      <c r="BE21" s="94">
        <f>IF(A21=0,1000,IF(H21=0,1000,YIELD(Enter!C17,H21,D21,J21,100,2,0)))</f>
        <v>1000</v>
      </c>
      <c r="BF21" s="94"/>
      <c r="BG21" s="87">
        <f t="shared" si="21"/>
        <v>0</v>
      </c>
      <c r="BH21" s="95">
        <f t="shared" si="22"/>
        <v>0</v>
      </c>
      <c r="BI21" s="75"/>
    </row>
    <row r="22" spans="1:61" ht="15.6" x14ac:dyDescent="0.3">
      <c r="A22" s="222">
        <f>Enter!A18</f>
        <v>0</v>
      </c>
      <c r="B22" s="215">
        <f>Enter!D18</f>
        <v>0</v>
      </c>
      <c r="C22" s="260">
        <f>Enter!E18</f>
        <v>0</v>
      </c>
      <c r="D22" s="216">
        <f>Enter!F18</f>
        <v>0</v>
      </c>
      <c r="E22" s="214">
        <f>Enter!G18</f>
        <v>0</v>
      </c>
      <c r="F22" s="214">
        <f>Enter!H18</f>
        <v>0</v>
      </c>
      <c r="G22" s="220">
        <f>Enter!I18</f>
        <v>0</v>
      </c>
      <c r="H22" s="214">
        <f>Enter!J18</f>
        <v>0</v>
      </c>
      <c r="I22" s="221">
        <f>Enter!K18</f>
        <v>0</v>
      </c>
      <c r="J22" s="218">
        <f>Enter!L18</f>
        <v>0</v>
      </c>
      <c r="K22" s="161">
        <f t="shared" si="13"/>
        <v>0</v>
      </c>
      <c r="L22" s="161">
        <f t="shared" si="14"/>
        <v>0</v>
      </c>
      <c r="M22" s="161">
        <f t="shared" si="15"/>
        <v>0</v>
      </c>
      <c r="N22" s="161">
        <f>IF(A22=0,0,IF(K22=0,L22*Enter!G$27,K22*Enter!G$27))</f>
        <v>0</v>
      </c>
      <c r="R22" s="55" t="b">
        <f t="shared" si="20"/>
        <v>0</v>
      </c>
      <c r="S22" s="68">
        <f t="shared" si="16"/>
        <v>0</v>
      </c>
      <c r="T22" s="69">
        <f t="shared" si="17"/>
        <v>0</v>
      </c>
      <c r="U22" s="56">
        <v>16</v>
      </c>
      <c r="V22" s="66">
        <f t="shared" si="0"/>
        <v>0</v>
      </c>
      <c r="W22" s="61"/>
      <c r="X22" s="62">
        <f>Volatility!AS22/Volatility!AS$29</f>
        <v>0</v>
      </c>
      <c r="Y22" s="67"/>
      <c r="Z22" s="96">
        <f t="shared" si="18"/>
        <v>0</v>
      </c>
      <c r="AA22" s="56">
        <f>DAYS360(Enter!C18,Z22)</f>
        <v>0</v>
      </c>
      <c r="AB22" s="85">
        <f t="shared" si="1"/>
        <v>0</v>
      </c>
      <c r="AC22" s="56">
        <f>X22*AB22</f>
        <v>0</v>
      </c>
      <c r="AD22" s="62">
        <f t="shared" si="3"/>
        <v>0</v>
      </c>
      <c r="AE22" s="86">
        <f>BG22</f>
        <v>0</v>
      </c>
      <c r="AF22" s="86">
        <f>AE22*X22</f>
        <v>0</v>
      </c>
      <c r="AG22" s="55">
        <f t="shared" si="6"/>
        <v>0</v>
      </c>
      <c r="AH22" s="87" t="e">
        <f t="shared" si="7"/>
        <v>#DIV/0!</v>
      </c>
      <c r="AI22" s="62">
        <f t="shared" si="8"/>
        <v>0</v>
      </c>
      <c r="AJ22" s="56"/>
      <c r="AK22" s="56"/>
      <c r="AL22" s="56"/>
      <c r="AM22" s="88">
        <f t="shared" si="9"/>
        <v>0</v>
      </c>
      <c r="AN22" s="56"/>
      <c r="AO22" s="56"/>
      <c r="AP22" s="88">
        <f>((D22/360)*180)*1000</f>
        <v>0</v>
      </c>
      <c r="AQ22" s="89">
        <f>DAYS360(Enter!C18,E22)/180</f>
        <v>0</v>
      </c>
      <c r="AR22" s="89">
        <f t="shared" si="11"/>
        <v>0</v>
      </c>
      <c r="AS22" s="97">
        <f t="shared" si="19"/>
        <v>0</v>
      </c>
      <c r="AT22" s="91">
        <f>IF(DAYS360(Enter!B18,Enter!C18)&lt;180,0,AS22*A22)</f>
        <v>0</v>
      </c>
      <c r="AU22" s="69">
        <f>IF((DAYS360(Enter!B18,Enter!C18))&lt;180,(DAYS360(Enter!B18,Enter!C18))/180*AP22*A22,0)</f>
        <v>0</v>
      </c>
      <c r="AV22" s="89"/>
      <c r="AW22" s="89"/>
      <c r="AX22" s="56"/>
      <c r="AY22" s="62">
        <f t="shared" si="12"/>
        <v>0</v>
      </c>
      <c r="AZ22" s="56"/>
      <c r="BA22" s="56"/>
      <c r="BB22" s="56"/>
      <c r="BC22" s="92">
        <f>IF(A22=0,0,IF(J22=100,D22,YIELD(Enter!C18,E22,D22,J22,100,2,0)))</f>
        <v>0</v>
      </c>
      <c r="BD22" s="94">
        <f>IF(A22=0,100,IF(F22=0,100,YIELD(Enter!C18,F22,D22,J22,G22,2,0)))</f>
        <v>100</v>
      </c>
      <c r="BE22" s="94">
        <f>IF(A22=0,1000,IF(H22=0,1000,YIELD(Enter!C18,H22,D22,J22,100,2,0)))</f>
        <v>1000</v>
      </c>
      <c r="BF22" s="94"/>
      <c r="BG22" s="87">
        <f t="shared" si="21"/>
        <v>0</v>
      </c>
      <c r="BH22" s="95">
        <f t="shared" si="22"/>
        <v>0</v>
      </c>
      <c r="BI22" s="75"/>
    </row>
    <row r="23" spans="1:61" ht="15.6" x14ac:dyDescent="0.3">
      <c r="A23" s="222">
        <f>Enter!A19</f>
        <v>0</v>
      </c>
      <c r="B23" s="215">
        <f>Enter!D19</f>
        <v>0</v>
      </c>
      <c r="C23" s="260">
        <f>Enter!E19</f>
        <v>0</v>
      </c>
      <c r="D23" s="216">
        <f>Enter!F19</f>
        <v>0</v>
      </c>
      <c r="E23" s="214">
        <f>Enter!G19</f>
        <v>0</v>
      </c>
      <c r="F23" s="214">
        <f>Enter!H19</f>
        <v>0</v>
      </c>
      <c r="G23" s="220">
        <f>Enter!I19</f>
        <v>0</v>
      </c>
      <c r="H23" s="214">
        <f>Enter!J19</f>
        <v>0</v>
      </c>
      <c r="I23" s="221">
        <f>Enter!K19</f>
        <v>0</v>
      </c>
      <c r="J23" s="218">
        <f>Enter!L19</f>
        <v>0</v>
      </c>
      <c r="K23" s="161">
        <f t="shared" si="13"/>
        <v>0</v>
      </c>
      <c r="L23" s="161">
        <f t="shared" si="14"/>
        <v>0</v>
      </c>
      <c r="M23" s="161">
        <f t="shared" si="15"/>
        <v>0</v>
      </c>
      <c r="N23" s="161">
        <f>IF(A23=0,0,IF(K23=0,L23*Enter!G$27,K23*Enter!G$27))</f>
        <v>0</v>
      </c>
      <c r="R23" s="55" t="b">
        <f t="shared" si="20"/>
        <v>0</v>
      </c>
      <c r="S23" s="68">
        <f t="shared" si="16"/>
        <v>0</v>
      </c>
      <c r="T23" s="69">
        <f t="shared" si="17"/>
        <v>0</v>
      </c>
      <c r="U23" s="56">
        <v>17</v>
      </c>
      <c r="V23" s="66">
        <f t="shared" si="0"/>
        <v>0</v>
      </c>
      <c r="W23" s="61"/>
      <c r="X23" s="62">
        <f>Volatility!AS23/Volatility!AS$29</f>
        <v>0</v>
      </c>
      <c r="Y23" s="67"/>
      <c r="Z23" s="96">
        <f t="shared" si="18"/>
        <v>0</v>
      </c>
      <c r="AA23" s="56">
        <f>DAYS360(Enter!C19,Z23)</f>
        <v>0</v>
      </c>
      <c r="AB23" s="85">
        <f t="shared" si="1"/>
        <v>0</v>
      </c>
      <c r="AC23" s="56">
        <f>X23*AB23</f>
        <v>0</v>
      </c>
      <c r="AD23" s="62">
        <f t="shared" si="3"/>
        <v>0</v>
      </c>
      <c r="AE23" s="86">
        <f>BG23</f>
        <v>0</v>
      </c>
      <c r="AF23" s="86">
        <f>AE23*X23</f>
        <v>0</v>
      </c>
      <c r="AG23" s="55">
        <f t="shared" si="6"/>
        <v>0</v>
      </c>
      <c r="AH23" s="87" t="e">
        <f t="shared" si="7"/>
        <v>#DIV/0!</v>
      </c>
      <c r="AI23" s="62">
        <f t="shared" si="8"/>
        <v>0</v>
      </c>
      <c r="AJ23" s="56"/>
      <c r="AK23" s="56"/>
      <c r="AL23" s="56"/>
      <c r="AM23" s="88">
        <f t="shared" si="9"/>
        <v>0</v>
      </c>
      <c r="AN23" s="56"/>
      <c r="AO23" s="56"/>
      <c r="AP23" s="88">
        <f>((D23/360)*180)*1000</f>
        <v>0</v>
      </c>
      <c r="AQ23" s="89">
        <f>DAYS360(Enter!C19,E23)/180</f>
        <v>0</v>
      </c>
      <c r="AR23" s="89">
        <f t="shared" si="11"/>
        <v>0</v>
      </c>
      <c r="AS23" s="97">
        <f t="shared" si="19"/>
        <v>0</v>
      </c>
      <c r="AT23" s="91">
        <f>IF(DAYS360(Enter!B19,Enter!C19)&lt;180,0,AS23*A23)</f>
        <v>0</v>
      </c>
      <c r="AU23" s="69">
        <f>IF((DAYS360(Enter!B19,Enter!C19))&lt;180,(DAYS360(Enter!B19,Enter!C19))/180*AP23*A23,0)</f>
        <v>0</v>
      </c>
      <c r="AV23" s="89"/>
      <c r="AW23" s="89"/>
      <c r="AX23" s="56"/>
      <c r="AY23" s="62">
        <f t="shared" si="12"/>
        <v>0</v>
      </c>
      <c r="AZ23" s="56"/>
      <c r="BA23" s="56"/>
      <c r="BB23" s="56"/>
      <c r="BC23" s="92">
        <f>IF(A23=0,0,IF(J23=100,D23,YIELD(Enter!C19,E23,D23,J23,100,2,0)))</f>
        <v>0</v>
      </c>
      <c r="BD23" s="94">
        <f>IF(A23=0,100,IF(F23=0,100,YIELD(Enter!C19,F23,D23,J23,G23,2,0)))</f>
        <v>100</v>
      </c>
      <c r="BE23" s="94">
        <f>IF(A23=0,1000,IF(H23=0,1000,YIELD(Enter!C19,H23,D23,J23,100,2,0)))</f>
        <v>1000</v>
      </c>
      <c r="BF23" s="94"/>
      <c r="BG23" s="87">
        <f t="shared" si="21"/>
        <v>0</v>
      </c>
      <c r="BH23" s="95">
        <f t="shared" si="22"/>
        <v>0</v>
      </c>
      <c r="BI23" s="75"/>
    </row>
    <row r="24" spans="1:61" ht="15.6" x14ac:dyDescent="0.3">
      <c r="A24" s="222">
        <f>Enter!A20</f>
        <v>0</v>
      </c>
      <c r="B24" s="215">
        <f>Enter!D20</f>
        <v>0</v>
      </c>
      <c r="C24" s="260">
        <f>Enter!E20</f>
        <v>0</v>
      </c>
      <c r="D24" s="216">
        <f>Enter!F20</f>
        <v>0</v>
      </c>
      <c r="E24" s="214">
        <f>Enter!G20</f>
        <v>0</v>
      </c>
      <c r="F24" s="214">
        <f>Enter!H20</f>
        <v>0</v>
      </c>
      <c r="G24" s="220">
        <f>Enter!I20</f>
        <v>0</v>
      </c>
      <c r="H24" s="214">
        <f>Enter!J20</f>
        <v>0</v>
      </c>
      <c r="I24" s="221">
        <f>Enter!K20</f>
        <v>0</v>
      </c>
      <c r="J24" s="218">
        <f>Enter!L20</f>
        <v>0</v>
      </c>
      <c r="K24" s="161">
        <f t="shared" si="13"/>
        <v>0</v>
      </c>
      <c r="L24" s="161">
        <f t="shared" si="14"/>
        <v>0</v>
      </c>
      <c r="M24" s="161">
        <f t="shared" si="15"/>
        <v>0</v>
      </c>
      <c r="N24" s="161">
        <f>IF(A24=0,0,IF(K24=0,L24*Enter!G$27,K24*Enter!G$27))</f>
        <v>0</v>
      </c>
      <c r="R24" s="55" t="b">
        <f t="shared" si="20"/>
        <v>0</v>
      </c>
      <c r="S24" s="68">
        <f t="shared" si="16"/>
        <v>0</v>
      </c>
      <c r="T24" s="69">
        <f t="shared" si="17"/>
        <v>0</v>
      </c>
      <c r="U24" s="56">
        <v>18</v>
      </c>
      <c r="V24" s="66">
        <f t="shared" si="0"/>
        <v>0</v>
      </c>
      <c r="W24" s="61"/>
      <c r="X24" s="62">
        <f>Volatility!AS24/Volatility!AS$29</f>
        <v>0</v>
      </c>
      <c r="Y24" s="67"/>
      <c r="Z24" s="96">
        <f t="shared" si="18"/>
        <v>0</v>
      </c>
      <c r="AA24" s="56">
        <f>DAYS360(Enter!C20,Z24)</f>
        <v>0</v>
      </c>
      <c r="AB24" s="85">
        <f t="shared" si="1"/>
        <v>0</v>
      </c>
      <c r="AC24" s="56">
        <f>X24*AB24</f>
        <v>0</v>
      </c>
      <c r="AD24" s="62">
        <f t="shared" si="3"/>
        <v>0</v>
      </c>
      <c r="AE24" s="86">
        <f>BG24</f>
        <v>0</v>
      </c>
      <c r="AF24" s="86">
        <f>AE24*X24</f>
        <v>0</v>
      </c>
      <c r="AG24" s="55">
        <f t="shared" si="6"/>
        <v>0</v>
      </c>
      <c r="AH24" s="87" t="e">
        <f t="shared" si="7"/>
        <v>#DIV/0!</v>
      </c>
      <c r="AI24" s="62">
        <f t="shared" si="8"/>
        <v>0</v>
      </c>
      <c r="AJ24" s="56"/>
      <c r="AK24" s="56"/>
      <c r="AL24" s="56"/>
      <c r="AM24" s="88">
        <f t="shared" si="9"/>
        <v>0</v>
      </c>
      <c r="AN24" s="56"/>
      <c r="AO24" s="56"/>
      <c r="AP24" s="88">
        <f>((D24/360)*180)*1000</f>
        <v>0</v>
      </c>
      <c r="AQ24" s="89">
        <f>DAYS360(Enter!C20,E24)/180</f>
        <v>0</v>
      </c>
      <c r="AR24" s="89">
        <f t="shared" si="11"/>
        <v>0</v>
      </c>
      <c r="AS24" s="97">
        <f t="shared" si="19"/>
        <v>0</v>
      </c>
      <c r="AT24" s="91">
        <f>IF(DAYS360(Enter!B20,Enter!C20)&lt;180,0,AS24*A24)</f>
        <v>0</v>
      </c>
      <c r="AU24" s="69">
        <f>IF((DAYS360(Enter!B20,Enter!C20))&lt;180,(DAYS360(Enter!B20,Enter!C20))/180*AP24*A24,0)</f>
        <v>0</v>
      </c>
      <c r="AV24" s="89"/>
      <c r="AW24" s="89"/>
      <c r="AX24" s="56"/>
      <c r="AY24" s="62">
        <f t="shared" si="12"/>
        <v>0</v>
      </c>
      <c r="AZ24" s="56"/>
      <c r="BA24" s="56"/>
      <c r="BB24" s="56"/>
      <c r="BC24" s="92">
        <f>IF(A24=0,0,IF(J24=100,D24,YIELD(Enter!C20,E24,D24,J24,100,2,0)))</f>
        <v>0</v>
      </c>
      <c r="BD24" s="94">
        <f>IF(A24=0,100,IF(F24=0,100,YIELD(Enter!C20,F24,D24,J24,G24,2,0)))</f>
        <v>100</v>
      </c>
      <c r="BE24" s="94">
        <f>IF(A24=0,1000,IF(H24=0,1000,YIELD(Enter!C20,H24,D24,J24,100,2,0)))</f>
        <v>1000</v>
      </c>
      <c r="BF24" s="94"/>
      <c r="BG24" s="87">
        <f t="shared" si="21"/>
        <v>0</v>
      </c>
      <c r="BH24" s="95">
        <f t="shared" si="22"/>
        <v>0</v>
      </c>
      <c r="BI24" s="75"/>
    </row>
    <row r="25" spans="1:61" ht="15.6" x14ac:dyDescent="0.3">
      <c r="A25" s="222">
        <f>Enter!A21</f>
        <v>0</v>
      </c>
      <c r="B25" s="215">
        <f>Enter!D21</f>
        <v>0</v>
      </c>
      <c r="C25" s="260">
        <f>Enter!E21</f>
        <v>0</v>
      </c>
      <c r="D25" s="216">
        <f>Enter!F21</f>
        <v>0</v>
      </c>
      <c r="E25" s="214">
        <f>Enter!G21</f>
        <v>0</v>
      </c>
      <c r="F25" s="214">
        <f>Enter!H21</f>
        <v>0</v>
      </c>
      <c r="G25" s="220">
        <f>Enter!I21</f>
        <v>0</v>
      </c>
      <c r="H25" s="214">
        <f>Enter!J21</f>
        <v>0</v>
      </c>
      <c r="I25" s="221">
        <f>Enter!K21</f>
        <v>0</v>
      </c>
      <c r="J25" s="218">
        <f>Enter!L21</f>
        <v>0</v>
      </c>
      <c r="K25" s="161">
        <f t="shared" si="13"/>
        <v>0</v>
      </c>
      <c r="L25" s="161">
        <f t="shared" si="14"/>
        <v>0</v>
      </c>
      <c r="M25" s="161">
        <f t="shared" si="15"/>
        <v>0</v>
      </c>
      <c r="N25" s="161">
        <f>IF(A25=0,0,IF(K25=0,L25*Enter!G$27,K25*Enter!G$27))</f>
        <v>0</v>
      </c>
      <c r="R25" s="55" t="b">
        <f t="shared" si="20"/>
        <v>0</v>
      </c>
      <c r="S25" s="68">
        <f t="shared" si="16"/>
        <v>0</v>
      </c>
      <c r="T25" s="69">
        <f t="shared" si="17"/>
        <v>0</v>
      </c>
      <c r="U25" s="56">
        <v>32</v>
      </c>
      <c r="V25" s="66">
        <f t="shared" si="0"/>
        <v>0</v>
      </c>
      <c r="W25" s="61"/>
      <c r="X25" s="62">
        <f>Volatility!AS25/Volatility!AS$29</f>
        <v>0</v>
      </c>
      <c r="Y25" s="67"/>
      <c r="Z25" s="96">
        <f t="shared" si="18"/>
        <v>0</v>
      </c>
      <c r="AA25" s="56">
        <f>DAYS360(Enter!C21,Z25)</f>
        <v>0</v>
      </c>
      <c r="AB25" s="85">
        <f t="shared" si="1"/>
        <v>0</v>
      </c>
      <c r="AC25" s="56">
        <f t="shared" si="2"/>
        <v>0</v>
      </c>
      <c r="AD25" s="62">
        <f t="shared" si="3"/>
        <v>0</v>
      </c>
      <c r="AE25" s="86">
        <f t="shared" si="4"/>
        <v>0</v>
      </c>
      <c r="AF25" s="86">
        <f t="shared" si="5"/>
        <v>0</v>
      </c>
      <c r="AG25" s="55">
        <f t="shared" si="6"/>
        <v>0</v>
      </c>
      <c r="AH25" s="87" t="e">
        <f t="shared" si="7"/>
        <v>#DIV/0!</v>
      </c>
      <c r="AI25" s="62">
        <f t="shared" si="8"/>
        <v>0</v>
      </c>
      <c r="AJ25" s="56"/>
      <c r="AK25" s="56"/>
      <c r="AL25" s="56"/>
      <c r="AM25" s="88">
        <f t="shared" si="9"/>
        <v>0</v>
      </c>
      <c r="AN25" s="56"/>
      <c r="AO25" s="56"/>
      <c r="AP25" s="88">
        <f t="shared" si="10"/>
        <v>0</v>
      </c>
      <c r="AQ25" s="89">
        <f>DAYS360(Enter!C21,E25)/180</f>
        <v>0</v>
      </c>
      <c r="AR25" s="89">
        <f t="shared" si="11"/>
        <v>0</v>
      </c>
      <c r="AS25" s="97">
        <f t="shared" si="19"/>
        <v>0</v>
      </c>
      <c r="AT25" s="91">
        <f>IF(DAYS360(Enter!B21,Enter!C21)&lt;180,0,AS25*A25)</f>
        <v>0</v>
      </c>
      <c r="AU25" s="69">
        <f>IF((DAYS360(Enter!B21,Enter!C21))&lt;180,(DAYS360(Enter!B21,Enter!C21))/180*AP25*A25,0)</f>
        <v>0</v>
      </c>
      <c r="AV25" s="89"/>
      <c r="AW25" s="89"/>
      <c r="AX25" s="56"/>
      <c r="AY25" s="62">
        <f t="shared" si="12"/>
        <v>0</v>
      </c>
      <c r="AZ25" s="56"/>
      <c r="BA25" s="56"/>
      <c r="BB25" s="56"/>
      <c r="BC25" s="92">
        <f>IF(A25=0,0,IF(J25=100,D25,YIELD(Enter!C21,E25,D25,J25,100,2,0)))</f>
        <v>0</v>
      </c>
      <c r="BD25" s="94">
        <f>IF(A25=0,100,IF(F25=0,100,YIELD(Enter!C21,F25,D25,J25,G25,2,0)))</f>
        <v>100</v>
      </c>
      <c r="BE25" s="94">
        <f>IF(A25=0,1000,IF(H25=0,1000,YIELD(Enter!C21,H25,D25,J25,100,2,0)))</f>
        <v>1000</v>
      </c>
      <c r="BF25" s="94"/>
      <c r="BG25" s="87">
        <f t="shared" si="21"/>
        <v>0</v>
      </c>
      <c r="BH25" s="95">
        <f t="shared" si="22"/>
        <v>0</v>
      </c>
      <c r="BI25" s="75"/>
    </row>
    <row r="26" spans="1:61" ht="15.6" x14ac:dyDescent="0.3">
      <c r="A26" s="222">
        <f>Enter!A22</f>
        <v>0</v>
      </c>
      <c r="B26" s="215">
        <f>Enter!D22</f>
        <v>0</v>
      </c>
      <c r="C26" s="260">
        <f>Enter!E22</f>
        <v>0</v>
      </c>
      <c r="D26" s="216">
        <f>Enter!F22</f>
        <v>0</v>
      </c>
      <c r="E26" s="214">
        <f>Enter!G22</f>
        <v>0</v>
      </c>
      <c r="F26" s="214">
        <f>Enter!H22</f>
        <v>0</v>
      </c>
      <c r="G26" s="220">
        <f>Enter!I22</f>
        <v>0</v>
      </c>
      <c r="H26" s="214">
        <f>Enter!J22</f>
        <v>0</v>
      </c>
      <c r="I26" s="221">
        <f>Enter!K22</f>
        <v>0</v>
      </c>
      <c r="J26" s="218">
        <f>Enter!L22</f>
        <v>0</v>
      </c>
      <c r="K26" s="161">
        <f t="shared" si="13"/>
        <v>0</v>
      </c>
      <c r="L26" s="161">
        <f t="shared" si="14"/>
        <v>0</v>
      </c>
      <c r="M26" s="161">
        <f t="shared" si="15"/>
        <v>0</v>
      </c>
      <c r="N26" s="161">
        <f>IF(A26=0,0,IF(K26=0,L26*Enter!G$27,K26*Enter!G$27))</f>
        <v>0</v>
      </c>
      <c r="R26" s="55" t="b">
        <f t="shared" si="20"/>
        <v>0</v>
      </c>
      <c r="S26" s="68">
        <f t="shared" si="16"/>
        <v>0</v>
      </c>
      <c r="T26" s="69">
        <f t="shared" si="17"/>
        <v>0</v>
      </c>
      <c r="U26" s="56">
        <v>33</v>
      </c>
      <c r="V26" s="66">
        <f t="shared" si="0"/>
        <v>0</v>
      </c>
      <c r="W26" s="61"/>
      <c r="X26" s="62">
        <f>Volatility!AS26/Volatility!AS$29</f>
        <v>0</v>
      </c>
      <c r="Y26" s="67"/>
      <c r="Z26" s="96">
        <f t="shared" si="18"/>
        <v>0</v>
      </c>
      <c r="AA26" s="56">
        <f>DAYS360(Enter!C22,Z26)</f>
        <v>0</v>
      </c>
      <c r="AB26" s="85">
        <f t="shared" si="1"/>
        <v>0</v>
      </c>
      <c r="AC26" s="56">
        <f t="shared" si="2"/>
        <v>0</v>
      </c>
      <c r="AD26" s="62">
        <f t="shared" si="3"/>
        <v>0</v>
      </c>
      <c r="AE26" s="86">
        <f t="shared" si="4"/>
        <v>0</v>
      </c>
      <c r="AF26" s="86">
        <f t="shared" si="5"/>
        <v>0</v>
      </c>
      <c r="AG26" s="55">
        <f t="shared" si="6"/>
        <v>0</v>
      </c>
      <c r="AH26" s="87" t="e">
        <f t="shared" si="7"/>
        <v>#DIV/0!</v>
      </c>
      <c r="AI26" s="62">
        <f t="shared" si="8"/>
        <v>0</v>
      </c>
      <c r="AJ26" s="56"/>
      <c r="AK26" s="56"/>
      <c r="AL26" s="56"/>
      <c r="AM26" s="88">
        <f t="shared" si="9"/>
        <v>0</v>
      </c>
      <c r="AN26" s="56"/>
      <c r="AO26" s="56"/>
      <c r="AP26" s="88">
        <f t="shared" si="10"/>
        <v>0</v>
      </c>
      <c r="AQ26" s="89">
        <f>DAYS360(Enter!C22,E26)/180</f>
        <v>0</v>
      </c>
      <c r="AR26" s="89">
        <f t="shared" si="11"/>
        <v>0</v>
      </c>
      <c r="AS26" s="97">
        <f t="shared" si="19"/>
        <v>0</v>
      </c>
      <c r="AT26" s="91">
        <f>IF(DAYS360(Enter!B22,Enter!C22)&lt;180,0,AS26*A26)</f>
        <v>0</v>
      </c>
      <c r="AU26" s="69">
        <f>IF((DAYS360(Enter!B22,Enter!C22))&lt;180,(DAYS360(Enter!B22,Enter!C22))/180*AP26*A26,0)</f>
        <v>0</v>
      </c>
      <c r="AV26" s="89"/>
      <c r="AW26" s="89"/>
      <c r="AX26" s="56"/>
      <c r="AY26" s="62">
        <f t="shared" si="12"/>
        <v>0</v>
      </c>
      <c r="AZ26" s="56"/>
      <c r="BA26" s="56"/>
      <c r="BB26" s="56"/>
      <c r="BC26" s="92">
        <f>IF(A26=0,0,IF(J26=100,D26,YIELD(Enter!C22,E26,D26,J26,100,2,0)))</f>
        <v>0</v>
      </c>
      <c r="BD26" s="94">
        <f>IF(A26=0,100,IF(F26=0,100,YIELD(Enter!C22,F26,D26,J26,G26,2,0)))</f>
        <v>100</v>
      </c>
      <c r="BE26" s="94">
        <f>IF(A26=0,1000,IF(H26=0,1000,YIELD(Enter!C22,H26,D26,J26,100,2,0)))</f>
        <v>1000</v>
      </c>
      <c r="BF26" s="94"/>
      <c r="BG26" s="87">
        <f t="shared" si="21"/>
        <v>0</v>
      </c>
      <c r="BH26" s="95">
        <f t="shared" si="22"/>
        <v>0</v>
      </c>
      <c r="BI26" s="75"/>
    </row>
    <row r="27" spans="1:61" ht="15.6" x14ac:dyDescent="0.3">
      <c r="A27" s="222">
        <f>Enter!A23</f>
        <v>0</v>
      </c>
      <c r="B27" s="215">
        <f>Enter!D23</f>
        <v>0</v>
      </c>
      <c r="C27" s="260">
        <f>Enter!E23</f>
        <v>0</v>
      </c>
      <c r="D27" s="216">
        <f>Enter!F23</f>
        <v>0</v>
      </c>
      <c r="E27" s="214">
        <f>Enter!G23</f>
        <v>0</v>
      </c>
      <c r="F27" s="214">
        <f>Enter!H23</f>
        <v>0</v>
      </c>
      <c r="G27" s="220">
        <f>Enter!I23</f>
        <v>0</v>
      </c>
      <c r="H27" s="214">
        <f>Enter!J23</f>
        <v>0</v>
      </c>
      <c r="I27" s="221">
        <f>Enter!K23</f>
        <v>0</v>
      </c>
      <c r="J27" s="218">
        <f>Enter!L23</f>
        <v>0</v>
      </c>
      <c r="K27" s="161">
        <f t="shared" si="13"/>
        <v>0</v>
      </c>
      <c r="L27" s="161">
        <f t="shared" si="14"/>
        <v>0</v>
      </c>
      <c r="M27" s="161">
        <f t="shared" si="15"/>
        <v>0</v>
      </c>
      <c r="N27" s="161">
        <f>IF(A27=0,0,IF(K27=0,L27*Enter!G$27,K27*Enter!G$27))</f>
        <v>0</v>
      </c>
      <c r="R27" s="55" t="b">
        <f t="shared" si="20"/>
        <v>0</v>
      </c>
      <c r="S27" s="68">
        <f t="shared" si="16"/>
        <v>0</v>
      </c>
      <c r="T27" s="69">
        <f t="shared" si="17"/>
        <v>0</v>
      </c>
      <c r="U27" s="56">
        <v>34</v>
      </c>
      <c r="V27" s="66">
        <f t="shared" si="0"/>
        <v>0</v>
      </c>
      <c r="W27" s="61"/>
      <c r="X27" s="62">
        <f>Volatility!AS27/Volatility!AS$29</f>
        <v>0</v>
      </c>
      <c r="Y27" s="67"/>
      <c r="Z27" s="96">
        <f t="shared" si="18"/>
        <v>0</v>
      </c>
      <c r="AA27" s="56">
        <f>DAYS360(Enter!C23,Z27)</f>
        <v>0</v>
      </c>
      <c r="AB27" s="85">
        <f t="shared" si="1"/>
        <v>0</v>
      </c>
      <c r="AC27" s="56">
        <f t="shared" si="2"/>
        <v>0</v>
      </c>
      <c r="AD27" s="62">
        <f t="shared" si="3"/>
        <v>0</v>
      </c>
      <c r="AE27" s="86">
        <f t="shared" si="4"/>
        <v>0</v>
      </c>
      <c r="AF27" s="86">
        <f t="shared" si="5"/>
        <v>0</v>
      </c>
      <c r="AG27" s="55">
        <f t="shared" si="6"/>
        <v>0</v>
      </c>
      <c r="AH27" s="87" t="e">
        <f t="shared" si="7"/>
        <v>#DIV/0!</v>
      </c>
      <c r="AI27" s="62">
        <f t="shared" si="8"/>
        <v>0</v>
      </c>
      <c r="AJ27" s="56"/>
      <c r="AK27" s="56"/>
      <c r="AL27" s="56"/>
      <c r="AM27" s="88">
        <f t="shared" si="9"/>
        <v>0</v>
      </c>
      <c r="AN27" s="56"/>
      <c r="AO27" s="56"/>
      <c r="AP27" s="88">
        <f t="shared" si="10"/>
        <v>0</v>
      </c>
      <c r="AQ27" s="89">
        <f>DAYS360(Enter!C23,E27)/180</f>
        <v>0</v>
      </c>
      <c r="AR27" s="89">
        <f t="shared" si="11"/>
        <v>0</v>
      </c>
      <c r="AS27" s="97">
        <f t="shared" si="19"/>
        <v>0</v>
      </c>
      <c r="AT27" s="91">
        <f>IF(DAYS360(Enter!B23,Enter!C23)&lt;180,0,AS27*A27)</f>
        <v>0</v>
      </c>
      <c r="AU27" s="69">
        <f>IF((DAYS360(Enter!B23,Enter!C23))&lt;180,(DAYS360(Enter!B23,Enter!C23))/180*AP27*A27,0)</f>
        <v>0</v>
      </c>
      <c r="AV27" s="89"/>
      <c r="AW27" s="89"/>
      <c r="AX27" s="56"/>
      <c r="AY27" s="62">
        <f t="shared" si="12"/>
        <v>0</v>
      </c>
      <c r="AZ27" s="56"/>
      <c r="BA27" s="56"/>
      <c r="BB27" s="56"/>
      <c r="BC27" s="92">
        <f>IF(A27=0,0,IF(J27=100,D27,YIELD(Enter!C23,E27,D27,J27,100,2,0)))</f>
        <v>0</v>
      </c>
      <c r="BD27" s="94">
        <f>IF(A27=0,100,IF(F27=0,100,YIELD(Enter!C23,F27,D27,J27,G27,2,0)))</f>
        <v>100</v>
      </c>
      <c r="BE27" s="94">
        <f>IF(A27=0,1000,IF(H27=0,1000,YIELD(Enter!C23,H27,D27,J27,100,2,0)))</f>
        <v>1000</v>
      </c>
      <c r="BF27" s="94"/>
      <c r="BG27" s="87">
        <f t="shared" si="21"/>
        <v>0</v>
      </c>
      <c r="BH27" s="95">
        <f t="shared" si="22"/>
        <v>0</v>
      </c>
      <c r="BI27" s="75"/>
    </row>
    <row r="28" spans="1:61" ht="16.2" thickBot="1" x14ac:dyDescent="0.35">
      <c r="A28" s="238">
        <f>Enter!A24</f>
        <v>0</v>
      </c>
      <c r="B28" s="239">
        <f>Enter!D24</f>
        <v>0</v>
      </c>
      <c r="C28" s="224">
        <f>Enter!E24</f>
        <v>0</v>
      </c>
      <c r="D28" s="225">
        <f>Enter!F24</f>
        <v>0</v>
      </c>
      <c r="E28" s="223">
        <f>Enter!G24</f>
        <v>0</v>
      </c>
      <c r="F28" s="223">
        <f>Enter!H24</f>
        <v>0</v>
      </c>
      <c r="G28" s="226">
        <f>Enter!I24</f>
        <v>0</v>
      </c>
      <c r="H28" s="223">
        <f>Enter!J24</f>
        <v>0</v>
      </c>
      <c r="I28" s="227">
        <f>Enter!K24</f>
        <v>0</v>
      </c>
      <c r="J28" s="228">
        <f>Enter!L24</f>
        <v>0</v>
      </c>
      <c r="K28" s="163">
        <f t="shared" si="13"/>
        <v>0</v>
      </c>
      <c r="L28" s="163">
        <f t="shared" si="14"/>
        <v>0</v>
      </c>
      <c r="M28" s="163">
        <f t="shared" si="15"/>
        <v>0</v>
      </c>
      <c r="N28" s="163">
        <f>IF(A28=0,0,IF(K28=0,L28*Enter!G$27,K28*Enter!G$27))</f>
        <v>0</v>
      </c>
      <c r="R28" s="129" t="b">
        <f t="shared" si="20"/>
        <v>0</v>
      </c>
      <c r="S28" s="98">
        <f t="shared" si="16"/>
        <v>0</v>
      </c>
      <c r="T28" s="99">
        <f t="shared" si="17"/>
        <v>0</v>
      </c>
      <c r="U28" s="79">
        <v>35</v>
      </c>
      <c r="V28" s="100">
        <f t="shared" si="0"/>
        <v>0</v>
      </c>
      <c r="W28" s="63"/>
      <c r="X28" s="64">
        <f>Volatility!AS28/Volatility!AS$29</f>
        <v>0</v>
      </c>
      <c r="Y28" s="65"/>
      <c r="Z28" s="101">
        <f t="shared" si="18"/>
        <v>0</v>
      </c>
      <c r="AA28" s="79">
        <f>DAYS360(Enter!C24,Z28)</f>
        <v>0</v>
      </c>
      <c r="AB28" s="102">
        <f t="shared" si="1"/>
        <v>0</v>
      </c>
      <c r="AC28" s="79">
        <f t="shared" si="2"/>
        <v>0</v>
      </c>
      <c r="AD28" s="64">
        <f t="shared" si="3"/>
        <v>0</v>
      </c>
      <c r="AE28" s="103">
        <f t="shared" si="4"/>
        <v>0</v>
      </c>
      <c r="AF28" s="103">
        <f t="shared" si="5"/>
        <v>0</v>
      </c>
      <c r="AG28" s="80">
        <f t="shared" si="6"/>
        <v>0</v>
      </c>
      <c r="AH28" s="104" t="e">
        <f t="shared" si="7"/>
        <v>#DIV/0!</v>
      </c>
      <c r="AI28" s="64">
        <f t="shared" si="8"/>
        <v>0</v>
      </c>
      <c r="AJ28" s="79"/>
      <c r="AK28" s="79"/>
      <c r="AL28" s="79"/>
      <c r="AM28" s="105">
        <f t="shared" si="9"/>
        <v>0</v>
      </c>
      <c r="AN28" s="79"/>
      <c r="AO28" s="79"/>
      <c r="AP28" s="105">
        <f t="shared" si="10"/>
        <v>0</v>
      </c>
      <c r="AQ28" s="106">
        <f>DAYS360(Enter!C24,E28)/180</f>
        <v>0</v>
      </c>
      <c r="AR28" s="106">
        <f t="shared" si="11"/>
        <v>0</v>
      </c>
      <c r="AS28" s="107">
        <f t="shared" si="19"/>
        <v>0</v>
      </c>
      <c r="AT28" s="108">
        <f>IF(DAYS360(Enter!B24,Enter!C24)&lt;180,0,AS28*A28)</f>
        <v>0</v>
      </c>
      <c r="AU28" s="99">
        <f>IF((DAYS360(Enter!B24,Enter!C24))&lt;180,(DAYS360(Enter!B24,Enter!C24))/180*AP28*A28,0)</f>
        <v>0</v>
      </c>
      <c r="AV28" s="106"/>
      <c r="AW28" s="106"/>
      <c r="AX28" s="79"/>
      <c r="AY28" s="64">
        <f t="shared" si="12"/>
        <v>0</v>
      </c>
      <c r="AZ28" s="79"/>
      <c r="BA28" s="79"/>
      <c r="BB28" s="79"/>
      <c r="BC28" s="109">
        <f>IF(A28=0,0,IF(J28=100,D28,YIELD(Enter!C24,E28,D28,J28,100,2,0)))</f>
        <v>0</v>
      </c>
      <c r="BD28" s="110">
        <f>IF(A28=0,100,IF(F28=0,100,YIELD(Enter!C24,F28,D28,J28,G28,2,0)))</f>
        <v>100</v>
      </c>
      <c r="BE28" s="110">
        <f>IF(A28=0,1000,IF(H28=0,1000,YIELD(Enter!C24,H28,D28,J28,100,2,0)))</f>
        <v>1000</v>
      </c>
      <c r="BF28" s="110"/>
      <c r="BG28" s="104">
        <f t="shared" si="21"/>
        <v>0</v>
      </c>
      <c r="BH28" s="111">
        <f t="shared" si="22"/>
        <v>0</v>
      </c>
      <c r="BI28" s="83"/>
    </row>
    <row r="29" spans="1:61" ht="13.8" x14ac:dyDescent="0.25">
      <c r="A29" s="41">
        <f>SUM(A7:A28)</f>
        <v>2000</v>
      </c>
      <c r="B29" s="40"/>
      <c r="C29" s="42"/>
      <c r="D29" s="40"/>
      <c r="E29" s="40"/>
      <c r="F29" s="40"/>
      <c r="G29" s="40"/>
      <c r="H29" s="40"/>
      <c r="I29" s="40"/>
      <c r="J29" s="40"/>
      <c r="K29" s="40"/>
      <c r="L29" s="40"/>
      <c r="M29" s="40"/>
      <c r="R29" s="55"/>
      <c r="S29" s="55"/>
      <c r="T29" s="56"/>
      <c r="U29" s="61"/>
      <c r="V29" s="66">
        <f>SUM(V7:V28)</f>
        <v>97450</v>
      </c>
      <c r="W29" s="61"/>
      <c r="X29" s="87">
        <f>SUM(X7:X28)</f>
        <v>1</v>
      </c>
      <c r="Y29" s="61"/>
      <c r="Z29" s="56"/>
      <c r="AA29" s="56"/>
      <c r="AB29" s="56"/>
      <c r="AC29" s="112">
        <f>SUM(AC7:AC28)/360</f>
        <v>19.734757216031294</v>
      </c>
      <c r="AD29" s="56">
        <f>SUM(AD7:AD28)</f>
        <v>4.7351871089068236E-2</v>
      </c>
      <c r="AE29" s="56"/>
      <c r="AF29" s="56"/>
      <c r="AG29" s="56"/>
      <c r="AH29" s="56"/>
      <c r="AI29" s="56">
        <f>SUM(AI7:AI28)</f>
        <v>201567.4</v>
      </c>
      <c r="AJ29" s="56">
        <f>AI29/$A$29</f>
        <v>100.7837</v>
      </c>
      <c r="AK29" s="56"/>
      <c r="AL29" s="56"/>
      <c r="AM29" s="91">
        <f>SUM(AM7:AM28)</f>
        <v>2015674</v>
      </c>
      <c r="AN29" s="56"/>
      <c r="AO29" s="56"/>
      <c r="AP29" s="56"/>
      <c r="AQ29" s="56"/>
      <c r="AR29" s="56"/>
      <c r="AS29" s="56"/>
      <c r="AT29" s="91">
        <f>SUM(AT7:AT28)</f>
        <v>8055.5555555555293</v>
      </c>
      <c r="AU29" s="69">
        <f>SUM(AU7:AU28)</f>
        <v>1986.8055555555557</v>
      </c>
      <c r="AV29" s="113" t="s">
        <v>109</v>
      </c>
      <c r="AW29" s="91">
        <f>SUM(AT29:AV29)</f>
        <v>10042.361111111084</v>
      </c>
      <c r="AX29" s="56"/>
      <c r="AY29" s="94">
        <f>SUM(AY7:AY28)</f>
        <v>4.8752100538083036E-2</v>
      </c>
      <c r="AZ29" s="56"/>
      <c r="BA29" s="56"/>
      <c r="BB29" s="56"/>
      <c r="BC29" s="56"/>
      <c r="BD29" s="56"/>
      <c r="BE29" s="56"/>
      <c r="BF29" s="56"/>
      <c r="BG29" s="56"/>
      <c r="BH29" s="61"/>
      <c r="BI29" s="75"/>
    </row>
    <row r="30" spans="1:61" ht="13.8" x14ac:dyDescent="0.25">
      <c r="A30" s="40"/>
      <c r="B30" s="40"/>
      <c r="C30" s="42"/>
      <c r="D30" s="40"/>
      <c r="E30" s="40"/>
      <c r="F30" s="40"/>
      <c r="G30" s="40"/>
      <c r="H30" s="40"/>
      <c r="I30" s="42"/>
      <c r="J30" s="40"/>
      <c r="K30" s="40"/>
      <c r="L30" s="43"/>
      <c r="M30" s="40"/>
      <c r="R30" s="55"/>
      <c r="S30" s="55"/>
      <c r="T30" s="56"/>
      <c r="U30" s="61"/>
      <c r="V30" s="61"/>
      <c r="W30" s="61"/>
      <c r="X30" s="61"/>
      <c r="Y30" s="61"/>
      <c r="Z30" s="61"/>
      <c r="AA30" s="61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61"/>
      <c r="BI30" s="75"/>
    </row>
    <row r="31" spans="1:61" ht="13.8" x14ac:dyDescent="0.25">
      <c r="A31" s="40"/>
      <c r="B31" s="29"/>
      <c r="C31" s="44"/>
      <c r="D31" s="29"/>
      <c r="E31" s="29"/>
      <c r="F31" s="29"/>
      <c r="G31" s="29"/>
      <c r="H31" s="40"/>
      <c r="I31" s="44"/>
      <c r="J31" s="29"/>
      <c r="K31" s="29"/>
      <c r="L31" s="29"/>
      <c r="M31" s="29"/>
      <c r="R31" s="129"/>
      <c r="S31" s="80"/>
      <c r="T31" s="79"/>
      <c r="U31" s="63"/>
      <c r="V31" s="63"/>
      <c r="W31" s="63"/>
      <c r="X31" s="63"/>
      <c r="Y31" s="63"/>
      <c r="Z31" s="63"/>
      <c r="AA31" s="63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63"/>
      <c r="BI31" s="83"/>
    </row>
    <row r="32" spans="1:61" ht="15.6" x14ac:dyDescent="0.3">
      <c r="A32" s="20" t="s">
        <v>134</v>
      </c>
      <c r="B32" s="29"/>
      <c r="C32" s="44"/>
      <c r="D32" s="29"/>
      <c r="E32" s="29"/>
      <c r="F32" s="29"/>
      <c r="G32" s="29"/>
      <c r="H32" s="40"/>
      <c r="I32" s="44"/>
      <c r="J32" s="29"/>
      <c r="K32" s="29"/>
      <c r="L32" s="29"/>
      <c r="M32" s="29"/>
      <c r="T32" s="35"/>
      <c r="U32" s="12"/>
      <c r="V32" s="12"/>
      <c r="W32" s="11"/>
      <c r="X32" s="11"/>
      <c r="Y32" s="11"/>
      <c r="Z32" s="11"/>
      <c r="AA32" s="2"/>
    </row>
    <row r="33" spans="1:28" ht="15.6" x14ac:dyDescent="0.3">
      <c r="A33" s="20" t="s">
        <v>130</v>
      </c>
      <c r="B33" s="17"/>
      <c r="C33" s="10"/>
      <c r="D33" s="11"/>
      <c r="E33" s="11"/>
      <c r="F33" s="11"/>
      <c r="G33" s="11"/>
      <c r="H33" s="11"/>
      <c r="I33" s="44"/>
      <c r="J33" s="12"/>
      <c r="K33" s="12"/>
      <c r="L33" s="11"/>
      <c r="M33" s="11"/>
      <c r="T33" s="45"/>
      <c r="U33" s="11"/>
      <c r="V33" s="11"/>
      <c r="W33" s="11"/>
      <c r="X33" s="11"/>
      <c r="Y33" s="11"/>
      <c r="Z33" s="11"/>
      <c r="AA33" s="2"/>
    </row>
    <row r="34" spans="1:28" ht="15.6" x14ac:dyDescent="0.3">
      <c r="A34" s="20" t="s">
        <v>129</v>
      </c>
      <c r="B34" s="17"/>
      <c r="C34" s="10"/>
      <c r="D34" s="11"/>
      <c r="E34" s="13"/>
      <c r="F34" s="13"/>
      <c r="G34" s="11"/>
      <c r="H34" s="45"/>
      <c r="I34" s="45"/>
      <c r="J34" s="11"/>
      <c r="K34" s="11"/>
      <c r="L34" s="11"/>
      <c r="M34" s="11"/>
      <c r="T34" s="35"/>
      <c r="U34" s="11"/>
      <c r="V34" s="11"/>
      <c r="W34" s="11"/>
      <c r="X34" s="11"/>
      <c r="Y34" s="11"/>
      <c r="Z34" s="11"/>
      <c r="AA34" s="2"/>
    </row>
    <row r="35" spans="1:28" x14ac:dyDescent="0.25">
      <c r="B35" s="11"/>
      <c r="C35" s="10"/>
      <c r="D35" s="11"/>
      <c r="G35" s="11"/>
      <c r="H35" s="11"/>
      <c r="I35" s="11"/>
      <c r="J35" s="11"/>
      <c r="K35" s="11"/>
      <c r="L35" s="11"/>
      <c r="M35" s="11"/>
      <c r="N35" s="14"/>
      <c r="O35" s="11"/>
      <c r="P35" s="11"/>
      <c r="Q35" s="11"/>
      <c r="R35" s="11"/>
      <c r="S35" s="11"/>
      <c r="T35" s="35"/>
      <c r="U35" s="11"/>
      <c r="V35" s="11"/>
      <c r="W35" s="11"/>
      <c r="X35" s="11"/>
      <c r="Y35" s="11"/>
      <c r="Z35" s="11"/>
      <c r="AA35" s="2"/>
    </row>
    <row r="36" spans="1:28" x14ac:dyDescent="0.25">
      <c r="A36" s="14"/>
      <c r="B36" s="11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5"/>
      <c r="U36" s="11"/>
      <c r="V36" s="11"/>
      <c r="W36" s="11"/>
      <c r="X36" s="11"/>
      <c r="Y36" s="11"/>
      <c r="Z36" s="11"/>
      <c r="AA36" s="2"/>
    </row>
    <row r="37" spans="1:28" x14ac:dyDescent="0.25">
      <c r="L37" s="2"/>
      <c r="U37" s="2"/>
      <c r="Z37" s="2"/>
      <c r="AA37" s="2"/>
      <c r="AB37" s="2"/>
    </row>
    <row r="38" spans="1:28" x14ac:dyDescent="0.25">
      <c r="L38" s="2"/>
      <c r="U38" s="2"/>
      <c r="Z38" s="2"/>
      <c r="AA38" s="2"/>
      <c r="AB38" s="2"/>
    </row>
    <row r="39" spans="1:28" ht="15.6" x14ac:dyDescent="0.3">
      <c r="A39" s="19"/>
      <c r="L39" s="2"/>
      <c r="U39" s="2"/>
      <c r="Z39" s="2"/>
      <c r="AA39" s="2"/>
      <c r="AB39" s="2"/>
    </row>
    <row r="40" spans="1:28" ht="15.6" x14ac:dyDescent="0.3">
      <c r="A40" s="19"/>
      <c r="L40" s="2"/>
      <c r="U40" s="2"/>
      <c r="Z40" s="2"/>
      <c r="AA40" s="2"/>
      <c r="AB40" s="2"/>
    </row>
    <row r="41" spans="1:28" ht="15.6" x14ac:dyDescent="0.3">
      <c r="A41" s="19"/>
      <c r="L41" s="2"/>
      <c r="U41" s="2"/>
      <c r="Z41" s="2"/>
      <c r="AA41" s="2"/>
      <c r="AB41" s="2"/>
    </row>
    <row r="42" spans="1:28" ht="15.6" x14ac:dyDescent="0.3">
      <c r="A42" s="19"/>
      <c r="L42" s="2"/>
      <c r="U42" s="2"/>
      <c r="Z42" s="2"/>
      <c r="AA42" s="2"/>
      <c r="AB42" s="2"/>
    </row>
    <row r="43" spans="1:28" ht="15.6" x14ac:dyDescent="0.3">
      <c r="A43" s="46"/>
      <c r="L43" s="2"/>
      <c r="U43" s="2"/>
      <c r="Z43" s="2"/>
      <c r="AA43" s="2"/>
      <c r="AB43" s="2"/>
    </row>
    <row r="44" spans="1:28" x14ac:dyDescent="0.25">
      <c r="L44" s="2"/>
      <c r="U44" s="2"/>
      <c r="Z44" s="2"/>
      <c r="AA44" s="2"/>
      <c r="AB44" s="2"/>
    </row>
    <row r="45" spans="1:28" x14ac:dyDescent="0.25">
      <c r="L45" s="2"/>
      <c r="U45" s="2"/>
      <c r="Z45" s="2"/>
      <c r="AA45" s="2"/>
      <c r="AB45" s="2"/>
    </row>
    <row r="46" spans="1:28" x14ac:dyDescent="0.25">
      <c r="L46" s="2"/>
      <c r="U46" s="2"/>
      <c r="Z46" s="2"/>
      <c r="AA46" s="2"/>
      <c r="AB46" s="2"/>
    </row>
    <row r="47" spans="1:28" x14ac:dyDescent="0.25">
      <c r="L47" s="2"/>
      <c r="U47" s="2"/>
      <c r="Z47" s="2"/>
      <c r="AA47" s="2"/>
      <c r="AB47" s="2"/>
    </row>
    <row r="48" spans="1:28" x14ac:dyDescent="0.25">
      <c r="L48" s="2"/>
      <c r="U48" s="2"/>
      <c r="Z48" s="2"/>
      <c r="AA48" s="2"/>
      <c r="AB48" s="2"/>
    </row>
    <row r="49" spans="12:28" x14ac:dyDescent="0.25">
      <c r="L49" s="2"/>
      <c r="U49" s="2"/>
      <c r="Z49" s="2"/>
      <c r="AA49" s="2"/>
      <c r="AB49" s="2"/>
    </row>
    <row r="50" spans="12:28" x14ac:dyDescent="0.25">
      <c r="L50" s="2"/>
      <c r="U50" s="2"/>
      <c r="Z50" s="2"/>
      <c r="AA50" s="2"/>
      <c r="AB50" s="2"/>
    </row>
    <row r="51" spans="12:28" x14ac:dyDescent="0.25">
      <c r="L51" s="2"/>
      <c r="U51" s="2"/>
      <c r="Z51" s="2"/>
      <c r="AA51" s="2"/>
      <c r="AB51" s="2"/>
    </row>
    <row r="52" spans="12:28" x14ac:dyDescent="0.25">
      <c r="L52" s="2"/>
      <c r="U52" s="2"/>
      <c r="Z52" s="2"/>
      <c r="AA52" s="2"/>
      <c r="AB52" s="2"/>
    </row>
    <row r="53" spans="12:28" x14ac:dyDescent="0.25">
      <c r="L53" s="2"/>
      <c r="U53" s="2"/>
      <c r="Z53" s="2"/>
      <c r="AA53" s="2"/>
      <c r="AB53" s="2"/>
    </row>
    <row r="54" spans="12:28" x14ac:dyDescent="0.25">
      <c r="L54" s="2"/>
      <c r="U54" s="2"/>
      <c r="Z54" s="2"/>
      <c r="AA54" s="2"/>
      <c r="AB54" s="2"/>
    </row>
    <row r="55" spans="12:28" x14ac:dyDescent="0.25">
      <c r="L55" s="2"/>
      <c r="U55" s="2"/>
      <c r="Z55" s="2"/>
      <c r="AA55" s="2"/>
      <c r="AB55" s="2"/>
    </row>
    <row r="56" spans="12:28" x14ac:dyDescent="0.25">
      <c r="L56" s="2"/>
      <c r="U56" s="2"/>
      <c r="Z56" s="2"/>
      <c r="AA56" s="2"/>
      <c r="AB56" s="2"/>
    </row>
    <row r="57" spans="12:28" x14ac:dyDescent="0.25">
      <c r="L57" s="2"/>
      <c r="U57" s="2"/>
      <c r="Z57" s="2"/>
      <c r="AA57" s="2"/>
      <c r="AB57" s="2"/>
    </row>
    <row r="58" spans="12:28" x14ac:dyDescent="0.25">
      <c r="L58" s="2"/>
      <c r="U58" s="2"/>
      <c r="Z58" s="2"/>
      <c r="AA58" s="2"/>
      <c r="AB58" s="2"/>
    </row>
    <row r="59" spans="12:28" x14ac:dyDescent="0.25">
      <c r="L59" s="2"/>
      <c r="U59" s="2"/>
      <c r="Z59" s="2"/>
      <c r="AA59" s="2"/>
      <c r="AB59" s="2"/>
    </row>
    <row r="60" spans="12:28" x14ac:dyDescent="0.25">
      <c r="L60" s="2"/>
      <c r="U60" s="2"/>
      <c r="Z60" s="2"/>
      <c r="AA60" s="2"/>
      <c r="AB60" s="2"/>
    </row>
    <row r="61" spans="12:28" x14ac:dyDescent="0.25">
      <c r="L61" s="2"/>
      <c r="U61" s="2"/>
      <c r="Z61" s="2"/>
      <c r="AA61" s="2"/>
      <c r="AB61" s="2"/>
    </row>
    <row r="62" spans="12:28" x14ac:dyDescent="0.25">
      <c r="L62" s="2"/>
      <c r="U62" s="2"/>
      <c r="Z62" s="2"/>
      <c r="AA62" s="2"/>
      <c r="AB62" s="2"/>
    </row>
    <row r="63" spans="12:28" x14ac:dyDescent="0.25">
      <c r="L63" s="2"/>
      <c r="U63" s="2"/>
      <c r="Z63" s="2"/>
      <c r="AA63" s="2"/>
      <c r="AB63" s="2"/>
    </row>
    <row r="64" spans="12:28" x14ac:dyDescent="0.25">
      <c r="L64" s="2"/>
      <c r="U64" s="2"/>
      <c r="Z64" s="2"/>
      <c r="AA64" s="2"/>
      <c r="AB64" s="2"/>
    </row>
    <row r="65" spans="12:28" x14ac:dyDescent="0.25">
      <c r="L65" s="2"/>
      <c r="U65" s="2"/>
      <c r="Z65" s="2"/>
      <c r="AA65" s="2"/>
      <c r="AB65" s="2"/>
    </row>
    <row r="66" spans="12:28" x14ac:dyDescent="0.25">
      <c r="L66" s="2"/>
      <c r="U66" s="2"/>
      <c r="Z66" s="2"/>
      <c r="AA66" s="2"/>
      <c r="AB66" s="2"/>
    </row>
    <row r="67" spans="12:28" x14ac:dyDescent="0.25">
      <c r="L67" s="2"/>
      <c r="U67" s="2"/>
      <c r="Z67" s="2"/>
      <c r="AA67" s="2"/>
      <c r="AB67" s="2"/>
    </row>
    <row r="68" spans="12:28" x14ac:dyDescent="0.25">
      <c r="L68" s="2"/>
      <c r="U68" s="2"/>
      <c r="Z68" s="2"/>
      <c r="AA68" s="2"/>
      <c r="AB68" s="2"/>
    </row>
    <row r="69" spans="12:28" x14ac:dyDescent="0.25">
      <c r="L69" s="2"/>
      <c r="U69" s="2"/>
      <c r="Z69" s="2"/>
      <c r="AA69" s="2"/>
      <c r="AB69" s="2"/>
    </row>
    <row r="70" spans="12:28" x14ac:dyDescent="0.25">
      <c r="L70" s="2"/>
      <c r="U70" s="2"/>
      <c r="Z70" s="2"/>
      <c r="AA70" s="2"/>
      <c r="AB70" s="2"/>
    </row>
    <row r="71" spans="12:28" x14ac:dyDescent="0.25">
      <c r="L71" s="2"/>
      <c r="U71" s="2"/>
      <c r="Z71" s="2"/>
      <c r="AA71" s="2"/>
      <c r="AB71" s="2"/>
    </row>
    <row r="72" spans="12:28" x14ac:dyDescent="0.25">
      <c r="L72" s="2"/>
      <c r="U72" s="2"/>
      <c r="Z72" s="2"/>
      <c r="AA72" s="2"/>
      <c r="AB72" s="2"/>
    </row>
    <row r="73" spans="12:28" x14ac:dyDescent="0.25">
      <c r="L73" s="2"/>
      <c r="U73" s="2"/>
      <c r="Z73" s="2"/>
      <c r="AA73" s="2"/>
      <c r="AB73" s="2"/>
    </row>
    <row r="74" spans="12:28" x14ac:dyDescent="0.25">
      <c r="L74" s="2"/>
      <c r="U74" s="2"/>
      <c r="Z74" s="2"/>
      <c r="AA74" s="2"/>
      <c r="AB74" s="2"/>
    </row>
    <row r="75" spans="12:28" x14ac:dyDescent="0.25">
      <c r="L75" s="2"/>
      <c r="U75" s="2"/>
      <c r="Z75" s="2"/>
      <c r="AA75" s="2"/>
      <c r="AB75" s="2"/>
    </row>
    <row r="76" spans="12:28" x14ac:dyDescent="0.25">
      <c r="L76" s="2"/>
      <c r="U76" s="2"/>
      <c r="Z76" s="2"/>
      <c r="AA76" s="2"/>
      <c r="AB76" s="2"/>
    </row>
    <row r="77" spans="12:28" x14ac:dyDescent="0.25">
      <c r="L77" s="2"/>
      <c r="U77" s="2"/>
      <c r="Z77" s="2"/>
      <c r="AA77" s="2"/>
      <c r="AB77" s="2"/>
    </row>
    <row r="78" spans="12:28" x14ac:dyDescent="0.25">
      <c r="L78" s="2"/>
      <c r="U78" s="2"/>
      <c r="Z78" s="2"/>
      <c r="AA78" s="2"/>
      <c r="AB78" s="2"/>
    </row>
    <row r="79" spans="12:28" x14ac:dyDescent="0.25">
      <c r="L79" s="2"/>
      <c r="U79" s="2"/>
      <c r="Z79" s="2"/>
      <c r="AA79" s="2"/>
      <c r="AB79" s="2"/>
    </row>
    <row r="80" spans="12:28" x14ac:dyDescent="0.25">
      <c r="L80" s="2"/>
      <c r="U80" s="2"/>
      <c r="Z80" s="2"/>
      <c r="AA80" s="2"/>
      <c r="AB80" s="2"/>
    </row>
    <row r="81" spans="12:28" x14ac:dyDescent="0.25">
      <c r="L81" s="2"/>
      <c r="U81" s="2"/>
      <c r="Z81" s="2"/>
      <c r="AA81" s="2"/>
      <c r="AB81" s="2"/>
    </row>
    <row r="82" spans="12:28" x14ac:dyDescent="0.25">
      <c r="L82" s="2"/>
      <c r="U82" s="2"/>
      <c r="Z82" s="2"/>
      <c r="AA82" s="2"/>
      <c r="AB82" s="2"/>
    </row>
    <row r="83" spans="12:28" x14ac:dyDescent="0.25">
      <c r="L83" s="2"/>
      <c r="U83" s="2"/>
      <c r="Z83" s="2"/>
      <c r="AA83" s="2"/>
      <c r="AB83" s="2"/>
    </row>
    <row r="84" spans="12:28" x14ac:dyDescent="0.25">
      <c r="L84" s="2"/>
      <c r="U84" s="2"/>
      <c r="Z84" s="2"/>
      <c r="AA84" s="2"/>
      <c r="AB84" s="2"/>
    </row>
    <row r="85" spans="12:28" x14ac:dyDescent="0.25">
      <c r="L85" s="2"/>
      <c r="U85" s="2"/>
      <c r="Z85" s="2"/>
      <c r="AA85" s="2"/>
      <c r="AB85" s="2"/>
    </row>
    <row r="86" spans="12:28" x14ac:dyDescent="0.25">
      <c r="L86" s="2"/>
      <c r="U86" s="2"/>
      <c r="Z86" s="2"/>
      <c r="AA86" s="2"/>
      <c r="AB86" s="2"/>
    </row>
    <row r="87" spans="12:28" x14ac:dyDescent="0.25">
      <c r="L87" s="2"/>
      <c r="U87" s="2"/>
      <c r="Z87" s="2"/>
      <c r="AA87" s="2"/>
      <c r="AB87" s="2"/>
    </row>
    <row r="88" spans="12:28" x14ac:dyDescent="0.25">
      <c r="L88" s="2"/>
      <c r="U88" s="2"/>
      <c r="Z88" s="2"/>
      <c r="AA88" s="2"/>
      <c r="AB88" s="2"/>
    </row>
    <row r="89" spans="12:28" x14ac:dyDescent="0.25">
      <c r="L89" s="2"/>
      <c r="U89" s="2"/>
      <c r="Z89" s="2"/>
      <c r="AA89" s="2"/>
      <c r="AB89" s="2"/>
    </row>
    <row r="90" spans="12:28" x14ac:dyDescent="0.25">
      <c r="L90" s="2"/>
      <c r="U90" s="2"/>
      <c r="Z90" s="2"/>
      <c r="AA90" s="2"/>
      <c r="AB90" s="2"/>
    </row>
    <row r="91" spans="12:28" x14ac:dyDescent="0.25">
      <c r="L91" s="2"/>
      <c r="U91" s="2"/>
      <c r="Z91" s="2"/>
      <c r="AA91" s="2"/>
      <c r="AB91" s="2"/>
    </row>
    <row r="92" spans="12:28" x14ac:dyDescent="0.25">
      <c r="L92" s="2"/>
      <c r="U92" s="2"/>
      <c r="Z92" s="2"/>
      <c r="AA92" s="2"/>
      <c r="AB92" s="2"/>
    </row>
    <row r="93" spans="12:28" x14ac:dyDescent="0.25">
      <c r="L93" s="2"/>
      <c r="U93" s="2"/>
      <c r="Z93" s="2"/>
      <c r="AA93" s="2"/>
      <c r="AB93" s="2"/>
    </row>
    <row r="94" spans="12:28" x14ac:dyDescent="0.25">
      <c r="L94" s="2"/>
      <c r="U94" s="2"/>
      <c r="Z94" s="2"/>
      <c r="AA94" s="2"/>
      <c r="AB94" s="2"/>
    </row>
    <row r="95" spans="12:28" x14ac:dyDescent="0.25">
      <c r="L95" s="2"/>
      <c r="U95" s="2"/>
      <c r="Z95" s="2"/>
      <c r="AA95" s="2"/>
      <c r="AB95" s="2"/>
    </row>
    <row r="96" spans="12:28" x14ac:dyDescent="0.25">
      <c r="L96" s="2"/>
      <c r="U96" s="2"/>
      <c r="Z96" s="2"/>
      <c r="AA96" s="2"/>
      <c r="AB96" s="2"/>
    </row>
    <row r="97" spans="12:28" x14ac:dyDescent="0.25">
      <c r="L97" s="2"/>
      <c r="U97" s="2"/>
      <c r="Z97" s="2"/>
      <c r="AA97" s="2"/>
      <c r="AB97" s="2"/>
    </row>
    <row r="98" spans="12:28" x14ac:dyDescent="0.25">
      <c r="L98" s="2"/>
      <c r="U98" s="2"/>
      <c r="Z98" s="2"/>
      <c r="AA98" s="2"/>
      <c r="AB98" s="2"/>
    </row>
    <row r="99" spans="12:28" x14ac:dyDescent="0.25">
      <c r="L99" s="2"/>
      <c r="U99" s="2"/>
      <c r="Z99" s="2"/>
      <c r="AA99" s="2"/>
      <c r="AB99" s="2"/>
    </row>
    <row r="100" spans="12:28" x14ac:dyDescent="0.25">
      <c r="L100" s="2"/>
      <c r="U100" s="2"/>
      <c r="Z100" s="2"/>
      <c r="AA100" s="2"/>
      <c r="AB100" s="2"/>
    </row>
    <row r="101" spans="12:28" x14ac:dyDescent="0.25">
      <c r="L101" s="2"/>
      <c r="U101" s="2"/>
      <c r="Z101" s="2"/>
      <c r="AA101" s="2"/>
      <c r="AB101" s="2"/>
    </row>
    <row r="102" spans="12:28" x14ac:dyDescent="0.25">
      <c r="L102" s="2"/>
      <c r="U102" s="2"/>
      <c r="Z102" s="2"/>
      <c r="AA102" s="2"/>
      <c r="AB102" s="2"/>
    </row>
    <row r="103" spans="12:28" x14ac:dyDescent="0.25">
      <c r="L103" s="2"/>
      <c r="U103" s="2"/>
      <c r="Z103" s="2"/>
      <c r="AA103" s="2"/>
      <c r="AB103" s="2"/>
    </row>
    <row r="104" spans="12:28" x14ac:dyDescent="0.25">
      <c r="L104" s="2"/>
      <c r="U104" s="2"/>
      <c r="Z104" s="2"/>
      <c r="AA104" s="2"/>
      <c r="AB104" s="2"/>
    </row>
    <row r="105" spans="12:28" x14ac:dyDescent="0.25">
      <c r="L105" s="2"/>
      <c r="U105" s="2"/>
      <c r="Z105" s="2"/>
      <c r="AA105" s="2"/>
      <c r="AB105" s="2"/>
    </row>
    <row r="106" spans="12:28" x14ac:dyDescent="0.25">
      <c r="L106" s="2"/>
      <c r="U106" s="2"/>
      <c r="Z106" s="2"/>
      <c r="AA106" s="2"/>
      <c r="AB106" s="2"/>
    </row>
    <row r="107" spans="12:28" x14ac:dyDescent="0.25">
      <c r="L107" s="2"/>
      <c r="U107" s="2"/>
      <c r="Z107" s="2"/>
      <c r="AA107" s="2"/>
      <c r="AB107" s="2"/>
    </row>
    <row r="108" spans="12:28" x14ac:dyDescent="0.25">
      <c r="L108" s="2"/>
      <c r="U108" s="2"/>
      <c r="Z108" s="2"/>
      <c r="AA108" s="2"/>
      <c r="AB108" s="2"/>
    </row>
    <row r="109" spans="12:28" x14ac:dyDescent="0.25">
      <c r="L109" s="2"/>
      <c r="U109" s="2"/>
      <c r="Z109" s="2"/>
      <c r="AA109" s="2"/>
      <c r="AB109" s="2"/>
    </row>
    <row r="110" spans="12:28" x14ac:dyDescent="0.25">
      <c r="L110" s="2"/>
      <c r="U110" s="2"/>
      <c r="Z110" s="2"/>
      <c r="AA110" s="2"/>
      <c r="AB110" s="2"/>
    </row>
    <row r="111" spans="12:28" x14ac:dyDescent="0.25">
      <c r="L111" s="2"/>
      <c r="U111" s="2"/>
      <c r="Z111" s="2"/>
      <c r="AA111" s="2"/>
      <c r="AB111" s="2"/>
    </row>
    <row r="112" spans="12:28" x14ac:dyDescent="0.25">
      <c r="L112" s="2"/>
      <c r="U112" s="2"/>
      <c r="Z112" s="2"/>
      <c r="AA112" s="2"/>
      <c r="AB112" s="2"/>
    </row>
    <row r="113" spans="12:28" x14ac:dyDescent="0.25">
      <c r="L113" s="2"/>
      <c r="U113" s="2"/>
      <c r="Z113" s="2"/>
      <c r="AA113" s="2"/>
      <c r="AB113" s="2"/>
    </row>
    <row r="114" spans="12:28" x14ac:dyDescent="0.25">
      <c r="L114" s="2"/>
      <c r="U114" s="2"/>
      <c r="Z114" s="2"/>
      <c r="AA114" s="2"/>
      <c r="AB114" s="2"/>
    </row>
    <row r="115" spans="12:28" x14ac:dyDescent="0.25">
      <c r="L115" s="2"/>
      <c r="U115" s="2"/>
      <c r="Z115" s="2"/>
      <c r="AA115" s="2"/>
      <c r="AB115" s="2"/>
    </row>
    <row r="116" spans="12:28" x14ac:dyDescent="0.25">
      <c r="L116" s="2"/>
      <c r="U116" s="2"/>
      <c r="Z116" s="2"/>
      <c r="AA116" s="2"/>
      <c r="AB116" s="2"/>
    </row>
    <row r="117" spans="12:28" x14ac:dyDescent="0.25">
      <c r="L117" s="2"/>
      <c r="U117" s="2"/>
      <c r="Z117" s="2"/>
      <c r="AA117" s="2"/>
      <c r="AB117" s="2"/>
    </row>
    <row r="118" spans="12:28" x14ac:dyDescent="0.25">
      <c r="L118" s="2"/>
      <c r="U118" s="2"/>
      <c r="Z118" s="2"/>
      <c r="AA118" s="2"/>
      <c r="AB118" s="2"/>
    </row>
    <row r="119" spans="12:28" x14ac:dyDescent="0.25">
      <c r="L119" s="2"/>
      <c r="U119" s="2"/>
      <c r="Z119" s="2"/>
      <c r="AA119" s="2"/>
      <c r="AB119" s="2"/>
    </row>
    <row r="120" spans="12:28" x14ac:dyDescent="0.25">
      <c r="L120" s="2"/>
      <c r="U120" s="2"/>
      <c r="Z120" s="2"/>
      <c r="AA120" s="2"/>
      <c r="AB120" s="2"/>
    </row>
    <row r="121" spans="12:28" x14ac:dyDescent="0.25">
      <c r="L121" s="2"/>
      <c r="U121" s="2"/>
      <c r="Z121" s="2"/>
      <c r="AA121" s="2"/>
      <c r="AB121" s="2"/>
    </row>
    <row r="122" spans="12:28" x14ac:dyDescent="0.25">
      <c r="L122" s="2"/>
      <c r="U122" s="2"/>
      <c r="Z122" s="2"/>
      <c r="AA122" s="2"/>
      <c r="AB122" s="2"/>
    </row>
    <row r="123" spans="12:28" x14ac:dyDescent="0.25">
      <c r="L123" s="2"/>
      <c r="U123" s="2"/>
      <c r="Z123" s="2"/>
      <c r="AA123" s="2"/>
      <c r="AB123" s="2"/>
    </row>
    <row r="124" spans="12:28" x14ac:dyDescent="0.25">
      <c r="L124" s="2"/>
      <c r="U124" s="2"/>
      <c r="Z124" s="2"/>
      <c r="AA124" s="2"/>
      <c r="AB124" s="2"/>
    </row>
    <row r="125" spans="12:28" x14ac:dyDescent="0.25">
      <c r="L125" s="2"/>
      <c r="U125" s="2"/>
      <c r="Z125" s="2"/>
      <c r="AA125" s="2"/>
      <c r="AB125" s="2"/>
    </row>
    <row r="126" spans="12:28" x14ac:dyDescent="0.25">
      <c r="L126" s="2"/>
      <c r="U126" s="2"/>
      <c r="Z126" s="2"/>
      <c r="AA126" s="2"/>
      <c r="AB126" s="2"/>
    </row>
    <row r="127" spans="12:28" x14ac:dyDescent="0.25">
      <c r="L127" s="2"/>
      <c r="U127" s="2"/>
      <c r="Z127" s="2"/>
      <c r="AA127" s="2"/>
      <c r="AB127" s="2"/>
    </row>
    <row r="128" spans="12:28" x14ac:dyDescent="0.25">
      <c r="L128" s="2"/>
      <c r="U128" s="2"/>
      <c r="Z128" s="2"/>
      <c r="AA128" s="2"/>
      <c r="AB128" s="2"/>
    </row>
    <row r="129" spans="12:28" x14ac:dyDescent="0.25">
      <c r="L129" s="2"/>
      <c r="U129" s="2"/>
      <c r="Z129" s="2"/>
      <c r="AA129" s="2"/>
      <c r="AB129" s="2"/>
    </row>
    <row r="130" spans="12:28" x14ac:dyDescent="0.25">
      <c r="L130" s="2"/>
      <c r="U130" s="2"/>
      <c r="Z130" s="2"/>
      <c r="AA130" s="2"/>
      <c r="AB130" s="2"/>
    </row>
    <row r="131" spans="12:28" x14ac:dyDescent="0.25">
      <c r="L131" s="2"/>
      <c r="U131" s="2"/>
      <c r="Z131" s="2"/>
      <c r="AA131" s="2"/>
      <c r="AB131" s="2"/>
    </row>
    <row r="132" spans="12:28" x14ac:dyDescent="0.25">
      <c r="L132" s="2"/>
      <c r="U132" s="2"/>
      <c r="Z132" s="2"/>
      <c r="AA132" s="2"/>
      <c r="AB132" s="2"/>
    </row>
    <row r="133" spans="12:28" x14ac:dyDescent="0.25">
      <c r="L133" s="2"/>
      <c r="U133" s="2"/>
      <c r="Z133" s="2"/>
      <c r="AA133" s="2"/>
      <c r="AB133" s="2"/>
    </row>
    <row r="134" spans="12:28" x14ac:dyDescent="0.25">
      <c r="L134" s="2"/>
      <c r="U134" s="2"/>
      <c r="Z134" s="2"/>
      <c r="AA134" s="2"/>
      <c r="AB134" s="2"/>
    </row>
    <row r="135" spans="12:28" x14ac:dyDescent="0.25">
      <c r="L135" s="2"/>
      <c r="U135" s="2"/>
      <c r="Z135" s="2"/>
      <c r="AA135" s="2"/>
      <c r="AB135" s="2"/>
    </row>
    <row r="136" spans="12:28" x14ac:dyDescent="0.25">
      <c r="L136" s="2"/>
      <c r="U136" s="2"/>
      <c r="Z136" s="2"/>
      <c r="AA136" s="2"/>
      <c r="AB136" s="2"/>
    </row>
    <row r="137" spans="12:28" x14ac:dyDescent="0.25">
      <c r="L137" s="2"/>
      <c r="U137" s="2"/>
      <c r="Z137" s="2"/>
      <c r="AA137" s="2"/>
      <c r="AB137" s="2"/>
    </row>
    <row r="138" spans="12:28" x14ac:dyDescent="0.25">
      <c r="L138" s="2"/>
      <c r="U138" s="2"/>
      <c r="Z138" s="2"/>
      <c r="AA138" s="2"/>
      <c r="AB138" s="2"/>
    </row>
    <row r="139" spans="12:28" x14ac:dyDescent="0.25">
      <c r="L139" s="2"/>
      <c r="U139" s="2"/>
      <c r="Z139" s="2"/>
      <c r="AA139" s="2"/>
      <c r="AB139" s="2"/>
    </row>
    <row r="140" spans="12:28" x14ac:dyDescent="0.25">
      <c r="L140" s="2"/>
      <c r="U140" s="2"/>
      <c r="Z140" s="2"/>
      <c r="AA140" s="2"/>
      <c r="AB140" s="2"/>
    </row>
    <row r="141" spans="12:28" x14ac:dyDescent="0.25">
      <c r="L141" s="2"/>
      <c r="U141" s="2"/>
      <c r="Z141" s="2"/>
      <c r="AA141" s="2"/>
      <c r="AB141" s="2"/>
    </row>
    <row r="142" spans="12:28" x14ac:dyDescent="0.25">
      <c r="L142" s="2"/>
      <c r="U142" s="2"/>
      <c r="Z142" s="2"/>
      <c r="AA142" s="2"/>
      <c r="AB142" s="2"/>
    </row>
    <row r="143" spans="12:28" x14ac:dyDescent="0.25">
      <c r="L143" s="2"/>
      <c r="U143" s="2"/>
      <c r="Z143" s="2"/>
      <c r="AA143" s="2"/>
      <c r="AB143" s="2"/>
    </row>
    <row r="144" spans="12:28" x14ac:dyDescent="0.25">
      <c r="L144" s="2"/>
      <c r="U144" s="2"/>
      <c r="Z144" s="2"/>
      <c r="AA144" s="2"/>
      <c r="AB144" s="2"/>
    </row>
    <row r="145" spans="12:28" x14ac:dyDescent="0.25">
      <c r="L145" s="2"/>
      <c r="U145" s="2"/>
      <c r="Z145" s="2"/>
      <c r="AA145" s="2"/>
      <c r="AB145" s="2"/>
    </row>
    <row r="146" spans="12:28" x14ac:dyDescent="0.25">
      <c r="L146" s="2"/>
      <c r="U146" s="2"/>
      <c r="Z146" s="2"/>
      <c r="AA146" s="2"/>
      <c r="AB146" s="2"/>
    </row>
    <row r="147" spans="12:28" x14ac:dyDescent="0.25">
      <c r="L147" s="2"/>
      <c r="U147" s="2"/>
      <c r="Z147" s="2"/>
      <c r="AA147" s="2"/>
      <c r="AB147" s="2"/>
    </row>
    <row r="148" spans="12:28" x14ac:dyDescent="0.25">
      <c r="L148" s="2"/>
      <c r="U148" s="2"/>
      <c r="Z148" s="2"/>
      <c r="AA148" s="2"/>
      <c r="AB148" s="2"/>
    </row>
    <row r="149" spans="12:28" x14ac:dyDescent="0.25">
      <c r="L149" s="2"/>
      <c r="U149" s="2"/>
      <c r="Z149" s="2"/>
      <c r="AA149" s="2"/>
      <c r="AB149" s="2"/>
    </row>
    <row r="150" spans="12:28" x14ac:dyDescent="0.25">
      <c r="L150" s="2"/>
      <c r="U150" s="2"/>
      <c r="Z150" s="2"/>
      <c r="AA150" s="2"/>
      <c r="AB150" s="2"/>
    </row>
    <row r="151" spans="12:28" x14ac:dyDescent="0.25">
      <c r="L151" s="2"/>
      <c r="U151" s="2"/>
      <c r="Z151" s="2"/>
      <c r="AA151" s="2"/>
      <c r="AB151" s="2"/>
    </row>
    <row r="152" spans="12:28" x14ac:dyDescent="0.25">
      <c r="L152" s="2"/>
      <c r="U152" s="2"/>
      <c r="Z152" s="2"/>
      <c r="AA152" s="2"/>
      <c r="AB152" s="2"/>
    </row>
    <row r="153" spans="12:28" x14ac:dyDescent="0.25">
      <c r="L153" s="2"/>
      <c r="U153" s="2"/>
      <c r="Z153" s="2"/>
      <c r="AA153" s="2"/>
      <c r="AB153" s="2"/>
    </row>
    <row r="154" spans="12:28" x14ac:dyDescent="0.25">
      <c r="L154" s="2"/>
      <c r="U154" s="2"/>
      <c r="Z154" s="2"/>
      <c r="AA154" s="2"/>
      <c r="AB154" s="2"/>
    </row>
    <row r="155" spans="12:28" x14ac:dyDescent="0.25">
      <c r="L155" s="2"/>
      <c r="U155" s="2"/>
      <c r="Z155" s="2"/>
      <c r="AA155" s="2"/>
      <c r="AB155" s="2"/>
    </row>
    <row r="156" spans="12:28" x14ac:dyDescent="0.25">
      <c r="L156" s="2"/>
      <c r="U156" s="2"/>
      <c r="Z156" s="2"/>
      <c r="AA156" s="2"/>
      <c r="AB156" s="2"/>
    </row>
    <row r="157" spans="12:28" x14ac:dyDescent="0.25">
      <c r="L157" s="2"/>
      <c r="U157" s="2"/>
      <c r="Z157" s="2"/>
      <c r="AA157" s="2"/>
      <c r="AB157" s="2"/>
    </row>
    <row r="158" spans="12:28" x14ac:dyDescent="0.25">
      <c r="L158" s="2"/>
      <c r="U158" s="2"/>
      <c r="Z158" s="2"/>
      <c r="AA158" s="2"/>
      <c r="AB158" s="2"/>
    </row>
    <row r="159" spans="12:28" x14ac:dyDescent="0.25">
      <c r="L159" s="2"/>
      <c r="U159" s="2"/>
      <c r="Z159" s="2"/>
      <c r="AA159" s="2"/>
      <c r="AB159" s="2"/>
    </row>
    <row r="160" spans="12:28" x14ac:dyDescent="0.25">
      <c r="L160" s="2"/>
      <c r="U160" s="2"/>
      <c r="Z160" s="2"/>
      <c r="AA160" s="2"/>
      <c r="AB160" s="2"/>
    </row>
    <row r="161" spans="12:28" x14ac:dyDescent="0.25">
      <c r="L161" s="2"/>
      <c r="U161" s="2"/>
      <c r="Z161" s="2"/>
      <c r="AA161" s="2"/>
      <c r="AB161" s="2"/>
    </row>
    <row r="162" spans="12:28" x14ac:dyDescent="0.25">
      <c r="L162" s="2"/>
      <c r="U162" s="2"/>
      <c r="Z162" s="2"/>
      <c r="AA162" s="2"/>
      <c r="AB162" s="2"/>
    </row>
    <row r="163" spans="12:28" x14ac:dyDescent="0.25">
      <c r="L163" s="2"/>
      <c r="U163" s="2"/>
      <c r="Z163" s="2"/>
      <c r="AA163" s="2"/>
      <c r="AB163" s="2"/>
    </row>
    <row r="164" spans="12:28" x14ac:dyDescent="0.25">
      <c r="L164" s="2"/>
      <c r="U164" s="2"/>
      <c r="Z164" s="2"/>
      <c r="AA164" s="2"/>
      <c r="AB164" s="2"/>
    </row>
    <row r="165" spans="12:28" x14ac:dyDescent="0.25">
      <c r="L165" s="2"/>
      <c r="U165" s="2"/>
      <c r="Z165" s="2"/>
      <c r="AA165" s="2"/>
      <c r="AB165" s="2"/>
    </row>
    <row r="166" spans="12:28" x14ac:dyDescent="0.25">
      <c r="L166" s="2"/>
      <c r="U166" s="2"/>
      <c r="Z166" s="2"/>
      <c r="AA166" s="2"/>
      <c r="AB166" s="2"/>
    </row>
    <row r="167" spans="12:28" x14ac:dyDescent="0.25">
      <c r="L167" s="2"/>
      <c r="U167" s="2"/>
      <c r="Z167" s="2"/>
      <c r="AA167" s="2"/>
      <c r="AB167" s="2"/>
    </row>
    <row r="168" spans="12:28" x14ac:dyDescent="0.25">
      <c r="L168" s="2"/>
      <c r="U168" s="2"/>
      <c r="Z168" s="2"/>
      <c r="AA168" s="2"/>
      <c r="AB168" s="2"/>
    </row>
    <row r="169" spans="12:28" x14ac:dyDescent="0.25">
      <c r="L169" s="2"/>
      <c r="U169" s="2"/>
      <c r="Z169" s="2"/>
      <c r="AA169" s="2"/>
      <c r="AB169" s="2"/>
    </row>
    <row r="170" spans="12:28" x14ac:dyDescent="0.25">
      <c r="L170" s="2"/>
      <c r="U170" s="2"/>
      <c r="Z170" s="2"/>
      <c r="AA170" s="2"/>
      <c r="AB170" s="2"/>
    </row>
    <row r="171" spans="12:28" x14ac:dyDescent="0.25">
      <c r="L171" s="2"/>
      <c r="U171" s="2"/>
      <c r="Z171" s="2"/>
      <c r="AA171" s="2"/>
      <c r="AB171" s="2"/>
    </row>
    <row r="172" spans="12:28" x14ac:dyDescent="0.25">
      <c r="L172" s="2"/>
      <c r="U172" s="2"/>
      <c r="Z172" s="2"/>
      <c r="AA172" s="2"/>
      <c r="AB172" s="2"/>
    </row>
    <row r="173" spans="12:28" x14ac:dyDescent="0.25">
      <c r="L173" s="2"/>
      <c r="U173" s="2"/>
      <c r="Z173" s="2"/>
      <c r="AA173" s="2"/>
      <c r="AB173" s="2"/>
    </row>
    <row r="174" spans="12:28" x14ac:dyDescent="0.25">
      <c r="L174" s="2"/>
      <c r="U174" s="2"/>
      <c r="Z174" s="2"/>
      <c r="AA174" s="2"/>
      <c r="AB174" s="2"/>
    </row>
    <row r="175" spans="12:28" x14ac:dyDescent="0.25">
      <c r="L175" s="2"/>
      <c r="U175" s="2"/>
      <c r="Z175" s="2"/>
      <c r="AA175" s="2"/>
      <c r="AB175" s="2"/>
    </row>
    <row r="176" spans="12:28" x14ac:dyDescent="0.25">
      <c r="L176" s="2"/>
      <c r="U176" s="2"/>
      <c r="Z176" s="2"/>
      <c r="AA176" s="2"/>
      <c r="AB176" s="2"/>
    </row>
    <row r="177" spans="12:28" x14ac:dyDescent="0.25">
      <c r="L177" s="2"/>
      <c r="U177" s="2"/>
      <c r="Z177" s="2"/>
      <c r="AA177" s="2"/>
      <c r="AB177" s="2"/>
    </row>
    <row r="178" spans="12:28" x14ac:dyDescent="0.25">
      <c r="L178" s="2"/>
      <c r="U178" s="2"/>
      <c r="Z178" s="2"/>
      <c r="AA178" s="2"/>
      <c r="AB178" s="2"/>
    </row>
    <row r="179" spans="12:28" x14ac:dyDescent="0.25">
      <c r="L179" s="2"/>
      <c r="U179" s="2"/>
      <c r="Z179" s="2"/>
      <c r="AA179" s="2"/>
      <c r="AB179" s="2"/>
    </row>
    <row r="180" spans="12:28" x14ac:dyDescent="0.25">
      <c r="L180" s="2"/>
      <c r="U180" s="2"/>
      <c r="Z180" s="2"/>
      <c r="AA180" s="2"/>
      <c r="AB180" s="2"/>
    </row>
    <row r="181" spans="12:28" x14ac:dyDescent="0.25">
      <c r="L181" s="2"/>
      <c r="U181" s="2"/>
      <c r="Z181" s="2"/>
      <c r="AA181" s="2"/>
      <c r="AB181" s="2"/>
    </row>
    <row r="182" spans="12:28" x14ac:dyDescent="0.25">
      <c r="L182" s="2"/>
      <c r="U182" s="2"/>
      <c r="Z182" s="2"/>
      <c r="AA182" s="2"/>
      <c r="AB182" s="2"/>
    </row>
    <row r="183" spans="12:28" x14ac:dyDescent="0.25">
      <c r="L183" s="2"/>
      <c r="U183" s="2"/>
      <c r="Z183" s="2"/>
      <c r="AA183" s="2"/>
      <c r="AB183" s="2"/>
    </row>
    <row r="184" spans="12:28" x14ac:dyDescent="0.25">
      <c r="L184" s="2"/>
      <c r="U184" s="2"/>
      <c r="Z184" s="2"/>
      <c r="AA184" s="2"/>
      <c r="AB184" s="2"/>
    </row>
    <row r="185" spans="12:28" x14ac:dyDescent="0.25">
      <c r="L185" s="2"/>
      <c r="U185" s="2"/>
      <c r="Z185" s="2"/>
      <c r="AA185" s="2"/>
      <c r="AB185" s="2"/>
    </row>
    <row r="186" spans="12:28" x14ac:dyDescent="0.25">
      <c r="L186" s="2"/>
      <c r="U186" s="2"/>
      <c r="Z186" s="2"/>
      <c r="AA186" s="2"/>
      <c r="AB186" s="2"/>
    </row>
    <row r="187" spans="12:28" x14ac:dyDescent="0.25">
      <c r="L187" s="2"/>
      <c r="U187" s="2"/>
      <c r="Z187" s="2"/>
      <c r="AA187" s="2"/>
      <c r="AB187" s="2"/>
    </row>
    <row r="188" spans="12:28" x14ac:dyDescent="0.25">
      <c r="L188" s="2"/>
      <c r="U188" s="2"/>
      <c r="Z188" s="2"/>
      <c r="AA188" s="2"/>
      <c r="AB188" s="2"/>
    </row>
    <row r="189" spans="12:28" x14ac:dyDescent="0.25">
      <c r="L189" s="2"/>
      <c r="U189" s="2"/>
      <c r="Z189" s="2"/>
      <c r="AA189" s="2"/>
      <c r="AB189" s="2"/>
    </row>
    <row r="190" spans="12:28" x14ac:dyDescent="0.25">
      <c r="L190" s="2"/>
      <c r="U190" s="2"/>
      <c r="Z190" s="2"/>
      <c r="AA190" s="2"/>
      <c r="AB190" s="2"/>
    </row>
    <row r="191" spans="12:28" x14ac:dyDescent="0.25">
      <c r="L191" s="2"/>
      <c r="U191" s="2"/>
      <c r="Z191" s="2"/>
      <c r="AA191" s="2"/>
      <c r="AB191" s="2"/>
    </row>
    <row r="192" spans="12:28" x14ac:dyDescent="0.25">
      <c r="L192" s="2"/>
      <c r="U192" s="2"/>
      <c r="Z192" s="2"/>
      <c r="AA192" s="2"/>
      <c r="AB192" s="2"/>
    </row>
    <row r="193" spans="12:28" x14ac:dyDescent="0.25">
      <c r="L193" s="2"/>
      <c r="U193" s="2"/>
      <c r="Z193" s="2"/>
      <c r="AA193" s="2"/>
      <c r="AB193" s="2"/>
    </row>
    <row r="194" spans="12:28" x14ac:dyDescent="0.25">
      <c r="L194" s="2"/>
      <c r="U194" s="2"/>
      <c r="Z194" s="2"/>
      <c r="AA194" s="2"/>
      <c r="AB194" s="2"/>
    </row>
    <row r="195" spans="12:28" x14ac:dyDescent="0.25">
      <c r="L195" s="2"/>
      <c r="U195" s="2"/>
      <c r="Z195" s="2"/>
      <c r="AA195" s="2"/>
      <c r="AB195" s="2"/>
    </row>
    <row r="196" spans="12:28" x14ac:dyDescent="0.25">
      <c r="L196" s="2"/>
      <c r="U196" s="2"/>
      <c r="Z196" s="2"/>
      <c r="AA196" s="2"/>
      <c r="AB196" s="2"/>
    </row>
    <row r="197" spans="12:28" x14ac:dyDescent="0.25">
      <c r="L197" s="2"/>
      <c r="U197" s="2"/>
      <c r="Z197" s="2"/>
      <c r="AA197" s="2"/>
      <c r="AB197" s="2"/>
    </row>
    <row r="198" spans="12:28" x14ac:dyDescent="0.25">
      <c r="L198" s="2"/>
      <c r="U198" s="2"/>
      <c r="Z198" s="2"/>
      <c r="AA198" s="2"/>
      <c r="AB198" s="2"/>
    </row>
    <row r="199" spans="12:28" x14ac:dyDescent="0.25">
      <c r="L199" s="2"/>
      <c r="U199" s="2"/>
      <c r="Z199" s="2"/>
      <c r="AA199" s="2"/>
      <c r="AB199" s="2"/>
    </row>
    <row r="200" spans="12:28" x14ac:dyDescent="0.25">
      <c r="L200" s="2"/>
      <c r="U200" s="2"/>
      <c r="Z200" s="2"/>
      <c r="AA200" s="2"/>
      <c r="AB200" s="2"/>
    </row>
    <row r="201" spans="12:28" x14ac:dyDescent="0.25">
      <c r="L201" s="2"/>
      <c r="U201" s="2"/>
      <c r="Z201" s="2"/>
      <c r="AA201" s="2"/>
      <c r="AB201" s="2"/>
    </row>
    <row r="202" spans="12:28" x14ac:dyDescent="0.25">
      <c r="L202" s="2"/>
      <c r="U202" s="2"/>
      <c r="Z202" s="2"/>
      <c r="AA202" s="2"/>
      <c r="AB202" s="2"/>
    </row>
    <row r="203" spans="12:28" x14ac:dyDescent="0.25">
      <c r="L203" s="2"/>
      <c r="U203" s="2"/>
      <c r="Z203" s="2"/>
      <c r="AA203" s="2"/>
      <c r="AB203" s="2"/>
    </row>
    <row r="204" spans="12:28" x14ac:dyDescent="0.25">
      <c r="L204" s="2"/>
      <c r="U204" s="2"/>
      <c r="Z204" s="2"/>
      <c r="AA204" s="2"/>
      <c r="AB204" s="2"/>
    </row>
    <row r="205" spans="12:28" x14ac:dyDescent="0.25">
      <c r="L205" s="2"/>
      <c r="U205" s="2"/>
      <c r="Z205" s="2"/>
      <c r="AA205" s="2"/>
      <c r="AB205" s="2"/>
    </row>
    <row r="206" spans="12:28" x14ac:dyDescent="0.25">
      <c r="L206" s="2"/>
      <c r="U206" s="2"/>
      <c r="Z206" s="2"/>
      <c r="AA206" s="2"/>
      <c r="AB206" s="2"/>
    </row>
    <row r="207" spans="12:28" x14ac:dyDescent="0.25">
      <c r="L207" s="2"/>
      <c r="U207" s="2"/>
      <c r="Z207" s="2"/>
      <c r="AA207" s="2"/>
      <c r="AB207" s="2"/>
    </row>
    <row r="208" spans="12:28" x14ac:dyDescent="0.25">
      <c r="L208" s="2"/>
      <c r="U208" s="2"/>
      <c r="Z208" s="2"/>
      <c r="AA208" s="2"/>
      <c r="AB208" s="2"/>
    </row>
    <row r="209" spans="12:28" x14ac:dyDescent="0.25">
      <c r="L209" s="2"/>
      <c r="U209" s="2"/>
      <c r="Z209" s="2"/>
      <c r="AA209" s="2"/>
      <c r="AB209" s="2"/>
    </row>
    <row r="210" spans="12:28" x14ac:dyDescent="0.25">
      <c r="L210" s="2"/>
      <c r="U210" s="2"/>
      <c r="Z210" s="2"/>
      <c r="AA210" s="2"/>
      <c r="AB210" s="2"/>
    </row>
    <row r="211" spans="12:28" x14ac:dyDescent="0.25">
      <c r="L211" s="2"/>
      <c r="U211" s="2"/>
      <c r="Z211" s="2"/>
      <c r="AA211" s="2"/>
      <c r="AB211" s="2"/>
    </row>
    <row r="212" spans="12:28" x14ac:dyDescent="0.25">
      <c r="L212" s="2"/>
      <c r="U212" s="2"/>
      <c r="Z212" s="2"/>
      <c r="AA212" s="2"/>
      <c r="AB212" s="2"/>
    </row>
    <row r="213" spans="12:28" x14ac:dyDescent="0.25">
      <c r="L213" s="2"/>
      <c r="U213" s="2"/>
      <c r="Z213" s="2"/>
      <c r="AA213" s="2"/>
      <c r="AB213" s="2"/>
    </row>
    <row r="214" spans="12:28" x14ac:dyDescent="0.25">
      <c r="L214" s="2"/>
      <c r="U214" s="2"/>
      <c r="Z214" s="2"/>
      <c r="AA214" s="2"/>
      <c r="AB214" s="2"/>
    </row>
    <row r="215" spans="12:28" x14ac:dyDescent="0.25">
      <c r="L215" s="2"/>
      <c r="U215" s="2"/>
      <c r="Z215" s="2"/>
      <c r="AA215" s="2"/>
      <c r="AB215" s="2"/>
    </row>
    <row r="216" spans="12:28" x14ac:dyDescent="0.25">
      <c r="L216" s="2"/>
      <c r="U216" s="2"/>
      <c r="Z216" s="2"/>
      <c r="AA216" s="2"/>
      <c r="AB216" s="2"/>
    </row>
    <row r="217" spans="12:28" x14ac:dyDescent="0.25">
      <c r="L217" s="2"/>
      <c r="U217" s="2"/>
      <c r="Z217" s="2"/>
      <c r="AA217" s="2"/>
      <c r="AB217" s="2"/>
    </row>
    <row r="218" spans="12:28" x14ac:dyDescent="0.25">
      <c r="L218" s="2"/>
      <c r="U218" s="2"/>
      <c r="Z218" s="2"/>
      <c r="AA218" s="2"/>
      <c r="AB218" s="2"/>
    </row>
    <row r="219" spans="12:28" x14ac:dyDescent="0.25">
      <c r="L219" s="2"/>
      <c r="U219" s="2"/>
      <c r="Z219" s="2"/>
      <c r="AA219" s="2"/>
      <c r="AB219" s="2"/>
    </row>
    <row r="220" spans="12:28" x14ac:dyDescent="0.25">
      <c r="L220" s="2"/>
      <c r="U220" s="2"/>
      <c r="Z220" s="2"/>
      <c r="AA220" s="2"/>
      <c r="AB220" s="2"/>
    </row>
    <row r="221" spans="12:28" x14ac:dyDescent="0.25">
      <c r="L221" s="2"/>
      <c r="U221" s="2"/>
      <c r="Z221" s="2"/>
      <c r="AA221" s="2"/>
      <c r="AB221" s="2"/>
    </row>
    <row r="222" spans="12:28" x14ac:dyDescent="0.25">
      <c r="L222" s="2"/>
      <c r="U222" s="2"/>
      <c r="Z222" s="2"/>
      <c r="AA222" s="2"/>
      <c r="AB222" s="2"/>
    </row>
    <row r="223" spans="12:28" x14ac:dyDescent="0.25">
      <c r="L223" s="2"/>
      <c r="U223" s="2"/>
      <c r="Z223" s="2"/>
      <c r="AA223" s="2"/>
      <c r="AB223" s="2"/>
    </row>
    <row r="224" spans="12:28" x14ac:dyDescent="0.25">
      <c r="L224" s="2"/>
      <c r="U224" s="2"/>
      <c r="Z224" s="2"/>
      <c r="AA224" s="2"/>
      <c r="AB224" s="2"/>
    </row>
    <row r="225" spans="12:28" x14ac:dyDescent="0.25">
      <c r="L225" s="2"/>
      <c r="U225" s="2"/>
      <c r="Z225" s="2"/>
      <c r="AA225" s="2"/>
      <c r="AB225" s="2"/>
    </row>
    <row r="226" spans="12:28" x14ac:dyDescent="0.25">
      <c r="L226" s="2"/>
      <c r="U226" s="2"/>
      <c r="Z226" s="2"/>
      <c r="AA226" s="2"/>
      <c r="AB226" s="2"/>
    </row>
    <row r="227" spans="12:28" x14ac:dyDescent="0.25">
      <c r="L227" s="2"/>
      <c r="U227" s="2"/>
      <c r="Z227" s="2"/>
      <c r="AA227" s="2"/>
      <c r="AB227" s="2"/>
    </row>
    <row r="228" spans="12:28" x14ac:dyDescent="0.25">
      <c r="L228" s="2"/>
      <c r="U228" s="2"/>
      <c r="Z228" s="2"/>
      <c r="AA228" s="2"/>
      <c r="AB228" s="2"/>
    </row>
    <row r="229" spans="12:28" x14ac:dyDescent="0.25">
      <c r="L229" s="2"/>
      <c r="U229" s="2"/>
      <c r="Z229" s="2"/>
      <c r="AA229" s="2"/>
      <c r="AB229" s="2"/>
    </row>
    <row r="230" spans="12:28" x14ac:dyDescent="0.25">
      <c r="L230" s="2"/>
      <c r="U230" s="2"/>
      <c r="Z230" s="2"/>
      <c r="AA230" s="2"/>
      <c r="AB230" s="2"/>
    </row>
    <row r="231" spans="12:28" x14ac:dyDescent="0.25">
      <c r="L231" s="2"/>
      <c r="U231" s="2"/>
      <c r="Z231" s="2"/>
      <c r="AA231" s="2"/>
      <c r="AB231" s="2"/>
    </row>
    <row r="232" spans="12:28" x14ac:dyDescent="0.25">
      <c r="L232" s="2"/>
      <c r="U232" s="2"/>
      <c r="Z232" s="2"/>
      <c r="AA232" s="2"/>
      <c r="AB232" s="2"/>
    </row>
    <row r="233" spans="12:28" x14ac:dyDescent="0.25">
      <c r="L233" s="2"/>
      <c r="U233" s="2"/>
      <c r="Z233" s="2"/>
      <c r="AA233" s="2"/>
      <c r="AB233" s="2"/>
    </row>
    <row r="234" spans="12:28" x14ac:dyDescent="0.25">
      <c r="L234" s="2"/>
      <c r="U234" s="2"/>
      <c r="Z234" s="2"/>
      <c r="AA234" s="2"/>
      <c r="AB234" s="2"/>
    </row>
    <row r="235" spans="12:28" x14ac:dyDescent="0.25">
      <c r="L235" s="2"/>
      <c r="U235" s="2"/>
      <c r="Z235" s="2"/>
      <c r="AA235" s="2"/>
      <c r="AB235" s="2"/>
    </row>
    <row r="236" spans="12:28" x14ac:dyDescent="0.25">
      <c r="L236" s="2"/>
      <c r="U236" s="2"/>
      <c r="Z236" s="2"/>
      <c r="AA236" s="2"/>
      <c r="AB236" s="2"/>
    </row>
    <row r="237" spans="12:28" x14ac:dyDescent="0.25">
      <c r="L237" s="2"/>
      <c r="U237" s="2"/>
      <c r="Z237" s="2"/>
      <c r="AA237" s="2"/>
      <c r="AB237" s="2"/>
    </row>
    <row r="238" spans="12:28" x14ac:dyDescent="0.25">
      <c r="L238" s="2"/>
      <c r="U238" s="2"/>
      <c r="Z238" s="2"/>
      <c r="AA238" s="2"/>
      <c r="AB238" s="2"/>
    </row>
    <row r="239" spans="12:28" x14ac:dyDescent="0.25">
      <c r="L239" s="2"/>
      <c r="U239" s="2"/>
      <c r="Z239" s="2"/>
      <c r="AA239" s="2"/>
      <c r="AB239" s="2"/>
    </row>
    <row r="240" spans="12:28" x14ac:dyDescent="0.25">
      <c r="L240" s="2"/>
      <c r="U240" s="2"/>
      <c r="Z240" s="2"/>
      <c r="AA240" s="2"/>
      <c r="AB240" s="2"/>
    </row>
    <row r="241" spans="12:28" x14ac:dyDescent="0.25">
      <c r="L241" s="2"/>
      <c r="U241" s="2"/>
      <c r="Z241" s="2"/>
      <c r="AA241" s="2"/>
      <c r="AB241" s="2"/>
    </row>
    <row r="242" spans="12:28" x14ac:dyDescent="0.25">
      <c r="L242" s="2"/>
      <c r="U242" s="2"/>
      <c r="Z242" s="2"/>
      <c r="AA242" s="2"/>
      <c r="AB242" s="2"/>
    </row>
    <row r="243" spans="12:28" x14ac:dyDescent="0.25">
      <c r="L243" s="2"/>
      <c r="U243" s="2"/>
      <c r="Z243" s="2"/>
      <c r="AA243" s="2"/>
      <c r="AB243" s="2"/>
    </row>
    <row r="244" spans="12:28" x14ac:dyDescent="0.25">
      <c r="L244" s="2"/>
      <c r="U244" s="2"/>
      <c r="Z244" s="2"/>
      <c r="AA244" s="2"/>
      <c r="AB244" s="2"/>
    </row>
    <row r="245" spans="12:28" x14ac:dyDescent="0.25">
      <c r="L245" s="2"/>
      <c r="U245" s="2"/>
      <c r="Z245" s="2"/>
      <c r="AA245" s="2"/>
      <c r="AB245" s="2"/>
    </row>
    <row r="246" spans="12:28" x14ac:dyDescent="0.25">
      <c r="L246" s="2"/>
      <c r="U246" s="2"/>
      <c r="Z246" s="2"/>
      <c r="AA246" s="2"/>
      <c r="AB246" s="2"/>
    </row>
    <row r="247" spans="12:28" x14ac:dyDescent="0.25">
      <c r="L247" s="2"/>
      <c r="U247" s="2"/>
      <c r="Z247" s="2"/>
      <c r="AA247" s="2"/>
      <c r="AB247" s="2"/>
    </row>
    <row r="248" spans="12:28" x14ac:dyDescent="0.25">
      <c r="L248" s="2"/>
      <c r="U248" s="2"/>
      <c r="Z248" s="2"/>
      <c r="AA248" s="2"/>
      <c r="AB248" s="2"/>
    </row>
    <row r="249" spans="12:28" x14ac:dyDescent="0.25">
      <c r="L249" s="2"/>
      <c r="U249" s="2"/>
      <c r="Z249" s="2"/>
      <c r="AA249" s="2"/>
      <c r="AB249" s="2"/>
    </row>
    <row r="250" spans="12:28" x14ac:dyDescent="0.25">
      <c r="L250" s="2"/>
      <c r="U250" s="2"/>
      <c r="Z250" s="2"/>
      <c r="AA250" s="2"/>
      <c r="AB250" s="2"/>
    </row>
    <row r="251" spans="12:28" x14ac:dyDescent="0.25">
      <c r="L251" s="2"/>
      <c r="U251" s="2"/>
      <c r="Z251" s="2"/>
      <c r="AA251" s="2"/>
      <c r="AB251" s="2"/>
    </row>
    <row r="252" spans="12:28" x14ac:dyDescent="0.25">
      <c r="L252" s="2"/>
      <c r="U252" s="2"/>
      <c r="Z252" s="2"/>
      <c r="AA252" s="2"/>
      <c r="AB252" s="2"/>
    </row>
    <row r="253" spans="12:28" x14ac:dyDescent="0.25">
      <c r="L253" s="2"/>
      <c r="U253" s="2"/>
      <c r="Z253" s="2"/>
      <c r="AA253" s="2"/>
      <c r="AB253" s="2"/>
    </row>
    <row r="254" spans="12:28" x14ac:dyDescent="0.25">
      <c r="L254" s="2"/>
      <c r="U254" s="2"/>
      <c r="Z254" s="2"/>
      <c r="AA254" s="2"/>
      <c r="AB254" s="2"/>
    </row>
    <row r="255" spans="12:28" x14ac:dyDescent="0.25">
      <c r="L255" s="2"/>
      <c r="U255" s="2"/>
      <c r="Z255" s="2"/>
      <c r="AA255" s="2"/>
      <c r="AB255" s="2"/>
    </row>
    <row r="256" spans="12:28" x14ac:dyDescent="0.25">
      <c r="L256" s="2"/>
      <c r="U256" s="2"/>
      <c r="Z256" s="2"/>
      <c r="AA256" s="2"/>
      <c r="AB256" s="2"/>
    </row>
    <row r="257" spans="12:28" x14ac:dyDescent="0.25">
      <c r="L257" s="2"/>
      <c r="U257" s="2"/>
      <c r="Z257" s="2"/>
      <c r="AA257" s="2"/>
      <c r="AB257" s="2"/>
    </row>
    <row r="258" spans="12:28" x14ac:dyDescent="0.25">
      <c r="L258" s="2"/>
      <c r="U258" s="2"/>
      <c r="Z258" s="2"/>
      <c r="AA258" s="2"/>
      <c r="AB258" s="2"/>
    </row>
    <row r="259" spans="12:28" x14ac:dyDescent="0.25">
      <c r="L259" s="2"/>
      <c r="U259" s="2"/>
      <c r="Z259" s="2"/>
      <c r="AA259" s="2"/>
      <c r="AB259" s="2"/>
    </row>
    <row r="260" spans="12:28" x14ac:dyDescent="0.25">
      <c r="L260" s="2"/>
      <c r="U260" s="2"/>
      <c r="Z260" s="2"/>
      <c r="AA260" s="2"/>
      <c r="AB260" s="2"/>
    </row>
    <row r="261" spans="12:28" x14ac:dyDescent="0.25">
      <c r="L261" s="2"/>
      <c r="U261" s="2"/>
      <c r="Z261" s="2"/>
      <c r="AA261" s="2"/>
      <c r="AB261" s="2"/>
    </row>
    <row r="262" spans="12:28" x14ac:dyDescent="0.25">
      <c r="L262" s="2"/>
      <c r="U262" s="2"/>
      <c r="Z262" s="2"/>
      <c r="AA262" s="2"/>
      <c r="AB262" s="2"/>
    </row>
    <row r="263" spans="12:28" x14ac:dyDescent="0.25">
      <c r="L263" s="2"/>
      <c r="U263" s="2"/>
      <c r="Z263" s="2"/>
      <c r="AA263" s="2"/>
      <c r="AB263" s="2"/>
    </row>
    <row r="264" spans="12:28" x14ac:dyDescent="0.25">
      <c r="L264" s="2"/>
      <c r="U264" s="2"/>
      <c r="Z264" s="2"/>
      <c r="AA264" s="2"/>
      <c r="AB264" s="2"/>
    </row>
    <row r="265" spans="12:28" x14ac:dyDescent="0.25">
      <c r="L265" s="2"/>
      <c r="U265" s="2"/>
      <c r="Z265" s="2"/>
      <c r="AA265" s="2"/>
      <c r="AB265" s="2"/>
    </row>
    <row r="266" spans="12:28" x14ac:dyDescent="0.25">
      <c r="L266" s="2"/>
      <c r="U266" s="2"/>
      <c r="Z266" s="2"/>
      <c r="AA266" s="2"/>
      <c r="AB266" s="2"/>
    </row>
    <row r="267" spans="12:28" x14ac:dyDescent="0.25">
      <c r="L267" s="2"/>
      <c r="U267" s="2"/>
      <c r="Z267" s="2"/>
      <c r="AA267" s="2"/>
      <c r="AB267" s="2"/>
    </row>
    <row r="268" spans="12:28" x14ac:dyDescent="0.25">
      <c r="L268" s="2"/>
      <c r="U268" s="2"/>
      <c r="Z268" s="2"/>
      <c r="AA268" s="2"/>
      <c r="AB268" s="2"/>
    </row>
    <row r="269" spans="12:28" x14ac:dyDescent="0.25">
      <c r="L269" s="2"/>
      <c r="U269" s="2"/>
      <c r="Z269" s="2"/>
      <c r="AA269" s="2"/>
      <c r="AB269" s="2"/>
    </row>
    <row r="270" spans="12:28" x14ac:dyDescent="0.25">
      <c r="L270" s="2"/>
      <c r="U270" s="2"/>
      <c r="Z270" s="2"/>
      <c r="AA270" s="2"/>
      <c r="AB270" s="2"/>
    </row>
    <row r="271" spans="12:28" x14ac:dyDescent="0.25">
      <c r="L271" s="2"/>
      <c r="U271" s="2"/>
      <c r="Z271" s="2"/>
      <c r="AA271" s="2"/>
      <c r="AB271" s="2"/>
    </row>
    <row r="272" spans="12:28" x14ac:dyDescent="0.25">
      <c r="L272" s="2"/>
      <c r="U272" s="2"/>
      <c r="Z272" s="2"/>
      <c r="AA272" s="2"/>
      <c r="AB272" s="2"/>
    </row>
    <row r="273" spans="12:28" x14ac:dyDescent="0.25">
      <c r="L273" s="2"/>
      <c r="U273" s="2"/>
      <c r="Z273" s="2"/>
      <c r="AA273" s="2"/>
      <c r="AB273" s="2"/>
    </row>
    <row r="274" spans="12:28" x14ac:dyDescent="0.25">
      <c r="L274" s="2"/>
      <c r="U274" s="2"/>
      <c r="Z274" s="2"/>
      <c r="AA274" s="2"/>
      <c r="AB274" s="2"/>
    </row>
    <row r="275" spans="12:28" x14ac:dyDescent="0.25">
      <c r="L275" s="2"/>
      <c r="U275" s="2"/>
      <c r="Z275" s="2"/>
      <c r="AA275" s="2"/>
      <c r="AB275" s="2"/>
    </row>
    <row r="276" spans="12:28" x14ac:dyDescent="0.25">
      <c r="L276" s="2"/>
      <c r="U276" s="2"/>
      <c r="Z276" s="2"/>
      <c r="AA276" s="2"/>
      <c r="AB276" s="2"/>
    </row>
    <row r="277" spans="12:28" x14ac:dyDescent="0.25">
      <c r="L277" s="2"/>
      <c r="U277" s="2"/>
      <c r="Z277" s="2"/>
      <c r="AA277" s="2"/>
      <c r="AB277" s="2"/>
    </row>
    <row r="278" spans="12:28" x14ac:dyDescent="0.25">
      <c r="L278" s="2"/>
      <c r="U278" s="2"/>
      <c r="Z278" s="2"/>
      <c r="AA278" s="2"/>
      <c r="AB278" s="2"/>
    </row>
    <row r="279" spans="12:28" x14ac:dyDescent="0.25">
      <c r="L279" s="2"/>
      <c r="U279" s="2"/>
      <c r="Z279" s="2"/>
      <c r="AA279" s="2"/>
      <c r="AB279" s="2"/>
    </row>
    <row r="280" spans="12:28" x14ac:dyDescent="0.25">
      <c r="L280" s="2"/>
      <c r="U280" s="2"/>
      <c r="Z280" s="2"/>
      <c r="AA280" s="2"/>
      <c r="AB280" s="2"/>
    </row>
    <row r="281" spans="12:28" x14ac:dyDescent="0.25">
      <c r="L281" s="2"/>
      <c r="U281" s="2"/>
      <c r="Z281" s="2"/>
      <c r="AA281" s="2"/>
      <c r="AB281" s="2"/>
    </row>
    <row r="282" spans="12:28" x14ac:dyDescent="0.25">
      <c r="L282" s="2"/>
      <c r="U282" s="2"/>
      <c r="Z282" s="2"/>
      <c r="AA282" s="2"/>
      <c r="AB282" s="2"/>
    </row>
    <row r="283" spans="12:28" x14ac:dyDescent="0.25">
      <c r="L283" s="2"/>
      <c r="U283" s="2"/>
      <c r="Z283" s="2"/>
      <c r="AA283" s="2"/>
      <c r="AB283" s="2"/>
    </row>
    <row r="284" spans="12:28" x14ac:dyDescent="0.25">
      <c r="L284" s="2"/>
      <c r="U284" s="2"/>
      <c r="Z284" s="2"/>
      <c r="AA284" s="2"/>
      <c r="AB284" s="2"/>
    </row>
    <row r="285" spans="12:28" x14ac:dyDescent="0.25">
      <c r="L285" s="2"/>
      <c r="U285" s="2"/>
      <c r="Z285" s="2"/>
      <c r="AA285" s="2"/>
      <c r="AB285" s="2"/>
    </row>
    <row r="286" spans="12:28" x14ac:dyDescent="0.25">
      <c r="L286" s="2"/>
      <c r="U286" s="2"/>
      <c r="Z286" s="2"/>
      <c r="AA286" s="2"/>
      <c r="AB286" s="2"/>
    </row>
    <row r="287" spans="12:28" x14ac:dyDescent="0.25">
      <c r="L287" s="2"/>
      <c r="U287" s="2"/>
      <c r="Z287" s="2"/>
      <c r="AA287" s="2"/>
      <c r="AB287" s="2"/>
    </row>
    <row r="288" spans="12:28" x14ac:dyDescent="0.25">
      <c r="L288" s="2"/>
      <c r="U288" s="2"/>
      <c r="Z288" s="2"/>
      <c r="AA288" s="2"/>
      <c r="AB288" s="2"/>
    </row>
    <row r="289" spans="12:28" x14ac:dyDescent="0.25">
      <c r="L289" s="2"/>
      <c r="U289" s="2"/>
      <c r="Z289" s="2"/>
      <c r="AA289" s="2"/>
      <c r="AB289" s="2"/>
    </row>
    <row r="290" spans="12:28" x14ac:dyDescent="0.25">
      <c r="L290" s="2"/>
      <c r="U290" s="2"/>
      <c r="Z290" s="2"/>
      <c r="AA290" s="2"/>
      <c r="AB290" s="2"/>
    </row>
    <row r="291" spans="12:28" x14ac:dyDescent="0.25">
      <c r="L291" s="2"/>
      <c r="U291" s="2"/>
      <c r="Z291" s="2"/>
      <c r="AA291" s="2"/>
      <c r="AB291" s="2"/>
    </row>
    <row r="292" spans="12:28" x14ac:dyDescent="0.25">
      <c r="L292" s="2"/>
      <c r="U292" s="2"/>
      <c r="Z292" s="2"/>
      <c r="AA292" s="2"/>
      <c r="AB292" s="2"/>
    </row>
    <row r="293" spans="12:28" x14ac:dyDescent="0.25">
      <c r="L293" s="2"/>
      <c r="U293" s="2"/>
      <c r="Z293" s="2"/>
      <c r="AA293" s="2"/>
      <c r="AB293" s="2"/>
    </row>
    <row r="294" spans="12:28" x14ac:dyDescent="0.25">
      <c r="L294" s="2"/>
      <c r="U294" s="2"/>
      <c r="Z294" s="2"/>
      <c r="AA294" s="2"/>
      <c r="AB294" s="2"/>
    </row>
    <row r="295" spans="12:28" x14ac:dyDescent="0.25">
      <c r="L295" s="2"/>
      <c r="U295" s="2"/>
      <c r="Z295" s="2"/>
      <c r="AA295" s="2"/>
      <c r="AB295" s="2"/>
    </row>
    <row r="296" spans="12:28" x14ac:dyDescent="0.25">
      <c r="L296" s="2"/>
      <c r="U296" s="2"/>
      <c r="Z296" s="2"/>
      <c r="AA296" s="2"/>
      <c r="AB296" s="2"/>
    </row>
    <row r="297" spans="12:28" x14ac:dyDescent="0.25">
      <c r="L297" s="2"/>
      <c r="U297" s="2"/>
      <c r="Z297" s="2"/>
      <c r="AA297" s="2"/>
      <c r="AB297" s="2"/>
    </row>
    <row r="298" spans="12:28" x14ac:dyDescent="0.25">
      <c r="L298" s="2"/>
      <c r="U298" s="2"/>
      <c r="Z298" s="2"/>
      <c r="AA298" s="2"/>
      <c r="AB298" s="2"/>
    </row>
    <row r="299" spans="12:28" x14ac:dyDescent="0.25">
      <c r="L299" s="2"/>
      <c r="U299" s="2"/>
      <c r="Z299" s="2"/>
      <c r="AA299" s="2"/>
      <c r="AB299" s="2"/>
    </row>
    <row r="300" spans="12:28" x14ac:dyDescent="0.25">
      <c r="L300" s="2"/>
      <c r="U300" s="2"/>
      <c r="Z300" s="2"/>
      <c r="AA300" s="2"/>
      <c r="AB300" s="2"/>
    </row>
    <row r="301" spans="12:28" x14ac:dyDescent="0.25">
      <c r="L301" s="2"/>
      <c r="U301" s="2"/>
      <c r="Z301" s="2"/>
      <c r="AA301" s="2"/>
      <c r="AB301" s="2"/>
    </row>
    <row r="302" spans="12:28" x14ac:dyDescent="0.25">
      <c r="L302" s="2"/>
      <c r="U302" s="2"/>
      <c r="Z302" s="2"/>
      <c r="AA302" s="2"/>
      <c r="AB302" s="2"/>
    </row>
    <row r="303" spans="12:28" x14ac:dyDescent="0.25">
      <c r="L303" s="2"/>
      <c r="U303" s="2"/>
      <c r="Z303" s="2"/>
      <c r="AA303" s="2"/>
      <c r="AB303" s="2"/>
    </row>
    <row r="304" spans="12:28" x14ac:dyDescent="0.25">
      <c r="L304" s="2"/>
      <c r="U304" s="2"/>
      <c r="Z304" s="2"/>
      <c r="AA304" s="2"/>
      <c r="AB304" s="2"/>
    </row>
    <row r="305" spans="12:28" x14ac:dyDescent="0.25">
      <c r="L305" s="2"/>
      <c r="U305" s="2"/>
      <c r="Z305" s="2"/>
      <c r="AA305" s="2"/>
      <c r="AB305" s="2"/>
    </row>
    <row r="306" spans="12:28" x14ac:dyDescent="0.25">
      <c r="L306" s="2"/>
      <c r="U306" s="2"/>
      <c r="Z306" s="2"/>
      <c r="AA306" s="2"/>
      <c r="AB306" s="2"/>
    </row>
    <row r="307" spans="12:28" x14ac:dyDescent="0.25">
      <c r="L307" s="2"/>
      <c r="U307" s="2"/>
      <c r="Z307" s="2"/>
      <c r="AA307" s="2"/>
      <c r="AB307" s="2"/>
    </row>
    <row r="308" spans="12:28" x14ac:dyDescent="0.25">
      <c r="L308" s="2"/>
      <c r="U308" s="2"/>
      <c r="Z308" s="2"/>
      <c r="AA308" s="2"/>
      <c r="AB308" s="2"/>
    </row>
    <row r="309" spans="12:28" x14ac:dyDescent="0.25">
      <c r="L309" s="2"/>
      <c r="U309" s="2"/>
      <c r="Z309" s="2"/>
      <c r="AA309" s="2"/>
      <c r="AB309" s="2"/>
    </row>
    <row r="310" spans="12:28" x14ac:dyDescent="0.25">
      <c r="L310" s="2"/>
      <c r="U310" s="2"/>
      <c r="Z310" s="2"/>
      <c r="AA310" s="2"/>
      <c r="AB310" s="2"/>
    </row>
    <row r="311" spans="12:28" x14ac:dyDescent="0.25">
      <c r="L311" s="2"/>
      <c r="U311" s="2"/>
      <c r="Z311" s="2"/>
      <c r="AA311" s="2"/>
      <c r="AB311" s="2"/>
    </row>
    <row r="312" spans="12:28" x14ac:dyDescent="0.25">
      <c r="L312" s="2"/>
      <c r="U312" s="2"/>
      <c r="Z312" s="2"/>
      <c r="AA312" s="2"/>
      <c r="AB312" s="2"/>
    </row>
    <row r="313" spans="12:28" x14ac:dyDescent="0.25">
      <c r="L313" s="2"/>
      <c r="U313" s="2"/>
      <c r="Z313" s="2"/>
      <c r="AA313" s="2"/>
      <c r="AB313" s="2"/>
    </row>
    <row r="314" spans="12:28" x14ac:dyDescent="0.25">
      <c r="L314" s="2"/>
      <c r="U314" s="2"/>
      <c r="Z314" s="2"/>
      <c r="AA314" s="2"/>
      <c r="AB314" s="2"/>
    </row>
    <row r="315" spans="12:28" x14ac:dyDescent="0.25">
      <c r="L315" s="2"/>
      <c r="U315" s="2"/>
      <c r="Z315" s="2"/>
      <c r="AA315" s="2"/>
      <c r="AB315" s="2"/>
    </row>
    <row r="316" spans="12:28" x14ac:dyDescent="0.25">
      <c r="L316" s="2"/>
      <c r="U316" s="2"/>
      <c r="Z316" s="2"/>
      <c r="AA316" s="2"/>
      <c r="AB316" s="2"/>
    </row>
    <row r="317" spans="12:28" x14ac:dyDescent="0.25">
      <c r="L317" s="2"/>
      <c r="U317" s="2"/>
      <c r="Z317" s="2"/>
      <c r="AA317" s="2"/>
      <c r="AB317" s="2"/>
    </row>
    <row r="318" spans="12:28" x14ac:dyDescent="0.25">
      <c r="L318" s="2"/>
      <c r="U318" s="2"/>
      <c r="Z318" s="2"/>
      <c r="AA318" s="2"/>
      <c r="AB318" s="2"/>
    </row>
    <row r="319" spans="12:28" x14ac:dyDescent="0.25">
      <c r="L319" s="2"/>
      <c r="U319" s="2"/>
      <c r="Z319" s="2"/>
      <c r="AA319" s="2"/>
      <c r="AB319" s="2"/>
    </row>
    <row r="320" spans="12:28" x14ac:dyDescent="0.25">
      <c r="L320" s="2"/>
      <c r="U320" s="2"/>
      <c r="Z320" s="2"/>
      <c r="AA320" s="2"/>
      <c r="AB320" s="2"/>
    </row>
    <row r="321" spans="12:28" x14ac:dyDescent="0.25">
      <c r="L321" s="2"/>
      <c r="U321" s="2"/>
      <c r="Z321" s="2"/>
      <c r="AA321" s="2"/>
      <c r="AB321" s="2"/>
    </row>
    <row r="322" spans="12:28" x14ac:dyDescent="0.25">
      <c r="L322" s="2"/>
      <c r="U322" s="2"/>
      <c r="Z322" s="2"/>
      <c r="AA322" s="2"/>
      <c r="AB322" s="2"/>
    </row>
    <row r="323" spans="12:28" x14ac:dyDescent="0.25">
      <c r="L323" s="2"/>
      <c r="U323" s="2"/>
      <c r="Z323" s="2"/>
      <c r="AA323" s="2"/>
      <c r="AB323" s="2"/>
    </row>
    <row r="324" spans="12:28" x14ac:dyDescent="0.25">
      <c r="L324" s="2"/>
      <c r="U324" s="2"/>
      <c r="Z324" s="2"/>
      <c r="AA324" s="2"/>
      <c r="AB324" s="2"/>
    </row>
    <row r="325" spans="12:28" x14ac:dyDescent="0.25">
      <c r="L325" s="2"/>
      <c r="U325" s="2"/>
      <c r="Z325" s="2"/>
      <c r="AA325" s="2"/>
      <c r="AB325" s="2"/>
    </row>
    <row r="326" spans="12:28" x14ac:dyDescent="0.25">
      <c r="L326" s="2"/>
      <c r="U326" s="2"/>
      <c r="Z326" s="2"/>
      <c r="AA326" s="2"/>
      <c r="AB326" s="2"/>
    </row>
    <row r="327" spans="12:28" x14ac:dyDescent="0.25">
      <c r="L327" s="2"/>
      <c r="U327" s="2"/>
      <c r="Z327" s="2"/>
      <c r="AA327" s="2"/>
      <c r="AB327" s="2"/>
    </row>
    <row r="328" spans="12:28" x14ac:dyDescent="0.25">
      <c r="L328" s="2"/>
      <c r="U328" s="2"/>
      <c r="Z328" s="2"/>
      <c r="AA328" s="2"/>
      <c r="AB328" s="2"/>
    </row>
    <row r="329" spans="12:28" x14ac:dyDescent="0.25">
      <c r="L329" s="2"/>
      <c r="U329" s="2"/>
      <c r="Z329" s="2"/>
      <c r="AA329" s="2"/>
      <c r="AB329" s="2"/>
    </row>
    <row r="330" spans="12:28" x14ac:dyDescent="0.25">
      <c r="L330" s="2"/>
      <c r="U330" s="2"/>
      <c r="Z330" s="2"/>
      <c r="AA330" s="2"/>
      <c r="AB330" s="2"/>
    </row>
    <row r="331" spans="12:28" x14ac:dyDescent="0.25">
      <c r="L331" s="2"/>
      <c r="U331" s="2"/>
      <c r="Z331" s="2"/>
      <c r="AA331" s="2"/>
      <c r="AB331" s="2"/>
    </row>
    <row r="332" spans="12:28" x14ac:dyDescent="0.25">
      <c r="L332" s="2"/>
      <c r="U332" s="2"/>
      <c r="Z332" s="2"/>
      <c r="AA332" s="2"/>
      <c r="AB332" s="2"/>
    </row>
    <row r="333" spans="12:28" x14ac:dyDescent="0.25">
      <c r="L333" s="2"/>
      <c r="U333" s="2"/>
      <c r="Z333" s="2"/>
      <c r="AA333" s="2"/>
      <c r="AB333" s="2"/>
    </row>
    <row r="334" spans="12:28" x14ac:dyDescent="0.25">
      <c r="L334" s="2"/>
      <c r="U334" s="2"/>
      <c r="Z334" s="2"/>
      <c r="AA334" s="2"/>
      <c r="AB334" s="2"/>
    </row>
    <row r="335" spans="12:28" x14ac:dyDescent="0.25">
      <c r="L335" s="2"/>
      <c r="U335" s="2"/>
      <c r="Z335" s="2"/>
      <c r="AA335" s="2"/>
      <c r="AB335" s="2"/>
    </row>
    <row r="336" spans="12:28" x14ac:dyDescent="0.25">
      <c r="L336" s="2"/>
      <c r="U336" s="2"/>
      <c r="Z336" s="2"/>
      <c r="AA336" s="2"/>
      <c r="AB336" s="2"/>
    </row>
    <row r="337" spans="12:28" x14ac:dyDescent="0.25">
      <c r="L337" s="2"/>
      <c r="U337" s="2"/>
      <c r="Z337" s="2"/>
      <c r="AA337" s="2"/>
      <c r="AB337" s="2"/>
    </row>
    <row r="338" spans="12:28" x14ac:dyDescent="0.25">
      <c r="L338" s="2"/>
      <c r="U338" s="2"/>
      <c r="Z338" s="2"/>
      <c r="AA338" s="2"/>
      <c r="AB338" s="2"/>
    </row>
    <row r="339" spans="12:28" x14ac:dyDescent="0.25">
      <c r="L339" s="2"/>
      <c r="U339" s="2"/>
      <c r="Z339" s="2"/>
      <c r="AA339" s="2"/>
      <c r="AB339" s="2"/>
    </row>
    <row r="340" spans="12:28" x14ac:dyDescent="0.25">
      <c r="L340" s="2"/>
      <c r="U340" s="2"/>
      <c r="Z340" s="2"/>
      <c r="AA340" s="2"/>
      <c r="AB340" s="2"/>
    </row>
    <row r="341" spans="12:28" x14ac:dyDescent="0.25">
      <c r="L341" s="2"/>
      <c r="U341" s="2"/>
      <c r="Z341" s="2"/>
      <c r="AA341" s="2"/>
      <c r="AB341" s="2"/>
    </row>
    <row r="342" spans="12:28" x14ac:dyDescent="0.25">
      <c r="L342" s="2"/>
      <c r="U342" s="2"/>
      <c r="Z342" s="2"/>
      <c r="AA342" s="2"/>
      <c r="AB342" s="2"/>
    </row>
    <row r="343" spans="12:28" x14ac:dyDescent="0.25">
      <c r="L343" s="2"/>
      <c r="U343" s="2"/>
      <c r="Z343" s="2"/>
      <c r="AA343" s="2"/>
      <c r="AB343" s="2"/>
    </row>
    <row r="344" spans="12:28" x14ac:dyDescent="0.25">
      <c r="L344" s="2"/>
      <c r="U344" s="2"/>
      <c r="Z344" s="2"/>
      <c r="AA344" s="2"/>
      <c r="AB344" s="2"/>
    </row>
    <row r="345" spans="12:28" x14ac:dyDescent="0.25">
      <c r="L345" s="2"/>
      <c r="U345" s="2"/>
      <c r="Z345" s="2"/>
      <c r="AA345" s="2"/>
      <c r="AB345" s="2"/>
    </row>
    <row r="346" spans="12:28" x14ac:dyDescent="0.25">
      <c r="L346" s="2"/>
      <c r="U346" s="2"/>
      <c r="Z346" s="2"/>
      <c r="AA346" s="2"/>
      <c r="AB346" s="2"/>
    </row>
    <row r="347" spans="12:28" x14ac:dyDescent="0.25">
      <c r="L347" s="2"/>
      <c r="U347" s="2"/>
      <c r="Z347" s="2"/>
      <c r="AA347" s="2"/>
      <c r="AB347" s="2"/>
    </row>
    <row r="348" spans="12:28" x14ac:dyDescent="0.25">
      <c r="L348" s="2"/>
      <c r="U348" s="2"/>
      <c r="Z348" s="2"/>
      <c r="AA348" s="2"/>
      <c r="AB348" s="2"/>
    </row>
    <row r="349" spans="12:28" x14ac:dyDescent="0.25">
      <c r="L349" s="2"/>
      <c r="U349" s="2"/>
      <c r="Z349" s="2"/>
      <c r="AA349" s="2"/>
      <c r="AB349" s="2"/>
    </row>
    <row r="350" spans="12:28" x14ac:dyDescent="0.25">
      <c r="L350" s="2"/>
      <c r="U350" s="2"/>
      <c r="Z350" s="2"/>
      <c r="AA350" s="2"/>
      <c r="AB350" s="2"/>
    </row>
    <row r="351" spans="12:28" x14ac:dyDescent="0.25">
      <c r="L351" s="2"/>
      <c r="U351" s="2"/>
      <c r="Z351" s="2"/>
      <c r="AA351" s="2"/>
      <c r="AB351" s="2"/>
    </row>
    <row r="352" spans="12:28" x14ac:dyDescent="0.25">
      <c r="L352" s="2"/>
      <c r="U352" s="2"/>
      <c r="Z352" s="2"/>
      <c r="AA352" s="2"/>
      <c r="AB352" s="2"/>
    </row>
    <row r="353" spans="12:28" x14ac:dyDescent="0.25">
      <c r="L353" s="2"/>
      <c r="U353" s="2"/>
      <c r="Z353" s="2"/>
      <c r="AA353" s="2"/>
      <c r="AB353" s="2"/>
    </row>
    <row r="354" spans="12:28" x14ac:dyDescent="0.25">
      <c r="L354" s="2"/>
      <c r="U354" s="2"/>
      <c r="Z354" s="2"/>
      <c r="AA354" s="2"/>
      <c r="AB354" s="2"/>
    </row>
    <row r="355" spans="12:28" x14ac:dyDescent="0.25">
      <c r="L355" s="2"/>
      <c r="U355" s="2"/>
      <c r="Z355" s="2"/>
      <c r="AA355" s="2"/>
      <c r="AB355" s="2"/>
    </row>
    <row r="356" spans="12:28" x14ac:dyDescent="0.25">
      <c r="L356" s="2"/>
      <c r="U356" s="2"/>
      <c r="Z356" s="2"/>
      <c r="AA356" s="2"/>
      <c r="AB356" s="2"/>
    </row>
    <row r="357" spans="12:28" x14ac:dyDescent="0.25">
      <c r="L357" s="2"/>
      <c r="U357" s="2"/>
      <c r="Z357" s="2"/>
      <c r="AA357" s="2"/>
      <c r="AB357" s="2"/>
    </row>
    <row r="358" spans="12:28" x14ac:dyDescent="0.25">
      <c r="L358" s="2"/>
      <c r="U358" s="2"/>
      <c r="Z358" s="2"/>
      <c r="AA358" s="2"/>
      <c r="AB358" s="2"/>
    </row>
    <row r="359" spans="12:28" x14ac:dyDescent="0.25">
      <c r="L359" s="2"/>
      <c r="U359" s="2"/>
      <c r="Z359" s="2"/>
      <c r="AA359" s="2"/>
      <c r="AB359" s="2"/>
    </row>
    <row r="360" spans="12:28" x14ac:dyDescent="0.25">
      <c r="L360" s="2"/>
      <c r="U360" s="2"/>
      <c r="Z360" s="2"/>
      <c r="AA360" s="2"/>
      <c r="AB360" s="2"/>
    </row>
    <row r="361" spans="12:28" x14ac:dyDescent="0.25">
      <c r="L361" s="2"/>
      <c r="U361" s="2"/>
      <c r="Z361" s="2"/>
      <c r="AA361" s="2"/>
      <c r="AB361" s="2"/>
    </row>
    <row r="362" spans="12:28" x14ac:dyDescent="0.25">
      <c r="L362" s="2"/>
      <c r="U362" s="2"/>
      <c r="Z362" s="2"/>
      <c r="AA362" s="2"/>
      <c r="AB362" s="2"/>
    </row>
    <row r="363" spans="12:28" x14ac:dyDescent="0.25">
      <c r="L363" s="2"/>
      <c r="U363" s="2"/>
      <c r="Z363" s="2"/>
      <c r="AA363" s="2"/>
      <c r="AB363" s="2"/>
    </row>
    <row r="364" spans="12:28" x14ac:dyDescent="0.25">
      <c r="L364" s="2"/>
      <c r="U364" s="2"/>
      <c r="Z364" s="2"/>
      <c r="AA364" s="2"/>
      <c r="AB364" s="2"/>
    </row>
    <row r="365" spans="12:28" x14ac:dyDescent="0.25">
      <c r="L365" s="2"/>
      <c r="U365" s="2"/>
      <c r="Z365" s="2"/>
      <c r="AA365" s="2"/>
      <c r="AB365" s="2"/>
    </row>
    <row r="366" spans="12:28" x14ac:dyDescent="0.25">
      <c r="L366" s="2"/>
      <c r="U366" s="2"/>
      <c r="Z366" s="2"/>
      <c r="AA366" s="2"/>
      <c r="AB366" s="2"/>
    </row>
    <row r="367" spans="12:28" x14ac:dyDescent="0.25">
      <c r="L367" s="2"/>
      <c r="U367" s="2"/>
      <c r="Z367" s="2"/>
      <c r="AA367" s="2"/>
      <c r="AB367" s="2"/>
    </row>
    <row r="368" spans="12:28" x14ac:dyDescent="0.25">
      <c r="L368" s="2"/>
      <c r="U368" s="2"/>
      <c r="Z368" s="2"/>
      <c r="AA368" s="2"/>
      <c r="AB368" s="2"/>
    </row>
    <row r="369" spans="12:28" x14ac:dyDescent="0.25">
      <c r="L369" s="2"/>
      <c r="U369" s="2"/>
      <c r="Z369" s="2"/>
      <c r="AA369" s="2"/>
      <c r="AB369" s="2"/>
    </row>
    <row r="370" spans="12:28" x14ac:dyDescent="0.25">
      <c r="L370" s="2"/>
      <c r="U370" s="2"/>
      <c r="Z370" s="2"/>
      <c r="AA370" s="2"/>
      <c r="AB370" s="2"/>
    </row>
    <row r="371" spans="12:28" x14ac:dyDescent="0.25">
      <c r="L371" s="2"/>
      <c r="U371" s="2"/>
      <c r="Z371" s="2"/>
      <c r="AA371" s="2"/>
      <c r="AB371" s="2"/>
    </row>
    <row r="372" spans="12:28" x14ac:dyDescent="0.25">
      <c r="L372" s="2"/>
      <c r="U372" s="2"/>
      <c r="Z372" s="2"/>
      <c r="AA372" s="2"/>
      <c r="AB372" s="2"/>
    </row>
    <row r="373" spans="12:28" x14ac:dyDescent="0.25">
      <c r="L373" s="2"/>
      <c r="U373" s="2"/>
      <c r="Z373" s="2"/>
      <c r="AA373" s="2"/>
      <c r="AB373" s="2"/>
    </row>
    <row r="374" spans="12:28" x14ac:dyDescent="0.25">
      <c r="L374" s="2"/>
      <c r="U374" s="2"/>
      <c r="Z374" s="2"/>
      <c r="AA374" s="2"/>
      <c r="AB374" s="2"/>
    </row>
    <row r="375" spans="12:28" x14ac:dyDescent="0.25">
      <c r="L375" s="2"/>
      <c r="U375" s="2"/>
      <c r="Z375" s="2"/>
      <c r="AA375" s="2"/>
      <c r="AB375" s="2"/>
    </row>
    <row r="376" spans="12:28" x14ac:dyDescent="0.25">
      <c r="L376" s="2"/>
      <c r="U376" s="2"/>
      <c r="Z376" s="2"/>
      <c r="AA376" s="2"/>
      <c r="AB376" s="2"/>
    </row>
    <row r="377" spans="12:28" x14ac:dyDescent="0.25">
      <c r="L377" s="2"/>
      <c r="U377" s="2"/>
      <c r="Z377" s="2"/>
      <c r="AA377" s="2"/>
      <c r="AB377" s="2"/>
    </row>
    <row r="378" spans="12:28" x14ac:dyDescent="0.25">
      <c r="L378" s="2"/>
      <c r="U378" s="2"/>
      <c r="Z378" s="2"/>
      <c r="AA378" s="2"/>
      <c r="AB378" s="2"/>
    </row>
    <row r="379" spans="12:28" x14ac:dyDescent="0.25">
      <c r="L379" s="2"/>
      <c r="U379" s="2"/>
      <c r="Z379" s="2"/>
      <c r="AA379" s="2"/>
      <c r="AB379" s="2"/>
    </row>
    <row r="380" spans="12:28" x14ac:dyDescent="0.25">
      <c r="L380" s="2"/>
      <c r="U380" s="2"/>
      <c r="Z380" s="2"/>
      <c r="AA380" s="2"/>
      <c r="AB380" s="2"/>
    </row>
    <row r="381" spans="12:28" x14ac:dyDescent="0.25">
      <c r="L381" s="2"/>
      <c r="U381" s="2"/>
      <c r="Z381" s="2"/>
      <c r="AA381" s="2"/>
      <c r="AB381" s="2"/>
    </row>
    <row r="382" spans="12:28" x14ac:dyDescent="0.25">
      <c r="L382" s="2"/>
      <c r="U382" s="2"/>
      <c r="Z382" s="2"/>
      <c r="AA382" s="2"/>
      <c r="AB382" s="2"/>
    </row>
    <row r="383" spans="12:28" x14ac:dyDescent="0.25">
      <c r="L383" s="2"/>
      <c r="U383" s="2"/>
      <c r="Z383" s="2"/>
      <c r="AA383" s="2"/>
      <c r="AB383" s="2"/>
    </row>
    <row r="384" spans="12:28" x14ac:dyDescent="0.25">
      <c r="L384" s="2"/>
      <c r="U384" s="2"/>
      <c r="Z384" s="2"/>
      <c r="AA384" s="2"/>
      <c r="AB384" s="2"/>
    </row>
    <row r="385" spans="12:28" x14ac:dyDescent="0.25">
      <c r="L385" s="2"/>
      <c r="U385" s="2"/>
      <c r="Z385" s="2"/>
      <c r="AA385" s="2"/>
      <c r="AB385" s="2"/>
    </row>
    <row r="386" spans="12:28" x14ac:dyDescent="0.25">
      <c r="L386" s="2"/>
      <c r="U386" s="2"/>
      <c r="Z386" s="2"/>
      <c r="AA386" s="2"/>
      <c r="AB386" s="2"/>
    </row>
    <row r="387" spans="12:28" x14ac:dyDescent="0.25">
      <c r="L387" s="2"/>
      <c r="U387" s="2"/>
      <c r="Z387" s="2"/>
      <c r="AA387" s="2"/>
      <c r="AB387" s="2"/>
    </row>
    <row r="388" spans="12:28" x14ac:dyDescent="0.25">
      <c r="L388" s="2"/>
      <c r="U388" s="2"/>
      <c r="Z388" s="2"/>
      <c r="AA388" s="2"/>
      <c r="AB388" s="2"/>
    </row>
    <row r="389" spans="12:28" x14ac:dyDescent="0.25">
      <c r="L389" s="2"/>
      <c r="U389" s="2"/>
      <c r="Z389" s="2"/>
      <c r="AA389" s="2"/>
      <c r="AB389" s="2"/>
    </row>
    <row r="390" spans="12:28" x14ac:dyDescent="0.25">
      <c r="L390" s="2"/>
      <c r="U390" s="2"/>
      <c r="Z390" s="2"/>
      <c r="AA390" s="2"/>
      <c r="AB390" s="2"/>
    </row>
    <row r="391" spans="12:28" x14ac:dyDescent="0.25">
      <c r="L391" s="2"/>
      <c r="U391" s="2"/>
      <c r="Z391" s="2"/>
      <c r="AA391" s="2"/>
      <c r="AB391" s="2"/>
    </row>
    <row r="392" spans="12:28" x14ac:dyDescent="0.25">
      <c r="L392" s="2"/>
      <c r="U392" s="2"/>
      <c r="Z392" s="2"/>
      <c r="AA392" s="2"/>
      <c r="AB392" s="2"/>
    </row>
    <row r="393" spans="12:28" x14ac:dyDescent="0.25">
      <c r="L393" s="2"/>
      <c r="U393" s="2"/>
      <c r="Z393" s="2"/>
      <c r="AA393" s="2"/>
      <c r="AB393" s="2"/>
    </row>
    <row r="394" spans="12:28" x14ac:dyDescent="0.25">
      <c r="L394" s="2"/>
      <c r="U394" s="2"/>
      <c r="Z394" s="2"/>
      <c r="AA394" s="2"/>
      <c r="AB394" s="2"/>
    </row>
    <row r="395" spans="12:28" x14ac:dyDescent="0.25">
      <c r="L395" s="2"/>
      <c r="U395" s="2"/>
      <c r="Z395" s="2"/>
      <c r="AA395" s="2"/>
      <c r="AB395" s="2"/>
    </row>
    <row r="396" spans="12:28" x14ac:dyDescent="0.25">
      <c r="L396" s="2"/>
      <c r="U396" s="2"/>
      <c r="Z396" s="2"/>
      <c r="AA396" s="2"/>
      <c r="AB396" s="2"/>
    </row>
    <row r="397" spans="12:28" x14ac:dyDescent="0.25">
      <c r="L397" s="2"/>
      <c r="U397" s="2"/>
      <c r="Z397" s="2"/>
      <c r="AA397" s="2"/>
      <c r="AB397" s="2"/>
    </row>
    <row r="398" spans="12:28" x14ac:dyDescent="0.25">
      <c r="L398" s="2"/>
      <c r="U398" s="2"/>
      <c r="Z398" s="2"/>
      <c r="AA398" s="2"/>
      <c r="AB398" s="2"/>
    </row>
    <row r="399" spans="12:28" x14ac:dyDescent="0.25">
      <c r="L399" s="2"/>
      <c r="U399" s="2"/>
      <c r="Z399" s="2"/>
      <c r="AA399" s="2"/>
      <c r="AB399" s="2"/>
    </row>
    <row r="400" spans="12:28" x14ac:dyDescent="0.25">
      <c r="L400" s="2"/>
      <c r="U400" s="2"/>
      <c r="Z400" s="2"/>
      <c r="AA400" s="2"/>
      <c r="AB400" s="2"/>
    </row>
    <row r="401" spans="12:28" x14ac:dyDescent="0.25">
      <c r="L401" s="2"/>
      <c r="U401" s="2"/>
      <c r="Z401" s="2"/>
      <c r="AA401" s="2"/>
      <c r="AB401" s="2"/>
    </row>
    <row r="402" spans="12:28" x14ac:dyDescent="0.25">
      <c r="L402" s="2"/>
      <c r="U402" s="2"/>
      <c r="Z402" s="2"/>
      <c r="AA402" s="2"/>
      <c r="AB402" s="2"/>
    </row>
    <row r="403" spans="12:28" x14ac:dyDescent="0.25">
      <c r="L403" s="2"/>
      <c r="U403" s="2"/>
      <c r="Z403" s="2"/>
      <c r="AA403" s="2"/>
      <c r="AB403" s="2"/>
    </row>
    <row r="404" spans="12:28" x14ac:dyDescent="0.25">
      <c r="L404" s="2"/>
      <c r="U404" s="2"/>
      <c r="Z404" s="2"/>
      <c r="AA404" s="2"/>
      <c r="AB404" s="2"/>
    </row>
    <row r="405" spans="12:28" x14ac:dyDescent="0.25">
      <c r="L405" s="2"/>
      <c r="U405" s="2"/>
      <c r="Z405" s="2"/>
      <c r="AA405" s="2"/>
      <c r="AB405" s="2"/>
    </row>
    <row r="406" spans="12:28" x14ac:dyDescent="0.25">
      <c r="L406" s="2"/>
      <c r="U406" s="2"/>
      <c r="Z406" s="2"/>
      <c r="AA406" s="2"/>
      <c r="AB406" s="2"/>
    </row>
    <row r="407" spans="12:28" x14ac:dyDescent="0.25">
      <c r="L407" s="2"/>
      <c r="U407" s="2"/>
      <c r="Z407" s="2"/>
      <c r="AA407" s="2"/>
      <c r="AB407" s="2"/>
    </row>
    <row r="408" spans="12:28" x14ac:dyDescent="0.25">
      <c r="L408" s="2"/>
      <c r="U408" s="2"/>
      <c r="Z408" s="2"/>
      <c r="AA408" s="2"/>
      <c r="AB408" s="2"/>
    </row>
    <row r="409" spans="12:28" x14ac:dyDescent="0.25">
      <c r="L409" s="2"/>
      <c r="U409" s="2"/>
      <c r="Z409" s="2"/>
      <c r="AA409" s="2"/>
      <c r="AB409" s="2"/>
    </row>
    <row r="410" spans="12:28" x14ac:dyDescent="0.25">
      <c r="L410" s="2"/>
      <c r="U410" s="2"/>
      <c r="Z410" s="2"/>
      <c r="AA410" s="2"/>
      <c r="AB410" s="2"/>
    </row>
    <row r="411" spans="12:28" x14ac:dyDescent="0.25">
      <c r="L411" s="2"/>
      <c r="U411" s="2"/>
      <c r="Z411" s="2"/>
      <c r="AA411" s="2"/>
      <c r="AB411" s="2"/>
    </row>
    <row r="412" spans="12:28" x14ac:dyDescent="0.25">
      <c r="L412" s="2"/>
      <c r="U412" s="2"/>
      <c r="Z412" s="2"/>
      <c r="AA412" s="2"/>
      <c r="AB412" s="2"/>
    </row>
    <row r="413" spans="12:28" x14ac:dyDescent="0.25">
      <c r="L413" s="2"/>
      <c r="U413" s="2"/>
      <c r="Z413" s="2"/>
      <c r="AA413" s="2"/>
      <c r="AB413" s="2"/>
    </row>
    <row r="414" spans="12:28" x14ac:dyDescent="0.25">
      <c r="L414" s="2"/>
      <c r="U414" s="2"/>
      <c r="Z414" s="2"/>
      <c r="AA414" s="2"/>
      <c r="AB414" s="2"/>
    </row>
    <row r="415" spans="12:28" x14ac:dyDescent="0.25">
      <c r="L415" s="2"/>
      <c r="U415" s="2"/>
      <c r="Z415" s="2"/>
      <c r="AA415" s="2"/>
      <c r="AB415" s="2"/>
    </row>
    <row r="416" spans="12:28" x14ac:dyDescent="0.25">
      <c r="L416" s="2"/>
      <c r="U416" s="2"/>
      <c r="Z416" s="2"/>
      <c r="AA416" s="2"/>
      <c r="AB416" s="2"/>
    </row>
    <row r="417" spans="12:28" x14ac:dyDescent="0.25">
      <c r="L417" s="2"/>
      <c r="U417" s="2"/>
      <c r="Z417" s="2"/>
      <c r="AA417" s="2"/>
      <c r="AB417" s="2"/>
    </row>
    <row r="418" spans="12:28" x14ac:dyDescent="0.25">
      <c r="L418" s="2"/>
      <c r="U418" s="2"/>
      <c r="Z418" s="2"/>
      <c r="AA418" s="2"/>
      <c r="AB418" s="2"/>
    </row>
    <row r="419" spans="12:28" x14ac:dyDescent="0.25">
      <c r="L419" s="2"/>
      <c r="U419" s="2"/>
      <c r="Z419" s="2"/>
      <c r="AA419" s="2"/>
      <c r="AB419" s="2"/>
    </row>
    <row r="420" spans="12:28" x14ac:dyDescent="0.25">
      <c r="L420" s="2"/>
      <c r="U420" s="2"/>
      <c r="Z420" s="2"/>
      <c r="AA420" s="2"/>
      <c r="AB420" s="2"/>
    </row>
    <row r="421" spans="12:28" x14ac:dyDescent="0.25">
      <c r="L421" s="2"/>
      <c r="U421" s="2"/>
      <c r="Z421" s="2"/>
      <c r="AA421" s="2"/>
      <c r="AB421" s="2"/>
    </row>
    <row r="422" spans="12:28" x14ac:dyDescent="0.25">
      <c r="L422" s="2"/>
      <c r="U422" s="2"/>
      <c r="Z422" s="2"/>
      <c r="AA422" s="2"/>
      <c r="AB422" s="2"/>
    </row>
    <row r="423" spans="12:28" x14ac:dyDescent="0.25">
      <c r="L423" s="2"/>
      <c r="U423" s="2"/>
      <c r="Z423" s="2"/>
      <c r="AA423" s="2"/>
      <c r="AB423" s="2"/>
    </row>
    <row r="424" spans="12:28" x14ac:dyDescent="0.25">
      <c r="L424" s="2"/>
      <c r="U424" s="2"/>
      <c r="Z424" s="2"/>
      <c r="AA424" s="2"/>
      <c r="AB424" s="2"/>
    </row>
    <row r="425" spans="12:28" x14ac:dyDescent="0.25">
      <c r="L425" s="2"/>
      <c r="U425" s="2"/>
      <c r="Z425" s="2"/>
      <c r="AA425" s="2"/>
      <c r="AB425" s="2"/>
    </row>
    <row r="426" spans="12:28" x14ac:dyDescent="0.25">
      <c r="L426" s="2"/>
      <c r="U426" s="2"/>
      <c r="Z426" s="2"/>
      <c r="AA426" s="2"/>
      <c r="AB426" s="2"/>
    </row>
    <row r="427" spans="12:28" x14ac:dyDescent="0.25">
      <c r="L427" s="2"/>
      <c r="U427" s="2"/>
      <c r="Z427" s="2"/>
      <c r="AA427" s="2"/>
      <c r="AB427" s="2"/>
    </row>
    <row r="428" spans="12:28" x14ac:dyDescent="0.25">
      <c r="L428" s="2"/>
      <c r="U428" s="2"/>
      <c r="Z428" s="2"/>
      <c r="AA428" s="2"/>
      <c r="AB428" s="2"/>
    </row>
    <row r="429" spans="12:28" x14ac:dyDescent="0.25">
      <c r="L429" s="2"/>
      <c r="U429" s="2"/>
      <c r="Z429" s="2"/>
      <c r="AA429" s="2"/>
      <c r="AB429" s="2"/>
    </row>
    <row r="430" spans="12:28" x14ac:dyDescent="0.25">
      <c r="L430" s="2"/>
      <c r="U430" s="2"/>
      <c r="Z430" s="2"/>
      <c r="AA430" s="2"/>
      <c r="AB430" s="2"/>
    </row>
    <row r="431" spans="12:28" x14ac:dyDescent="0.25">
      <c r="L431" s="2"/>
      <c r="U431" s="2"/>
      <c r="Z431" s="2"/>
      <c r="AA431" s="2"/>
      <c r="AB431" s="2"/>
    </row>
    <row r="432" spans="12:28" x14ac:dyDescent="0.25">
      <c r="L432" s="2"/>
      <c r="U432" s="2"/>
      <c r="Z432" s="2"/>
      <c r="AA432" s="2"/>
      <c r="AB432" s="2"/>
    </row>
    <row r="433" spans="12:28" x14ac:dyDescent="0.25">
      <c r="L433" s="2"/>
      <c r="U433" s="2"/>
      <c r="Z433" s="2"/>
      <c r="AA433" s="2"/>
      <c r="AB433" s="2"/>
    </row>
    <row r="434" spans="12:28" x14ac:dyDescent="0.25">
      <c r="L434" s="2"/>
      <c r="U434" s="2"/>
      <c r="Z434" s="2"/>
      <c r="AA434" s="2"/>
      <c r="AB434" s="2"/>
    </row>
    <row r="435" spans="12:28" x14ac:dyDescent="0.25">
      <c r="L435" s="2"/>
      <c r="U435" s="2"/>
      <c r="Z435" s="2"/>
      <c r="AA435" s="2"/>
      <c r="AB435" s="2"/>
    </row>
    <row r="436" spans="12:28" x14ac:dyDescent="0.25">
      <c r="L436" s="2"/>
      <c r="U436" s="2"/>
      <c r="Z436" s="2"/>
      <c r="AA436" s="2"/>
      <c r="AB436" s="2"/>
    </row>
    <row r="437" spans="12:28" x14ac:dyDescent="0.25">
      <c r="L437" s="2"/>
      <c r="U437" s="2"/>
      <c r="Z437" s="2"/>
      <c r="AA437" s="2"/>
      <c r="AB437" s="2"/>
    </row>
    <row r="438" spans="12:28" x14ac:dyDescent="0.25">
      <c r="L438" s="2"/>
      <c r="U438" s="2"/>
      <c r="Z438" s="2"/>
      <c r="AA438" s="2"/>
      <c r="AB438" s="2"/>
    </row>
    <row r="439" spans="12:28" x14ac:dyDescent="0.25">
      <c r="L439" s="2"/>
      <c r="U439" s="2"/>
      <c r="Z439" s="2"/>
      <c r="AA439" s="2"/>
      <c r="AB439" s="2"/>
    </row>
    <row r="440" spans="12:28" x14ac:dyDescent="0.25">
      <c r="L440" s="2"/>
      <c r="U440" s="2"/>
      <c r="Z440" s="2"/>
      <c r="AA440" s="2"/>
      <c r="AB440" s="2"/>
    </row>
    <row r="441" spans="12:28" x14ac:dyDescent="0.25">
      <c r="L441" s="2"/>
      <c r="U441" s="2"/>
      <c r="Z441" s="2"/>
      <c r="AA441" s="2"/>
      <c r="AB441" s="2"/>
    </row>
    <row r="442" spans="12:28" x14ac:dyDescent="0.25">
      <c r="L442" s="2"/>
      <c r="U442" s="2"/>
      <c r="Z442" s="2"/>
      <c r="AA442" s="2"/>
      <c r="AB442" s="2"/>
    </row>
    <row r="443" spans="12:28" x14ac:dyDescent="0.25">
      <c r="L443" s="2"/>
      <c r="U443" s="2"/>
      <c r="Z443" s="2"/>
      <c r="AA443" s="2"/>
      <c r="AB443" s="2"/>
    </row>
    <row r="444" spans="12:28" x14ac:dyDescent="0.25">
      <c r="L444" s="2"/>
      <c r="U444" s="2"/>
      <c r="Z444" s="2"/>
      <c r="AA444" s="2"/>
      <c r="AB444" s="2"/>
    </row>
    <row r="445" spans="12:28" x14ac:dyDescent="0.25">
      <c r="L445" s="2"/>
      <c r="U445" s="2"/>
      <c r="Z445" s="2"/>
      <c r="AA445" s="2"/>
      <c r="AB445" s="2"/>
    </row>
    <row r="446" spans="12:28" x14ac:dyDescent="0.25">
      <c r="L446" s="2"/>
      <c r="U446" s="2"/>
      <c r="Z446" s="2"/>
      <c r="AA446" s="2"/>
      <c r="AB446" s="2"/>
    </row>
    <row r="447" spans="12:28" x14ac:dyDescent="0.25">
      <c r="L447" s="2"/>
      <c r="U447" s="2"/>
      <c r="Z447" s="2"/>
      <c r="AA447" s="2"/>
      <c r="AB447" s="2"/>
    </row>
    <row r="448" spans="12:28" x14ac:dyDescent="0.25">
      <c r="L448" s="2"/>
      <c r="U448" s="2"/>
      <c r="Z448" s="2"/>
      <c r="AA448" s="2"/>
      <c r="AB448" s="2"/>
    </row>
    <row r="449" spans="12:28" x14ac:dyDescent="0.25">
      <c r="L449" s="2"/>
      <c r="U449" s="2"/>
      <c r="Z449" s="2"/>
      <c r="AA449" s="2"/>
      <c r="AB449" s="2"/>
    </row>
    <row r="450" spans="12:28" x14ac:dyDescent="0.25">
      <c r="L450" s="2"/>
      <c r="U450" s="2"/>
      <c r="Z450" s="2"/>
      <c r="AA450" s="2"/>
      <c r="AB450" s="2"/>
    </row>
    <row r="451" spans="12:28" x14ac:dyDescent="0.25">
      <c r="L451" s="2"/>
      <c r="U451" s="2"/>
      <c r="Z451" s="2"/>
      <c r="AA451" s="2"/>
      <c r="AB451" s="2"/>
    </row>
    <row r="452" spans="12:28" x14ac:dyDescent="0.25">
      <c r="L452" s="2"/>
      <c r="U452" s="2"/>
      <c r="Z452" s="2"/>
      <c r="AA452" s="2"/>
      <c r="AB452" s="2"/>
    </row>
    <row r="453" spans="12:28" x14ac:dyDescent="0.25">
      <c r="L453" s="2"/>
      <c r="U453" s="2"/>
      <c r="Z453" s="2"/>
      <c r="AA453" s="2"/>
      <c r="AB453" s="2"/>
    </row>
    <row r="454" spans="12:28" x14ac:dyDescent="0.25">
      <c r="L454" s="2"/>
      <c r="U454" s="2"/>
      <c r="Z454" s="2"/>
      <c r="AA454" s="2"/>
      <c r="AB454" s="2"/>
    </row>
    <row r="455" spans="12:28" x14ac:dyDescent="0.25">
      <c r="L455" s="2"/>
      <c r="U455" s="2"/>
      <c r="Z455" s="2"/>
      <c r="AA455" s="2"/>
      <c r="AB455" s="2"/>
    </row>
    <row r="456" spans="12:28" x14ac:dyDescent="0.25">
      <c r="L456" s="2"/>
      <c r="U456" s="2"/>
      <c r="Z456" s="2"/>
      <c r="AA456" s="2"/>
      <c r="AB456" s="2"/>
    </row>
    <row r="457" spans="12:28" x14ac:dyDescent="0.25">
      <c r="L457" s="2"/>
      <c r="U457" s="2"/>
      <c r="Z457" s="2"/>
      <c r="AA457" s="2"/>
      <c r="AB457" s="2"/>
    </row>
    <row r="458" spans="12:28" x14ac:dyDescent="0.25">
      <c r="L458" s="2"/>
      <c r="U458" s="2"/>
      <c r="Z458" s="2"/>
      <c r="AA458" s="2"/>
      <c r="AB458" s="2"/>
    </row>
    <row r="459" spans="12:28" x14ac:dyDescent="0.25">
      <c r="L459" s="2"/>
      <c r="U459" s="2"/>
      <c r="Z459" s="2"/>
      <c r="AA459" s="2"/>
      <c r="AB459" s="2"/>
    </row>
    <row r="460" spans="12:28" x14ac:dyDescent="0.25">
      <c r="L460" s="2"/>
      <c r="U460" s="2"/>
      <c r="Z460" s="2"/>
      <c r="AA460" s="2"/>
      <c r="AB460" s="2"/>
    </row>
    <row r="461" spans="12:28" x14ac:dyDescent="0.25">
      <c r="L461" s="2"/>
      <c r="U461" s="2"/>
      <c r="Z461" s="2"/>
      <c r="AA461" s="2"/>
      <c r="AB461" s="2"/>
    </row>
    <row r="462" spans="12:28" x14ac:dyDescent="0.25">
      <c r="L462" s="2"/>
      <c r="U462" s="2"/>
      <c r="Z462" s="2"/>
      <c r="AA462" s="2"/>
      <c r="AB462" s="2"/>
    </row>
    <row r="463" spans="12:28" x14ac:dyDescent="0.25">
      <c r="L463" s="2"/>
      <c r="U463" s="2"/>
      <c r="Z463" s="2"/>
      <c r="AA463" s="2"/>
      <c r="AB463" s="2"/>
    </row>
    <row r="464" spans="12:28" x14ac:dyDescent="0.25">
      <c r="L464" s="2"/>
      <c r="U464" s="2"/>
      <c r="Z464" s="2"/>
      <c r="AA464" s="2"/>
      <c r="AB464" s="2"/>
    </row>
    <row r="465" spans="12:28" x14ac:dyDescent="0.25">
      <c r="L465" s="2"/>
      <c r="U465" s="2"/>
      <c r="Z465" s="2"/>
      <c r="AA465" s="2"/>
      <c r="AB465" s="2"/>
    </row>
    <row r="466" spans="12:28" x14ac:dyDescent="0.25">
      <c r="L466" s="2"/>
      <c r="U466" s="2"/>
      <c r="Z466" s="2"/>
      <c r="AA466" s="2"/>
      <c r="AB466" s="2"/>
    </row>
    <row r="467" spans="12:28" x14ac:dyDescent="0.25">
      <c r="L467" s="2"/>
      <c r="U467" s="2"/>
      <c r="Z467" s="2"/>
      <c r="AA467" s="2"/>
      <c r="AB467" s="2"/>
    </row>
    <row r="468" spans="12:28" x14ac:dyDescent="0.25">
      <c r="L468" s="2"/>
      <c r="U468" s="2"/>
      <c r="Z468" s="2"/>
      <c r="AA468" s="2"/>
      <c r="AB468" s="2"/>
    </row>
    <row r="469" spans="12:28" x14ac:dyDescent="0.25">
      <c r="L469" s="2"/>
      <c r="U469" s="2"/>
      <c r="Z469" s="2"/>
      <c r="AA469" s="2"/>
      <c r="AB469" s="2"/>
    </row>
    <row r="470" spans="12:28" x14ac:dyDescent="0.25">
      <c r="L470" s="2"/>
      <c r="U470" s="2"/>
      <c r="Z470" s="2"/>
      <c r="AA470" s="2"/>
      <c r="AB470" s="2"/>
    </row>
    <row r="471" spans="12:28" x14ac:dyDescent="0.25">
      <c r="L471" s="2"/>
      <c r="U471" s="2"/>
      <c r="Z471" s="2"/>
      <c r="AA471" s="2"/>
      <c r="AB471" s="2"/>
    </row>
    <row r="472" spans="12:28" x14ac:dyDescent="0.25">
      <c r="L472" s="2"/>
      <c r="U472" s="2"/>
      <c r="Z472" s="2"/>
      <c r="AA472" s="2"/>
      <c r="AB472" s="2"/>
    </row>
    <row r="473" spans="12:28" x14ac:dyDescent="0.25">
      <c r="L473" s="2"/>
      <c r="U473" s="2"/>
      <c r="Z473" s="2"/>
      <c r="AA473" s="2"/>
      <c r="AB473" s="2"/>
    </row>
    <row r="474" spans="12:28" x14ac:dyDescent="0.25">
      <c r="L474" s="2"/>
      <c r="U474" s="2"/>
      <c r="Z474" s="2"/>
      <c r="AA474" s="2"/>
      <c r="AB474" s="2"/>
    </row>
    <row r="475" spans="12:28" x14ac:dyDescent="0.25">
      <c r="L475" s="2"/>
      <c r="U475" s="2"/>
      <c r="Z475" s="2"/>
      <c r="AA475" s="2"/>
      <c r="AB475" s="2"/>
    </row>
    <row r="476" spans="12:28" x14ac:dyDescent="0.25">
      <c r="L476" s="2"/>
      <c r="U476" s="2"/>
      <c r="Z476" s="2"/>
      <c r="AA476" s="2"/>
      <c r="AB476" s="2"/>
    </row>
    <row r="477" spans="12:28" x14ac:dyDescent="0.25">
      <c r="L477" s="2"/>
      <c r="U477" s="2"/>
      <c r="Z477" s="2"/>
      <c r="AA477" s="2"/>
      <c r="AB477" s="2"/>
    </row>
    <row r="478" spans="12:28" x14ac:dyDescent="0.25">
      <c r="L478" s="2"/>
      <c r="U478" s="2"/>
      <c r="Z478" s="2"/>
      <c r="AA478" s="2"/>
      <c r="AB478" s="2"/>
    </row>
    <row r="479" spans="12:28" x14ac:dyDescent="0.25">
      <c r="L479" s="2"/>
      <c r="U479" s="2"/>
      <c r="Z479" s="2"/>
      <c r="AA479" s="2"/>
      <c r="AB479" s="2"/>
    </row>
    <row r="480" spans="12:28" x14ac:dyDescent="0.25">
      <c r="L480" s="2"/>
      <c r="U480" s="2"/>
      <c r="Z480" s="2"/>
      <c r="AA480" s="2"/>
      <c r="AB480" s="2"/>
    </row>
    <row r="481" spans="12:28" x14ac:dyDescent="0.25">
      <c r="L481" s="2"/>
      <c r="U481" s="2"/>
      <c r="Z481" s="2"/>
      <c r="AA481" s="2"/>
      <c r="AB481" s="2"/>
    </row>
    <row r="482" spans="12:28" x14ac:dyDescent="0.25">
      <c r="L482" s="2"/>
      <c r="U482" s="2"/>
      <c r="Z482" s="2"/>
      <c r="AA482" s="2"/>
      <c r="AB482" s="2"/>
    </row>
    <row r="483" spans="12:28" x14ac:dyDescent="0.25">
      <c r="L483" s="2"/>
      <c r="U483" s="2"/>
      <c r="Z483" s="2"/>
      <c r="AA483" s="2"/>
      <c r="AB483" s="2"/>
    </row>
    <row r="484" spans="12:28" x14ac:dyDescent="0.25">
      <c r="L484" s="2"/>
      <c r="U484" s="2"/>
      <c r="Z484" s="2"/>
      <c r="AA484" s="2"/>
      <c r="AB484" s="2"/>
    </row>
    <row r="485" spans="12:28" x14ac:dyDescent="0.25">
      <c r="L485" s="2"/>
      <c r="U485" s="2"/>
      <c r="Z485" s="2"/>
      <c r="AA485" s="2"/>
      <c r="AB485" s="2"/>
    </row>
    <row r="486" spans="12:28" x14ac:dyDescent="0.25">
      <c r="L486" s="2"/>
      <c r="U486" s="2"/>
      <c r="Z486" s="2"/>
      <c r="AA486" s="2"/>
      <c r="AB486" s="2"/>
    </row>
    <row r="487" spans="12:28" x14ac:dyDescent="0.25">
      <c r="L487" s="2"/>
      <c r="U487" s="2"/>
      <c r="Z487" s="2"/>
      <c r="AA487" s="2"/>
      <c r="AB487" s="2"/>
    </row>
    <row r="488" spans="12:28" x14ac:dyDescent="0.25">
      <c r="L488" s="2"/>
      <c r="U488" s="2"/>
      <c r="Z488" s="2"/>
      <c r="AA488" s="2"/>
      <c r="AB488" s="2"/>
    </row>
    <row r="489" spans="12:28" x14ac:dyDescent="0.25">
      <c r="L489" s="2"/>
      <c r="U489" s="2"/>
      <c r="Z489" s="2"/>
      <c r="AA489" s="2"/>
      <c r="AB489" s="2"/>
    </row>
    <row r="490" spans="12:28" x14ac:dyDescent="0.25">
      <c r="L490" s="2"/>
      <c r="U490" s="2"/>
      <c r="Z490" s="2"/>
      <c r="AA490" s="2"/>
      <c r="AB490" s="2"/>
    </row>
    <row r="491" spans="12:28" x14ac:dyDescent="0.25">
      <c r="L491" s="2"/>
      <c r="U491" s="2"/>
      <c r="Z491" s="2"/>
      <c r="AA491" s="2"/>
      <c r="AB491" s="2"/>
    </row>
    <row r="492" spans="12:28" x14ac:dyDescent="0.25">
      <c r="L492" s="2"/>
      <c r="U492" s="2"/>
      <c r="Z492" s="2"/>
      <c r="AA492" s="2"/>
      <c r="AB492" s="2"/>
    </row>
    <row r="493" spans="12:28" x14ac:dyDescent="0.25">
      <c r="L493" s="2"/>
      <c r="U493" s="2"/>
      <c r="Z493" s="2"/>
      <c r="AA493" s="2"/>
      <c r="AB493" s="2"/>
    </row>
    <row r="494" spans="12:28" x14ac:dyDescent="0.25">
      <c r="L494" s="2"/>
      <c r="U494" s="2"/>
      <c r="Z494" s="2"/>
      <c r="AA494" s="2"/>
      <c r="AB494" s="2"/>
    </row>
    <row r="495" spans="12:28" x14ac:dyDescent="0.25">
      <c r="L495" s="2"/>
      <c r="U495" s="2"/>
      <c r="Z495" s="2"/>
      <c r="AA495" s="2"/>
      <c r="AB495" s="2"/>
    </row>
    <row r="496" spans="12:28" x14ac:dyDescent="0.25">
      <c r="L496" s="2"/>
      <c r="U496" s="2"/>
      <c r="Z496" s="2"/>
      <c r="AA496" s="2"/>
      <c r="AB496" s="2"/>
    </row>
    <row r="497" spans="12:28" x14ac:dyDescent="0.25">
      <c r="L497" s="2"/>
      <c r="U497" s="2"/>
      <c r="Z497" s="2"/>
      <c r="AA497" s="2"/>
      <c r="AB497" s="2"/>
    </row>
    <row r="498" spans="12:28" x14ac:dyDescent="0.25">
      <c r="L498" s="2"/>
      <c r="U498" s="2"/>
      <c r="Z498" s="2"/>
      <c r="AA498" s="2"/>
      <c r="AB498" s="2"/>
    </row>
    <row r="499" spans="12:28" x14ac:dyDescent="0.25">
      <c r="L499" s="2"/>
      <c r="U499" s="2"/>
      <c r="Z499" s="2"/>
      <c r="AA499" s="2"/>
      <c r="AB499" s="2"/>
    </row>
    <row r="500" spans="12:28" x14ac:dyDescent="0.25">
      <c r="L500" s="2"/>
      <c r="U500" s="2"/>
      <c r="Z500" s="2"/>
      <c r="AA500" s="2"/>
      <c r="AB500" s="2"/>
    </row>
    <row r="501" spans="12:28" x14ac:dyDescent="0.25">
      <c r="L501" s="2"/>
      <c r="U501" s="2"/>
      <c r="Z501" s="2"/>
      <c r="AA501" s="2"/>
      <c r="AB501" s="2"/>
    </row>
    <row r="502" spans="12:28" x14ac:dyDescent="0.25">
      <c r="L502" s="2"/>
      <c r="U502" s="2"/>
      <c r="Z502" s="2"/>
      <c r="AA502" s="2"/>
      <c r="AB502" s="2"/>
    </row>
    <row r="503" spans="12:28" x14ac:dyDescent="0.25">
      <c r="L503" s="2"/>
      <c r="U503" s="2"/>
      <c r="Z503" s="2"/>
      <c r="AA503" s="2"/>
      <c r="AB503" s="2"/>
    </row>
    <row r="504" spans="12:28" x14ac:dyDescent="0.25">
      <c r="L504" s="2"/>
      <c r="U504" s="2"/>
      <c r="Z504" s="2"/>
      <c r="AA504" s="2"/>
      <c r="AB504" s="2"/>
    </row>
    <row r="505" spans="12:28" x14ac:dyDescent="0.25">
      <c r="L505" s="2"/>
      <c r="U505" s="2"/>
      <c r="Z505" s="2"/>
      <c r="AA505" s="2"/>
      <c r="AB505" s="2"/>
    </row>
    <row r="506" spans="12:28" x14ac:dyDescent="0.25">
      <c r="L506" s="2"/>
      <c r="U506" s="2"/>
      <c r="Z506" s="2"/>
      <c r="AA506" s="2"/>
      <c r="AB506" s="2"/>
    </row>
    <row r="507" spans="12:28" x14ac:dyDescent="0.25">
      <c r="L507" s="2"/>
      <c r="U507" s="2"/>
      <c r="Z507" s="2"/>
      <c r="AA507" s="2"/>
      <c r="AB507" s="2"/>
    </row>
    <row r="508" spans="12:28" x14ac:dyDescent="0.25">
      <c r="L508" s="2"/>
      <c r="U508" s="2"/>
      <c r="Z508" s="2"/>
      <c r="AA508" s="2"/>
      <c r="AB508" s="2"/>
    </row>
    <row r="509" spans="12:28" x14ac:dyDescent="0.25">
      <c r="L509" s="2"/>
      <c r="U509" s="2"/>
      <c r="Z509" s="2"/>
      <c r="AA509" s="2"/>
      <c r="AB509" s="2"/>
    </row>
    <row r="510" spans="12:28" x14ac:dyDescent="0.25">
      <c r="L510" s="2"/>
      <c r="U510" s="2"/>
      <c r="Z510" s="2"/>
      <c r="AA510" s="2"/>
      <c r="AB510" s="2"/>
    </row>
    <row r="511" spans="12:28" x14ac:dyDescent="0.25">
      <c r="L511" s="2"/>
      <c r="U511" s="2"/>
      <c r="Z511" s="2"/>
      <c r="AA511" s="2"/>
      <c r="AB511" s="2"/>
    </row>
    <row r="512" spans="12:28" x14ac:dyDescent="0.25">
      <c r="L512" s="2"/>
      <c r="U512" s="2"/>
      <c r="Z512" s="2"/>
      <c r="AA512" s="2"/>
      <c r="AB512" s="2"/>
    </row>
    <row r="513" spans="12:28" x14ac:dyDescent="0.25">
      <c r="L513" s="2"/>
      <c r="U513" s="2"/>
      <c r="Z513" s="2"/>
      <c r="AA513" s="2"/>
      <c r="AB513" s="2"/>
    </row>
    <row r="514" spans="12:28" x14ac:dyDescent="0.25">
      <c r="L514" s="2"/>
      <c r="U514" s="2"/>
      <c r="Z514" s="2"/>
      <c r="AA514" s="2"/>
      <c r="AB514" s="2"/>
    </row>
    <row r="515" spans="12:28" x14ac:dyDescent="0.25">
      <c r="L515" s="2"/>
      <c r="U515" s="2"/>
      <c r="Z515" s="2"/>
      <c r="AA515" s="2"/>
      <c r="AB515" s="2"/>
    </row>
    <row r="516" spans="12:28" x14ac:dyDescent="0.25">
      <c r="L516" s="2"/>
      <c r="U516" s="2"/>
      <c r="Z516" s="2"/>
      <c r="AA516" s="2"/>
      <c r="AB516" s="2"/>
    </row>
    <row r="517" spans="12:28" x14ac:dyDescent="0.25">
      <c r="L517" s="2"/>
      <c r="U517" s="2"/>
      <c r="Z517" s="2"/>
      <c r="AA517" s="2"/>
      <c r="AB517" s="2"/>
    </row>
    <row r="518" spans="12:28" x14ac:dyDescent="0.25">
      <c r="L518" s="2"/>
      <c r="U518" s="2"/>
      <c r="Z518" s="2"/>
      <c r="AA518" s="2"/>
      <c r="AB518" s="2"/>
    </row>
    <row r="519" spans="12:28" x14ac:dyDescent="0.25">
      <c r="L519" s="2"/>
      <c r="U519" s="2"/>
      <c r="Z519" s="2"/>
      <c r="AA519" s="2"/>
      <c r="AB519" s="2"/>
    </row>
    <row r="520" spans="12:28" x14ac:dyDescent="0.25">
      <c r="L520" s="2"/>
      <c r="U520" s="2"/>
      <c r="Z520" s="2"/>
      <c r="AA520" s="2"/>
      <c r="AB520" s="2"/>
    </row>
    <row r="521" spans="12:28" x14ac:dyDescent="0.25">
      <c r="L521" s="2"/>
      <c r="U521" s="2"/>
      <c r="Z521" s="2"/>
      <c r="AA521" s="2"/>
      <c r="AB521" s="2"/>
    </row>
    <row r="522" spans="12:28" x14ac:dyDescent="0.25">
      <c r="L522" s="2"/>
      <c r="U522" s="2"/>
      <c r="Z522" s="2"/>
      <c r="AA522" s="2"/>
      <c r="AB522" s="2"/>
    </row>
    <row r="523" spans="12:28" x14ac:dyDescent="0.25">
      <c r="L523" s="2"/>
      <c r="U523" s="2"/>
      <c r="Z523" s="2"/>
      <c r="AA523" s="2"/>
      <c r="AB523" s="2"/>
    </row>
    <row r="524" spans="12:28" x14ac:dyDescent="0.25">
      <c r="L524" s="2"/>
      <c r="U524" s="2"/>
      <c r="Z524" s="2"/>
      <c r="AA524" s="2"/>
      <c r="AB524" s="2"/>
    </row>
    <row r="525" spans="12:28" x14ac:dyDescent="0.25">
      <c r="L525" s="2"/>
      <c r="U525" s="2"/>
      <c r="Z525" s="2"/>
      <c r="AA525" s="2"/>
      <c r="AB525" s="2"/>
    </row>
    <row r="526" spans="12:28" x14ac:dyDescent="0.25">
      <c r="L526" s="2"/>
      <c r="U526" s="2"/>
      <c r="Z526" s="2"/>
      <c r="AA526" s="2"/>
      <c r="AB526" s="2"/>
    </row>
    <row r="527" spans="12:28" x14ac:dyDescent="0.25">
      <c r="L527" s="2"/>
      <c r="U527" s="2"/>
      <c r="Z527" s="2"/>
      <c r="AA527" s="2"/>
      <c r="AB527" s="2"/>
    </row>
    <row r="528" spans="12:28" x14ac:dyDescent="0.25">
      <c r="L528" s="2"/>
      <c r="U528" s="2"/>
      <c r="Z528" s="2"/>
      <c r="AA528" s="2"/>
      <c r="AB528" s="2"/>
    </row>
    <row r="529" spans="12:28" x14ac:dyDescent="0.25">
      <c r="L529" s="2"/>
      <c r="U529" s="2"/>
      <c r="Z529" s="2"/>
      <c r="AA529" s="2"/>
      <c r="AB529" s="2"/>
    </row>
    <row r="530" spans="12:28" x14ac:dyDescent="0.25">
      <c r="L530" s="2"/>
      <c r="U530" s="2"/>
      <c r="Z530" s="2"/>
      <c r="AA530" s="2"/>
      <c r="AB530" s="2"/>
    </row>
    <row r="531" spans="12:28" x14ac:dyDescent="0.25">
      <c r="L531" s="2"/>
      <c r="U531" s="2"/>
      <c r="Z531" s="2"/>
      <c r="AA531" s="2"/>
      <c r="AB531" s="2"/>
    </row>
    <row r="532" spans="12:28" x14ac:dyDescent="0.25">
      <c r="L532" s="2"/>
      <c r="U532" s="2"/>
      <c r="Z532" s="2"/>
      <c r="AA532" s="2"/>
      <c r="AB532" s="2"/>
    </row>
    <row r="533" spans="12:28" x14ac:dyDescent="0.25">
      <c r="L533" s="2"/>
      <c r="U533" s="2"/>
      <c r="Z533" s="2"/>
      <c r="AA533" s="2"/>
      <c r="AB533" s="2"/>
    </row>
    <row r="534" spans="12:28" x14ac:dyDescent="0.25">
      <c r="L534" s="2"/>
      <c r="U534" s="2"/>
      <c r="Z534" s="2"/>
      <c r="AA534" s="2"/>
      <c r="AB534" s="2"/>
    </row>
    <row r="535" spans="12:28" x14ac:dyDescent="0.25">
      <c r="L535" s="2"/>
      <c r="U535" s="2"/>
      <c r="Z535" s="2"/>
      <c r="AA535" s="2"/>
      <c r="AB535" s="2"/>
    </row>
    <row r="536" spans="12:28" x14ac:dyDescent="0.25">
      <c r="L536" s="2"/>
      <c r="U536" s="2"/>
      <c r="Z536" s="2"/>
      <c r="AA536" s="2"/>
      <c r="AB536" s="2"/>
    </row>
    <row r="537" spans="12:28" x14ac:dyDescent="0.25">
      <c r="L537" s="2"/>
      <c r="U537" s="2"/>
      <c r="Z537" s="2"/>
      <c r="AA537" s="2"/>
      <c r="AB537" s="2"/>
    </row>
    <row r="538" spans="12:28" x14ac:dyDescent="0.25">
      <c r="L538" s="2"/>
      <c r="U538" s="2"/>
      <c r="Z538" s="2"/>
      <c r="AA538" s="2"/>
      <c r="AB538" s="2"/>
    </row>
    <row r="539" spans="12:28" x14ac:dyDescent="0.25">
      <c r="L539" s="2"/>
      <c r="U539" s="2"/>
      <c r="Z539" s="2"/>
      <c r="AA539" s="2"/>
      <c r="AB539" s="2"/>
    </row>
    <row r="540" spans="12:28" x14ac:dyDescent="0.25">
      <c r="L540" s="2"/>
      <c r="U540" s="2"/>
      <c r="Z540" s="2"/>
      <c r="AA540" s="2"/>
      <c r="AB540" s="2"/>
    </row>
    <row r="541" spans="12:28" x14ac:dyDescent="0.25">
      <c r="L541" s="2"/>
      <c r="U541" s="2"/>
      <c r="Z541" s="2"/>
      <c r="AA541" s="2"/>
      <c r="AB541" s="2"/>
    </row>
    <row r="542" spans="12:28" x14ac:dyDescent="0.25">
      <c r="L542" s="2"/>
      <c r="U542" s="2"/>
      <c r="Z542" s="2"/>
      <c r="AA542" s="2"/>
      <c r="AB542" s="2"/>
    </row>
    <row r="543" spans="12:28" x14ac:dyDescent="0.25">
      <c r="L543" s="2"/>
      <c r="U543" s="2"/>
      <c r="Z543" s="2"/>
      <c r="AA543" s="2"/>
      <c r="AB543" s="2"/>
    </row>
    <row r="544" spans="12:28" x14ac:dyDescent="0.25">
      <c r="L544" s="2"/>
      <c r="U544" s="2"/>
      <c r="Z544" s="2"/>
      <c r="AA544" s="2"/>
      <c r="AB544" s="2"/>
    </row>
    <row r="545" spans="12:28" x14ac:dyDescent="0.25">
      <c r="L545" s="2"/>
      <c r="U545" s="2"/>
      <c r="Z545" s="2"/>
      <c r="AA545" s="2"/>
      <c r="AB545" s="2"/>
    </row>
    <row r="546" spans="12:28" x14ac:dyDescent="0.25">
      <c r="L546" s="2"/>
      <c r="U546" s="2"/>
      <c r="Z546" s="2"/>
      <c r="AA546" s="2"/>
      <c r="AB546" s="2"/>
    </row>
    <row r="547" spans="12:28" x14ac:dyDescent="0.25">
      <c r="L547" s="2"/>
      <c r="U547" s="2"/>
      <c r="Z547" s="2"/>
      <c r="AA547" s="2"/>
      <c r="AB547" s="2"/>
    </row>
    <row r="548" spans="12:28" x14ac:dyDescent="0.25">
      <c r="L548" s="2"/>
      <c r="U548" s="2"/>
      <c r="Z548" s="2"/>
      <c r="AA548" s="2"/>
      <c r="AB548" s="2"/>
    </row>
    <row r="549" spans="12:28" x14ac:dyDescent="0.25">
      <c r="L549" s="2"/>
      <c r="U549" s="2"/>
      <c r="Z549" s="2"/>
      <c r="AA549" s="2"/>
      <c r="AB549" s="2"/>
    </row>
    <row r="550" spans="12:28" x14ac:dyDescent="0.25">
      <c r="L550" s="2"/>
      <c r="U550" s="2"/>
      <c r="Z550" s="2"/>
      <c r="AA550" s="2"/>
      <c r="AB550" s="2"/>
    </row>
    <row r="551" spans="12:28" x14ac:dyDescent="0.25">
      <c r="L551" s="2"/>
      <c r="U551" s="2"/>
      <c r="Z551" s="2"/>
      <c r="AA551" s="2"/>
      <c r="AB551" s="2"/>
    </row>
    <row r="552" spans="12:28" x14ac:dyDescent="0.25">
      <c r="L552" s="2"/>
      <c r="U552" s="2"/>
      <c r="Z552" s="2"/>
      <c r="AA552" s="2"/>
      <c r="AB552" s="2"/>
    </row>
    <row r="553" spans="12:28" x14ac:dyDescent="0.25">
      <c r="L553" s="2"/>
      <c r="U553" s="2"/>
      <c r="Z553" s="2"/>
      <c r="AA553" s="2"/>
      <c r="AB553" s="2"/>
    </row>
    <row r="554" spans="12:28" x14ac:dyDescent="0.25">
      <c r="L554" s="2"/>
      <c r="U554" s="2"/>
      <c r="Z554" s="2"/>
      <c r="AA554" s="2"/>
      <c r="AB554" s="2"/>
    </row>
    <row r="555" spans="12:28" x14ac:dyDescent="0.25">
      <c r="L555" s="2"/>
      <c r="U555" s="2"/>
      <c r="Z555" s="2"/>
      <c r="AA555" s="2"/>
      <c r="AB555" s="2"/>
    </row>
    <row r="556" spans="12:28" x14ac:dyDescent="0.25">
      <c r="L556" s="2"/>
      <c r="U556" s="2"/>
      <c r="Z556" s="2"/>
      <c r="AA556" s="2"/>
      <c r="AB556" s="2"/>
    </row>
    <row r="557" spans="12:28" x14ac:dyDescent="0.25">
      <c r="L557" s="2"/>
      <c r="U557" s="2"/>
      <c r="Z557" s="2"/>
      <c r="AA557" s="2"/>
      <c r="AB557" s="2"/>
    </row>
    <row r="558" spans="12:28" x14ac:dyDescent="0.25">
      <c r="L558" s="2"/>
      <c r="U558" s="2"/>
      <c r="Z558" s="2"/>
      <c r="AA558" s="2"/>
      <c r="AB558" s="2"/>
    </row>
    <row r="559" spans="12:28" x14ac:dyDescent="0.25">
      <c r="L559" s="2"/>
      <c r="U559" s="2"/>
      <c r="Z559" s="2"/>
      <c r="AA559" s="2"/>
      <c r="AB559" s="2"/>
    </row>
    <row r="560" spans="12:28" x14ac:dyDescent="0.25">
      <c r="L560" s="2"/>
      <c r="U560" s="2"/>
      <c r="Z560" s="2"/>
      <c r="AA560" s="2"/>
      <c r="AB560" s="2"/>
    </row>
    <row r="561" spans="12:28" x14ac:dyDescent="0.25">
      <c r="L561" s="2"/>
      <c r="U561" s="2"/>
      <c r="Z561" s="2"/>
      <c r="AA561" s="2"/>
      <c r="AB561" s="2"/>
    </row>
    <row r="562" spans="12:28" x14ac:dyDescent="0.25">
      <c r="L562" s="2"/>
      <c r="U562" s="2"/>
      <c r="Z562" s="2"/>
      <c r="AA562" s="2"/>
      <c r="AB562" s="2"/>
    </row>
    <row r="563" spans="12:28" x14ac:dyDescent="0.25">
      <c r="L563" s="2"/>
      <c r="U563" s="2"/>
      <c r="Z563" s="2"/>
      <c r="AA563" s="2"/>
      <c r="AB563" s="2"/>
    </row>
    <row r="564" spans="12:28" x14ac:dyDescent="0.25">
      <c r="L564" s="2"/>
      <c r="U564" s="2"/>
      <c r="Z564" s="2"/>
      <c r="AA564" s="2"/>
      <c r="AB564" s="2"/>
    </row>
    <row r="565" spans="12:28" x14ac:dyDescent="0.25">
      <c r="L565" s="2"/>
      <c r="U565" s="2"/>
      <c r="Z565" s="2"/>
      <c r="AA565" s="2"/>
      <c r="AB565" s="2"/>
    </row>
    <row r="566" spans="12:28" x14ac:dyDescent="0.25">
      <c r="L566" s="2"/>
      <c r="U566" s="2"/>
      <c r="Z566" s="2"/>
      <c r="AA566" s="2"/>
      <c r="AB566" s="2"/>
    </row>
    <row r="567" spans="12:28" x14ac:dyDescent="0.25">
      <c r="L567" s="2"/>
      <c r="U567" s="2"/>
      <c r="Z567" s="2"/>
      <c r="AA567" s="2"/>
      <c r="AB567" s="2"/>
    </row>
    <row r="568" spans="12:28" x14ac:dyDescent="0.25">
      <c r="L568" s="2"/>
      <c r="U568" s="2"/>
      <c r="Z568" s="2"/>
      <c r="AA568" s="2"/>
      <c r="AB568" s="2"/>
    </row>
    <row r="569" spans="12:28" x14ac:dyDescent="0.25">
      <c r="L569" s="2"/>
      <c r="U569" s="2"/>
      <c r="Z569" s="2"/>
      <c r="AA569" s="2"/>
      <c r="AB569" s="2"/>
    </row>
    <row r="570" spans="12:28" x14ac:dyDescent="0.25">
      <c r="L570" s="2"/>
      <c r="U570" s="2"/>
      <c r="Z570" s="2"/>
      <c r="AA570" s="2"/>
      <c r="AB570" s="2"/>
    </row>
    <row r="571" spans="12:28" x14ac:dyDescent="0.25">
      <c r="L571" s="2"/>
      <c r="U571" s="2"/>
      <c r="Z571" s="2"/>
      <c r="AA571" s="2"/>
      <c r="AB571" s="2"/>
    </row>
    <row r="572" spans="12:28" x14ac:dyDescent="0.25">
      <c r="L572" s="2"/>
      <c r="U572" s="2"/>
      <c r="Z572" s="2"/>
      <c r="AA572" s="2"/>
      <c r="AB572" s="2"/>
    </row>
    <row r="573" spans="12:28" x14ac:dyDescent="0.25">
      <c r="L573" s="2"/>
      <c r="U573" s="2"/>
      <c r="Z573" s="2"/>
      <c r="AA573" s="2"/>
      <c r="AB573" s="2"/>
    </row>
    <row r="574" spans="12:28" x14ac:dyDescent="0.25">
      <c r="L574" s="2"/>
      <c r="U574" s="2"/>
      <c r="Z574" s="2"/>
      <c r="AA574" s="2"/>
      <c r="AB574" s="2"/>
    </row>
    <row r="575" spans="12:28" x14ac:dyDescent="0.25">
      <c r="L575" s="2"/>
      <c r="U575" s="2"/>
      <c r="Z575" s="2"/>
      <c r="AA575" s="2"/>
      <c r="AB575" s="2"/>
    </row>
    <row r="576" spans="12:28" x14ac:dyDescent="0.25">
      <c r="L576" s="2"/>
      <c r="U576" s="2"/>
      <c r="Z576" s="2"/>
      <c r="AA576" s="2"/>
      <c r="AB576" s="2"/>
    </row>
    <row r="577" spans="12:28" x14ac:dyDescent="0.25">
      <c r="L577" s="2"/>
      <c r="U577" s="2"/>
      <c r="Z577" s="2"/>
      <c r="AA577" s="2"/>
      <c r="AB577" s="2"/>
    </row>
  </sheetData>
  <sheetProtection password="DD15" sheet="1" objects="1" scenarios="1"/>
  <phoneticPr fontId="0" type="noConversion"/>
  <pageMargins left="0.25" right="0.25" top="0.5" bottom="0" header="0" footer="0"/>
  <pageSetup scale="87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W110"/>
  <sheetViews>
    <sheetView showGridLines="0" showZeros="0" topLeftCell="A5" zoomScale="65" workbookViewId="0"/>
  </sheetViews>
  <sheetFormatPr defaultColWidth="9.109375" defaultRowHeight="13.2" x14ac:dyDescent="0.25"/>
  <cols>
    <col min="1" max="1" width="8.6640625" style="2" customWidth="1"/>
    <col min="2" max="2" width="39" style="1" customWidth="1"/>
    <col min="3" max="3" width="10.44140625" style="2" customWidth="1"/>
    <col min="4" max="4" width="11.88671875" style="2" customWidth="1"/>
    <col min="5" max="16" width="11.5546875" style="2" customWidth="1"/>
    <col min="17" max="17" width="14" style="2" customWidth="1"/>
    <col min="18" max="20" width="9.109375" style="2"/>
    <col min="21" max="21" width="12.44140625" style="2" customWidth="1"/>
    <col min="22" max="22" width="11.109375" style="2" customWidth="1"/>
    <col min="23" max="23" width="13.109375" style="2" customWidth="1"/>
    <col min="24" max="16384" width="9.109375" style="2"/>
  </cols>
  <sheetData>
    <row r="1" spans="1:23" ht="18.600000000000001" thickBot="1" x14ac:dyDescent="0.4">
      <c r="A1" s="121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7"/>
      <c r="O1" s="48"/>
      <c r="P1" s="4"/>
      <c r="Q1" s="268" t="s">
        <v>138</v>
      </c>
      <c r="U1" s="36"/>
    </row>
    <row r="2" spans="1:23" ht="15.75" customHeight="1" x14ac:dyDescent="0.3">
      <c r="A2" s="136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67"/>
      <c r="O2" s="12"/>
      <c r="P2" s="11"/>
      <c r="U2" s="11"/>
    </row>
    <row r="3" spans="1:23" x14ac:dyDescent="0.25">
      <c r="U3" s="55"/>
      <c r="V3" s="71"/>
      <c r="W3" s="72"/>
    </row>
    <row r="4" spans="1:23" s="5" customFormat="1" ht="15.6" x14ac:dyDescent="0.3">
      <c r="A4" s="359" t="s">
        <v>114</v>
      </c>
      <c r="B4" s="360"/>
      <c r="C4" s="353"/>
      <c r="D4" s="353" t="s">
        <v>19</v>
      </c>
      <c r="E4" s="353">
        <v>1</v>
      </c>
      <c r="F4" s="353">
        <v>2</v>
      </c>
      <c r="G4" s="353">
        <v>3</v>
      </c>
      <c r="H4" s="353">
        <v>4</v>
      </c>
      <c r="I4" s="353">
        <v>5</v>
      </c>
      <c r="J4" s="353">
        <v>6</v>
      </c>
      <c r="K4" s="353">
        <v>7</v>
      </c>
      <c r="L4" s="353">
        <v>8</v>
      </c>
      <c r="M4" s="353">
        <v>9</v>
      </c>
      <c r="N4" s="353">
        <v>10</v>
      </c>
      <c r="O4" s="353">
        <v>11</v>
      </c>
      <c r="P4" s="353">
        <v>12</v>
      </c>
      <c r="Q4" s="353"/>
      <c r="U4" s="62" t="s">
        <v>19</v>
      </c>
      <c r="V4" s="56"/>
      <c r="W4" s="67"/>
    </row>
    <row r="5" spans="1:23" s="5" customFormat="1" ht="15.6" x14ac:dyDescent="0.3">
      <c r="A5" s="361" t="s">
        <v>15</v>
      </c>
      <c r="B5" s="361" t="s">
        <v>17</v>
      </c>
      <c r="C5" s="361" t="s">
        <v>18</v>
      </c>
      <c r="D5" s="361" t="s">
        <v>20</v>
      </c>
      <c r="E5" s="361" t="s">
        <v>40</v>
      </c>
      <c r="F5" s="361" t="s">
        <v>41</v>
      </c>
      <c r="G5" s="361" t="s">
        <v>42</v>
      </c>
      <c r="H5" s="361" t="s">
        <v>43</v>
      </c>
      <c r="I5" s="361" t="s">
        <v>44</v>
      </c>
      <c r="J5" s="361" t="s">
        <v>45</v>
      </c>
      <c r="K5" s="361" t="s">
        <v>46</v>
      </c>
      <c r="L5" s="361" t="s">
        <v>47</v>
      </c>
      <c r="M5" s="361" t="s">
        <v>48</v>
      </c>
      <c r="N5" s="361" t="s">
        <v>49</v>
      </c>
      <c r="O5" s="361" t="s">
        <v>50</v>
      </c>
      <c r="P5" s="361" t="s">
        <v>51</v>
      </c>
      <c r="Q5" s="361" t="s">
        <v>52</v>
      </c>
      <c r="U5" s="64" t="s">
        <v>56</v>
      </c>
      <c r="V5" s="114" t="s">
        <v>55</v>
      </c>
      <c r="W5" s="115" t="s">
        <v>54</v>
      </c>
    </row>
    <row r="6" spans="1:23" s="5" customFormat="1" ht="15.6" x14ac:dyDescent="0.3">
      <c r="A6" s="145">
        <f>Proposal!A7</f>
        <v>200</v>
      </c>
      <c r="B6" s="146" t="str">
        <f>Proposal!C7</f>
        <v>SPRING TX ISD PSF</v>
      </c>
      <c r="C6" s="253">
        <f>Proposal!D7</f>
        <v>0.05</v>
      </c>
      <c r="D6" s="256">
        <f>IF(Proposal!R7=TRUE,Proposal!F7,Proposal!E7)</f>
        <v>42597</v>
      </c>
      <c r="E6" s="147">
        <f t="shared" ref="E6:J15" si="0">IF(E$4=MONTH($D6),$A6*1000*$C6*0.5,0)+(IF(E$4+6=MONTH($D6),$A6*1000*$C6*0.5,0))</f>
        <v>0</v>
      </c>
      <c r="F6" s="147">
        <f t="shared" si="0"/>
        <v>5000</v>
      </c>
      <c r="G6" s="147">
        <f t="shared" si="0"/>
        <v>0</v>
      </c>
      <c r="H6" s="147">
        <f t="shared" si="0"/>
        <v>0</v>
      </c>
      <c r="I6" s="147">
        <f t="shared" si="0"/>
        <v>0</v>
      </c>
      <c r="J6" s="147">
        <f t="shared" si="0"/>
        <v>0</v>
      </c>
      <c r="K6" s="147">
        <f t="shared" ref="K6:P15" si="1">IF(K$4=MONTH($D6),$A6*1000*$C6*0.5,0)+(IF(K$4-6=MONTH($D6),$A6*1000*$C6*0.5,0))</f>
        <v>0</v>
      </c>
      <c r="L6" s="147">
        <f t="shared" si="1"/>
        <v>5000</v>
      </c>
      <c r="M6" s="147">
        <f t="shared" si="1"/>
        <v>0</v>
      </c>
      <c r="N6" s="147">
        <f t="shared" si="1"/>
        <v>0</v>
      </c>
      <c r="O6" s="147">
        <f t="shared" si="1"/>
        <v>0</v>
      </c>
      <c r="P6" s="147">
        <f t="shared" si="1"/>
        <v>0</v>
      </c>
      <c r="Q6" s="148">
        <f t="shared" ref="Q6:Q18" si="2">SUM(E6:P6)</f>
        <v>10000</v>
      </c>
      <c r="U6" s="62">
        <f t="shared" ref="U6:U27" si="3">YEAR(D6)</f>
        <v>2016</v>
      </c>
      <c r="V6" s="56" t="s">
        <v>40</v>
      </c>
      <c r="W6" s="116">
        <f>Income!E$28</f>
        <v>2500</v>
      </c>
    </row>
    <row r="7" spans="1:23" s="5" customFormat="1" ht="15.6" x14ac:dyDescent="0.3">
      <c r="A7" s="145">
        <f>Proposal!A8</f>
        <v>200</v>
      </c>
      <c r="B7" s="149" t="str">
        <f>Proposal!C8</f>
        <v>PORT HOUSTON</v>
      </c>
      <c r="C7" s="254">
        <f>Proposal!D8</f>
        <v>4.7500000000000001E-2</v>
      </c>
      <c r="D7" s="257">
        <f>IF(Proposal!R8=TRUE,Proposal!F8,Proposal!E8)</f>
        <v>43009</v>
      </c>
      <c r="E7" s="150">
        <f t="shared" si="0"/>
        <v>0</v>
      </c>
      <c r="F7" s="150">
        <f t="shared" si="0"/>
        <v>0</v>
      </c>
      <c r="G7" s="150">
        <f t="shared" si="0"/>
        <v>0</v>
      </c>
      <c r="H7" s="150">
        <f t="shared" si="0"/>
        <v>4750</v>
      </c>
      <c r="I7" s="150">
        <f t="shared" si="0"/>
        <v>0</v>
      </c>
      <c r="J7" s="150">
        <f t="shared" si="0"/>
        <v>0</v>
      </c>
      <c r="K7" s="150">
        <f t="shared" si="1"/>
        <v>0</v>
      </c>
      <c r="L7" s="150">
        <f t="shared" si="1"/>
        <v>0</v>
      </c>
      <c r="M7" s="150">
        <f t="shared" si="1"/>
        <v>0</v>
      </c>
      <c r="N7" s="150">
        <f t="shared" si="1"/>
        <v>4750</v>
      </c>
      <c r="O7" s="150">
        <f t="shared" si="1"/>
        <v>0</v>
      </c>
      <c r="P7" s="150">
        <f t="shared" si="1"/>
        <v>0</v>
      </c>
      <c r="Q7" s="151">
        <f t="shared" si="2"/>
        <v>9500</v>
      </c>
      <c r="U7" s="62">
        <f t="shared" si="3"/>
        <v>2017</v>
      </c>
      <c r="V7" s="56" t="s">
        <v>41</v>
      </c>
      <c r="W7" s="116">
        <f>Income!F$28</f>
        <v>20000</v>
      </c>
    </row>
    <row r="8" spans="1:23" s="5" customFormat="1" ht="15.6" x14ac:dyDescent="0.3">
      <c r="A8" s="145">
        <f>Proposal!A9</f>
        <v>200</v>
      </c>
      <c r="B8" s="149" t="str">
        <f>Proposal!C9</f>
        <v>MONROE WISC SCH</v>
      </c>
      <c r="C8" s="254">
        <f>Proposal!D9</f>
        <v>4.8750000000000002E-2</v>
      </c>
      <c r="D8" s="257">
        <f>IF(Proposal!R9=TRUE,Proposal!F9,Proposal!E9)</f>
        <v>43191</v>
      </c>
      <c r="E8" s="150">
        <f t="shared" si="0"/>
        <v>0</v>
      </c>
      <c r="F8" s="150">
        <f t="shared" si="0"/>
        <v>0</v>
      </c>
      <c r="G8" s="150">
        <f t="shared" si="0"/>
        <v>0</v>
      </c>
      <c r="H8" s="150">
        <f t="shared" si="0"/>
        <v>4875</v>
      </c>
      <c r="I8" s="150">
        <f t="shared" si="0"/>
        <v>0</v>
      </c>
      <c r="J8" s="150">
        <f t="shared" si="0"/>
        <v>0</v>
      </c>
      <c r="K8" s="150">
        <f t="shared" si="1"/>
        <v>0</v>
      </c>
      <c r="L8" s="150">
        <f t="shared" si="1"/>
        <v>0</v>
      </c>
      <c r="M8" s="150">
        <f t="shared" si="1"/>
        <v>0</v>
      </c>
      <c r="N8" s="150">
        <f t="shared" si="1"/>
        <v>4875</v>
      </c>
      <c r="O8" s="150">
        <f t="shared" si="1"/>
        <v>0</v>
      </c>
      <c r="P8" s="150">
        <f t="shared" si="1"/>
        <v>0</v>
      </c>
      <c r="Q8" s="151">
        <f t="shared" si="2"/>
        <v>9750</v>
      </c>
      <c r="U8" s="62">
        <f t="shared" si="3"/>
        <v>2018</v>
      </c>
      <c r="V8" s="56" t="s">
        <v>42</v>
      </c>
      <c r="W8" s="116">
        <f>Income!G$28</f>
        <v>0</v>
      </c>
    </row>
    <row r="9" spans="1:23" s="5" customFormat="1" ht="15.6" x14ac:dyDescent="0.3">
      <c r="A9" s="145">
        <f>Proposal!A10</f>
        <v>200</v>
      </c>
      <c r="B9" s="149" t="str">
        <f>Proposal!C10</f>
        <v>TROY MICH</v>
      </c>
      <c r="C9" s="254">
        <f>Proposal!D10</f>
        <v>4.5999999999999999E-2</v>
      </c>
      <c r="D9" s="257">
        <f>IF(Proposal!R10=TRUE,Proposal!F10,Proposal!E10)</f>
        <v>43739</v>
      </c>
      <c r="E9" s="150">
        <f t="shared" si="0"/>
        <v>0</v>
      </c>
      <c r="F9" s="150">
        <f t="shared" si="0"/>
        <v>0</v>
      </c>
      <c r="G9" s="150">
        <f t="shared" si="0"/>
        <v>0</v>
      </c>
      <c r="H9" s="150">
        <f t="shared" si="0"/>
        <v>4600</v>
      </c>
      <c r="I9" s="150">
        <f t="shared" si="0"/>
        <v>0</v>
      </c>
      <c r="J9" s="150">
        <f t="shared" si="0"/>
        <v>0</v>
      </c>
      <c r="K9" s="150">
        <f t="shared" si="1"/>
        <v>0</v>
      </c>
      <c r="L9" s="150">
        <f t="shared" si="1"/>
        <v>0</v>
      </c>
      <c r="M9" s="150">
        <f t="shared" si="1"/>
        <v>0</v>
      </c>
      <c r="N9" s="150">
        <f t="shared" si="1"/>
        <v>4600</v>
      </c>
      <c r="O9" s="150">
        <f t="shared" si="1"/>
        <v>0</v>
      </c>
      <c r="P9" s="150">
        <f t="shared" si="1"/>
        <v>0</v>
      </c>
      <c r="Q9" s="151">
        <f t="shared" si="2"/>
        <v>9200</v>
      </c>
      <c r="U9" s="62">
        <f t="shared" si="3"/>
        <v>2019</v>
      </c>
      <c r="V9" s="56" t="s">
        <v>43</v>
      </c>
      <c r="W9" s="116">
        <f>Income!H$28</f>
        <v>21225</v>
      </c>
    </row>
    <row r="10" spans="1:23" s="5" customFormat="1" ht="15.6" x14ac:dyDescent="0.3">
      <c r="A10" s="145">
        <f>Proposal!A11</f>
        <v>200</v>
      </c>
      <c r="B10" s="149" t="str">
        <f>Proposal!C11</f>
        <v>PASADENA TX COMB</v>
      </c>
      <c r="C10" s="254">
        <f>Proposal!D11</f>
        <v>0.05</v>
      </c>
      <c r="D10" s="257">
        <f>IF(Proposal!R11=TRUE,Proposal!F11,Proposal!E11)</f>
        <v>43876</v>
      </c>
      <c r="E10" s="150">
        <f t="shared" si="0"/>
        <v>0</v>
      </c>
      <c r="F10" s="150">
        <f t="shared" si="0"/>
        <v>5000</v>
      </c>
      <c r="G10" s="150">
        <f t="shared" si="0"/>
        <v>0</v>
      </c>
      <c r="H10" s="150">
        <f t="shared" si="0"/>
        <v>0</v>
      </c>
      <c r="I10" s="150">
        <f t="shared" si="0"/>
        <v>0</v>
      </c>
      <c r="J10" s="150">
        <f t="shared" si="0"/>
        <v>0</v>
      </c>
      <c r="K10" s="150">
        <f t="shared" si="1"/>
        <v>0</v>
      </c>
      <c r="L10" s="150">
        <f t="shared" si="1"/>
        <v>5000</v>
      </c>
      <c r="M10" s="150">
        <f t="shared" si="1"/>
        <v>0</v>
      </c>
      <c r="N10" s="150">
        <f t="shared" si="1"/>
        <v>0</v>
      </c>
      <c r="O10" s="150">
        <f t="shared" si="1"/>
        <v>0</v>
      </c>
      <c r="P10" s="150">
        <f t="shared" si="1"/>
        <v>0</v>
      </c>
      <c r="Q10" s="151">
        <f t="shared" si="2"/>
        <v>10000</v>
      </c>
      <c r="U10" s="62">
        <f t="shared" si="3"/>
        <v>2020</v>
      </c>
      <c r="V10" s="56" t="s">
        <v>44</v>
      </c>
      <c r="W10" s="116">
        <f>Income!I$28</f>
        <v>5000</v>
      </c>
    </row>
    <row r="11" spans="1:23" s="5" customFormat="1" ht="15.6" x14ac:dyDescent="0.3">
      <c r="A11" s="145">
        <f>Proposal!A12</f>
        <v>200</v>
      </c>
      <c r="B11" s="149" t="str">
        <f>Proposal!C12</f>
        <v>N.HARRIS MONT CCD</v>
      </c>
      <c r="C11" s="254">
        <f>Proposal!D12</f>
        <v>0.05</v>
      </c>
      <c r="D11" s="257">
        <f>IF(Proposal!R12=TRUE,Proposal!F12,Proposal!E12)</f>
        <v>44242</v>
      </c>
      <c r="E11" s="150">
        <f t="shared" si="0"/>
        <v>0</v>
      </c>
      <c r="F11" s="150">
        <f t="shared" si="0"/>
        <v>5000</v>
      </c>
      <c r="G11" s="150">
        <f t="shared" si="0"/>
        <v>0</v>
      </c>
      <c r="H11" s="150">
        <f t="shared" si="0"/>
        <v>0</v>
      </c>
      <c r="I11" s="150">
        <f t="shared" si="0"/>
        <v>0</v>
      </c>
      <c r="J11" s="150">
        <f t="shared" si="0"/>
        <v>0</v>
      </c>
      <c r="K11" s="150">
        <f t="shared" si="1"/>
        <v>0</v>
      </c>
      <c r="L11" s="150">
        <f t="shared" si="1"/>
        <v>5000</v>
      </c>
      <c r="M11" s="150">
        <f t="shared" si="1"/>
        <v>0</v>
      </c>
      <c r="N11" s="150">
        <f t="shared" si="1"/>
        <v>0</v>
      </c>
      <c r="O11" s="150">
        <f t="shared" si="1"/>
        <v>0</v>
      </c>
      <c r="P11" s="150">
        <f t="shared" si="1"/>
        <v>0</v>
      </c>
      <c r="Q11" s="151">
        <f t="shared" si="2"/>
        <v>10000</v>
      </c>
      <c r="U11" s="62">
        <f t="shared" si="3"/>
        <v>2021</v>
      </c>
      <c r="V11" s="56" t="s">
        <v>45</v>
      </c>
      <c r="W11" s="116">
        <f>Income!J$28</f>
        <v>0</v>
      </c>
    </row>
    <row r="12" spans="1:23" s="5" customFormat="1" ht="15.6" x14ac:dyDescent="0.3">
      <c r="A12" s="145">
        <f>Proposal!A13</f>
        <v>200</v>
      </c>
      <c r="B12" s="149" t="str">
        <f>Proposal!C13</f>
        <v>PHILADELPHIA PA SCH</v>
      </c>
      <c r="C12" s="254">
        <f>Proposal!D13</f>
        <v>4.4999999999999998E-2</v>
      </c>
      <c r="D12" s="257">
        <f>IF(Proposal!R13=TRUE,Proposal!F13,Proposal!E13)</f>
        <v>45017</v>
      </c>
      <c r="E12" s="150">
        <f t="shared" si="0"/>
        <v>0</v>
      </c>
      <c r="F12" s="150">
        <f t="shared" si="0"/>
        <v>0</v>
      </c>
      <c r="G12" s="150">
        <f t="shared" si="0"/>
        <v>0</v>
      </c>
      <c r="H12" s="150">
        <f t="shared" si="0"/>
        <v>4500</v>
      </c>
      <c r="I12" s="150">
        <f t="shared" si="0"/>
        <v>0</v>
      </c>
      <c r="J12" s="150">
        <f t="shared" si="0"/>
        <v>0</v>
      </c>
      <c r="K12" s="150">
        <f t="shared" si="1"/>
        <v>0</v>
      </c>
      <c r="L12" s="150">
        <f t="shared" si="1"/>
        <v>0</v>
      </c>
      <c r="M12" s="150">
        <f t="shared" si="1"/>
        <v>0</v>
      </c>
      <c r="N12" s="150">
        <f t="shared" si="1"/>
        <v>4500</v>
      </c>
      <c r="O12" s="150">
        <f t="shared" si="1"/>
        <v>0</v>
      </c>
      <c r="P12" s="150">
        <f t="shared" si="1"/>
        <v>0</v>
      </c>
      <c r="Q12" s="151">
        <f t="shared" si="2"/>
        <v>9000</v>
      </c>
      <c r="U12" s="62">
        <f t="shared" si="3"/>
        <v>2023</v>
      </c>
      <c r="V12" s="56" t="s">
        <v>46</v>
      </c>
      <c r="W12" s="116">
        <f>Income!K$28</f>
        <v>2500</v>
      </c>
    </row>
    <row r="13" spans="1:23" s="5" customFormat="1" ht="15.6" x14ac:dyDescent="0.3">
      <c r="A13" s="145">
        <f>Proposal!A14</f>
        <v>100</v>
      </c>
      <c r="B13" s="149" t="str">
        <f>Proposal!C14</f>
        <v>TEXAS TURNPIKE</v>
      </c>
      <c r="C13" s="254">
        <f>Proposal!D14</f>
        <v>0.05</v>
      </c>
      <c r="D13" s="257">
        <f>IF(Proposal!R14=TRUE,Proposal!F14,Proposal!E14)</f>
        <v>45658</v>
      </c>
      <c r="E13" s="150">
        <f t="shared" si="0"/>
        <v>2500</v>
      </c>
      <c r="F13" s="150">
        <f t="shared" si="0"/>
        <v>0</v>
      </c>
      <c r="G13" s="150">
        <f t="shared" si="0"/>
        <v>0</v>
      </c>
      <c r="H13" s="150">
        <f t="shared" si="0"/>
        <v>0</v>
      </c>
      <c r="I13" s="150">
        <f t="shared" si="0"/>
        <v>0</v>
      </c>
      <c r="J13" s="150">
        <f t="shared" si="0"/>
        <v>0</v>
      </c>
      <c r="K13" s="150">
        <f t="shared" si="1"/>
        <v>2500</v>
      </c>
      <c r="L13" s="150">
        <f t="shared" si="1"/>
        <v>0</v>
      </c>
      <c r="M13" s="150">
        <f t="shared" si="1"/>
        <v>0</v>
      </c>
      <c r="N13" s="150">
        <f t="shared" si="1"/>
        <v>0</v>
      </c>
      <c r="O13" s="150">
        <f t="shared" si="1"/>
        <v>0</v>
      </c>
      <c r="P13" s="150">
        <f t="shared" si="1"/>
        <v>0</v>
      </c>
      <c r="Q13" s="151">
        <f t="shared" si="2"/>
        <v>5000</v>
      </c>
      <c r="U13" s="62">
        <f t="shared" si="3"/>
        <v>2025</v>
      </c>
      <c r="V13" s="56" t="s">
        <v>47</v>
      </c>
      <c r="W13" s="116">
        <f>Income!L$28</f>
        <v>20000</v>
      </c>
    </row>
    <row r="14" spans="1:23" s="5" customFormat="1" ht="15.6" x14ac:dyDescent="0.3">
      <c r="A14" s="145">
        <f>Proposal!A15</f>
        <v>100</v>
      </c>
      <c r="B14" s="149" t="str">
        <f>Proposal!C15</f>
        <v>HOUSTON TX CCD</v>
      </c>
      <c r="C14" s="254">
        <f>Proposal!D15</f>
        <v>0.05</v>
      </c>
      <c r="D14" s="257">
        <f>IF(Proposal!R15=TRUE,Proposal!F15,Proposal!E15)</f>
        <v>45762</v>
      </c>
      <c r="E14" s="150">
        <f t="shared" si="0"/>
        <v>0</v>
      </c>
      <c r="F14" s="150">
        <f t="shared" si="0"/>
        <v>0</v>
      </c>
      <c r="G14" s="150">
        <f t="shared" si="0"/>
        <v>0</v>
      </c>
      <c r="H14" s="150">
        <f t="shared" si="0"/>
        <v>2500</v>
      </c>
      <c r="I14" s="150">
        <f t="shared" si="0"/>
        <v>0</v>
      </c>
      <c r="J14" s="150">
        <f t="shared" si="0"/>
        <v>0</v>
      </c>
      <c r="K14" s="150">
        <f t="shared" si="1"/>
        <v>0</v>
      </c>
      <c r="L14" s="150">
        <f t="shared" si="1"/>
        <v>0</v>
      </c>
      <c r="M14" s="150">
        <f t="shared" si="1"/>
        <v>0</v>
      </c>
      <c r="N14" s="150">
        <f t="shared" si="1"/>
        <v>2500</v>
      </c>
      <c r="O14" s="150">
        <f t="shared" si="1"/>
        <v>0</v>
      </c>
      <c r="P14" s="150">
        <f t="shared" si="1"/>
        <v>0</v>
      </c>
      <c r="Q14" s="151">
        <f t="shared" si="2"/>
        <v>5000</v>
      </c>
      <c r="U14" s="62">
        <f t="shared" si="3"/>
        <v>2025</v>
      </c>
      <c r="V14" s="56" t="s">
        <v>48</v>
      </c>
      <c r="W14" s="116">
        <f>Income!M$28</f>
        <v>0</v>
      </c>
    </row>
    <row r="15" spans="1:23" s="5" customFormat="1" ht="15.6" x14ac:dyDescent="0.3">
      <c r="A15" s="145">
        <f>Proposal!A16</f>
        <v>200</v>
      </c>
      <c r="B15" s="149" t="str">
        <f>Proposal!C16</f>
        <v>SEATTLE WASH WTR</v>
      </c>
      <c r="C15" s="254">
        <f>Proposal!D16</f>
        <v>0.05</v>
      </c>
      <c r="D15" s="257">
        <f>IF(Proposal!R16=TRUE,Proposal!F16,Proposal!E16)</f>
        <v>46327</v>
      </c>
      <c r="E15" s="150">
        <f t="shared" si="0"/>
        <v>0</v>
      </c>
      <c r="F15" s="150">
        <f t="shared" si="0"/>
        <v>0</v>
      </c>
      <c r="G15" s="150">
        <f t="shared" si="0"/>
        <v>0</v>
      </c>
      <c r="H15" s="150">
        <f t="shared" si="0"/>
        <v>0</v>
      </c>
      <c r="I15" s="150">
        <f t="shared" si="0"/>
        <v>5000</v>
      </c>
      <c r="J15" s="150">
        <f t="shared" si="0"/>
        <v>0</v>
      </c>
      <c r="K15" s="150">
        <f t="shared" si="1"/>
        <v>0</v>
      </c>
      <c r="L15" s="150">
        <f t="shared" si="1"/>
        <v>0</v>
      </c>
      <c r="M15" s="150">
        <f t="shared" si="1"/>
        <v>0</v>
      </c>
      <c r="N15" s="150">
        <f t="shared" si="1"/>
        <v>0</v>
      </c>
      <c r="O15" s="150">
        <f t="shared" si="1"/>
        <v>5000</v>
      </c>
      <c r="P15" s="150">
        <f t="shared" si="1"/>
        <v>0</v>
      </c>
      <c r="Q15" s="151">
        <f t="shared" si="2"/>
        <v>10000</v>
      </c>
      <c r="U15" s="62">
        <f t="shared" si="3"/>
        <v>2026</v>
      </c>
      <c r="V15" s="56" t="s">
        <v>49</v>
      </c>
      <c r="W15" s="116">
        <f>Income!N$28</f>
        <v>21225</v>
      </c>
    </row>
    <row r="16" spans="1:23" s="5" customFormat="1" ht="15.6" x14ac:dyDescent="0.3">
      <c r="A16" s="145">
        <f>Proposal!A17</f>
        <v>200</v>
      </c>
      <c r="B16" s="149" t="str">
        <f>Proposal!C17</f>
        <v>SAN ANTONIO ISD</v>
      </c>
      <c r="C16" s="254">
        <f>Proposal!D17</f>
        <v>0.05</v>
      </c>
      <c r="D16" s="257">
        <f>IF(Proposal!R17=TRUE,Proposal!F17,Proposal!E17)</f>
        <v>46614</v>
      </c>
      <c r="E16" s="150">
        <f t="shared" ref="E16:J23" si="4">IF(E$4=MONTH($D16),$A16*1000*$C16*0.5,0)+(IF(E$4+6=MONTH($D16),$A16*1000*$C16*0.5,0))</f>
        <v>0</v>
      </c>
      <c r="F16" s="150">
        <f t="shared" si="4"/>
        <v>5000</v>
      </c>
      <c r="G16" s="150">
        <f t="shared" si="4"/>
        <v>0</v>
      </c>
      <c r="H16" s="150">
        <f t="shared" si="4"/>
        <v>0</v>
      </c>
      <c r="I16" s="150">
        <f t="shared" si="4"/>
        <v>0</v>
      </c>
      <c r="J16" s="150">
        <f t="shared" si="4"/>
        <v>0</v>
      </c>
      <c r="K16" s="150">
        <f t="shared" ref="K16:P23" si="5">IF(K$4=MONTH($D16),$A16*1000*$C16*0.5,0)+(IF(K$4-6=MONTH($D16),$A16*1000*$C16*0.5,0))</f>
        <v>0</v>
      </c>
      <c r="L16" s="150">
        <f t="shared" si="5"/>
        <v>5000</v>
      </c>
      <c r="M16" s="150">
        <f t="shared" si="5"/>
        <v>0</v>
      </c>
      <c r="N16" s="150">
        <f t="shared" si="5"/>
        <v>0</v>
      </c>
      <c r="O16" s="150">
        <f t="shared" si="5"/>
        <v>0</v>
      </c>
      <c r="P16" s="150">
        <f t="shared" si="5"/>
        <v>0</v>
      </c>
      <c r="Q16" s="151">
        <f t="shared" si="2"/>
        <v>10000</v>
      </c>
      <c r="U16" s="62">
        <f t="shared" si="3"/>
        <v>2027</v>
      </c>
      <c r="V16" s="56" t="s">
        <v>50</v>
      </c>
      <c r="W16" s="116">
        <f>Income!O$28</f>
        <v>5000</v>
      </c>
    </row>
    <row r="17" spans="1:23" s="5" customFormat="1" ht="15.6" x14ac:dyDescent="0.3">
      <c r="A17" s="145">
        <f>Proposal!A18</f>
        <v>0</v>
      </c>
      <c r="B17" s="149">
        <f>Proposal!C18</f>
        <v>0</v>
      </c>
      <c r="C17" s="254">
        <f>Proposal!D18</f>
        <v>0</v>
      </c>
      <c r="D17" s="257">
        <f>IF(Proposal!R18=TRUE,Proposal!F18,Proposal!E18)</f>
        <v>0</v>
      </c>
      <c r="E17" s="150">
        <f t="shared" si="4"/>
        <v>0</v>
      </c>
      <c r="F17" s="150">
        <f t="shared" si="4"/>
        <v>0</v>
      </c>
      <c r="G17" s="150">
        <f t="shared" si="4"/>
        <v>0</v>
      </c>
      <c r="H17" s="150">
        <f t="shared" si="4"/>
        <v>0</v>
      </c>
      <c r="I17" s="150">
        <f t="shared" si="4"/>
        <v>0</v>
      </c>
      <c r="J17" s="150">
        <f t="shared" si="4"/>
        <v>0</v>
      </c>
      <c r="K17" s="150">
        <f t="shared" si="5"/>
        <v>0</v>
      </c>
      <c r="L17" s="150">
        <f t="shared" si="5"/>
        <v>0</v>
      </c>
      <c r="M17" s="150">
        <f t="shared" si="5"/>
        <v>0</v>
      </c>
      <c r="N17" s="150">
        <f t="shared" si="5"/>
        <v>0</v>
      </c>
      <c r="O17" s="150">
        <f t="shared" si="5"/>
        <v>0</v>
      </c>
      <c r="P17" s="150">
        <f t="shared" si="5"/>
        <v>0</v>
      </c>
      <c r="Q17" s="151">
        <f t="shared" si="2"/>
        <v>0</v>
      </c>
      <c r="U17" s="62">
        <f t="shared" si="3"/>
        <v>1900</v>
      </c>
      <c r="V17" s="56" t="s">
        <v>51</v>
      </c>
      <c r="W17" s="116">
        <f>Income!P$28</f>
        <v>0</v>
      </c>
    </row>
    <row r="18" spans="1:23" s="5" customFormat="1" ht="15.6" x14ac:dyDescent="0.3">
      <c r="A18" s="145">
        <f>Proposal!A19</f>
        <v>0</v>
      </c>
      <c r="B18" s="149">
        <f>Proposal!C19</f>
        <v>0</v>
      </c>
      <c r="C18" s="254">
        <f>Proposal!D19</f>
        <v>0</v>
      </c>
      <c r="D18" s="257">
        <f>IF(Proposal!R19=TRUE,Proposal!F19,Proposal!E19)</f>
        <v>0</v>
      </c>
      <c r="E18" s="150">
        <f t="shared" si="4"/>
        <v>0</v>
      </c>
      <c r="F18" s="150">
        <f t="shared" si="4"/>
        <v>0</v>
      </c>
      <c r="G18" s="150">
        <f t="shared" si="4"/>
        <v>0</v>
      </c>
      <c r="H18" s="150">
        <f t="shared" si="4"/>
        <v>0</v>
      </c>
      <c r="I18" s="150">
        <f t="shared" si="4"/>
        <v>0</v>
      </c>
      <c r="J18" s="150">
        <f t="shared" si="4"/>
        <v>0</v>
      </c>
      <c r="K18" s="150">
        <f t="shared" si="5"/>
        <v>0</v>
      </c>
      <c r="L18" s="150">
        <f t="shared" si="5"/>
        <v>0</v>
      </c>
      <c r="M18" s="150">
        <f t="shared" si="5"/>
        <v>0</v>
      </c>
      <c r="N18" s="150">
        <f t="shared" si="5"/>
        <v>0</v>
      </c>
      <c r="O18" s="150">
        <f t="shared" si="5"/>
        <v>0</v>
      </c>
      <c r="P18" s="150">
        <f t="shared" si="5"/>
        <v>0</v>
      </c>
      <c r="Q18" s="151">
        <f t="shared" si="2"/>
        <v>0</v>
      </c>
      <c r="U18" s="62">
        <f t="shared" si="3"/>
        <v>1900</v>
      </c>
      <c r="V18" s="56"/>
      <c r="W18" s="67"/>
    </row>
    <row r="19" spans="1:23" s="5" customFormat="1" ht="15.6" x14ac:dyDescent="0.3">
      <c r="A19" s="145">
        <f>Proposal!A20</f>
        <v>0</v>
      </c>
      <c r="B19" s="149">
        <f>Proposal!C20</f>
        <v>0</v>
      </c>
      <c r="C19" s="254">
        <f>Proposal!D20</f>
        <v>0</v>
      </c>
      <c r="D19" s="257">
        <f>IF(Proposal!R20=TRUE,Proposal!F20,Proposal!E20)</f>
        <v>0</v>
      </c>
      <c r="E19" s="150">
        <f t="shared" si="4"/>
        <v>0</v>
      </c>
      <c r="F19" s="150">
        <f t="shared" si="4"/>
        <v>0</v>
      </c>
      <c r="G19" s="150">
        <f t="shared" si="4"/>
        <v>0</v>
      </c>
      <c r="H19" s="150">
        <f t="shared" si="4"/>
        <v>0</v>
      </c>
      <c r="I19" s="150">
        <f t="shared" si="4"/>
        <v>0</v>
      </c>
      <c r="J19" s="150">
        <f t="shared" si="4"/>
        <v>0</v>
      </c>
      <c r="K19" s="150">
        <f t="shared" si="5"/>
        <v>0</v>
      </c>
      <c r="L19" s="150">
        <f t="shared" si="5"/>
        <v>0</v>
      </c>
      <c r="M19" s="150">
        <f t="shared" si="5"/>
        <v>0</v>
      </c>
      <c r="N19" s="150">
        <f t="shared" si="5"/>
        <v>0</v>
      </c>
      <c r="O19" s="150">
        <f t="shared" si="5"/>
        <v>0</v>
      </c>
      <c r="P19" s="150">
        <f t="shared" si="5"/>
        <v>0</v>
      </c>
      <c r="Q19" s="151">
        <f t="shared" ref="Q19:Q27" si="6">SUM(E19:P19)</f>
        <v>0</v>
      </c>
      <c r="U19" s="62">
        <f t="shared" si="3"/>
        <v>1900</v>
      </c>
      <c r="V19" s="56"/>
      <c r="W19" s="67"/>
    </row>
    <row r="20" spans="1:23" s="5" customFormat="1" ht="15.6" x14ac:dyDescent="0.3">
      <c r="A20" s="145">
        <f>Proposal!A21</f>
        <v>0</v>
      </c>
      <c r="B20" s="149">
        <f>Proposal!C21</f>
        <v>0</v>
      </c>
      <c r="C20" s="254">
        <f>Proposal!D21</f>
        <v>0</v>
      </c>
      <c r="D20" s="257">
        <f>IF(Proposal!R21=TRUE,Proposal!F21,Proposal!E21)</f>
        <v>0</v>
      </c>
      <c r="E20" s="150">
        <f t="shared" si="4"/>
        <v>0</v>
      </c>
      <c r="F20" s="150">
        <f t="shared" si="4"/>
        <v>0</v>
      </c>
      <c r="G20" s="150">
        <f t="shared" si="4"/>
        <v>0</v>
      </c>
      <c r="H20" s="150">
        <f t="shared" si="4"/>
        <v>0</v>
      </c>
      <c r="I20" s="150">
        <f t="shared" si="4"/>
        <v>0</v>
      </c>
      <c r="J20" s="150">
        <f t="shared" si="4"/>
        <v>0</v>
      </c>
      <c r="K20" s="150">
        <f t="shared" si="5"/>
        <v>0</v>
      </c>
      <c r="L20" s="150">
        <f t="shared" si="5"/>
        <v>0</v>
      </c>
      <c r="M20" s="150">
        <f t="shared" si="5"/>
        <v>0</v>
      </c>
      <c r="N20" s="150">
        <f t="shared" si="5"/>
        <v>0</v>
      </c>
      <c r="O20" s="150">
        <f t="shared" si="5"/>
        <v>0</v>
      </c>
      <c r="P20" s="150">
        <f t="shared" si="5"/>
        <v>0</v>
      </c>
      <c r="Q20" s="151">
        <f t="shared" si="6"/>
        <v>0</v>
      </c>
      <c r="U20" s="62">
        <f t="shared" si="3"/>
        <v>1900</v>
      </c>
      <c r="V20" s="56"/>
      <c r="W20" s="67"/>
    </row>
    <row r="21" spans="1:23" s="5" customFormat="1" ht="15.6" x14ac:dyDescent="0.3">
      <c r="A21" s="145">
        <f>Proposal!A22</f>
        <v>0</v>
      </c>
      <c r="B21" s="149">
        <f>Proposal!C22</f>
        <v>0</v>
      </c>
      <c r="C21" s="254">
        <f>Proposal!D22</f>
        <v>0</v>
      </c>
      <c r="D21" s="257">
        <f>IF(Proposal!R22=TRUE,Proposal!F22,Proposal!E22)</f>
        <v>0</v>
      </c>
      <c r="E21" s="150">
        <f t="shared" si="4"/>
        <v>0</v>
      </c>
      <c r="F21" s="150">
        <f t="shared" si="4"/>
        <v>0</v>
      </c>
      <c r="G21" s="150">
        <f t="shared" si="4"/>
        <v>0</v>
      </c>
      <c r="H21" s="150">
        <f t="shared" si="4"/>
        <v>0</v>
      </c>
      <c r="I21" s="150">
        <f t="shared" si="4"/>
        <v>0</v>
      </c>
      <c r="J21" s="150">
        <f t="shared" si="4"/>
        <v>0</v>
      </c>
      <c r="K21" s="150">
        <f t="shared" si="5"/>
        <v>0</v>
      </c>
      <c r="L21" s="150">
        <f t="shared" si="5"/>
        <v>0</v>
      </c>
      <c r="M21" s="150">
        <f t="shared" si="5"/>
        <v>0</v>
      </c>
      <c r="N21" s="150">
        <f t="shared" si="5"/>
        <v>0</v>
      </c>
      <c r="O21" s="150">
        <f t="shared" si="5"/>
        <v>0</v>
      </c>
      <c r="P21" s="150">
        <f t="shared" si="5"/>
        <v>0</v>
      </c>
      <c r="Q21" s="151">
        <f t="shared" si="6"/>
        <v>0</v>
      </c>
      <c r="U21" s="62">
        <f t="shared" si="3"/>
        <v>1900</v>
      </c>
      <c r="V21" s="56"/>
      <c r="W21" s="67"/>
    </row>
    <row r="22" spans="1:23" s="5" customFormat="1" ht="15.6" x14ac:dyDescent="0.3">
      <c r="A22" s="145">
        <f>Proposal!A23</f>
        <v>0</v>
      </c>
      <c r="B22" s="149">
        <f>Proposal!C23</f>
        <v>0</v>
      </c>
      <c r="C22" s="254">
        <f>Proposal!D23</f>
        <v>0</v>
      </c>
      <c r="D22" s="257">
        <f>IF(Proposal!R23=TRUE,Proposal!F23,Proposal!E23)</f>
        <v>0</v>
      </c>
      <c r="E22" s="150">
        <f t="shared" si="4"/>
        <v>0</v>
      </c>
      <c r="F22" s="150">
        <f t="shared" si="4"/>
        <v>0</v>
      </c>
      <c r="G22" s="150">
        <f t="shared" si="4"/>
        <v>0</v>
      </c>
      <c r="H22" s="150">
        <f t="shared" si="4"/>
        <v>0</v>
      </c>
      <c r="I22" s="150">
        <f t="shared" si="4"/>
        <v>0</v>
      </c>
      <c r="J22" s="150">
        <f t="shared" si="4"/>
        <v>0</v>
      </c>
      <c r="K22" s="150">
        <f t="shared" si="5"/>
        <v>0</v>
      </c>
      <c r="L22" s="150">
        <f t="shared" si="5"/>
        <v>0</v>
      </c>
      <c r="M22" s="150">
        <f t="shared" si="5"/>
        <v>0</v>
      </c>
      <c r="N22" s="150">
        <f t="shared" si="5"/>
        <v>0</v>
      </c>
      <c r="O22" s="150">
        <f t="shared" si="5"/>
        <v>0</v>
      </c>
      <c r="P22" s="150">
        <f t="shared" si="5"/>
        <v>0</v>
      </c>
      <c r="Q22" s="151">
        <f t="shared" si="6"/>
        <v>0</v>
      </c>
      <c r="U22" s="62">
        <f t="shared" si="3"/>
        <v>1900</v>
      </c>
      <c r="V22" s="56"/>
      <c r="W22" s="67"/>
    </row>
    <row r="23" spans="1:23" s="5" customFormat="1" ht="15.6" x14ac:dyDescent="0.3">
      <c r="A23" s="145">
        <f>Proposal!A24</f>
        <v>0</v>
      </c>
      <c r="B23" s="149">
        <f>Proposal!C24</f>
        <v>0</v>
      </c>
      <c r="C23" s="254">
        <f>Proposal!D24</f>
        <v>0</v>
      </c>
      <c r="D23" s="257">
        <f>IF(Proposal!R24=TRUE,Proposal!F24,Proposal!E24)</f>
        <v>0</v>
      </c>
      <c r="E23" s="150">
        <f t="shared" si="4"/>
        <v>0</v>
      </c>
      <c r="F23" s="150">
        <f t="shared" si="4"/>
        <v>0</v>
      </c>
      <c r="G23" s="150">
        <f t="shared" si="4"/>
        <v>0</v>
      </c>
      <c r="H23" s="150">
        <f t="shared" si="4"/>
        <v>0</v>
      </c>
      <c r="I23" s="150">
        <f t="shared" si="4"/>
        <v>0</v>
      </c>
      <c r="J23" s="150">
        <f t="shared" si="4"/>
        <v>0</v>
      </c>
      <c r="K23" s="150">
        <f t="shared" si="5"/>
        <v>0</v>
      </c>
      <c r="L23" s="150">
        <f t="shared" si="5"/>
        <v>0</v>
      </c>
      <c r="M23" s="150">
        <f t="shared" si="5"/>
        <v>0</v>
      </c>
      <c r="N23" s="150">
        <f t="shared" si="5"/>
        <v>0</v>
      </c>
      <c r="O23" s="150">
        <f t="shared" si="5"/>
        <v>0</v>
      </c>
      <c r="P23" s="150">
        <f t="shared" si="5"/>
        <v>0</v>
      </c>
      <c r="Q23" s="151">
        <f t="shared" si="6"/>
        <v>0</v>
      </c>
      <c r="U23" s="62">
        <f t="shared" si="3"/>
        <v>1900</v>
      </c>
      <c r="V23" s="56"/>
      <c r="W23" s="67"/>
    </row>
    <row r="24" spans="1:23" s="5" customFormat="1" ht="15.6" x14ac:dyDescent="0.3">
      <c r="A24" s="145">
        <f>Proposal!A25</f>
        <v>0</v>
      </c>
      <c r="B24" s="149">
        <f>Proposal!C25</f>
        <v>0</v>
      </c>
      <c r="C24" s="254">
        <f>Proposal!D25</f>
        <v>0</v>
      </c>
      <c r="D24" s="257">
        <f>IF(Proposal!R25=TRUE,Proposal!F25,Proposal!E25)</f>
        <v>0</v>
      </c>
      <c r="E24" s="150">
        <f t="shared" ref="E24:J27" si="7">IF(E$4=MONTH($D24),$A24*1000*$C24*0.5,0)+(IF(E$4+6=MONTH($D24),$A24*1000*$C24*0.5,0))</f>
        <v>0</v>
      </c>
      <c r="F24" s="150">
        <f t="shared" si="7"/>
        <v>0</v>
      </c>
      <c r="G24" s="150">
        <f t="shared" si="7"/>
        <v>0</v>
      </c>
      <c r="H24" s="150">
        <f t="shared" si="7"/>
        <v>0</v>
      </c>
      <c r="I24" s="150">
        <f t="shared" si="7"/>
        <v>0</v>
      </c>
      <c r="J24" s="150">
        <f t="shared" si="7"/>
        <v>0</v>
      </c>
      <c r="K24" s="150">
        <f t="shared" ref="K24:P27" si="8">IF(K$4=MONTH($D24),$A24*1000*$C24*0.5,0)+(IF(K$4-6=MONTH($D24),$A24*1000*$C24*0.5,0))</f>
        <v>0</v>
      </c>
      <c r="L24" s="150">
        <f t="shared" si="8"/>
        <v>0</v>
      </c>
      <c r="M24" s="150">
        <f t="shared" si="8"/>
        <v>0</v>
      </c>
      <c r="N24" s="150">
        <f t="shared" si="8"/>
        <v>0</v>
      </c>
      <c r="O24" s="150">
        <f t="shared" si="8"/>
        <v>0</v>
      </c>
      <c r="P24" s="150">
        <f t="shared" si="8"/>
        <v>0</v>
      </c>
      <c r="Q24" s="151">
        <f t="shared" si="6"/>
        <v>0</v>
      </c>
      <c r="U24" s="62">
        <f t="shared" si="3"/>
        <v>1900</v>
      </c>
      <c r="V24" s="56"/>
      <c r="W24" s="67"/>
    </row>
    <row r="25" spans="1:23" s="5" customFormat="1" ht="15.6" x14ac:dyDescent="0.3">
      <c r="A25" s="145">
        <f>Proposal!A26</f>
        <v>0</v>
      </c>
      <c r="B25" s="149">
        <f>Proposal!C26</f>
        <v>0</v>
      </c>
      <c r="C25" s="254">
        <f>Proposal!D26</f>
        <v>0</v>
      </c>
      <c r="D25" s="257">
        <f>IF(Proposal!R26=TRUE,Proposal!F26,Proposal!E26)</f>
        <v>0</v>
      </c>
      <c r="E25" s="150">
        <f t="shared" si="7"/>
        <v>0</v>
      </c>
      <c r="F25" s="150">
        <f t="shared" si="7"/>
        <v>0</v>
      </c>
      <c r="G25" s="150">
        <f t="shared" si="7"/>
        <v>0</v>
      </c>
      <c r="H25" s="150">
        <f t="shared" si="7"/>
        <v>0</v>
      </c>
      <c r="I25" s="150">
        <f t="shared" si="7"/>
        <v>0</v>
      </c>
      <c r="J25" s="150">
        <f t="shared" si="7"/>
        <v>0</v>
      </c>
      <c r="K25" s="150">
        <f t="shared" si="8"/>
        <v>0</v>
      </c>
      <c r="L25" s="150">
        <f t="shared" si="8"/>
        <v>0</v>
      </c>
      <c r="M25" s="150">
        <f t="shared" si="8"/>
        <v>0</v>
      </c>
      <c r="N25" s="150">
        <f t="shared" si="8"/>
        <v>0</v>
      </c>
      <c r="O25" s="150">
        <f t="shared" si="8"/>
        <v>0</v>
      </c>
      <c r="P25" s="150">
        <f t="shared" si="8"/>
        <v>0</v>
      </c>
      <c r="Q25" s="151">
        <f t="shared" si="6"/>
        <v>0</v>
      </c>
      <c r="U25" s="62">
        <f t="shared" si="3"/>
        <v>1900</v>
      </c>
      <c r="V25" s="56"/>
      <c r="W25" s="67"/>
    </row>
    <row r="26" spans="1:23" s="5" customFormat="1" ht="15.6" x14ac:dyDescent="0.3">
      <c r="A26" s="145">
        <f>Proposal!A27</f>
        <v>0</v>
      </c>
      <c r="B26" s="149">
        <f>Proposal!C27</f>
        <v>0</v>
      </c>
      <c r="C26" s="254">
        <f>Proposal!D27</f>
        <v>0</v>
      </c>
      <c r="D26" s="257">
        <f>IF(Proposal!R27=TRUE,Proposal!F27,Proposal!E27)</f>
        <v>0</v>
      </c>
      <c r="E26" s="150">
        <f t="shared" si="7"/>
        <v>0</v>
      </c>
      <c r="F26" s="150">
        <f t="shared" si="7"/>
        <v>0</v>
      </c>
      <c r="G26" s="150">
        <f t="shared" si="7"/>
        <v>0</v>
      </c>
      <c r="H26" s="150">
        <f t="shared" si="7"/>
        <v>0</v>
      </c>
      <c r="I26" s="150">
        <f t="shared" si="7"/>
        <v>0</v>
      </c>
      <c r="J26" s="150">
        <f t="shared" si="7"/>
        <v>0</v>
      </c>
      <c r="K26" s="150">
        <f t="shared" si="8"/>
        <v>0</v>
      </c>
      <c r="L26" s="150">
        <f t="shared" si="8"/>
        <v>0</v>
      </c>
      <c r="M26" s="150">
        <f t="shared" si="8"/>
        <v>0</v>
      </c>
      <c r="N26" s="150">
        <f t="shared" si="8"/>
        <v>0</v>
      </c>
      <c r="O26" s="150">
        <f t="shared" si="8"/>
        <v>0</v>
      </c>
      <c r="P26" s="150">
        <f t="shared" si="8"/>
        <v>0</v>
      </c>
      <c r="Q26" s="151">
        <f t="shared" si="6"/>
        <v>0</v>
      </c>
      <c r="U26" s="62">
        <f t="shared" si="3"/>
        <v>1900</v>
      </c>
      <c r="V26" s="56"/>
      <c r="W26" s="67"/>
    </row>
    <row r="27" spans="1:23" s="5" customFormat="1" ht="15.6" x14ac:dyDescent="0.3">
      <c r="A27" s="152">
        <f>Proposal!A28</f>
        <v>0</v>
      </c>
      <c r="B27" s="153">
        <f>Proposal!C28</f>
        <v>0</v>
      </c>
      <c r="C27" s="255">
        <f>Proposal!D28</f>
        <v>0</v>
      </c>
      <c r="D27" s="258">
        <f>IF(Proposal!R28=TRUE,Proposal!F28,Proposal!E28)</f>
        <v>0</v>
      </c>
      <c r="E27" s="154">
        <f t="shared" si="7"/>
        <v>0</v>
      </c>
      <c r="F27" s="154">
        <f t="shared" si="7"/>
        <v>0</v>
      </c>
      <c r="G27" s="154">
        <f t="shared" si="7"/>
        <v>0</v>
      </c>
      <c r="H27" s="154">
        <f t="shared" si="7"/>
        <v>0</v>
      </c>
      <c r="I27" s="154">
        <f t="shared" si="7"/>
        <v>0</v>
      </c>
      <c r="J27" s="154">
        <f t="shared" si="7"/>
        <v>0</v>
      </c>
      <c r="K27" s="154">
        <f t="shared" si="8"/>
        <v>0</v>
      </c>
      <c r="L27" s="154">
        <f t="shared" si="8"/>
        <v>0</v>
      </c>
      <c r="M27" s="154">
        <f t="shared" si="8"/>
        <v>0</v>
      </c>
      <c r="N27" s="154">
        <f t="shared" si="8"/>
        <v>0</v>
      </c>
      <c r="O27" s="154">
        <f t="shared" si="8"/>
        <v>0</v>
      </c>
      <c r="P27" s="154">
        <f t="shared" si="8"/>
        <v>0</v>
      </c>
      <c r="Q27" s="155">
        <f t="shared" si="6"/>
        <v>0</v>
      </c>
      <c r="U27" s="62">
        <f t="shared" si="3"/>
        <v>1900</v>
      </c>
      <c r="V27" s="56"/>
      <c r="W27" s="67"/>
    </row>
    <row r="28" spans="1:23" s="5" customFormat="1" ht="15.6" x14ac:dyDescent="0.3">
      <c r="A28" s="156">
        <f>SUM(A6:A27)</f>
        <v>2000</v>
      </c>
      <c r="B28" s="18" t="s">
        <v>52</v>
      </c>
      <c r="C28" s="157"/>
      <c r="D28" s="142"/>
      <c r="E28" s="158">
        <f t="shared" ref="E28:P28" si="9">SUM(E6:E27)</f>
        <v>2500</v>
      </c>
      <c r="F28" s="158">
        <f t="shared" si="9"/>
        <v>20000</v>
      </c>
      <c r="G28" s="158">
        <f t="shared" si="9"/>
        <v>0</v>
      </c>
      <c r="H28" s="158">
        <f t="shared" si="9"/>
        <v>21225</v>
      </c>
      <c r="I28" s="158">
        <f t="shared" si="9"/>
        <v>5000</v>
      </c>
      <c r="J28" s="158">
        <f t="shared" si="9"/>
        <v>0</v>
      </c>
      <c r="K28" s="158">
        <f t="shared" si="9"/>
        <v>2500</v>
      </c>
      <c r="L28" s="158">
        <f t="shared" si="9"/>
        <v>20000</v>
      </c>
      <c r="M28" s="158">
        <f t="shared" si="9"/>
        <v>0</v>
      </c>
      <c r="N28" s="158">
        <f t="shared" si="9"/>
        <v>21225</v>
      </c>
      <c r="O28" s="158">
        <f t="shared" si="9"/>
        <v>5000</v>
      </c>
      <c r="P28" s="158">
        <f t="shared" si="9"/>
        <v>0</v>
      </c>
      <c r="Q28" s="158">
        <f>SUM(E28:P28)</f>
        <v>97450</v>
      </c>
      <c r="U28" s="64"/>
      <c r="V28" s="79"/>
      <c r="W28" s="65"/>
    </row>
    <row r="29" spans="1:23" s="5" customFormat="1" ht="15.6" x14ac:dyDescent="0.3">
      <c r="A29" s="18"/>
      <c r="B29" s="18" t="s">
        <v>53</v>
      </c>
      <c r="C29" s="157"/>
      <c r="D29" s="159"/>
      <c r="E29" s="160">
        <f>E28/$Q$28</f>
        <v>2.5654181631605953E-2</v>
      </c>
      <c r="F29" s="160">
        <f t="shared" ref="F29:P29" si="10">F28/$Q$28</f>
        <v>0.20523345305284763</v>
      </c>
      <c r="G29" s="160">
        <f t="shared" si="10"/>
        <v>0</v>
      </c>
      <c r="H29" s="160">
        <f t="shared" si="10"/>
        <v>0.21780400205233452</v>
      </c>
      <c r="I29" s="160">
        <f t="shared" si="10"/>
        <v>5.1308363263211906E-2</v>
      </c>
      <c r="J29" s="160">
        <f t="shared" si="10"/>
        <v>0</v>
      </c>
      <c r="K29" s="160">
        <f t="shared" si="10"/>
        <v>2.5654181631605953E-2</v>
      </c>
      <c r="L29" s="160">
        <f t="shared" si="10"/>
        <v>0.20523345305284763</v>
      </c>
      <c r="M29" s="160">
        <f t="shared" si="10"/>
        <v>0</v>
      </c>
      <c r="N29" s="160">
        <f t="shared" si="10"/>
        <v>0.21780400205233452</v>
      </c>
      <c r="O29" s="160">
        <f t="shared" si="10"/>
        <v>5.1308363263211906E-2</v>
      </c>
      <c r="P29" s="160">
        <f t="shared" si="10"/>
        <v>0</v>
      </c>
      <c r="Q29" s="158"/>
    </row>
    <row r="30" spans="1:23" s="5" customFormat="1" x14ac:dyDescent="0.25">
      <c r="B30" s="1"/>
      <c r="C30" s="7"/>
      <c r="D30" s="39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23" s="5" customFormat="1" x14ac:dyDescent="0.25">
      <c r="B31" s="1"/>
      <c r="C31" s="7"/>
      <c r="D31" s="39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23" s="5" customFormat="1" x14ac:dyDescent="0.25">
      <c r="B32" s="1"/>
      <c r="C32" s="7"/>
      <c r="D32" s="3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 s="5" customFormat="1" x14ac:dyDescent="0.25">
      <c r="B33" s="1"/>
      <c r="C33" s="7"/>
      <c r="D33" s="39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2:16" s="5" customFormat="1" x14ac:dyDescent="0.25">
      <c r="B34" s="1"/>
      <c r="C34" s="7"/>
      <c r="D34" s="39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2:16" s="5" customFormat="1" x14ac:dyDescent="0.25">
      <c r="B35" s="1"/>
      <c r="C35" s="7"/>
      <c r="D35" s="39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s="5" customFormat="1" x14ac:dyDescent="0.25">
      <c r="B36" s="1"/>
      <c r="C36" s="7"/>
      <c r="D36" s="39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s="5" customFormat="1" x14ac:dyDescent="0.25">
      <c r="B37" s="1"/>
      <c r="C37" s="7"/>
      <c r="D37" s="3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2:16" s="5" customFormat="1" x14ac:dyDescent="0.25">
      <c r="B38" s="1"/>
      <c r="C38" s="7"/>
      <c r="D38" s="3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s="5" customFormat="1" x14ac:dyDescent="0.25">
      <c r="B39" s="1"/>
      <c r="C39" s="7"/>
      <c r="D39" s="3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2:16" s="5" customFormat="1" x14ac:dyDescent="0.25">
      <c r="B40" s="1"/>
      <c r="C40" s="7"/>
      <c r="D40" s="3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2:16" s="5" customFormat="1" x14ac:dyDescent="0.25">
      <c r="B41" s="1"/>
      <c r="C41" s="7"/>
      <c r="D41" s="3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s="5" customFormat="1" x14ac:dyDescent="0.25">
      <c r="B42" s="1"/>
      <c r="C42" s="7"/>
      <c r="D42" s="3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16" s="5" customFormat="1" x14ac:dyDescent="0.25">
      <c r="B43" s="1"/>
      <c r="C43" s="7"/>
      <c r="D43" s="3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2:16" s="5" customFormat="1" x14ac:dyDescent="0.25">
      <c r="B44" s="1"/>
      <c r="C44" s="7"/>
      <c r="D44" s="3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16" s="5" customFormat="1" x14ac:dyDescent="0.25">
      <c r="B45" s="1"/>
      <c r="C45" s="7"/>
      <c r="D45" s="3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2:16" s="5" customFormat="1" x14ac:dyDescent="0.25">
      <c r="B46" s="1"/>
      <c r="C46" s="7"/>
      <c r="D46" s="3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2:16" s="5" customFormat="1" x14ac:dyDescent="0.25">
      <c r="B47" s="1"/>
      <c r="C47" s="7"/>
      <c r="D47" s="3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2:16" s="5" customFormat="1" x14ac:dyDescent="0.25">
      <c r="B48" s="1"/>
      <c r="C48" s="7"/>
      <c r="D48" s="3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s="5" customFormat="1" x14ac:dyDescent="0.25">
      <c r="B49" s="1"/>
      <c r="C49" s="7"/>
      <c r="D49" s="3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2:16" s="5" customFormat="1" x14ac:dyDescent="0.25">
      <c r="B50" s="1"/>
      <c r="C50" s="7"/>
      <c r="D50" s="3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2:16" s="5" customFormat="1" x14ac:dyDescent="0.25">
      <c r="B51" s="1"/>
      <c r="C51" s="7"/>
      <c r="D51" s="3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16" s="5" customFormat="1" x14ac:dyDescent="0.25">
      <c r="B52" s="1"/>
      <c r="C52" s="7"/>
      <c r="D52" s="39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2:16" s="5" customFormat="1" x14ac:dyDescent="0.25">
      <c r="B53" s="1"/>
      <c r="C53" s="7"/>
      <c r="D53" s="39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2:16" s="5" customFormat="1" x14ac:dyDescent="0.25">
      <c r="B54" s="1"/>
      <c r="C54" s="7"/>
      <c r="D54" s="3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2:16" s="5" customFormat="1" x14ac:dyDescent="0.25">
      <c r="B55" s="1"/>
      <c r="C55" s="7"/>
      <c r="D55" s="39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16" s="5" customFormat="1" x14ac:dyDescent="0.25">
      <c r="B56" s="1"/>
      <c r="C56" s="7"/>
      <c r="D56" s="3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6" s="5" customFormat="1" x14ac:dyDescent="0.25">
      <c r="B57" s="1"/>
      <c r="C57" s="7"/>
      <c r="D57" s="3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 s="5" customFormat="1" x14ac:dyDescent="0.25">
      <c r="B58" s="1"/>
      <c r="C58" s="7"/>
      <c r="D58" s="39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6" s="5" customFormat="1" x14ac:dyDescent="0.25">
      <c r="B59" s="1"/>
      <c r="C59" s="7"/>
      <c r="D59" s="39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2:16" s="5" customFormat="1" x14ac:dyDescent="0.25">
      <c r="B60" s="8" t="s">
        <v>56</v>
      </c>
      <c r="C60" s="9" t="s">
        <v>54</v>
      </c>
      <c r="D60" s="39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2:16" s="5" customFormat="1" x14ac:dyDescent="0.25">
      <c r="B61" s="37">
        <f t="shared" ref="B61:B66" si="11">YEAR(D6)</f>
        <v>2016</v>
      </c>
      <c r="C61" s="38">
        <f t="shared" ref="C61:C78" si="12">A6/A$28</f>
        <v>0.1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2:16" s="5" customFormat="1" x14ac:dyDescent="0.25">
      <c r="B62" s="37">
        <f t="shared" si="11"/>
        <v>2017</v>
      </c>
      <c r="C62" s="38">
        <f t="shared" si="12"/>
        <v>0.1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16" s="5" customFormat="1" x14ac:dyDescent="0.25">
      <c r="B63" s="37">
        <f t="shared" si="11"/>
        <v>2018</v>
      </c>
      <c r="C63" s="38">
        <f t="shared" si="12"/>
        <v>0.1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2:16" s="5" customFormat="1" x14ac:dyDescent="0.25">
      <c r="B64" s="37">
        <f t="shared" si="11"/>
        <v>2019</v>
      </c>
      <c r="C64" s="38">
        <f t="shared" si="12"/>
        <v>0.1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2:16" s="5" customFormat="1" x14ac:dyDescent="0.25">
      <c r="B65" s="37">
        <f t="shared" si="11"/>
        <v>2020</v>
      </c>
      <c r="C65" s="38">
        <f t="shared" si="12"/>
        <v>0.1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2:16" s="5" customFormat="1" x14ac:dyDescent="0.25">
      <c r="B66" s="37">
        <f t="shared" si="11"/>
        <v>2021</v>
      </c>
      <c r="C66" s="38">
        <f t="shared" si="12"/>
        <v>0.1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2:16" s="5" customFormat="1" x14ac:dyDescent="0.25">
      <c r="B67" s="37"/>
      <c r="C67" s="38">
        <f t="shared" si="12"/>
        <v>0.1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s="5" customFormat="1" x14ac:dyDescent="0.25">
      <c r="B68" s="37"/>
      <c r="C68" s="38">
        <f t="shared" si="12"/>
        <v>0.05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2:16" s="5" customFormat="1" x14ac:dyDescent="0.25">
      <c r="B69" s="37"/>
      <c r="C69" s="38">
        <f t="shared" si="12"/>
        <v>0.05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2:16" s="5" customFormat="1" x14ac:dyDescent="0.25">
      <c r="B70" s="37"/>
      <c r="C70" s="38">
        <f t="shared" si="12"/>
        <v>0.1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2:16" s="5" customFormat="1" x14ac:dyDescent="0.25">
      <c r="B71" s="37"/>
      <c r="C71" s="38">
        <f t="shared" si="12"/>
        <v>0.1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2:16" s="5" customFormat="1" x14ac:dyDescent="0.25">
      <c r="B72" s="37"/>
      <c r="C72" s="38">
        <f t="shared" si="12"/>
        <v>0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2:16" s="5" customFormat="1" x14ac:dyDescent="0.25">
      <c r="B73" s="37"/>
      <c r="C73" s="38">
        <f t="shared" si="12"/>
        <v>0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2:16" s="5" customFormat="1" x14ac:dyDescent="0.25">
      <c r="B74" s="37"/>
      <c r="C74" s="38">
        <f t="shared" si="12"/>
        <v>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2:16" s="5" customFormat="1" x14ac:dyDescent="0.25">
      <c r="B75" s="37"/>
      <c r="C75" s="38">
        <f t="shared" si="12"/>
        <v>0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2:16" s="5" customFormat="1" x14ac:dyDescent="0.25">
      <c r="B76" s="37"/>
      <c r="C76" s="38">
        <f t="shared" si="12"/>
        <v>0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2:16" s="5" customFormat="1" x14ac:dyDescent="0.25">
      <c r="B77" s="37"/>
      <c r="C77" s="38">
        <f t="shared" si="12"/>
        <v>0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2:16" s="5" customFormat="1" x14ac:dyDescent="0.25">
      <c r="B78" s="37"/>
      <c r="C78" s="38">
        <f t="shared" si="12"/>
        <v>0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2:16" s="5" customFormat="1" x14ac:dyDescent="0.25">
      <c r="B79" s="37"/>
      <c r="C79" s="38" t="e">
        <f>#REF!/A$28</f>
        <v>#REF!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2:16" s="5" customFormat="1" x14ac:dyDescent="0.25">
      <c r="B80" s="37"/>
      <c r="C80" s="38" t="e">
        <f>#REF!/A$28</f>
        <v>#REF!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2:16" s="5" customFormat="1" x14ac:dyDescent="0.25">
      <c r="B81" s="37"/>
      <c r="C81" s="38" t="e">
        <f>#REF!/A$28</f>
        <v>#REF!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2:16" s="5" customFormat="1" x14ac:dyDescent="0.25">
      <c r="B82" s="37"/>
      <c r="C82" s="38" t="e">
        <f>#REF!/A$28</f>
        <v>#REF!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2:16" s="5" customFormat="1" x14ac:dyDescent="0.25">
      <c r="B83" s="37"/>
      <c r="C83" s="38" t="e">
        <f>#REF!/A$28</f>
        <v>#REF!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2:16" s="5" customFormat="1" x14ac:dyDescent="0.25">
      <c r="B84" s="37"/>
      <c r="C84" s="38" t="e">
        <f>#REF!/A$28</f>
        <v>#REF!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2:16" s="5" customFormat="1" x14ac:dyDescent="0.25">
      <c r="B85" s="37"/>
      <c r="C85" s="38" t="e">
        <f>#REF!/A$28</f>
        <v>#REF!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2:16" s="5" customFormat="1" x14ac:dyDescent="0.25">
      <c r="B86" s="37"/>
      <c r="C86" s="38" t="e">
        <f>#REF!/A$28</f>
        <v>#REF!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2:16" s="5" customFormat="1" x14ac:dyDescent="0.25">
      <c r="B87" s="37"/>
      <c r="C87" s="38" t="e">
        <f>#REF!/A$28</f>
        <v>#REF!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2:16" s="5" customFormat="1" x14ac:dyDescent="0.25">
      <c r="B88" s="1"/>
      <c r="C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2:16" s="5" customFormat="1" x14ac:dyDescent="0.25">
      <c r="B89" s="1"/>
      <c r="C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2:16" s="5" customFormat="1" x14ac:dyDescent="0.25">
      <c r="B90" s="1"/>
      <c r="C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2:16" s="5" customFormat="1" x14ac:dyDescent="0.25">
      <c r="B91" s="8" t="s">
        <v>56</v>
      </c>
      <c r="C91" s="9" t="s">
        <v>54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2:16" s="5" customFormat="1" x14ac:dyDescent="0.25">
      <c r="B92" s="5">
        <v>2000</v>
      </c>
      <c r="C92" s="7">
        <v>1.5384615384615385E-2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2:16" s="5" customFormat="1" x14ac:dyDescent="0.25">
      <c r="B93" s="5">
        <v>2001</v>
      </c>
      <c r="C93" s="7">
        <v>1.8461538461538463E-2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2:16" s="5" customFormat="1" x14ac:dyDescent="0.25">
      <c r="B94" s="5">
        <v>2002</v>
      </c>
      <c r="C94" s="7">
        <v>3.0769230769230771E-2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2:16" s="5" customFormat="1" x14ac:dyDescent="0.25">
      <c r="B95" s="5">
        <v>2006</v>
      </c>
      <c r="C95" s="7">
        <v>0.08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2:16" s="5" customFormat="1" x14ac:dyDescent="0.25">
      <c r="B96" s="5">
        <v>2008</v>
      </c>
      <c r="C96" s="7">
        <v>1.2307692307692308E-2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2:16" s="5" customFormat="1" x14ac:dyDescent="0.25">
      <c r="B97" s="5">
        <v>2011</v>
      </c>
      <c r="C97" s="7">
        <v>1.5384615384615385E-2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2:16" s="5" customFormat="1" x14ac:dyDescent="0.25">
      <c r="B98" s="5">
        <v>2013</v>
      </c>
      <c r="C98" s="7">
        <v>0.04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2:16" s="5" customFormat="1" x14ac:dyDescent="0.25">
      <c r="B99" s="5">
        <v>2015</v>
      </c>
      <c r="C99" s="7">
        <v>6.1538461538461538E-3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2:16" s="5" customFormat="1" x14ac:dyDescent="0.25">
      <c r="B100" s="5">
        <v>2016</v>
      </c>
      <c r="C100" s="7">
        <v>6.1538461538461538E-3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2:16" s="5" customFormat="1" x14ac:dyDescent="0.25">
      <c r="B101" s="5">
        <v>2019</v>
      </c>
      <c r="C101" s="7">
        <v>0.12</v>
      </c>
    </row>
    <row r="102" spans="2:16" s="5" customFormat="1" x14ac:dyDescent="0.25">
      <c r="B102" s="5">
        <v>2020</v>
      </c>
      <c r="C102" s="7">
        <v>0.12307692307692308</v>
      </c>
    </row>
    <row r="103" spans="2:16" s="5" customFormat="1" x14ac:dyDescent="0.25">
      <c r="B103" s="5">
        <v>2022</v>
      </c>
      <c r="C103" s="7">
        <v>1.5384615384615385E-2</v>
      </c>
    </row>
    <row r="104" spans="2:16" s="5" customFormat="1" x14ac:dyDescent="0.25">
      <c r="B104" s="5">
        <v>2023</v>
      </c>
      <c r="C104" s="7">
        <v>6.1538461538461542E-2</v>
      </c>
    </row>
    <row r="105" spans="2:16" x14ac:dyDescent="0.25">
      <c r="B105" s="5">
        <v>2024</v>
      </c>
      <c r="C105" s="7">
        <v>0.12923076923076923</v>
      </c>
    </row>
    <row r="106" spans="2:16" x14ac:dyDescent="0.25">
      <c r="B106" s="5">
        <v>2025</v>
      </c>
      <c r="C106" s="7">
        <v>0.04</v>
      </c>
    </row>
    <row r="107" spans="2:16" x14ac:dyDescent="0.25">
      <c r="B107" s="5">
        <v>2027</v>
      </c>
      <c r="C107" s="7">
        <v>0.19384615384615386</v>
      </c>
    </row>
    <row r="108" spans="2:16" x14ac:dyDescent="0.25">
      <c r="B108" s="5">
        <v>2028</v>
      </c>
      <c r="C108" s="7">
        <v>4.6153846153846156E-2</v>
      </c>
    </row>
    <row r="109" spans="2:16" x14ac:dyDescent="0.25">
      <c r="B109" s="5">
        <v>2031</v>
      </c>
      <c r="C109" s="7">
        <v>4.6153846153846156E-2</v>
      </c>
    </row>
    <row r="110" spans="2:16" x14ac:dyDescent="0.25">
      <c r="B110" s="5"/>
      <c r="C110" s="5"/>
    </row>
  </sheetData>
  <sheetProtection password="DD15" sheet="1" objects="1" scenarios="1"/>
  <phoneticPr fontId="0" type="noConversion"/>
  <pageMargins left="0.25" right="0" top="0.5" bottom="0" header="0" footer="0"/>
  <pageSetup scale="7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L577"/>
  <sheetViews>
    <sheetView showGridLines="0" showZeros="0" topLeftCell="C1" zoomScale="75" workbookViewId="0">
      <selection activeCell="F36" sqref="F36"/>
    </sheetView>
  </sheetViews>
  <sheetFormatPr defaultColWidth="9.109375" defaultRowHeight="15.6" x14ac:dyDescent="0.3"/>
  <cols>
    <col min="1" max="1" width="9.6640625" style="20" customWidth="1"/>
    <col min="2" max="2" width="16.109375" style="20" customWidth="1"/>
    <col min="3" max="3" width="34.6640625" style="19" customWidth="1"/>
    <col min="4" max="4" width="13.109375" style="20" customWidth="1"/>
    <col min="5" max="5" width="16.109375" style="20" customWidth="1"/>
    <col min="6" max="6" width="12.109375" style="20" customWidth="1"/>
    <col min="7" max="7" width="11.6640625" style="20" customWidth="1"/>
    <col min="8" max="8" width="13.6640625" style="20" customWidth="1"/>
    <col min="9" max="11" width="13.6640625" style="211" customWidth="1"/>
    <col min="12" max="12" width="13.6640625" style="20" customWidth="1"/>
    <col min="13" max="13" width="13.6640625" style="17" customWidth="1"/>
    <col min="14" max="17" width="18.33203125" style="20" customWidth="1"/>
    <col min="18" max="18" width="14.109375" style="20" customWidth="1"/>
    <col min="19" max="19" width="22.44140625" style="20" customWidth="1"/>
    <col min="20" max="20" width="16.6640625" style="18" customWidth="1"/>
    <col min="21" max="29" width="12.6640625" style="18" customWidth="1"/>
    <col min="30" max="30" width="15.6640625" style="18" customWidth="1"/>
    <col min="31" max="42" width="12.6640625" style="18" customWidth="1"/>
    <col min="43" max="43" width="9.109375" style="18"/>
    <col min="44" max="45" width="18.88671875" style="18" customWidth="1"/>
    <col min="46" max="55" width="17.88671875" style="18" customWidth="1"/>
    <col min="56" max="56" width="13.5546875" style="18" customWidth="1"/>
    <col min="57" max="58" width="13.5546875" style="20" customWidth="1"/>
    <col min="59" max="90" width="9.109375" style="18"/>
    <col min="91" max="16384" width="9.109375" style="20"/>
  </cols>
  <sheetData>
    <row r="1" spans="1:67" ht="15.75" customHeight="1" thickBot="1" x14ac:dyDescent="0.35">
      <c r="A1" s="121"/>
      <c r="B1" s="21"/>
      <c r="C1" s="164"/>
      <c r="D1" s="21"/>
      <c r="E1" s="21"/>
      <c r="F1" s="21"/>
      <c r="G1" s="21"/>
      <c r="H1" s="21"/>
      <c r="I1" s="165"/>
      <c r="J1" s="165"/>
      <c r="K1" s="165"/>
      <c r="L1" s="21"/>
      <c r="M1" s="238" t="s">
        <v>140</v>
      </c>
      <c r="S1" s="166"/>
      <c r="T1" s="167"/>
      <c r="U1" s="167"/>
      <c r="V1" s="167"/>
      <c r="W1" s="167"/>
      <c r="X1" s="167"/>
      <c r="Y1" s="117"/>
      <c r="Z1" s="167"/>
      <c r="AA1" s="167"/>
      <c r="AB1" s="167"/>
      <c r="AC1" s="167"/>
      <c r="AD1" s="168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67"/>
      <c r="AU1" s="167"/>
      <c r="AV1" s="167"/>
      <c r="AW1" s="167"/>
      <c r="AX1" s="167"/>
      <c r="AY1" s="167"/>
      <c r="AZ1" s="167"/>
      <c r="BA1" s="167"/>
      <c r="BB1" s="167"/>
      <c r="BC1" s="167"/>
      <c r="BD1" s="167"/>
      <c r="BE1" s="169"/>
      <c r="BF1" s="169"/>
      <c r="BG1" s="170"/>
    </row>
    <row r="2" spans="1:67" ht="18" customHeight="1" x14ac:dyDescent="0.3">
      <c r="A2" s="171"/>
      <c r="B2" s="171"/>
      <c r="C2" s="172"/>
      <c r="D2" s="16"/>
      <c r="E2" s="17"/>
      <c r="F2" s="17"/>
      <c r="G2" s="17"/>
      <c r="H2" s="17"/>
      <c r="I2" s="173"/>
      <c r="J2" s="173"/>
      <c r="K2" s="173"/>
      <c r="L2" s="17"/>
      <c r="M2" s="20"/>
      <c r="S2" s="166"/>
      <c r="T2" s="167"/>
      <c r="U2" s="174"/>
      <c r="V2" s="174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  <c r="BC2" s="167"/>
      <c r="BD2" s="167"/>
      <c r="BE2" s="175"/>
      <c r="BF2" s="169"/>
      <c r="BG2" s="170"/>
    </row>
    <row r="3" spans="1:67" ht="15.75" customHeight="1" x14ac:dyDescent="0.3">
      <c r="A3" s="142"/>
      <c r="B3" s="142"/>
      <c r="C3" s="17"/>
      <c r="D3" s="16"/>
      <c r="E3" s="17"/>
      <c r="F3" s="17"/>
      <c r="G3" s="17"/>
      <c r="H3" s="173"/>
      <c r="I3" s="173"/>
      <c r="J3" s="173"/>
      <c r="K3" s="173"/>
      <c r="L3" s="17"/>
      <c r="M3" s="20"/>
      <c r="S3" s="118" t="s">
        <v>97</v>
      </c>
      <c r="T3" s="167"/>
      <c r="U3" s="176"/>
      <c r="V3" s="176"/>
      <c r="W3" s="117" t="s">
        <v>98</v>
      </c>
      <c r="X3" s="11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17" t="s">
        <v>115</v>
      </c>
      <c r="AT3" s="177"/>
      <c r="AU3" s="167"/>
      <c r="AV3" s="167"/>
      <c r="AW3" s="167"/>
      <c r="AX3" s="167"/>
      <c r="AY3" s="167"/>
      <c r="AZ3" s="167"/>
      <c r="BA3" s="167"/>
      <c r="BB3" s="167"/>
      <c r="BC3" s="167"/>
      <c r="BD3" s="167"/>
      <c r="BE3" s="167"/>
      <c r="BF3" s="169"/>
      <c r="BG3" s="170"/>
    </row>
    <row r="4" spans="1:67" ht="15.75" customHeight="1" x14ac:dyDescent="0.35">
      <c r="A4" s="178"/>
      <c r="B4" s="178"/>
      <c r="C4" s="178"/>
      <c r="D4" s="179"/>
      <c r="E4" s="180"/>
      <c r="F4" s="178"/>
      <c r="G4" s="178"/>
      <c r="H4" s="178"/>
      <c r="I4" s="180"/>
      <c r="J4" s="180"/>
      <c r="K4" s="180"/>
      <c r="L4" s="180"/>
      <c r="M4" s="180"/>
      <c r="S4" s="166"/>
      <c r="T4" s="167"/>
      <c r="U4" s="181"/>
      <c r="V4" s="181"/>
      <c r="W4" s="119" t="s">
        <v>77</v>
      </c>
      <c r="X4" s="119"/>
      <c r="Y4" s="119"/>
      <c r="Z4" s="119"/>
      <c r="AA4" s="119">
        <v>-0.01</v>
      </c>
      <c r="AB4" s="119"/>
      <c r="AC4" s="119"/>
      <c r="AD4" s="119"/>
      <c r="AE4" s="119">
        <v>-5.0000000000000001E-3</v>
      </c>
      <c r="AF4" s="119"/>
      <c r="AG4" s="119"/>
      <c r="AH4" s="119"/>
      <c r="AI4" s="119">
        <v>5.0000000000000001E-3</v>
      </c>
      <c r="AJ4" s="119"/>
      <c r="AK4" s="119"/>
      <c r="AL4" s="119"/>
      <c r="AM4" s="119">
        <v>0.01</v>
      </c>
      <c r="AN4" s="119"/>
      <c r="AO4" s="119"/>
      <c r="AP4" s="119"/>
      <c r="AQ4" s="167"/>
      <c r="AR4" s="167"/>
      <c r="AS4" s="167"/>
      <c r="AT4" s="169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9"/>
      <c r="BF4" s="169"/>
      <c r="BG4" s="170"/>
      <c r="BI4" s="20"/>
      <c r="BJ4" s="20"/>
      <c r="BK4" s="20"/>
      <c r="BL4" s="20"/>
      <c r="BM4" s="20"/>
      <c r="BN4" s="20"/>
      <c r="BO4" s="20"/>
    </row>
    <row r="5" spans="1:67" ht="15.75" customHeight="1" x14ac:dyDescent="0.3">
      <c r="A5" s="355" t="s">
        <v>114</v>
      </c>
      <c r="B5" s="355"/>
      <c r="C5" s="355"/>
      <c r="D5" s="355"/>
      <c r="E5" s="355"/>
      <c r="F5" s="355"/>
      <c r="G5" s="355"/>
      <c r="H5" s="355" t="s">
        <v>135</v>
      </c>
      <c r="I5" s="355">
        <v>-100</v>
      </c>
      <c r="J5" s="355">
        <v>-50</v>
      </c>
      <c r="K5" s="355" t="s">
        <v>67</v>
      </c>
      <c r="L5" s="365" t="s">
        <v>71</v>
      </c>
      <c r="M5" s="365" t="s">
        <v>70</v>
      </c>
      <c r="R5" s="142"/>
      <c r="S5" s="166"/>
      <c r="T5" s="167"/>
      <c r="U5" s="167" t="s">
        <v>72</v>
      </c>
      <c r="V5" s="167"/>
      <c r="W5" s="167" t="s">
        <v>74</v>
      </c>
      <c r="X5" s="167"/>
      <c r="Y5" s="167"/>
      <c r="Z5" s="167" t="s">
        <v>75</v>
      </c>
      <c r="AA5" s="167" t="s">
        <v>74</v>
      </c>
      <c r="AB5" s="167"/>
      <c r="AC5" s="167"/>
      <c r="AD5" s="167" t="s">
        <v>75</v>
      </c>
      <c r="AE5" s="167" t="s">
        <v>74</v>
      </c>
      <c r="AF5" s="167"/>
      <c r="AG5" s="167"/>
      <c r="AH5" s="167" t="s">
        <v>75</v>
      </c>
      <c r="AI5" s="167" t="s">
        <v>74</v>
      </c>
      <c r="AJ5" s="167"/>
      <c r="AK5" s="167"/>
      <c r="AL5" s="167" t="s">
        <v>75</v>
      </c>
      <c r="AM5" s="167" t="s">
        <v>74</v>
      </c>
      <c r="AN5" s="167"/>
      <c r="AO5" s="167"/>
      <c r="AP5" s="167" t="s">
        <v>75</v>
      </c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82"/>
      <c r="BF5" s="182"/>
      <c r="BG5" s="170"/>
      <c r="BI5" s="20"/>
      <c r="BJ5" s="20"/>
      <c r="BK5" s="20"/>
      <c r="BL5" s="20"/>
      <c r="BM5" s="20"/>
      <c r="BN5" s="20"/>
      <c r="BO5" s="20"/>
    </row>
    <row r="6" spans="1:67" ht="15.75" customHeight="1" x14ac:dyDescent="0.3">
      <c r="A6" s="361" t="s">
        <v>15</v>
      </c>
      <c r="B6" s="361" t="s">
        <v>16</v>
      </c>
      <c r="C6" s="361" t="s">
        <v>17</v>
      </c>
      <c r="D6" s="361" t="s">
        <v>18</v>
      </c>
      <c r="E6" s="361" t="s">
        <v>19</v>
      </c>
      <c r="F6" s="361" t="s">
        <v>29</v>
      </c>
      <c r="G6" s="361" t="s">
        <v>21</v>
      </c>
      <c r="H6" s="361" t="s">
        <v>136</v>
      </c>
      <c r="I6" s="366" t="s">
        <v>69</v>
      </c>
      <c r="J6" s="366" t="s">
        <v>69</v>
      </c>
      <c r="K6" s="366" t="s">
        <v>68</v>
      </c>
      <c r="L6" s="366" t="s">
        <v>69</v>
      </c>
      <c r="M6" s="366" t="s">
        <v>69</v>
      </c>
      <c r="R6" s="142"/>
      <c r="S6" s="183" t="s">
        <v>66</v>
      </c>
      <c r="T6" s="119"/>
      <c r="U6" s="119" t="s">
        <v>73</v>
      </c>
      <c r="V6" s="167"/>
      <c r="W6" s="167" t="s">
        <v>105</v>
      </c>
      <c r="X6" s="167" t="s">
        <v>15</v>
      </c>
      <c r="Y6" s="167" t="s">
        <v>19</v>
      </c>
      <c r="Z6" s="167" t="s">
        <v>76</v>
      </c>
      <c r="AA6" s="167" t="s">
        <v>90</v>
      </c>
      <c r="AB6" s="167" t="s">
        <v>15</v>
      </c>
      <c r="AC6" s="167" t="s">
        <v>19</v>
      </c>
      <c r="AD6" s="167" t="s">
        <v>76</v>
      </c>
      <c r="AE6" s="167" t="s">
        <v>90</v>
      </c>
      <c r="AF6" s="167" t="s">
        <v>15</v>
      </c>
      <c r="AG6" s="167" t="s">
        <v>19</v>
      </c>
      <c r="AH6" s="167" t="s">
        <v>76</v>
      </c>
      <c r="AI6" s="167" t="s">
        <v>90</v>
      </c>
      <c r="AJ6" s="167" t="s">
        <v>15</v>
      </c>
      <c r="AK6" s="167" t="s">
        <v>19</v>
      </c>
      <c r="AL6" s="167" t="s">
        <v>76</v>
      </c>
      <c r="AM6" s="167" t="s">
        <v>90</v>
      </c>
      <c r="AN6" s="167" t="s">
        <v>15</v>
      </c>
      <c r="AO6" s="167" t="s">
        <v>19</v>
      </c>
      <c r="AP6" s="167" t="s">
        <v>76</v>
      </c>
      <c r="AQ6" s="167"/>
      <c r="AR6" s="169"/>
      <c r="AS6" s="119" t="s">
        <v>117</v>
      </c>
      <c r="AT6" s="119" t="s">
        <v>79</v>
      </c>
      <c r="AU6" s="119" t="s">
        <v>80</v>
      </c>
      <c r="AV6" s="119" t="s">
        <v>99</v>
      </c>
      <c r="AW6" s="119" t="s">
        <v>100</v>
      </c>
      <c r="AX6" s="119" t="s">
        <v>81</v>
      </c>
      <c r="AY6" s="119" t="s">
        <v>84</v>
      </c>
      <c r="AZ6" s="184" t="s">
        <v>82</v>
      </c>
      <c r="BA6" s="184" t="s">
        <v>83</v>
      </c>
      <c r="BB6" s="184" t="s">
        <v>71</v>
      </c>
      <c r="BC6" s="119">
        <v>100</v>
      </c>
      <c r="BD6" s="167"/>
      <c r="BE6" s="185" t="s">
        <v>62</v>
      </c>
      <c r="BF6" s="185" t="s">
        <v>65</v>
      </c>
      <c r="BG6" s="170"/>
      <c r="BI6" s="20"/>
      <c r="BJ6" s="20"/>
      <c r="BK6" s="20"/>
      <c r="BL6" s="20"/>
      <c r="BM6" s="20"/>
      <c r="BN6" s="20"/>
      <c r="BO6" s="20"/>
    </row>
    <row r="7" spans="1:67" x14ac:dyDescent="0.3">
      <c r="A7" s="156">
        <f>Proposal!A7</f>
        <v>200</v>
      </c>
      <c r="B7" s="18" t="str">
        <f>Proposal!B7</f>
        <v>AAA/AAA</v>
      </c>
      <c r="C7" s="42" t="str">
        <f>Proposal!C7</f>
        <v>SPRING TX ISD PSF</v>
      </c>
      <c r="D7" s="160">
        <f>Proposal!D7</f>
        <v>0.05</v>
      </c>
      <c r="E7" s="247">
        <f>Income!D6</f>
        <v>42597</v>
      </c>
      <c r="F7" s="246">
        <f>Proposal!BG7</f>
        <v>4.4000789567477272E-2</v>
      </c>
      <c r="G7" s="219">
        <f>Proposal!J7</f>
        <v>104.70699999999999</v>
      </c>
      <c r="H7" s="124">
        <f t="shared" ref="H7:H28" si="0">IF($T7=TRUE,0,S7)</f>
        <v>7.6241780177656402</v>
      </c>
      <c r="I7" s="125">
        <f t="shared" ref="I7:I28" ca="1" si="1">IF($T7=TRUE,0,AD7)</f>
        <v>0.11768322557556354</v>
      </c>
      <c r="J7" s="125">
        <f t="shared" ref="J7:J28" ca="1" si="2">IF($T7=TRUE,0,AH7)</f>
        <v>8.0067892329447332E-2</v>
      </c>
      <c r="K7" s="125">
        <f t="shared" ref="K7:K28" ca="1" si="3">IF($T7=TRUE,0,Z7)</f>
        <v>4.4016319398129555E-2</v>
      </c>
      <c r="L7" s="125">
        <f t="shared" ref="L7:L28" ca="1" si="4">IF($T7=TRUE,0,AL7)</f>
        <v>9.4579209757852389E-3</v>
      </c>
      <c r="M7" s="125">
        <f t="shared" ref="M7:M28" ca="1" si="5">IF($T7=TRUE,0,AP7)</f>
        <v>-3.4050495911969625E-2</v>
      </c>
      <c r="N7" s="18"/>
      <c r="O7" s="18"/>
      <c r="P7" s="18"/>
      <c r="Q7" s="18"/>
      <c r="R7" s="17"/>
      <c r="S7" s="186">
        <f>MDURATION(BF7,Proposal!BH7,D7,F7,2,0)</f>
        <v>7.6241780177656402</v>
      </c>
      <c r="T7" s="167" t="b">
        <f t="shared" ref="T7:T28" si="6">ISERR(S7)</f>
        <v>0</v>
      </c>
      <c r="U7" s="187">
        <f t="shared" ref="U7:U28" si="7">D7*A7*1000</f>
        <v>10000</v>
      </c>
      <c r="V7" s="188"/>
      <c r="W7" s="197">
        <f ca="1">IF(Proposal!$F7=0,1000,IF(DAYS360(Summary!$B$5,Proposal!$F7)&lt;360,1000,PRICE($BF7+360,Proposal!$F7,$D7,$F7,Proposal!$G7,2,0)))</f>
        <v>104.31581675521993</v>
      </c>
      <c r="X7" s="193">
        <f>IF(Proposal!$H7=0,1000,IF(DAYS360(Summary!$B$5,Proposal!$H7)&lt;360,1000,PRICE($BF7+360,Proposal!$H7,$D7,$F7,100,2,0)))</f>
        <v>1000</v>
      </c>
      <c r="Y7" s="190">
        <f ca="1">IF($E7=0,1000,IF(DAYS360(Summary!$B$5,$E7)&lt;360,1000,PRICE($BF7+360,$E7,$D7,$F7,100,2,0)))</f>
        <v>106.13689110551219</v>
      </c>
      <c r="Z7" s="196">
        <f t="shared" ref="Z7:Z28" ca="1" si="8">IF(MIN(W7:Y7)=1000,0,(MIN(W7:Y7)*$A7*10+$U7)/($G7*$A7*10)-1)</f>
        <v>4.4016319398129555E-2</v>
      </c>
      <c r="AA7" s="197">
        <f ca="1">IF(Proposal!$F7=0,1000,IF(DAYS360(Summary!$B$5,Proposal!$F7)&lt;360,1000,PRICE($BF7+360,Proposal!$F7,$D7,$F7+AA$4,Proposal!$G7,2,0)))</f>
        <v>112.02925750034052</v>
      </c>
      <c r="AB7" s="193">
        <f>IF(Proposal!$H7=0,1000,IF(DAYS360(Summary!$B$5,Proposal!$H7)&lt;360,1000,PRICE($BF7+360,Proposal!$H7,$D7,$F7+AA$4,100,2,0)))</f>
        <v>1000</v>
      </c>
      <c r="AC7" s="190">
        <f ca="1">IF($E7=0,1000,IF(DAYS360(Summary!$B$5,$E7)&lt;360,1000,PRICE($BF7+360,$E7,$D7,$F7+AA$4,100,2,0)))</f>
        <v>117.46212404873998</v>
      </c>
      <c r="AD7" s="168">
        <f t="shared" ref="AD7:AD28" ca="1" si="9">IF(MIN(AA7:AC7)=1000,0,(MIN(AA7:AC7)*$A7*10+$U7)/($G7*$A7*10)-1)</f>
        <v>0.11768322557556354</v>
      </c>
      <c r="AE7" s="197">
        <f ca="1">IF(Proposal!$F7=0,1000,IF(DAYS360(Summary!$B$5,Proposal!$F7)&lt;360,1000,PRICE($BF7+360,Proposal!$F7,$D7,$F7+AE$4,Proposal!$G7,2,0)))</f>
        <v>108.09066880213943</v>
      </c>
      <c r="AF7" s="193">
        <f>IF(Proposal!$H7=0,1000,IF(DAYS360(Summary!$B$5,Proposal!$H7)&lt;360,1000,PRICE($BF7+360,Proposal!$H7,$D7,$F7+AE$4,100,2,0)))</f>
        <v>1000</v>
      </c>
      <c r="AG7" s="190">
        <f ca="1">IF($E7=0,1000,IF(DAYS360(Summary!$B$5,$E7)&lt;360,1000,PRICE($BF7+360,$E7,$D7,$F7+AE$4,100,2,0)))</f>
        <v>111.62171125836714</v>
      </c>
      <c r="AH7" s="168">
        <f t="shared" ref="AH7:AH28" ca="1" si="10">IF(MIN(AE7:AG7)=1000,0,(MIN(AE7:AG7)*$A7*10+$U7)/($G7*$A7*10)-1)</f>
        <v>8.0067892329447332E-2</v>
      </c>
      <c r="AI7" s="197">
        <f ca="1">IF(Proposal!$F7=0,1000,IF(DAYS360(Summary!$B$5,Proposal!$F7)&lt;360,1000,PRICE($BF7+360,Proposal!$F7,$D7,$F7+AI$4,Proposal!$G7,2,0)))</f>
        <v>100.69731053161154</v>
      </c>
      <c r="AJ7" s="193">
        <f>IF(Proposal!$H7=0,1000,IF(DAYS360(Summary!$B$5,Proposal!$H7)&lt;360,1000,PRICE($BF7+360,Proposal!$H7,$D7,$F7+AI$4,100,2,0)))</f>
        <v>1000</v>
      </c>
      <c r="AK7" s="190">
        <f ca="1">IF($E7=0,1000,IF(DAYS360(Summary!$B$5,$E7)&lt;360,1000,PRICE($BF7+360,$E7,$D7,$F7+AI$4,100,2,0)))</f>
        <v>100.98416620615241</v>
      </c>
      <c r="AL7" s="168">
        <f t="shared" ref="AL7:AL28" ca="1" si="11">IF(MIN(AI7:AK7)=1000,0,(MIN(AI7:AK7)*$A7*10+$U7)/($G7*$A7*10)-1)</f>
        <v>9.4579209757852389E-3</v>
      </c>
      <c r="AM7" s="197">
        <f ca="1">IF(Proposal!$F7=0,1000,IF(DAYS360(Summary!$B$5,Proposal!$F7)&lt;360,1000,PRICE($BF7+360,Proposal!$F7,$D7,$F7+AM$4,Proposal!$G7,2,0)))</f>
        <v>97.228113837612753</v>
      </c>
      <c r="AN7" s="193">
        <f>IF(Proposal!$H7=0,1000,IF(DAYS360(Summary!$B$5,Proposal!$H7)&lt;360,1000,PRICE($BF7+360,Proposal!$H7,$D7,$F7+AM$4,100,2,0)))</f>
        <v>1000</v>
      </c>
      <c r="AO7" s="190">
        <f ca="1">IF($E7=0,1000,IF(DAYS360(Summary!$B$5,$E7)&lt;360,1000,PRICE($BF7+360,$E7,$D7,$F7+AM$4,100,2,0)))</f>
        <v>96.141674724545396</v>
      </c>
      <c r="AP7" s="168">
        <f t="shared" ref="AP7:AP28" ca="1" si="12">IF(MIN(AM7:AO7)=1000,0,(MIN(AM7:AO7)*$A7*10+$U7)/($G7*$A7*10)-1)</f>
        <v>-3.4050495911969625E-2</v>
      </c>
      <c r="AQ7" s="167"/>
      <c r="AR7" s="169"/>
      <c r="AS7" s="188">
        <f t="shared" ref="AS7:AS28" si="13">A7*G7*10</f>
        <v>209413.99999999997</v>
      </c>
      <c r="AT7" s="191">
        <f t="shared" ref="AT7:AT28" si="14">AS7*D7/AS$29</f>
        <v>5.1946396093812781E-3</v>
      </c>
      <c r="AU7" s="192">
        <f t="shared" ref="AU7:AU28" si="15">AS7*E7/AS$29</f>
        <v>4425.5212688162856</v>
      </c>
      <c r="AV7" s="192">
        <f>AS7*F7/AS$29</f>
        <v>4.5713648866253587E-3</v>
      </c>
      <c r="AW7" s="189">
        <f>AS7*Proposal!M7/AS$29</f>
        <v>4.9611197048729109E-3</v>
      </c>
      <c r="AX7" s="193">
        <f>AS7*H7/AS$29</f>
        <v>0.79209714240118867</v>
      </c>
      <c r="AY7" s="167">
        <f t="shared" ref="AY7:AY28" ca="1" si="16">$A7*K7/$A$30</f>
        <v>4.4016319398129554E-3</v>
      </c>
      <c r="AZ7" s="167">
        <f ca="1">$A7*I7/$A$30</f>
        <v>1.1768322557556355E-2</v>
      </c>
      <c r="BA7" s="167">
        <f ca="1">$A7*J7/$A$30</f>
        <v>8.0067892329447332E-3</v>
      </c>
      <c r="BB7" s="167">
        <f ca="1">$A7*L7/$A$30</f>
        <v>9.4579209757852392E-4</v>
      </c>
      <c r="BC7" s="167">
        <f ca="1">$A7*M7/$A$30</f>
        <v>-3.4050495911969623E-3</v>
      </c>
      <c r="BD7" s="167"/>
      <c r="BE7" s="208">
        <f>Enter!B3</f>
        <v>37226</v>
      </c>
      <c r="BF7" s="208">
        <f>Enter!C3</f>
        <v>37211</v>
      </c>
      <c r="BG7" s="170"/>
      <c r="BI7" s="20"/>
      <c r="BJ7" s="20"/>
      <c r="BK7" s="20"/>
      <c r="BL7" s="20"/>
      <c r="BM7" s="20"/>
      <c r="BN7" s="20"/>
      <c r="BO7" s="20"/>
    </row>
    <row r="8" spans="1:67" x14ac:dyDescent="0.3">
      <c r="A8" s="156">
        <f>Proposal!A8</f>
        <v>200</v>
      </c>
      <c r="B8" s="18" t="str">
        <f>Proposal!B8</f>
        <v>AAA/AAA</v>
      </c>
      <c r="C8" s="42" t="str">
        <f>Proposal!C8</f>
        <v>PORT HOUSTON</v>
      </c>
      <c r="D8" s="160">
        <f>Proposal!D8</f>
        <v>4.7500000000000001E-2</v>
      </c>
      <c r="E8" s="247">
        <f>Income!D7</f>
        <v>43009</v>
      </c>
      <c r="F8" s="210">
        <f>Proposal!BG8</f>
        <v>4.5500440824577805E-2</v>
      </c>
      <c r="G8" s="219">
        <f>Proposal!J8</f>
        <v>101.566</v>
      </c>
      <c r="H8" s="126">
        <f t="shared" si="0"/>
        <v>7.7552339232072152</v>
      </c>
      <c r="I8" s="127">
        <f t="shared" ca="1" si="1"/>
        <v>0.12038615841167744</v>
      </c>
      <c r="J8" s="127">
        <f t="shared" ca="1" si="2"/>
        <v>8.2144527570881642E-2</v>
      </c>
      <c r="K8" s="127">
        <f t="shared" ca="1" si="3"/>
        <v>4.5509634632166618E-2</v>
      </c>
      <c r="L8" s="127">
        <f t="shared" ca="1" si="4"/>
        <v>6.7961711347330755E-4</v>
      </c>
      <c r="M8" s="127">
        <f t="shared" ca="1" si="5"/>
        <v>-4.7703417664744063E-2</v>
      </c>
      <c r="N8" s="18"/>
      <c r="O8" s="18"/>
      <c r="P8" s="18"/>
      <c r="Q8" s="18"/>
      <c r="S8" s="194">
        <f>MDURATION(BF8,Proposal!BH8,D8,F8,2,0)</f>
        <v>7.7552339232072152</v>
      </c>
      <c r="T8" s="167" t="b">
        <f t="shared" si="6"/>
        <v>0</v>
      </c>
      <c r="U8" s="195">
        <f t="shared" si="7"/>
        <v>9500</v>
      </c>
      <c r="V8" s="188"/>
      <c r="W8" s="197">
        <f ca="1">IF(Proposal!$F8=0,1000,IF(DAYS360(Summary!$B$5,Proposal!$F8)&lt;360,1000,PRICE($BF8+360,Proposal!$F8,$D8,$F8,Proposal!$G8,2,0)))</f>
        <v>101.43823155105065</v>
      </c>
      <c r="X8" s="193">
        <f>IF(Proposal!$H8=0,1000,IF(DAYS360(Summary!$B$5,Proposal!$H8)&lt;360,1000,PRICE($BF8+360,Proposal!$H8,$D8,$F8,100,2,0)))</f>
        <v>1000</v>
      </c>
      <c r="Y8" s="190">
        <f ca="1">IF($E8=0,1000,IF(DAYS360(Summary!$B$5,$E8)&lt;360,1000,PRICE($BF8+360,$E8,$D8,$F8,100,2,0)))</f>
        <v>102.13632894749358</v>
      </c>
      <c r="Z8" s="196">
        <f t="shared" ca="1" si="8"/>
        <v>4.5509634632166618E-2</v>
      </c>
      <c r="AA8" s="197">
        <f ca="1">IF(Proposal!$F8=0,1000,IF(DAYS360(Summary!$B$5,Proposal!$F8)&lt;360,1000,PRICE($BF8+360,Proposal!$F8,$D8,$F8+AA$4,Proposal!$G8,2,0)))</f>
        <v>109.04314056524044</v>
      </c>
      <c r="AB8" s="193">
        <f>IF(Proposal!$H8=0,1000,IF(DAYS360(Summary!$B$5,Proposal!$H8)&lt;360,1000,PRICE($BF8+360,Proposal!$H8,$D8,$F8+AA$4,100,2,0)))</f>
        <v>1000</v>
      </c>
      <c r="AC8" s="190">
        <f ca="1">IF($E8=0,1000,IF(DAYS360(Summary!$B$5,$E8)&lt;360,1000,PRICE($BF8+360,$E8,$D8,$F8+AA$4,100,2,0)))</f>
        <v>113.7546241948509</v>
      </c>
      <c r="AD8" s="168">
        <f t="shared" ca="1" si="9"/>
        <v>0.12038615841167744</v>
      </c>
      <c r="AE8" s="197">
        <f ca="1">IF(Proposal!$F8=0,1000,IF(DAYS360(Summary!$B$5,Proposal!$F8)&lt;360,1000,PRICE($BF8+360,Proposal!$F8,$D8,$F8+AE$4,Proposal!$G8,2,0)))</f>
        <v>105.15909108726417</v>
      </c>
      <c r="AF8" s="193">
        <f>IF(Proposal!$H8=0,1000,IF(DAYS360(Summary!$B$5,Proposal!$H8)&lt;360,1000,PRICE($BF8+360,Proposal!$H8,$D8,$F8+AE$4,100,2,0)))</f>
        <v>1000</v>
      </c>
      <c r="AG8" s="190">
        <f ca="1">IF($E8=0,1000,IF(DAYS360(Summary!$B$5,$E8)&lt;360,1000,PRICE($BF8+360,$E8,$D8,$F8+AE$4,100,2,0)))</f>
        <v>107.75035128587344</v>
      </c>
      <c r="AH8" s="168">
        <f t="shared" ca="1" si="10"/>
        <v>8.2144527570881642E-2</v>
      </c>
      <c r="AI8" s="197">
        <f ca="1">IF(Proposal!$F8=0,1000,IF(DAYS360(Summary!$B$5,Proposal!$F8)&lt;360,1000,PRICE($BF8+360,Proposal!$F8,$D8,$F8+AI$4,Proposal!$G8,2,0)))</f>
        <v>97.87312661196458</v>
      </c>
      <c r="AJ8" s="193">
        <f>IF(Proposal!$H8=0,1000,IF(DAYS360(Summary!$B$5,Proposal!$H8)&lt;360,1000,PRICE($BF8+360,Proposal!$H8,$D8,$F8+AI$4,100,2,0)))</f>
        <v>1000</v>
      </c>
      <c r="AK8" s="190">
        <f ca="1">IF($E8=0,1000,IF(DAYS360(Summary!$B$5,$E8)&lt;360,1000,PRICE($BF8+360,$E8,$D8,$F8+AI$4,100,2,0)))</f>
        <v>96.885025991747028</v>
      </c>
      <c r="AL8" s="168">
        <f t="shared" ca="1" si="11"/>
        <v>6.7961711347330755E-4</v>
      </c>
      <c r="AM8" s="197">
        <f ca="1">IF(Proposal!$F8=0,1000,IF(DAYS360(Summary!$B$5,Proposal!$F8)&lt;360,1000,PRICE($BF8+360,Proposal!$F8,$D8,$F8+AM$4,Proposal!$G8,2,0)))</f>
        <v>94.45670066227575</v>
      </c>
      <c r="AN8" s="193">
        <f>IF(Proposal!$H8=0,1000,IF(DAYS360(Summary!$B$5,Proposal!$H8)&lt;360,1000,PRICE($BF8+360,Proposal!$H8,$D8,$F8+AM$4,100,2,0)))</f>
        <v>1000</v>
      </c>
      <c r="AO8" s="190">
        <f ca="1">IF($E8=0,1000,IF(DAYS360(Summary!$B$5,$E8)&lt;360,1000,PRICE($BF8+360,$E8,$D8,$F8+AM$4,100,2,0)))</f>
        <v>91.970954681462601</v>
      </c>
      <c r="AP8" s="168">
        <f t="shared" ca="1" si="12"/>
        <v>-4.7703417664744063E-2</v>
      </c>
      <c r="AQ8" s="167"/>
      <c r="AR8" s="169"/>
      <c r="AS8" s="188">
        <f t="shared" si="13"/>
        <v>203132</v>
      </c>
      <c r="AT8" s="191">
        <f t="shared" si="14"/>
        <v>4.7868702974786601E-3</v>
      </c>
      <c r="AU8" s="192">
        <f t="shared" si="15"/>
        <v>4334.2843078791511</v>
      </c>
      <c r="AV8" s="192">
        <f t="shared" ref="AV8:AV28" si="17">AS8*F8/AS$29</f>
        <v>4.5853622885338296E-3</v>
      </c>
      <c r="AW8" s="192">
        <f>AS8*Proposal!M8/AS$29</f>
        <v>4.7130637196292659E-3</v>
      </c>
      <c r="AX8" s="193">
        <f>AS8*H8/AS$29</f>
        <v>0.78154313509472662</v>
      </c>
      <c r="AY8" s="167">
        <f t="shared" ca="1" si="16"/>
        <v>4.550963463216662E-3</v>
      </c>
      <c r="AZ8" s="167">
        <f t="shared" ref="AZ8:AZ28" ca="1" si="18">$A8*I8/$A$30</f>
        <v>1.2038615841167744E-2</v>
      </c>
      <c r="BA8" s="167">
        <f t="shared" ref="BA8:BA28" ca="1" si="19">$A8*J8/$A$30</f>
        <v>8.2144527570881636E-3</v>
      </c>
      <c r="BB8" s="167">
        <f t="shared" ref="BB8:BB28" ca="1" si="20">$A8*L8/$A$30</f>
        <v>6.7961711347330753E-5</v>
      </c>
      <c r="BC8" s="167">
        <f t="shared" ref="BC8:BC28" ca="1" si="21">$A8*M8/$A$30</f>
        <v>-4.7703417664744056E-3</v>
      </c>
      <c r="BD8" s="167"/>
      <c r="BE8" s="208">
        <f>Enter!B4</f>
        <v>37196</v>
      </c>
      <c r="BF8" s="208">
        <f>Enter!C4</f>
        <v>37224</v>
      </c>
      <c r="BG8" s="170"/>
      <c r="BI8" s="20"/>
      <c r="BJ8" s="20"/>
      <c r="BK8" s="20"/>
      <c r="BL8" s="20"/>
      <c r="BM8" s="20"/>
      <c r="BN8" s="20"/>
      <c r="BO8" s="20"/>
    </row>
    <row r="9" spans="1:67" x14ac:dyDescent="0.3">
      <c r="A9" s="156">
        <f>Proposal!A9</f>
        <v>200</v>
      </c>
      <c r="B9" s="18" t="str">
        <f>Proposal!B9</f>
        <v>AAA/AAA</v>
      </c>
      <c r="C9" s="42" t="str">
        <f>Proposal!C9</f>
        <v>MONROE WISC SCH</v>
      </c>
      <c r="D9" s="160">
        <f>Proposal!D9</f>
        <v>4.8750000000000002E-2</v>
      </c>
      <c r="E9" s="247">
        <f>Income!D8</f>
        <v>43191</v>
      </c>
      <c r="F9" s="210">
        <f>Proposal!BG9</f>
        <v>4.7000461142918955E-2</v>
      </c>
      <c r="G9" s="219">
        <f>Proposal!J9</f>
        <v>101.309</v>
      </c>
      <c r="H9" s="126">
        <f t="shared" si="0"/>
        <v>7.4298913645222324</v>
      </c>
      <c r="I9" s="127">
        <f t="shared" ca="1" si="1"/>
        <v>0.11814930150701497</v>
      </c>
      <c r="J9" s="127">
        <f t="shared" ca="1" si="2"/>
        <v>8.1853320562684573E-2</v>
      </c>
      <c r="K9" s="127">
        <f t="shared" ca="1" si="3"/>
        <v>4.7009952044402059E-2</v>
      </c>
      <c r="L9" s="127">
        <f t="shared" ca="1" si="4"/>
        <v>1.447778989213111E-3</v>
      </c>
      <c r="M9" s="127">
        <f t="shared" ca="1" si="5"/>
        <v>-4.7569827408979082E-2</v>
      </c>
      <c r="N9" s="18"/>
      <c r="O9" s="18"/>
      <c r="P9" s="18"/>
      <c r="Q9" s="18"/>
      <c r="S9" s="194">
        <f>MDURATION(BF9,Proposal!BH9,D9,F9,2,0)</f>
        <v>7.4298913645222324</v>
      </c>
      <c r="T9" s="167" t="b">
        <f t="shared" si="6"/>
        <v>0</v>
      </c>
      <c r="U9" s="195">
        <f t="shared" si="7"/>
        <v>9750</v>
      </c>
      <c r="V9" s="188"/>
      <c r="W9" s="197">
        <f ca="1">IF(Proposal!$F9=0,1000,IF(DAYS360(Summary!$B$5,Proposal!$F9)&lt;360,1000,PRICE($BF9+360,Proposal!$F9,$D9,$F9,Proposal!$G9,2,0)))</f>
        <v>101.19653123166634</v>
      </c>
      <c r="X9" s="193">
        <f>IF(Proposal!$H9=0,1000,IF(DAYS360(Summary!$B$5,Proposal!$H9)&lt;360,1000,PRICE($BF9+360,Proposal!$H9,$D9,$F9,100,2,0)))</f>
        <v>1000</v>
      </c>
      <c r="Y9" s="190">
        <f ca="1">IF($E9=0,1000,IF(DAYS360(Summary!$B$5,$E9)&lt;360,1000,PRICE($BF9+360,$E9,$D9,$F9,100,2,0)))</f>
        <v>101.89639090133643</v>
      </c>
      <c r="Z9" s="196">
        <f t="shared" ca="1" si="8"/>
        <v>4.7009952044402059E-2</v>
      </c>
      <c r="AA9" s="197">
        <f ca="1">IF(Proposal!$F9=0,1000,IF(DAYS360(Summary!$B$5,Proposal!$F9)&lt;360,1000,PRICE($BF9+360,Proposal!$F9,$D9,$F9+AA$4,Proposal!$G9,2,0)))</f>
        <v>108.40358758637417</v>
      </c>
      <c r="AB9" s="193">
        <f>IF(Proposal!$H9=0,1000,IF(DAYS360(Summary!$B$5,Proposal!$H9)&lt;360,1000,PRICE($BF9+360,Proposal!$H9,$D9,$F9+AA$4,100,2,0)))</f>
        <v>1000</v>
      </c>
      <c r="AC9" s="190">
        <f ca="1">IF($E9=0,1000,IF(DAYS360(Summary!$B$5,$E9)&lt;360,1000,PRICE($BF9+360,$E9,$D9,$F9+AA$4,100,2,0)))</f>
        <v>113.68834870477268</v>
      </c>
      <c r="AD9" s="168">
        <f t="shared" ca="1" si="9"/>
        <v>0.11814930150701497</v>
      </c>
      <c r="AE9" s="197">
        <f ca="1">IF(Proposal!$F9=0,1000,IF(DAYS360(Summary!$B$5,Proposal!$F9)&lt;360,1000,PRICE($BF9+360,Proposal!$F9,$D9,$F9+AE$4,Proposal!$G9,2,0)))</f>
        <v>104.72647805288501</v>
      </c>
      <c r="AF9" s="193">
        <f>IF(Proposal!$H9=0,1000,IF(DAYS360(Summary!$B$5,Proposal!$H9)&lt;360,1000,PRICE($BF9+360,Proposal!$H9,$D9,$F9+AE$4,100,2,0)))</f>
        <v>1000</v>
      </c>
      <c r="AG9" s="190">
        <f ca="1">IF($E9=0,1000,IF(DAYS360(Summary!$B$5,$E9)&lt;360,1000,PRICE($BF9+360,$E9,$D9,$F9+AE$4,100,2,0)))</f>
        <v>107.58912522816</v>
      </c>
      <c r="AH9" s="168">
        <f t="shared" ca="1" si="10"/>
        <v>8.1853320562684573E-2</v>
      </c>
      <c r="AI9" s="197">
        <f ca="1">IF(Proposal!$F9=0,1000,IF(DAYS360(Summary!$B$5,Proposal!$F9)&lt;360,1000,PRICE($BF9+360,Proposal!$F9,$D9,$F9+AI$4,Proposal!$G9,2,0)))</f>
        <v>97.807348904630871</v>
      </c>
      <c r="AJ9" s="193">
        <f>IF(Proposal!$H9=0,1000,IF(DAYS360(Summary!$B$5,Proposal!$H9)&lt;360,1000,PRICE($BF9+360,Proposal!$H9,$D9,$F9+AI$4,100,2,0)))</f>
        <v>1000</v>
      </c>
      <c r="AK9" s="190">
        <f ca="1">IF($E9=0,1000,IF(DAYS360(Summary!$B$5,$E9)&lt;360,1000,PRICE($BF9+360,$E9,$D9,$F9+AI$4,100,2,0)))</f>
        <v>96.580673041618198</v>
      </c>
      <c r="AL9" s="168">
        <f t="shared" ca="1" si="11"/>
        <v>1.447778989213111E-3</v>
      </c>
      <c r="AM9" s="197">
        <f ca="1">IF(Proposal!$F9=0,1000,IF(DAYS360(Summary!$B$5,Proposal!$F9)&lt;360,1000,PRICE($BF9+360,Proposal!$F9,$D9,$F9+AM$4,Proposal!$G9,2,0)))</f>
        <v>94.55282883912858</v>
      </c>
      <c r="AN9" s="193">
        <f>IF(Proposal!$H9=0,1000,IF(DAYS360(Summary!$B$5,Proposal!$H9)&lt;360,1000,PRICE($BF9+360,Proposal!$H9,$D9,$F9+AM$4,100,2,0)))</f>
        <v>1000</v>
      </c>
      <c r="AO9" s="190">
        <f ca="1">IF($E9=0,1000,IF(DAYS360(Summary!$B$5,$E9)&lt;360,1000,PRICE($BF9+360,$E9,$D9,$F9+AM$4,100,2,0)))</f>
        <v>91.614748355023735</v>
      </c>
      <c r="AP9" s="168">
        <f t="shared" ca="1" si="12"/>
        <v>-4.7569827408979082E-2</v>
      </c>
      <c r="AQ9" s="167"/>
      <c r="AR9" s="169"/>
      <c r="AS9" s="188">
        <f t="shared" si="13"/>
        <v>202618</v>
      </c>
      <c r="AT9" s="191">
        <f t="shared" si="14"/>
        <v>4.9004092427644549E-3</v>
      </c>
      <c r="AU9" s="192">
        <f t="shared" si="15"/>
        <v>4341.6118072664531</v>
      </c>
      <c r="AV9" s="192">
        <f t="shared" si="17"/>
        <v>4.7245434707477258E-3</v>
      </c>
      <c r="AW9" s="192">
        <f>AS9*Proposal!M9/AS$29</f>
        <v>4.8370917122510879E-3</v>
      </c>
      <c r="AX9" s="193">
        <f t="shared" ref="AX9:AX28" si="22">AS9*H9/AS$29</f>
        <v>0.74686170903467808</v>
      </c>
      <c r="AY9" s="167">
        <f t="shared" ca="1" si="16"/>
        <v>4.7009952044402056E-3</v>
      </c>
      <c r="AZ9" s="167">
        <f t="shared" ca="1" si="18"/>
        <v>1.1814930150701496E-2</v>
      </c>
      <c r="BA9" s="167">
        <f t="shared" ca="1" si="19"/>
        <v>8.1853320562684569E-3</v>
      </c>
      <c r="BB9" s="167">
        <f t="shared" ca="1" si="20"/>
        <v>1.447778989213111E-4</v>
      </c>
      <c r="BC9" s="167">
        <f t="shared" ca="1" si="21"/>
        <v>-4.756982740897908E-3</v>
      </c>
      <c r="BD9" s="167"/>
      <c r="BE9" s="208">
        <f>Enter!B5</f>
        <v>37196</v>
      </c>
      <c r="BF9" s="208">
        <f>Enter!C5</f>
        <v>37211</v>
      </c>
      <c r="BG9" s="170"/>
      <c r="BI9" s="20"/>
      <c r="BJ9" s="20"/>
      <c r="BK9" s="20"/>
      <c r="BL9" s="20"/>
      <c r="BM9" s="20"/>
      <c r="BN9" s="20"/>
      <c r="BO9" s="20"/>
    </row>
    <row r="10" spans="1:67" x14ac:dyDescent="0.3">
      <c r="A10" s="156">
        <f>Proposal!A10</f>
        <v>200</v>
      </c>
      <c r="B10" s="18" t="str">
        <f>Proposal!B10</f>
        <v>AAA/AA+</v>
      </c>
      <c r="C10" s="42" t="str">
        <f>Proposal!C10</f>
        <v>TROY MICH</v>
      </c>
      <c r="D10" s="160">
        <f>Proposal!D10</f>
        <v>4.5999999999999999E-2</v>
      </c>
      <c r="E10" s="247">
        <f>Income!D9</f>
        <v>43739</v>
      </c>
      <c r="F10" s="210">
        <f>Proposal!BG10</f>
        <v>4.6604700544822665E-2</v>
      </c>
      <c r="G10" s="219">
        <f>Proposal!J10</f>
        <v>99.266999999999996</v>
      </c>
      <c r="H10" s="126">
        <f t="shared" si="0"/>
        <v>12.002994077724539</v>
      </c>
      <c r="I10" s="127">
        <f t="shared" ca="1" si="1"/>
        <v>0.12181664662860436</v>
      </c>
      <c r="J10" s="127">
        <f t="shared" ca="1" si="2"/>
        <v>8.6840657807734312E-2</v>
      </c>
      <c r="K10" s="127">
        <f t="shared" ca="1" si="3"/>
        <v>4.6610215000861155E-2</v>
      </c>
      <c r="L10" s="127">
        <f t="shared" ca="1" si="4"/>
        <v>-9.4618749513489808E-3</v>
      </c>
      <c r="M10" s="127">
        <f t="shared" ca="1" si="5"/>
        <v>-6.1538443082670313E-2</v>
      </c>
      <c r="N10" s="18"/>
      <c r="O10" s="18"/>
      <c r="P10" s="18"/>
      <c r="Q10" s="18"/>
      <c r="S10" s="194">
        <f>MDURATION(BF10,Proposal!BH10,D10,F10,2,0)</f>
        <v>12.002994077724539</v>
      </c>
      <c r="T10" s="167" t="b">
        <f t="shared" si="6"/>
        <v>0</v>
      </c>
      <c r="U10" s="195">
        <f t="shared" si="7"/>
        <v>9200</v>
      </c>
      <c r="V10" s="188"/>
      <c r="W10" s="197">
        <f ca="1">IF(Proposal!$F10=0,1000,IF(DAYS360(Summary!$B$5,Proposal!$F10)&lt;360,1000,PRICE($BF10+360,Proposal!$F10,$D10,$F10,Proposal!$G10,2,0)))</f>
        <v>99.947693549827903</v>
      </c>
      <c r="X10" s="193">
        <f ca="1">IF(Proposal!$H10=0,1000,IF(DAYS360(Summary!$B$5,Proposal!$H10)&lt;360,1000,PRICE($BF10+360,Proposal!$H10,$D10,$F10,100,2,0)))</f>
        <v>99.52064573900104</v>
      </c>
      <c r="Y10" s="190">
        <f ca="1">IF($E10=0,1000,IF(DAYS360(Summary!$B$5,$E10)&lt;360,1000,PRICE($BF10+360,$E10,$D10,$F10,100,2,0)))</f>
        <v>99.293856212490468</v>
      </c>
      <c r="Z10" s="196">
        <f t="shared" ca="1" si="8"/>
        <v>4.6610215000861155E-2</v>
      </c>
      <c r="AA10" s="197">
        <f ca="1">IF(Proposal!$F10=0,1000,IF(DAYS360(Summary!$B$5,Proposal!$F10)&lt;360,1000,PRICE($BF10+360,Proposal!$F10,$D10,$F10+AA$4,Proposal!$G10,2,0)))</f>
        <v>106.75937306088166</v>
      </c>
      <c r="AB10" s="193">
        <f ca="1">IF(Proposal!$H10=0,1000,IF(DAYS360(Summary!$B$5,Proposal!$H10)&lt;360,1000,PRICE($BF10+360,Proposal!$H10,$D10,$F10+AA$4,100,2,0)))</f>
        <v>107.73295249607027</v>
      </c>
      <c r="AC10" s="190">
        <f ca="1">IF($E10=0,1000,IF(DAYS360(Summary!$B$5,$E10)&lt;360,1000,PRICE($BF10+360,$E10,$D10,$F10+AA$4,100,2,0)))</f>
        <v>111.75371706448018</v>
      </c>
      <c r="AD10" s="168">
        <f t="shared" ca="1" si="9"/>
        <v>0.12181664662860436</v>
      </c>
      <c r="AE10" s="197">
        <f ca="1">IF(Proposal!$F10=0,1000,IF(DAYS360(Summary!$B$5,Proposal!$F10)&lt;360,1000,PRICE($BF10+360,Proposal!$F10,$D10,$F10+AE$4,Proposal!$G10,2,0)))</f>
        <v>103.28741157860036</v>
      </c>
      <c r="AF10" s="193">
        <f ca="1">IF(Proposal!$H10=0,1000,IF(DAYS360(Summary!$B$5,Proposal!$H10)&lt;360,1000,PRICE($BF10+360,Proposal!$H10,$D10,$F10+AE$4,100,2,0)))</f>
        <v>103.52962419471748</v>
      </c>
      <c r="AG10" s="190">
        <f ca="1">IF($E10=0,1000,IF(DAYS360(Summary!$B$5,$E10)&lt;360,1000,PRICE($BF10+360,$E10,$D10,$F10+AE$4,100,2,0)))</f>
        <v>105.29027255603968</v>
      </c>
      <c r="AH10" s="168">
        <f t="shared" ca="1" si="10"/>
        <v>8.6840657807734312E-2</v>
      </c>
      <c r="AI10" s="197">
        <f ca="1">IF(Proposal!$F10=0,1000,IF(DAYS360(Summary!$B$5,Proposal!$F10)&lt;360,1000,PRICE($BF10+360,Proposal!$F10,$D10,$F10+AI$4,Proposal!$G10,2,0)))</f>
        <v>96.734747849797103</v>
      </c>
      <c r="AJ10" s="193">
        <f ca="1">IF(Proposal!$H10=0,1000,IF(DAYS360(Summary!$B$5,Proposal!$H10)&lt;360,1000,PRICE($BF10+360,Proposal!$H10,$D10,$F10+AI$4,100,2,0)))</f>
        <v>95.696292241050926</v>
      </c>
      <c r="AK10" s="190">
        <f ca="1">IF($E10=0,1000,IF(DAYS360(Summary!$B$5,$E10)&lt;360,1000,PRICE($BF10+360,$E10,$D10,$F10+AI$4,100,2,0)))</f>
        <v>93.727748059204416</v>
      </c>
      <c r="AL10" s="168">
        <f t="shared" ca="1" si="11"/>
        <v>-9.4618749513489808E-3</v>
      </c>
      <c r="AM10" s="197">
        <f ca="1">IF(Proposal!$F10=0,1000,IF(DAYS360(Summary!$B$5,Proposal!$F10)&lt;360,1000,PRICE($BF10+360,Proposal!$F10,$D10,$F10+AM$4,Proposal!$G10,2,0)))</f>
        <v>93.643344535108767</v>
      </c>
      <c r="AN10" s="193">
        <f ca="1">IF(Proposal!$H10=0,1000,IF(DAYS360(Summary!$B$5,Proposal!$H10)&lt;360,1000,PRICE($BF10+360,Proposal!$H10,$D10,$F10+AM$4,100,2,0)))</f>
        <v>92.047353829576778</v>
      </c>
      <c r="AO10" s="190">
        <f ca="1">IF($E10=0,1000,IF(DAYS360(Summary!$B$5,$E10)&lt;360,1000,PRICE($BF10+360,$E10,$D10,$F10+AM$4,100,2,0)))</f>
        <v>88.558263370512549</v>
      </c>
      <c r="AP10" s="168">
        <f t="shared" ca="1" si="12"/>
        <v>-6.1538443082670313E-2</v>
      </c>
      <c r="AQ10" s="167"/>
      <c r="AR10" s="169"/>
      <c r="AS10" s="188">
        <f t="shared" si="13"/>
        <v>198533.99999999997</v>
      </c>
      <c r="AT10" s="191">
        <f t="shared" si="14"/>
        <v>4.5307743216412965E-3</v>
      </c>
      <c r="AU10" s="192">
        <f t="shared" si="15"/>
        <v>4308.0769142232311</v>
      </c>
      <c r="AV10" s="192">
        <f t="shared" si="17"/>
        <v>4.5903343586144495E-3</v>
      </c>
      <c r="AW10" s="192">
        <f>AS10*Proposal!M10/AS$29</f>
        <v>4.5642301284830773E-3</v>
      </c>
      <c r="AX10" s="193">
        <f t="shared" si="22"/>
        <v>1.1822360293514542</v>
      </c>
      <c r="AY10" s="167">
        <f t="shared" ca="1" si="16"/>
        <v>4.6610215000861153E-3</v>
      </c>
      <c r="AZ10" s="167">
        <f t="shared" ca="1" si="18"/>
        <v>1.2181664662860437E-2</v>
      </c>
      <c r="BA10" s="167">
        <f t="shared" ca="1" si="19"/>
        <v>8.6840657807734298E-3</v>
      </c>
      <c r="BB10" s="167">
        <f t="shared" ca="1" si="20"/>
        <v>-9.4618749513489806E-4</v>
      </c>
      <c r="BC10" s="167">
        <f t="shared" ca="1" si="21"/>
        <v>-6.1538443082670312E-3</v>
      </c>
      <c r="BD10" s="167"/>
      <c r="BE10" s="208">
        <f>Enter!B6</f>
        <v>37196</v>
      </c>
      <c r="BF10" s="208">
        <f>Enter!C6</f>
        <v>37211</v>
      </c>
      <c r="BG10" s="170"/>
      <c r="BI10" s="20"/>
      <c r="BJ10" s="20"/>
      <c r="BK10" s="20"/>
      <c r="BL10" s="20"/>
      <c r="BM10" s="20"/>
      <c r="BN10" s="20"/>
      <c r="BO10" s="20"/>
    </row>
    <row r="11" spans="1:67" x14ac:dyDescent="0.3">
      <c r="A11" s="156">
        <f>Proposal!A11</f>
        <v>200</v>
      </c>
      <c r="B11" s="18" t="str">
        <f>Proposal!B11</f>
        <v>AAA/AAA</v>
      </c>
      <c r="C11" s="42" t="str">
        <f>Proposal!C11</f>
        <v>PASADENA TX COMB</v>
      </c>
      <c r="D11" s="160">
        <f>Proposal!D11</f>
        <v>0.05</v>
      </c>
      <c r="E11" s="247">
        <f>Income!D10</f>
        <v>43876</v>
      </c>
      <c r="F11" s="210">
        <f>Proposal!BG11</f>
        <v>4.7500586515454503E-2</v>
      </c>
      <c r="G11" s="219">
        <f>Proposal!J11</f>
        <v>101.68</v>
      </c>
      <c r="H11" s="126">
        <f t="shared" si="0"/>
        <v>6.6214030593167195</v>
      </c>
      <c r="I11" s="127">
        <f t="shared" ca="1" si="1"/>
        <v>0.11000006778274751</v>
      </c>
      <c r="J11" s="127">
        <f t="shared" ca="1" si="2"/>
        <v>7.8193484480582942E-2</v>
      </c>
      <c r="K11" s="127">
        <f t="shared" ca="1" si="3"/>
        <v>4.7507981772972885E-2</v>
      </c>
      <c r="L11" s="127">
        <f t="shared" ca="1" si="4"/>
        <v>4.8894457556203363E-3</v>
      </c>
      <c r="M11" s="127">
        <f t="shared" ca="1" si="5"/>
        <v>-4.7474501633710253E-2</v>
      </c>
      <c r="N11" s="18"/>
      <c r="O11" s="18"/>
      <c r="P11" s="18"/>
      <c r="Q11" s="18"/>
      <c r="S11" s="194">
        <f>MDURATION(BF11,Proposal!BH11,D11,F11,2,0)</f>
        <v>6.6214030593167195</v>
      </c>
      <c r="T11" s="167" t="b">
        <f t="shared" si="6"/>
        <v>0</v>
      </c>
      <c r="U11" s="195">
        <f t="shared" si="7"/>
        <v>10000</v>
      </c>
      <c r="V11" s="188"/>
      <c r="W11" s="197">
        <f ca="1">IF(Proposal!$F11=0,1000,IF(DAYS360(Summary!$B$5,Proposal!$F11)&lt;360,1000,PRICE($BF11+360,Proposal!$F11,$D11,$F11,Proposal!$G11,2,0)))</f>
        <v>101.51061158667589</v>
      </c>
      <c r="X11" s="193">
        <f>IF(Proposal!$H11=0,1000,IF(DAYS360(Summary!$B$5,Proposal!$H11)&lt;360,1000,PRICE($BF11+360,Proposal!$H11,$D11,$F11,100,2,0)))</f>
        <v>1000</v>
      </c>
      <c r="Y11" s="190">
        <f ca="1">IF($E11=0,1000,IF(DAYS360(Summary!$B$5,$E11)&lt;360,1000,PRICE($BF11+360,$E11,$D11,$F11,100,2,0)))</f>
        <v>102.91328923911166</v>
      </c>
      <c r="Z11" s="196">
        <f t="shared" ca="1" si="8"/>
        <v>4.7507981772972885E-2</v>
      </c>
      <c r="AA11" s="197">
        <f ca="1">IF(Proposal!$F11=0,1000,IF(DAYS360(Summary!$B$5,Proposal!$F11)&lt;360,1000,PRICE($BF11+360,Proposal!$F11,$D11,$F11+AA$4,Proposal!$G11,2,0)))</f>
        <v>107.86480689214977</v>
      </c>
      <c r="AB11" s="193">
        <f>IF(Proposal!$H11=0,1000,IF(DAYS360(Summary!$B$5,Proposal!$H11)&lt;360,1000,PRICE($BF11+360,Proposal!$H11,$D11,$F11+AA$4,100,2,0)))</f>
        <v>1000</v>
      </c>
      <c r="AC11" s="190">
        <f ca="1">IF($E11=0,1000,IF(DAYS360(Summary!$B$5,$E11)&lt;360,1000,PRICE($BF11+360,$E11,$D11,$F11+AA$4,100,2,0)))</f>
        <v>115.76585523514211</v>
      </c>
      <c r="AD11" s="168">
        <f t="shared" ca="1" si="9"/>
        <v>0.11000006778274751</v>
      </c>
      <c r="AE11" s="197">
        <f ca="1">IF(Proposal!$F11=0,1000,IF(DAYS360(Summary!$B$5,Proposal!$F11)&lt;360,1000,PRICE($BF11+360,Proposal!$F11,$D11,$F11+AE$4,Proposal!$G11,2,0)))</f>
        <v>104.63071350198567</v>
      </c>
      <c r="AF11" s="193">
        <f>IF(Proposal!$H11=0,1000,IF(DAYS360(Summary!$B$5,Proposal!$H11)&lt;360,1000,PRICE($BF11+360,Proposal!$H11,$D11,$F11+AE$4,100,2,0)))</f>
        <v>1000</v>
      </c>
      <c r="AG11" s="190">
        <f ca="1">IF($E11=0,1000,IF(DAYS360(Summary!$B$5,$E11)&lt;360,1000,PRICE($BF11+360,$E11,$D11,$F11+AE$4,100,2,0)))</f>
        <v>109.09662605682017</v>
      </c>
      <c r="AH11" s="168">
        <f t="shared" ca="1" si="10"/>
        <v>7.8193484480582942E-2</v>
      </c>
      <c r="AI11" s="197">
        <f ca="1">IF(Proposal!$F11=0,1000,IF(DAYS360(Summary!$B$5,Proposal!$F11)&lt;360,1000,PRICE($BF11+360,Proposal!$F11,$D11,$F11+AI$4,Proposal!$G11,2,0)))</f>
        <v>98.500117918416748</v>
      </c>
      <c r="AJ11" s="193">
        <f>IF(Proposal!$H11=0,1000,IF(DAYS360(Summary!$B$5,Proposal!$H11)&lt;360,1000,PRICE($BF11+360,Proposal!$H11,$D11,$F11+AI$4,100,2,0)))</f>
        <v>1000</v>
      </c>
      <c r="AK11" s="190">
        <f ca="1">IF($E11=0,1000,IF(DAYS360(Summary!$B$5,$E11)&lt;360,1000,PRICE($BF11+360,$E11,$D11,$F11+AI$4,100,2,0)))</f>
        <v>97.177158844431474</v>
      </c>
      <c r="AL11" s="168">
        <f t="shared" ca="1" si="11"/>
        <v>4.8894457556203363E-3</v>
      </c>
      <c r="AM11" s="197">
        <f ca="1">IF(Proposal!$F11=0,1000,IF(DAYS360(Summary!$B$5,Proposal!$F11)&lt;360,1000,PRICE($BF11+360,Proposal!$F11,$D11,$F11+AM$4,Proposal!$G11,2,0)))</f>
        <v>95.595029576441902</v>
      </c>
      <c r="AN11" s="193">
        <f>IF(Proposal!$H11=0,1000,IF(DAYS360(Summary!$B$5,Proposal!$H11)&lt;360,1000,PRICE($BF11+360,Proposal!$H11,$D11,$F11+AM$4,100,2,0)))</f>
        <v>1000</v>
      </c>
      <c r="AO11" s="190">
        <f ca="1">IF($E11=0,1000,IF(DAYS360(Summary!$B$5,$E11)&lt;360,1000,PRICE($BF11+360,$E11,$D11,$F11+AM$4,100,2,0)))</f>
        <v>91.852792673884338</v>
      </c>
      <c r="AP11" s="168">
        <f t="shared" ca="1" si="12"/>
        <v>-4.7474501633710253E-2</v>
      </c>
      <c r="AQ11" s="167"/>
      <c r="AR11" s="169"/>
      <c r="AS11" s="188">
        <f t="shared" si="13"/>
        <v>203360</v>
      </c>
      <c r="AT11" s="191">
        <f t="shared" si="14"/>
        <v>5.0444665159147762E-3</v>
      </c>
      <c r="AU11" s="192">
        <f t="shared" si="15"/>
        <v>4426.6202570455343</v>
      </c>
      <c r="AV11" s="192">
        <f t="shared" si="17"/>
        <v>4.7923023632704632E-3</v>
      </c>
      <c r="AW11" s="192">
        <f>AS11*Proposal!M11/AS$29</f>
        <v>4.9611197048729109E-3</v>
      </c>
      <c r="AX11" s="193">
        <f t="shared" si="22"/>
        <v>0.66802892042197692</v>
      </c>
      <c r="AY11" s="167">
        <f t="shared" ca="1" si="16"/>
        <v>4.7507981772972885E-3</v>
      </c>
      <c r="AZ11" s="167">
        <f t="shared" ca="1" si="18"/>
        <v>1.1000006778274752E-2</v>
      </c>
      <c r="BA11" s="167">
        <f t="shared" ca="1" si="19"/>
        <v>7.8193484480582939E-3</v>
      </c>
      <c r="BB11" s="167">
        <f t="shared" ca="1" si="20"/>
        <v>4.8894457556203363E-4</v>
      </c>
      <c r="BC11" s="167">
        <f t="shared" ca="1" si="21"/>
        <v>-4.7474501633710262E-3</v>
      </c>
      <c r="BD11" s="167"/>
      <c r="BE11" s="208">
        <f>Enter!B7</f>
        <v>37210</v>
      </c>
      <c r="BF11" s="208">
        <f>Enter!C7</f>
        <v>37215</v>
      </c>
      <c r="BG11" s="170"/>
      <c r="BI11" s="20"/>
      <c r="BJ11" s="20"/>
      <c r="BK11" s="20"/>
      <c r="BL11" s="20"/>
      <c r="BM11" s="20"/>
      <c r="BN11" s="20"/>
      <c r="BO11" s="20"/>
    </row>
    <row r="12" spans="1:67" x14ac:dyDescent="0.3">
      <c r="A12" s="156">
        <f>Proposal!A12</f>
        <v>200</v>
      </c>
      <c r="B12" s="18" t="str">
        <f>Proposal!B12</f>
        <v>AAA/AAA</v>
      </c>
      <c r="C12" s="42" t="str">
        <f>Proposal!C12</f>
        <v>N.HARRIS MONT CCD</v>
      </c>
      <c r="D12" s="160">
        <f>Proposal!D12</f>
        <v>0.05</v>
      </c>
      <c r="E12" s="247">
        <f>Income!D11</f>
        <v>44242</v>
      </c>
      <c r="F12" s="210">
        <f>Proposal!BG12</f>
        <v>4.8500299553935262E-2</v>
      </c>
      <c r="G12" s="219">
        <f>Proposal!J12</f>
        <v>101.002</v>
      </c>
      <c r="H12" s="126">
        <f t="shared" si="0"/>
        <v>6.6231554888039774</v>
      </c>
      <c r="I12" s="127">
        <f t="shared" ca="1" si="1"/>
        <v>0.11105175559116942</v>
      </c>
      <c r="J12" s="127">
        <f t="shared" ca="1" si="2"/>
        <v>7.9217643834979423E-2</v>
      </c>
      <c r="K12" s="127">
        <f t="shared" ca="1" si="3"/>
        <v>4.850631559430707E-2</v>
      </c>
      <c r="L12" s="127">
        <f t="shared" ca="1" si="4"/>
        <v>-5.7468340361777059E-4</v>
      </c>
      <c r="M12" s="127">
        <f t="shared" ca="1" si="5"/>
        <v>-5.4173440907465675E-2</v>
      </c>
      <c r="N12" s="18"/>
      <c r="O12" s="18"/>
      <c r="P12" s="18"/>
      <c r="Q12" s="18"/>
      <c r="S12" s="194">
        <f>MDURATION(BF12,Proposal!BH12,D12,F12,2,0)</f>
        <v>6.6231554888039774</v>
      </c>
      <c r="T12" s="167" t="b">
        <f t="shared" si="6"/>
        <v>0</v>
      </c>
      <c r="U12" s="195">
        <f t="shared" si="7"/>
        <v>10000</v>
      </c>
      <c r="V12" s="188"/>
      <c r="W12" s="197">
        <f ca="1">IF(Proposal!$F12=0,1000,IF(DAYS360(Summary!$B$5,Proposal!$F12)&lt;360,1000,PRICE($BF12+360,Proposal!$F12,$D12,$F12,Proposal!$G12,2,0)))</f>
        <v>100.90123488765619</v>
      </c>
      <c r="X12" s="193">
        <f>IF(Proposal!$H12=0,1000,IF(DAYS360(Summary!$B$5,Proposal!$H12)&lt;360,1000,PRICE($BF12+360,Proposal!$H12,$D12,$F12,100,2,0)))</f>
        <v>1000</v>
      </c>
      <c r="Y12" s="190">
        <f ca="1">IF($E12=0,1000,IF(DAYS360(Summary!$B$5,$E12)&lt;360,1000,PRICE($BF12+360,$E12,$D12,$F12,100,2,0)))</f>
        <v>101.79580695089525</v>
      </c>
      <c r="Z12" s="196">
        <f t="shared" ca="1" si="8"/>
        <v>4.850631559430707E-2</v>
      </c>
      <c r="AA12" s="197">
        <f ca="1">IF(Proposal!$F12=0,1000,IF(DAYS360(Summary!$B$5,Proposal!$F12)&lt;360,1000,PRICE($BF12+360,Proposal!$F12,$D12,$F12+AA$4,Proposal!$G12,2,0)))</f>
        <v>107.21844941821928</v>
      </c>
      <c r="AB12" s="193">
        <f>IF(Proposal!$H12=0,1000,IF(DAYS360(Summary!$B$5,Proposal!$H12)&lt;360,1000,PRICE($BF12+360,Proposal!$H12,$D12,$F12+AA$4,100,2,0)))</f>
        <v>1000</v>
      </c>
      <c r="AC12" s="190">
        <f ca="1">IF($E12=0,1000,IF(DAYS360(Summary!$B$5,$E12)&lt;360,1000,PRICE($BF12+360,$E12,$D12,$F12+AA$4,100,2,0)))</f>
        <v>114.97677001722543</v>
      </c>
      <c r="AD12" s="168">
        <f t="shared" ca="1" si="9"/>
        <v>0.11105175559116942</v>
      </c>
      <c r="AE12" s="197">
        <f ca="1">IF(Proposal!$F12=0,1000,IF(DAYS360(Summary!$B$5,Proposal!$F12)&lt;360,1000,PRICE($BF12+360,Proposal!$F12,$D12,$F12+AE$4,Proposal!$G12,2,0)))</f>
        <v>104.00314046262058</v>
      </c>
      <c r="AF12" s="193">
        <f>IF(Proposal!$H12=0,1000,IF(DAYS360(Summary!$B$5,Proposal!$H12)&lt;360,1000,PRICE($BF12+360,Proposal!$H12,$D12,$F12+AE$4,100,2,0)))</f>
        <v>1000</v>
      </c>
      <c r="AG12" s="190">
        <f ca="1">IF($E12=0,1000,IF(DAYS360(Summary!$B$5,$E12)&lt;360,1000,PRICE($BF12+360,$E12,$D12,$F12+AE$4,100,2,0)))</f>
        <v>108.12558569504769</v>
      </c>
      <c r="AH12" s="168">
        <f t="shared" ca="1" si="10"/>
        <v>7.9217643834979423E-2</v>
      </c>
      <c r="AI12" s="197">
        <f ca="1">IF(Proposal!$F12=0,1000,IF(DAYS360(Summary!$B$5,Proposal!$F12)&lt;360,1000,PRICE($BF12+360,Proposal!$F12,$D12,$F12+AI$4,Proposal!$G12,2,0)))</f>
        <v>97.908368966120833</v>
      </c>
      <c r="AJ12" s="193">
        <f>IF(Proposal!$H12=0,1000,IF(DAYS360(Summary!$B$5,Proposal!$H12)&lt;360,1000,PRICE($BF12+360,Proposal!$H12,$D12,$F12+AI$4,100,2,0)))</f>
        <v>1000</v>
      </c>
      <c r="AK12" s="190">
        <f ca="1">IF($E12=0,1000,IF(DAYS360(Summary!$B$5,$E12)&lt;360,1000,PRICE($BF12+360,$E12,$D12,$F12+AI$4,100,2,0)))</f>
        <v>95.943955826867779</v>
      </c>
      <c r="AL12" s="168">
        <f t="shared" ca="1" si="11"/>
        <v>-5.7468340361777059E-4</v>
      </c>
      <c r="AM12" s="197">
        <f ca="1">IF(Proposal!$F12=0,1000,IF(DAYS360(Summary!$B$5,Proposal!$F12)&lt;360,1000,PRICE($BF12+360,Proposal!$F12,$D12,$F12+AM$4,Proposal!$G12,2,0)))</f>
        <v>95.020358600264331</v>
      </c>
      <c r="AN12" s="193">
        <f>IF(Proposal!$H12=0,1000,IF(DAYS360(Summary!$B$5,Proposal!$H12)&lt;360,1000,PRICE($BF12+360,Proposal!$H12,$D12,$F12+AM$4,100,2,0)))</f>
        <v>1000</v>
      </c>
      <c r="AO12" s="190">
        <f ca="1">IF($E12=0,1000,IF(DAYS360(Summary!$B$5,$E12)&lt;360,1000,PRICE($BF12+360,$E12,$D12,$F12+AM$4,100,2,0)))</f>
        <v>90.530374121464135</v>
      </c>
      <c r="AP12" s="168">
        <f t="shared" ca="1" si="12"/>
        <v>-5.4173440907465675E-2</v>
      </c>
      <c r="AQ12" s="167"/>
      <c r="AR12" s="169"/>
      <c r="AS12" s="188">
        <f t="shared" si="13"/>
        <v>202003.99999999997</v>
      </c>
      <c r="AT12" s="191">
        <f t="shared" si="14"/>
        <v>5.0108301243157374E-3</v>
      </c>
      <c r="AU12" s="192">
        <f t="shared" si="15"/>
        <v>4433.7829271995361</v>
      </c>
      <c r="AV12" s="192">
        <f t="shared" si="17"/>
        <v>4.8605352408639182E-3</v>
      </c>
      <c r="AW12" s="192">
        <f>AS12*Proposal!M12/AS$29</f>
        <v>4.9611197048729109E-3</v>
      </c>
      <c r="AX12" s="193">
        <f t="shared" si="22"/>
        <v>0.66375014082652184</v>
      </c>
      <c r="AY12" s="167">
        <f t="shared" ca="1" si="16"/>
        <v>4.8506315594307068E-3</v>
      </c>
      <c r="AZ12" s="167">
        <f t="shared" ca="1" si="18"/>
        <v>1.1105175559116942E-2</v>
      </c>
      <c r="BA12" s="167">
        <f t="shared" ca="1" si="19"/>
        <v>7.921764383497943E-3</v>
      </c>
      <c r="BB12" s="167">
        <f t="shared" ca="1" si="20"/>
        <v>-5.7468340361777058E-5</v>
      </c>
      <c r="BC12" s="167">
        <f t="shared" ca="1" si="21"/>
        <v>-5.4173440907465675E-3</v>
      </c>
      <c r="BD12" s="167"/>
      <c r="BE12" s="208">
        <f>Enter!B8</f>
        <v>36965</v>
      </c>
      <c r="BF12" s="208">
        <f>Enter!C8</f>
        <v>37211</v>
      </c>
      <c r="BG12" s="170"/>
      <c r="BI12" s="20"/>
      <c r="BJ12" s="20"/>
      <c r="BK12" s="20"/>
      <c r="BL12" s="20"/>
      <c r="BM12" s="20"/>
      <c r="BN12" s="20"/>
      <c r="BO12" s="20"/>
    </row>
    <row r="13" spans="1:67" x14ac:dyDescent="0.3">
      <c r="A13" s="156">
        <f>Proposal!A13</f>
        <v>200</v>
      </c>
      <c r="B13" s="18" t="str">
        <f>Proposal!B13</f>
        <v>AAA/AAA</v>
      </c>
      <c r="C13" s="42" t="str">
        <f>Proposal!C13</f>
        <v>PHILADELPHIA PA SCH</v>
      </c>
      <c r="D13" s="160">
        <f>Proposal!D13</f>
        <v>4.4999999999999998E-2</v>
      </c>
      <c r="E13" s="247">
        <f>Income!D12</f>
        <v>45017</v>
      </c>
      <c r="F13" s="210">
        <f>Proposal!BG13</f>
        <v>4.8000431302579576E-2</v>
      </c>
      <c r="G13" s="219">
        <f>Proposal!J13</f>
        <v>96.012</v>
      </c>
      <c r="H13" s="126">
        <f t="shared" si="0"/>
        <v>13.377662463866121</v>
      </c>
      <c r="I13" s="127">
        <f t="shared" ca="1" si="1"/>
        <v>0.12937845331399478</v>
      </c>
      <c r="J13" s="127">
        <f t="shared" ca="1" si="2"/>
        <v>9.9889754164065092E-2</v>
      </c>
      <c r="K13" s="127">
        <f t="shared" ca="1" si="3"/>
        <v>4.8004297940983154E-2</v>
      </c>
      <c r="L13" s="127">
        <f t="shared" ca="1" si="4"/>
        <v>-1.4753195930125473E-2</v>
      </c>
      <c r="M13" s="127">
        <f t="shared" ca="1" si="5"/>
        <v>-7.2340398942438378E-2</v>
      </c>
      <c r="N13" s="18"/>
      <c r="O13" s="18"/>
      <c r="P13" s="18"/>
      <c r="Q13" s="18"/>
      <c r="S13" s="194">
        <f>MDURATION(BF13,Proposal!BH13,D13,F13,2,0)</f>
        <v>13.377662463866121</v>
      </c>
      <c r="T13" s="167" t="b">
        <f t="shared" si="6"/>
        <v>0</v>
      </c>
      <c r="U13" s="195">
        <f t="shared" si="7"/>
        <v>9000</v>
      </c>
      <c r="V13" s="188"/>
      <c r="W13" s="197">
        <f ca="1">IF(Proposal!$F13=0,1000,IF(DAYS360(Summary!$B$5,Proposal!$F13)&lt;360,1000,PRICE($BF13+360,Proposal!$F13,$D13,$F13,Proposal!$G13,2,0)))</f>
        <v>98.361204829280268</v>
      </c>
      <c r="X13" s="193">
        <f>IF(Proposal!$H13=0,1000,IF(DAYS360(Summary!$B$5,Proposal!$H13)&lt;360,1000,PRICE($BF13+360,Proposal!$H13,$D13,$F13,100,2,0)))</f>
        <v>1000</v>
      </c>
      <c r="Y13" s="190">
        <f ca="1">IF($E13=0,1000,IF(DAYS360(Summary!$B$5,$E13)&lt;360,1000,PRICE($BF13+360,$E13,$D13,$F13,100,2,0)))</f>
        <v>96.120988653909677</v>
      </c>
      <c r="Z13" s="196">
        <f t="shared" ca="1" si="8"/>
        <v>4.8004297940983154E-2</v>
      </c>
      <c r="AA13" s="197">
        <f ca="1">IF(Proposal!$F13=0,1000,IF(DAYS360(Summary!$B$5,Proposal!$F13)&lt;360,1000,PRICE($BF13+360,Proposal!$F13,$D13,$F13+AA$4,Proposal!$G13,2,0)))</f>
        <v>103.93388405958326</v>
      </c>
      <c r="AB13" s="193">
        <f>IF(Proposal!$H13=0,1000,IF(DAYS360(Summary!$B$5,Proposal!$H13)&lt;360,1000,PRICE($BF13+360,Proposal!$H13,$D13,$F13+AA$4,100,2,0)))</f>
        <v>1000</v>
      </c>
      <c r="AC13" s="190">
        <f ca="1">IF($E13=0,1000,IF(DAYS360(Summary!$B$5,$E13)&lt;360,1000,PRICE($BF13+360,$E13,$D13,$F13+AA$4,100,2,0)))</f>
        <v>109.86629466185182</v>
      </c>
      <c r="AD13" s="168">
        <f t="shared" ca="1" si="9"/>
        <v>0.12937845331399478</v>
      </c>
      <c r="AE13" s="197">
        <f ca="1">IF(Proposal!$F13=0,1000,IF(DAYS360(Summary!$B$5,Proposal!$F13)&lt;360,1000,PRICE($BF13+360,Proposal!$F13,$D13,$F13+AE$4,Proposal!$G13,2,0)))</f>
        <v>101.10261507680023</v>
      </c>
      <c r="AF13" s="193">
        <f>IF(Proposal!$H13=0,1000,IF(DAYS360(Summary!$B$5,Proposal!$H13)&lt;360,1000,PRICE($BF13+360,Proposal!$H13,$D13,$F13+AE$4,100,2,0)))</f>
        <v>1000</v>
      </c>
      <c r="AG13" s="190">
        <f ca="1">IF($E13=0,1000,IF(DAYS360(Summary!$B$5,$E13)&lt;360,1000,PRICE($BF13+360,$E13,$D13,$F13+AE$4,100,2,0)))</f>
        <v>102.69281727229441</v>
      </c>
      <c r="AH13" s="168">
        <f t="shared" ca="1" si="10"/>
        <v>9.9889754164065092E-2</v>
      </c>
      <c r="AI13" s="197">
        <f ca="1">IF(Proposal!$F13=0,1000,IF(DAYS360(Summary!$B$5,Proposal!$F13)&lt;360,1000,PRICE($BF13+360,Proposal!$F13,$D13,$F13+AI$4,Proposal!$G13,2,0)))</f>
        <v>95.706535093626826</v>
      </c>
      <c r="AJ13" s="193">
        <f>IF(Proposal!$H13=0,1000,IF(DAYS360(Summary!$B$5,Proposal!$H13)&lt;360,1000,PRICE($BF13+360,Proposal!$H13,$D13,$F13+AI$4,100,2,0)))</f>
        <v>1000</v>
      </c>
      <c r="AK13" s="190">
        <f ca="1">IF($E13=0,1000,IF(DAYS360(Summary!$B$5,$E13)&lt;360,1000,PRICE($BF13+360,$E13,$D13,$F13+AI$4,100,2,0)))</f>
        <v>90.095516152356794</v>
      </c>
      <c r="AL13" s="168">
        <f t="shared" ca="1" si="11"/>
        <v>-1.4753195930125473E-2</v>
      </c>
      <c r="AM13" s="197">
        <f ca="1">IF(Proposal!$F13=0,1000,IF(DAYS360(Summary!$B$5,Proposal!$F13)&lt;360,1000,PRICE($BF13+360,Proposal!$F13,$D13,$F13+AM$4,Proposal!$G13,2,0)))</f>
        <v>93.135603915279319</v>
      </c>
      <c r="AN13" s="193">
        <f>IF(Proposal!$H13=0,1000,IF(DAYS360(Summary!$B$5,Proposal!$H13)&lt;360,1000,PRICE($BF13+360,Proposal!$H13,$D13,$F13+AM$4,100,2,0)))</f>
        <v>1000</v>
      </c>
      <c r="AO13" s="190">
        <f ca="1">IF($E13=0,1000,IF(DAYS360(Summary!$B$5,$E13)&lt;360,1000,PRICE($BF13+360,$E13,$D13,$F13+AM$4,100,2,0)))</f>
        <v>84.566453616738613</v>
      </c>
      <c r="AP13" s="168">
        <f t="shared" ca="1" si="12"/>
        <v>-7.2340398942438378E-2</v>
      </c>
      <c r="AQ13" s="167"/>
      <c r="AR13" s="169"/>
      <c r="AS13" s="188">
        <f t="shared" si="13"/>
        <v>192024</v>
      </c>
      <c r="AT13" s="191">
        <f t="shared" si="14"/>
        <v>4.2869432259383215E-3</v>
      </c>
      <c r="AU13" s="192">
        <f t="shared" si="15"/>
        <v>4288.5627378236759</v>
      </c>
      <c r="AV13" s="192">
        <f t="shared" si="17"/>
        <v>4.572780529215806E-3</v>
      </c>
      <c r="AW13" s="192">
        <f>AS13*Proposal!M13/AS$29</f>
        <v>4.46500773438562E-3</v>
      </c>
      <c r="AX13" s="193">
        <f t="shared" si="22"/>
        <v>1.2744284328524493</v>
      </c>
      <c r="AY13" s="167">
        <f t="shared" ca="1" si="16"/>
        <v>4.800429794098315E-3</v>
      </c>
      <c r="AZ13" s="167">
        <f t="shared" ca="1" si="18"/>
        <v>1.2937845331399477E-2</v>
      </c>
      <c r="BA13" s="167">
        <f t="shared" ca="1" si="19"/>
        <v>9.9889754164065089E-3</v>
      </c>
      <c r="BB13" s="167">
        <f t="shared" ca="1" si="20"/>
        <v>-1.4753195930125474E-3</v>
      </c>
      <c r="BC13" s="167">
        <f t="shared" ca="1" si="21"/>
        <v>-7.2340398942438372E-3</v>
      </c>
      <c r="BD13" s="167"/>
      <c r="BE13" s="208">
        <f>Enter!B9</f>
        <v>36144</v>
      </c>
      <c r="BF13" s="208">
        <f>Enter!C9</f>
        <v>37211</v>
      </c>
      <c r="BG13" s="170"/>
      <c r="BI13" s="20"/>
      <c r="BJ13" s="20"/>
      <c r="BK13" s="20"/>
      <c r="BL13" s="20"/>
      <c r="BM13" s="20"/>
      <c r="BN13" s="20"/>
      <c r="BO13" s="20"/>
    </row>
    <row r="14" spans="1:67" x14ac:dyDescent="0.3">
      <c r="A14" s="156">
        <f>Proposal!A14</f>
        <v>100</v>
      </c>
      <c r="B14" s="18" t="str">
        <f>Proposal!B14</f>
        <v>AAA/AAA</v>
      </c>
      <c r="C14" s="42" t="str">
        <f>Proposal!C14</f>
        <v>TEXAS TURNPIKE</v>
      </c>
      <c r="D14" s="160">
        <f>Proposal!D14</f>
        <v>0.05</v>
      </c>
      <c r="E14" s="247">
        <f>Income!D13</f>
        <v>45658</v>
      </c>
      <c r="F14" s="210">
        <f>Proposal!BG14</f>
        <v>4.9001843414157857E-2</v>
      </c>
      <c r="G14" s="219">
        <f>Proposal!J14</f>
        <v>100.517</v>
      </c>
      <c r="H14" s="126">
        <f t="shared" si="0"/>
        <v>5.1310465817122246</v>
      </c>
      <c r="I14" s="127">
        <f t="shared" ca="1" si="1"/>
        <v>9.4209129195073071E-2</v>
      </c>
      <c r="J14" s="127">
        <f t="shared" ca="1" si="2"/>
        <v>7.1725017722203299E-2</v>
      </c>
      <c r="K14" s="127">
        <f t="shared" ca="1" si="3"/>
        <v>4.900225658693258E-2</v>
      </c>
      <c r="L14" s="127">
        <f t="shared" ca="1" si="4"/>
        <v>-6.5305931366914649E-3</v>
      </c>
      <c r="M14" s="127">
        <f t="shared" ca="1" si="5"/>
        <v>-6.5364306906233072E-2</v>
      </c>
      <c r="N14" s="18"/>
      <c r="O14" s="18"/>
      <c r="P14" s="18"/>
      <c r="Q14" s="18"/>
      <c r="S14" s="194">
        <f>MDURATION(BF14,Proposal!BH14,D14,F14,2,0)</f>
        <v>5.1310465817122246</v>
      </c>
      <c r="T14" s="167" t="b">
        <f t="shared" si="6"/>
        <v>0</v>
      </c>
      <c r="U14" s="195">
        <f t="shared" si="7"/>
        <v>5000</v>
      </c>
      <c r="V14" s="188"/>
      <c r="W14" s="197">
        <f ca="1">IF(Proposal!$F14=0,1000,IF(DAYS360(Summary!$B$5,Proposal!$F14)&lt;360,1000,PRICE($BF14+360,Proposal!$F14,$D14,$F14,Proposal!$G14,2,0)))</f>
        <v>101.99913202390593</v>
      </c>
      <c r="X14" s="193">
        <f ca="1">IF(Proposal!$H14=0,1000,IF(DAYS360(Summary!$B$5,Proposal!$H14)&lt;360,1000,PRICE($BF14+360,Proposal!$H14,$D14,$F14,100,2,0)))</f>
        <v>100.44255982534868</v>
      </c>
      <c r="Y14" s="190">
        <f ca="1">IF($E14=0,1000,IF(DAYS360(Summary!$B$5,$E14)&lt;360,1000,PRICE($BF14+360,$E14,$D14,$F14,100,2,0)))</f>
        <v>101.33343142201615</v>
      </c>
      <c r="Z14" s="196">
        <f t="shared" ca="1" si="8"/>
        <v>4.900225658693258E-2</v>
      </c>
      <c r="AA14" s="197">
        <f ca="1">IF(Proposal!$F14=0,1000,IF(DAYS360(Summary!$B$5,Proposal!$F14)&lt;360,1000,PRICE($BF14+360,Proposal!$F14,$D14,$F14+AA$4,Proposal!$G14,2,0)))</f>
        <v>104.98661903930115</v>
      </c>
      <c r="AB14" s="193">
        <f ca="1">IF(Proposal!$H14=0,1000,IF(DAYS360(Summary!$B$5,Proposal!$H14)&lt;360,1000,PRICE($BF14+360,Proposal!$H14,$D14,$F14+AA$4,100,2,0)))</f>
        <v>105.07204576013845</v>
      </c>
      <c r="AC14" s="190">
        <f ca="1">IF($E14=0,1000,IF(DAYS360(Summary!$B$5,$E14)&lt;360,1000,PRICE($BF14+360,$E14,$D14,$F14+AA$4,100,2,0)))</f>
        <v>116.20338237457931</v>
      </c>
      <c r="AD14" s="168">
        <f t="shared" ca="1" si="9"/>
        <v>9.4209129195073071E-2</v>
      </c>
      <c r="AE14" s="197">
        <f ca="1">IF(Proposal!$F14=0,1000,IF(DAYS360(Summary!$B$5,Proposal!$F14)&lt;360,1000,PRICE($BF14+360,Proposal!$F14,$D14,$F14+AE$4,Proposal!$G14,2,0)))</f>
        <v>103.47986513737148</v>
      </c>
      <c r="AF14" s="193">
        <f ca="1">IF(Proposal!$H14=0,1000,IF(DAYS360(Summary!$B$5,Proposal!$H14)&lt;360,1000,PRICE($BF14+360,Proposal!$H14,$D14,$F14+AE$4,100,2,0)))</f>
        <v>102.7265836063827</v>
      </c>
      <c r="AG14" s="190">
        <f ca="1">IF($E14=0,1000,IF(DAYS360(Summary!$B$5,$E14)&lt;360,1000,PRICE($BF14+360,$E14,$D14,$F14+AE$4,100,2,0)))</f>
        <v>108.42539945725939</v>
      </c>
      <c r="AH14" s="168">
        <f t="shared" ca="1" si="10"/>
        <v>7.1725017722203299E-2</v>
      </c>
      <c r="AI14" s="197">
        <f ca="1">IF(Proposal!$F14=0,1000,IF(DAYS360(Summary!$B$5,Proposal!$F14)&lt;360,1000,PRICE($BF14+360,Proposal!$F14,$D14,$F14+AI$4,Proposal!$G14,2,0)))</f>
        <v>100.54390428370766</v>
      </c>
      <c r="AJ14" s="193">
        <f ca="1">IF(Proposal!$H14=0,1000,IF(DAYS360(Summary!$B$5,Proposal!$H14)&lt;360,1000,PRICE($BF14+360,Proposal!$H14,$D14,$F14+AI$4,100,2,0)))</f>
        <v>98.218193323549499</v>
      </c>
      <c r="AK14" s="190">
        <f ca="1">IF($E14=0,1000,IF(DAYS360(Summary!$B$5,$E14)&lt;360,1000,PRICE($BF14+360,$E14,$D14,$F14+AI$4,100,2,0)))</f>
        <v>94.860564369679153</v>
      </c>
      <c r="AL14" s="168">
        <f t="shared" ca="1" si="11"/>
        <v>-6.5305931366914649E-3</v>
      </c>
      <c r="AM14" s="197">
        <f ca="1">IF(Proposal!$F14=0,1000,IF(DAYS360(Summary!$B$5,Proposal!$F14)&lt;360,1000,PRICE($BF14+360,Proposal!$F14,$D14,$F14+AM$4,Proposal!$G14,2,0)))</f>
        <v>99.11367796547988</v>
      </c>
      <c r="AN14" s="193">
        <f ca="1">IF(Proposal!$H14=0,1000,IF(DAYS360(Summary!$B$5,Proposal!$H14)&lt;360,1000,PRICE($BF14+360,Proposal!$H14,$D14,$F14+AM$4,100,2,0)))</f>
        <v>96.051759138453662</v>
      </c>
      <c r="AO14" s="190">
        <f ca="1">IF($E14=0,1000,IF(DAYS360(Summary!$B$5,$E14)&lt;360,1000,PRICE($BF14+360,$E14,$D14,$F14+AM$4,100,2,0)))</f>
        <v>88.946775962706155</v>
      </c>
      <c r="AP14" s="168">
        <f t="shared" ca="1" si="12"/>
        <v>-6.5364306906233072E-2</v>
      </c>
      <c r="AQ14" s="167"/>
      <c r="AR14" s="169"/>
      <c r="AS14" s="188">
        <f t="shared" si="13"/>
        <v>100516.99999999999</v>
      </c>
      <c r="AT14" s="191">
        <f t="shared" si="14"/>
        <v>2.4933843468735515E-3</v>
      </c>
      <c r="AU14" s="192">
        <f t="shared" si="15"/>
        <v>2276.8588501910522</v>
      </c>
      <c r="AV14" s="192">
        <f t="shared" si="17"/>
        <v>2.4436085867362007E-3</v>
      </c>
      <c r="AW14" s="192">
        <f>AS14*Proposal!M14/AS$29</f>
        <v>2.4805598524364554E-3</v>
      </c>
      <c r="AX14" s="193">
        <f t="shared" si="22"/>
        <v>0.25587342459840612</v>
      </c>
      <c r="AY14" s="167">
        <f t="shared" ca="1" si="16"/>
        <v>2.4501128293466291E-3</v>
      </c>
      <c r="AZ14" s="167">
        <f t="shared" ca="1" si="18"/>
        <v>4.7104564597536536E-3</v>
      </c>
      <c r="BA14" s="167">
        <f t="shared" ca="1" si="19"/>
        <v>3.5862508861101649E-3</v>
      </c>
      <c r="BB14" s="167">
        <f t="shared" ca="1" si="20"/>
        <v>-3.2652965683457327E-4</v>
      </c>
      <c r="BC14" s="167">
        <f t="shared" ca="1" si="21"/>
        <v>-3.2682153453116535E-3</v>
      </c>
      <c r="BD14" s="167"/>
      <c r="BE14" s="208">
        <f>Enter!B10</f>
        <v>35034</v>
      </c>
      <c r="BF14" s="208">
        <f>Enter!C10</f>
        <v>37211</v>
      </c>
      <c r="BG14" s="170"/>
      <c r="BI14" s="20"/>
      <c r="BJ14" s="20"/>
      <c r="BK14" s="20"/>
      <c r="BL14" s="20"/>
      <c r="BM14" s="20"/>
      <c r="BN14" s="20"/>
      <c r="BO14" s="20"/>
    </row>
    <row r="15" spans="1:67" x14ac:dyDescent="0.3">
      <c r="A15" s="156">
        <f>Proposal!A15</f>
        <v>100</v>
      </c>
      <c r="B15" s="18" t="str">
        <f>Proposal!B15</f>
        <v>AAA/AAA</v>
      </c>
      <c r="C15" s="42" t="str">
        <f>Proposal!C15</f>
        <v>HOUSTON TX CCD</v>
      </c>
      <c r="D15" s="160">
        <f>Proposal!D15</f>
        <v>0.05</v>
      </c>
      <c r="E15" s="247">
        <f>Income!D14</f>
        <v>45762</v>
      </c>
      <c r="F15" s="210">
        <f>Proposal!BG15</f>
        <v>4.8510212358435521E-2</v>
      </c>
      <c r="G15" s="219">
        <f>Proposal!J15</f>
        <v>101.111</v>
      </c>
      <c r="H15" s="126">
        <f t="shared" si="0"/>
        <v>7.4226149776254227</v>
      </c>
      <c r="I15" s="127">
        <f t="shared" ca="1" si="1"/>
        <v>0.11955598818841207</v>
      </c>
      <c r="J15" s="127">
        <f t="shared" ca="1" si="2"/>
        <v>8.3311571515837679E-2</v>
      </c>
      <c r="K15" s="127">
        <f t="shared" ca="1" si="3"/>
        <v>4.8519998039620704E-2</v>
      </c>
      <c r="L15" s="127">
        <f t="shared" ca="1" si="4"/>
        <v>-6.6063500185264967E-3</v>
      </c>
      <c r="M15" s="127">
        <f t="shared" ca="1" si="5"/>
        <v>-6.5969032439221587E-2</v>
      </c>
      <c r="N15" s="18"/>
      <c r="O15" s="18"/>
      <c r="P15" s="18"/>
      <c r="Q15" s="18"/>
      <c r="S15" s="194">
        <f>MDURATION(BF15,Proposal!BH15,D15,F15,2,0)</f>
        <v>7.4226149776254227</v>
      </c>
      <c r="T15" s="167" t="b">
        <f t="shared" si="6"/>
        <v>0</v>
      </c>
      <c r="U15" s="195">
        <f t="shared" si="7"/>
        <v>5000</v>
      </c>
      <c r="V15" s="188"/>
      <c r="W15" s="197">
        <f ca="1">IF(Proposal!$F15=0,1000,IF(DAYS360(Summary!$B$5,Proposal!$F15)&lt;360,1000,PRICE($BF15+360,Proposal!$F15,$D15,$F15,Proposal!$G15,2,0)))</f>
        <v>101.01690552178408</v>
      </c>
      <c r="X15" s="193">
        <f>IF(Proposal!$H15=0,1000,IF(DAYS360(Summary!$B$5,Proposal!$H15)&lt;360,1000,PRICE($BF15+360,Proposal!$H15,$D15,$F15,100,2,0)))</f>
        <v>1000</v>
      </c>
      <c r="Y15" s="190">
        <f ca="1">IF($E15=0,1000,IF(DAYS360(Summary!$B$5,$E15)&lt;360,1000,PRICE($BF15+360,$E15,$D15,$F15,100,2,0)))</f>
        <v>102.01922692078085</v>
      </c>
      <c r="Z15" s="196">
        <f t="shared" ca="1" si="8"/>
        <v>4.8519998039620704E-2</v>
      </c>
      <c r="AA15" s="197">
        <f ca="1">IF(Proposal!$F15=0,1000,IF(DAYS360(Summary!$B$5,Proposal!$F15)&lt;360,1000,PRICE($BF15+360,Proposal!$F15,$D15,$F15+AA$4,Proposal!$G15,2,0)))</f>
        <v>108.19942552171855</v>
      </c>
      <c r="AB15" s="193">
        <f>IF(Proposal!$H15=0,1000,IF(DAYS360(Summary!$B$5,Proposal!$H15)&lt;360,1000,PRICE($BF15+360,Proposal!$H15,$D15,$F15+AA$4,100,2,0)))</f>
        <v>1000</v>
      </c>
      <c r="AC15" s="190">
        <f ca="1">IF($E15=0,1000,IF(DAYS360(Summary!$B$5,$E15)&lt;360,1000,PRICE($BF15+360,$E15,$D15,$F15+AA$4,100,2,0)))</f>
        <v>117.15032882367744</v>
      </c>
      <c r="AD15" s="168">
        <f t="shared" ca="1" si="9"/>
        <v>0.11955598818841207</v>
      </c>
      <c r="AE15" s="197">
        <f ca="1">IF(Proposal!$F15=0,1000,IF(DAYS360(Summary!$B$5,Proposal!$F15)&lt;360,1000,PRICE($BF15+360,Proposal!$F15,$D15,$F15+AE$4,Proposal!$G15,2,0)))</f>
        <v>104.53471630753786</v>
      </c>
      <c r="AF15" s="193">
        <f>IF(Proposal!$H15=0,1000,IF(DAYS360(Summary!$B$5,Proposal!$H15)&lt;360,1000,PRICE($BF15+360,Proposal!$H15,$D15,$F15+AE$4,100,2,0)))</f>
        <v>1000</v>
      </c>
      <c r="AG15" s="190">
        <f ca="1">IF($E15=0,1000,IF(DAYS360(Summary!$B$5,$E15)&lt;360,1000,PRICE($BF15+360,$E15,$D15,$F15+AE$4,100,2,0)))</f>
        <v>109.23178580192987</v>
      </c>
      <c r="AH15" s="168">
        <f t="shared" ca="1" si="10"/>
        <v>8.3311571515837679E-2</v>
      </c>
      <c r="AI15" s="197">
        <f ca="1">IF(Proposal!$F15=0,1000,IF(DAYS360(Summary!$B$5,Proposal!$F15)&lt;360,1000,PRICE($BF15+360,Proposal!$F15,$D15,$F15+AI$4,Proposal!$G15,2,0)))</f>
        <v>97.639591819746329</v>
      </c>
      <c r="AJ15" s="193">
        <f>IF(Proposal!$H15=0,1000,IF(DAYS360(Summary!$B$5,Proposal!$H15)&lt;360,1000,PRICE($BF15+360,Proposal!$H15,$D15,$F15+AI$4,100,2,0)))</f>
        <v>1000</v>
      </c>
      <c r="AK15" s="190">
        <f ca="1">IF($E15=0,1000,IF(DAYS360(Summary!$B$5,$E15)&lt;360,1000,PRICE($BF15+360,$E15,$D15,$F15+AI$4,100,2,0)))</f>
        <v>95.443025343276773</v>
      </c>
      <c r="AL15" s="168">
        <f t="shared" ca="1" si="11"/>
        <v>-6.6063500185264967E-3</v>
      </c>
      <c r="AM15" s="197">
        <f ca="1">IF(Proposal!$F15=0,1000,IF(DAYS360(Summary!$B$5,Proposal!$F15)&lt;360,1000,PRICE($BF15+360,Proposal!$F15,$D15,$F15+AM$4,Proposal!$G15,2,0)))</f>
        <v>94.396670723644263</v>
      </c>
      <c r="AN15" s="193">
        <f>IF(Proposal!$H15=0,1000,IF(DAYS360(Summary!$B$5,Proposal!$H15)&lt;360,1000,PRICE($BF15+360,Proposal!$H15,$D15,$F15+AM$4,100,2,0)))</f>
        <v>1000</v>
      </c>
      <c r="AO15" s="190">
        <f ca="1">IF($E15=0,1000,IF(DAYS360(Summary!$B$5,$E15)&lt;360,1000,PRICE($BF15+360,$E15,$D15,$F15+AM$4,100,2,0)))</f>
        <v>89.440805161037858</v>
      </c>
      <c r="AP15" s="168">
        <f t="shared" ca="1" si="12"/>
        <v>-6.5969032439221587E-2</v>
      </c>
      <c r="AQ15" s="167"/>
      <c r="AR15" s="169"/>
      <c r="AS15" s="188">
        <f t="shared" si="13"/>
        <v>101111</v>
      </c>
      <c r="AT15" s="191">
        <f t="shared" si="14"/>
        <v>2.5081188723970246E-3</v>
      </c>
      <c r="AU15" s="192">
        <f t="shared" si="15"/>
        <v>2295.5307167726528</v>
      </c>
      <c r="AV15" s="192">
        <f t="shared" si="17"/>
        <v>2.4333875824035902E-3</v>
      </c>
      <c r="AW15" s="192">
        <f>AS15*Proposal!M15/AS$29</f>
        <v>2.4805598524364559E-3</v>
      </c>
      <c r="AX15" s="193">
        <f t="shared" si="22"/>
        <v>0.3723360141583828</v>
      </c>
      <c r="AY15" s="167">
        <f t="shared" ca="1" si="16"/>
        <v>2.4259999019810353E-3</v>
      </c>
      <c r="AZ15" s="167">
        <f t="shared" ca="1" si="18"/>
        <v>5.9777994094206031E-3</v>
      </c>
      <c r="BA15" s="167">
        <f t="shared" ca="1" si="19"/>
        <v>4.1655785757918834E-3</v>
      </c>
      <c r="BB15" s="167">
        <f t="shared" ca="1" si="20"/>
        <v>-3.3031750092632484E-4</v>
      </c>
      <c r="BC15" s="167">
        <f t="shared" ca="1" si="21"/>
        <v>-3.298451621961079E-3</v>
      </c>
      <c r="BD15" s="167"/>
      <c r="BE15" s="208">
        <f>Enter!B11</f>
        <v>37196</v>
      </c>
      <c r="BF15" s="208">
        <f>Enter!C11</f>
        <v>37211</v>
      </c>
      <c r="BG15" s="170"/>
      <c r="BI15" s="20"/>
      <c r="BJ15" s="20"/>
      <c r="BK15" s="20"/>
      <c r="BL15" s="20"/>
      <c r="BM15" s="20"/>
      <c r="BN15" s="20"/>
      <c r="BO15" s="20"/>
    </row>
    <row r="16" spans="1:67" x14ac:dyDescent="0.3">
      <c r="A16" s="156">
        <f>Proposal!A16</f>
        <v>200</v>
      </c>
      <c r="B16" s="18" t="str">
        <f>Proposal!B16</f>
        <v>AAA/AAA</v>
      </c>
      <c r="C16" s="42" t="str">
        <f>Proposal!C16</f>
        <v>SEATTLE WASH WTR</v>
      </c>
      <c r="D16" s="160">
        <f>Proposal!D16</f>
        <v>0.05</v>
      </c>
      <c r="E16" s="247">
        <f>Income!D15</f>
        <v>46327</v>
      </c>
      <c r="F16" s="210">
        <f>Proposal!BG16</f>
        <v>4.8819066195941202E-2</v>
      </c>
      <c r="G16" s="219">
        <f>Proposal!J16</f>
        <v>100.919</v>
      </c>
      <c r="H16" s="126">
        <f t="shared" si="0"/>
        <v>7.7582519946323742</v>
      </c>
      <c r="I16" s="127">
        <f t="shared" ca="1" si="1"/>
        <v>0.12360121226885457</v>
      </c>
      <c r="J16" s="127">
        <f t="shared" ca="1" si="2"/>
        <v>8.5408455314116116E-2</v>
      </c>
      <c r="K16" s="127">
        <f t="shared" ca="1" si="3"/>
        <v>4.882878467165086E-2</v>
      </c>
      <c r="L16" s="127">
        <f t="shared" ca="1" si="4"/>
        <v>-1.0203147344304386E-2</v>
      </c>
      <c r="M16" s="127">
        <f t="shared" ca="1" si="5"/>
        <v>-7.111684392930151E-2</v>
      </c>
      <c r="N16" s="18"/>
      <c r="O16" s="18"/>
      <c r="P16" s="18"/>
      <c r="Q16" s="18"/>
      <c r="S16" s="194">
        <f>MDURATION(BF16,Proposal!BH16,D16,F16,2,0)</f>
        <v>7.7582519946323742</v>
      </c>
      <c r="T16" s="167" t="b">
        <f t="shared" si="6"/>
        <v>0</v>
      </c>
      <c r="U16" s="195">
        <f t="shared" si="7"/>
        <v>10000</v>
      </c>
      <c r="V16" s="188"/>
      <c r="W16" s="197">
        <f ca="1">IF(Proposal!$F16=0,1000,IF(DAYS360(Summary!$B$5,Proposal!$F16)&lt;360,1000,PRICE($BF16+360,Proposal!$F16,$D16,$F16,Proposal!$G16,2,0)))</f>
        <v>100.84675212027834</v>
      </c>
      <c r="X16" s="193">
        <f>IF(Proposal!$H16=0,1000,IF(DAYS360(Summary!$B$5,Proposal!$H16)&lt;360,1000,PRICE($BF16+360,Proposal!$H16,$D16,$F16,100,2,0)))</f>
        <v>1000</v>
      </c>
      <c r="Y16" s="190">
        <f ca="1">IF($E16=0,1000,IF(DAYS360(Summary!$B$5,$E16)&lt;360,1000,PRICE($BF16+360,$E16,$D16,$F16,100,2,0)))</f>
        <v>101.65526307199407</v>
      </c>
      <c r="Z16" s="196">
        <f t="shared" ca="1" si="8"/>
        <v>4.882878467165086E-2</v>
      </c>
      <c r="AA16" s="197">
        <f ca="1">IF(Proposal!$F16=0,1000,IF(DAYS360(Summary!$B$5,Proposal!$F16)&lt;360,1000,PRICE($BF16+360,Proposal!$F16,$D16,$F16+AA$4,Proposal!$G16,2,0)))</f>
        <v>108.39271074096054</v>
      </c>
      <c r="AB16" s="193">
        <f>IF(Proposal!$H16=0,1000,IF(DAYS360(Summary!$B$5,Proposal!$H16)&lt;360,1000,PRICE($BF16+360,Proposal!$H16,$D16,$F16+AA$4,100,2,0)))</f>
        <v>1000</v>
      </c>
      <c r="AC16" s="190">
        <f ca="1">IF($E16=0,1000,IF(DAYS360(Summary!$B$5,$E16)&lt;360,1000,PRICE($BF16+360,$E16,$D16,$F16+AA$4,100,2,0)))</f>
        <v>117.33672944349344</v>
      </c>
      <c r="AD16" s="168">
        <f t="shared" ca="1" si="9"/>
        <v>0.12360121226885457</v>
      </c>
      <c r="AE16" s="197">
        <f ca="1">IF(Proposal!$F16=0,1000,IF(DAYS360(Summary!$B$5,Proposal!$F16)&lt;360,1000,PRICE($BF16+360,Proposal!$F16,$D16,$F16+AE$4,Proposal!$G16,2,0)))</f>
        <v>104.53833590184527</v>
      </c>
      <c r="AF16" s="193">
        <f>IF(Proposal!$H16=0,1000,IF(DAYS360(Summary!$B$5,Proposal!$H16)&lt;360,1000,PRICE($BF16+360,Proposal!$H16,$D16,$F16+AE$4,100,2,0)))</f>
        <v>1000</v>
      </c>
      <c r="AG16" s="190">
        <f ca="1">IF($E16=0,1000,IF(DAYS360(Summary!$B$5,$E16)&lt;360,1000,PRICE($BF16+360,$E16,$D16,$F16+AE$4,100,2,0)))</f>
        <v>109.11105903949714</v>
      </c>
      <c r="AH16" s="168">
        <f t="shared" ca="1" si="10"/>
        <v>8.5408455314116116E-2</v>
      </c>
      <c r="AI16" s="197">
        <f ca="1">IF(Proposal!$F16=0,1000,IF(DAYS360(Summary!$B$5,Proposal!$F16)&lt;360,1000,PRICE($BF16+360,Proposal!$F16,$D16,$F16+AI$4,Proposal!$G16,2,0)))</f>
        <v>97.31049196751259</v>
      </c>
      <c r="AJ16" s="193">
        <f>IF(Proposal!$H16=0,1000,IF(DAYS360(Summary!$B$5,Proposal!$H16)&lt;360,1000,PRICE($BF16+360,Proposal!$H16,$D16,$F16+AI$4,100,2,0)))</f>
        <v>1000</v>
      </c>
      <c r="AK16" s="190">
        <f ca="1">IF($E16=0,1000,IF(DAYS360(Summary!$B$5,$E16)&lt;360,1000,PRICE($BF16+360,$E16,$D16,$F16+AI$4,100,2,0)))</f>
        <v>94.88930857316015</v>
      </c>
      <c r="AL16" s="168">
        <f t="shared" ca="1" si="11"/>
        <v>-1.0203147344304386E-2</v>
      </c>
      <c r="AM16" s="197">
        <f ca="1">IF(Proposal!$F16=0,1000,IF(DAYS360(Summary!$B$5,Proposal!$F16)&lt;360,1000,PRICE($BF16+360,Proposal!$F16,$D16,$F16+AM$4,Proposal!$G16,2,0)))</f>
        <v>93.922451897101624</v>
      </c>
      <c r="AN16" s="193">
        <f>IF(Proposal!$H16=0,1000,IF(DAYS360(Summary!$B$5,Proposal!$H16)&lt;360,1000,PRICE($BF16+360,Proposal!$H16,$D16,$F16+AM$4,100,2,0)))</f>
        <v>1000</v>
      </c>
      <c r="AO16" s="190">
        <f ca="1">IF($E16=0,1000,IF(DAYS360(Summary!$B$5,$E16)&lt;360,1000,PRICE($BF16+360,$E16,$D16,$F16+AM$4,100,2,0)))</f>
        <v>88.741959227498825</v>
      </c>
      <c r="AP16" s="168">
        <f t="shared" ca="1" si="12"/>
        <v>-7.111684392930151E-2</v>
      </c>
      <c r="AQ16" s="167"/>
      <c r="AR16" s="169"/>
      <c r="AS16" s="188">
        <f t="shared" si="13"/>
        <v>201838</v>
      </c>
      <c r="AT16" s="191">
        <f t="shared" si="14"/>
        <v>5.0067123949606935E-3</v>
      </c>
      <c r="AU16" s="192">
        <f t="shared" si="15"/>
        <v>4638.9193024268807</v>
      </c>
      <c r="AV16" s="192">
        <f t="shared" si="17"/>
        <v>4.8884604766725077E-3</v>
      </c>
      <c r="AW16" s="192">
        <f>AS16*Proposal!M16/AS$29</f>
        <v>4.9611197048729109E-3</v>
      </c>
      <c r="AX16" s="193">
        <f t="shared" si="22"/>
        <v>0.77686672849508864</v>
      </c>
      <c r="AY16" s="167">
        <f t="shared" ca="1" si="16"/>
        <v>4.8828784671650863E-3</v>
      </c>
      <c r="AZ16" s="167">
        <f t="shared" ca="1" si="18"/>
        <v>1.2360121226885458E-2</v>
      </c>
      <c r="BA16" s="167">
        <f t="shared" ca="1" si="19"/>
        <v>8.5408455314116127E-3</v>
      </c>
      <c r="BB16" s="167">
        <f t="shared" ca="1" si="20"/>
        <v>-1.0203147344304386E-3</v>
      </c>
      <c r="BC16" s="167">
        <f t="shared" ca="1" si="21"/>
        <v>-7.1116843929301512E-3</v>
      </c>
      <c r="BD16" s="167"/>
      <c r="BE16" s="208">
        <f>Enter!B12</f>
        <v>37196</v>
      </c>
      <c r="BF16" s="208">
        <f>Enter!C12</f>
        <v>37215</v>
      </c>
      <c r="BG16" s="170"/>
      <c r="BI16" s="20"/>
      <c r="BJ16" s="20"/>
      <c r="BK16" s="20"/>
      <c r="BL16" s="20"/>
      <c r="BM16" s="20"/>
      <c r="BN16" s="20"/>
      <c r="BO16" s="20"/>
    </row>
    <row r="17" spans="1:67" x14ac:dyDescent="0.3">
      <c r="A17" s="156">
        <f>Proposal!A17</f>
        <v>200</v>
      </c>
      <c r="B17" s="18" t="str">
        <f>Proposal!B17</f>
        <v>AAA/AAA</v>
      </c>
      <c r="C17" s="42" t="str">
        <f>Proposal!C17</f>
        <v>SAN ANTONIO ISD</v>
      </c>
      <c r="D17" s="160">
        <f>Proposal!D17</f>
        <v>0.05</v>
      </c>
      <c r="E17" s="247">
        <f>Income!D16</f>
        <v>46614</v>
      </c>
      <c r="F17" s="210">
        <f>Proposal!BG17</f>
        <v>4.9000187922203224E-2</v>
      </c>
      <c r="G17" s="219">
        <f>Proposal!J17</f>
        <v>100.56100000000001</v>
      </c>
      <c r="H17" s="126">
        <f t="shared" si="0"/>
        <v>5.605039034986242</v>
      </c>
      <c r="I17" s="127">
        <f t="shared" ca="1" si="1"/>
        <v>0.10003725606229019</v>
      </c>
      <c r="J17" s="127">
        <f t="shared" ca="1" si="2"/>
        <v>7.4147377825322103E-2</v>
      </c>
      <c r="K17" s="127">
        <f t="shared" ca="1" si="3"/>
        <v>4.9005569342195576E-2</v>
      </c>
      <c r="L17" s="127">
        <f t="shared" ca="1" si="4"/>
        <v>-9.9136658732776883E-3</v>
      </c>
      <c r="M17" s="127">
        <f t="shared" ca="1" si="5"/>
        <v>-7.1693280020005967E-2</v>
      </c>
      <c r="N17" s="18"/>
      <c r="O17" s="18"/>
      <c r="P17" s="18"/>
      <c r="Q17" s="18"/>
      <c r="S17" s="194">
        <f>MDURATION(BF17,Proposal!BH17,D17,F17,2,0)</f>
        <v>5.605039034986242</v>
      </c>
      <c r="T17" s="167" t="b">
        <f t="shared" si="6"/>
        <v>0</v>
      </c>
      <c r="U17" s="195">
        <f t="shared" si="7"/>
        <v>10000</v>
      </c>
      <c r="V17" s="188"/>
      <c r="W17" s="197">
        <f ca="1">IF(Proposal!$F17=0,1000,IF(DAYS360(Summary!$B$5,Proposal!$F17)&lt;360,1000,PRICE($BF17+360,Proposal!$F17,$D17,$F17,Proposal!$G17,2,0)))</f>
        <v>100.48904905862054</v>
      </c>
      <c r="X17" s="193">
        <f>IF(Proposal!$H17=0,1000,IF(DAYS360(Summary!$B$5,Proposal!$H17)&lt;360,1000,PRICE($BF17+360,Proposal!$H17,$D17,$F17,100,2,0)))</f>
        <v>1000</v>
      </c>
      <c r="Y17" s="190">
        <f ca="1">IF($E17=0,1000,IF(DAYS360(Summary!$B$5,$E17)&lt;360,1000,PRICE($BF17+360,$E17,$D17,$F17,100,2,0)))</f>
        <v>101.41749804738029</v>
      </c>
      <c r="Z17" s="196">
        <f t="shared" ca="1" si="8"/>
        <v>4.9005569342195576E-2</v>
      </c>
      <c r="AA17" s="197">
        <f ca="1">IF(Proposal!$F17=0,1000,IF(DAYS360(Summary!$B$5,Proposal!$F17)&lt;360,1000,PRICE($BF17+360,Proposal!$F17,$D17,$F17+AA$4,Proposal!$G17,2,0)))</f>
        <v>105.62084650687997</v>
      </c>
      <c r="AB17" s="193">
        <f>IF(Proposal!$H17=0,1000,IF(DAYS360(Summary!$B$5,Proposal!$H17)&lt;360,1000,PRICE($BF17+360,Proposal!$H17,$D17,$F17+AA$4,100,2,0)))</f>
        <v>1000</v>
      </c>
      <c r="AC17" s="190">
        <f ca="1">IF($E17=0,1000,IF(DAYS360(Summary!$B$5,$E17)&lt;360,1000,PRICE($BF17+360,$E17,$D17,$F17+AA$4,100,2,0)))</f>
        <v>117.36015964503582</v>
      </c>
      <c r="AD17" s="168">
        <f t="shared" ca="1" si="9"/>
        <v>0.10003725606229019</v>
      </c>
      <c r="AE17" s="197">
        <f ca="1">IF(Proposal!$F17=0,1000,IF(DAYS360(Summary!$B$5,Proposal!$F17)&lt;360,1000,PRICE($BF17+360,Proposal!$F17,$D17,$F17+AE$4,Proposal!$G17,2,0)))</f>
        <v>103.01733446149223</v>
      </c>
      <c r="AF17" s="193">
        <f>IF(Proposal!$H17=0,1000,IF(DAYS360(Summary!$B$5,Proposal!$H17)&lt;360,1000,PRICE($BF17+360,Proposal!$H17,$D17,$F17+AE$4,100,2,0)))</f>
        <v>1000</v>
      </c>
      <c r="AG17" s="190">
        <f ca="1">IF($E17=0,1000,IF(DAYS360(Summary!$B$5,$E17)&lt;360,1000,PRICE($BF17+360,$E17,$D17,$F17+AE$4,100,2,0)))</f>
        <v>108.98766269736797</v>
      </c>
      <c r="AH17" s="168">
        <f t="shared" ca="1" si="10"/>
        <v>7.4147377825322103E-2</v>
      </c>
      <c r="AI17" s="197">
        <f ca="1">IF(Proposal!$F17=0,1000,IF(DAYS360(Summary!$B$5,Proposal!$F17)&lt;360,1000,PRICE($BF17+360,Proposal!$F17,$D17,$F17+AI$4,Proposal!$G17,2,0)))</f>
        <v>98.033598287278366</v>
      </c>
      <c r="AJ17" s="193">
        <f>IF(Proposal!$H17=0,1000,IF(DAYS360(Summary!$B$5,Proposal!$H17)&lt;360,1000,PRICE($BF17+360,Proposal!$H17,$D17,$F17+AI$4,100,2,0)))</f>
        <v>1000</v>
      </c>
      <c r="AK17" s="190">
        <f ca="1">IF($E17=0,1000,IF(DAYS360(Summary!$B$5,$E17)&lt;360,1000,PRICE($BF17+360,$E17,$D17,$F17+AI$4,100,2,0)))</f>
        <v>94.564071846117329</v>
      </c>
      <c r="AL17" s="168">
        <f t="shared" ca="1" si="11"/>
        <v>-9.9136658732776883E-3</v>
      </c>
      <c r="AM17" s="197">
        <f ca="1">IF(Proposal!$F17=0,1000,IF(DAYS360(Summary!$B$5,Proposal!$F17)&lt;360,1000,PRICE($BF17+360,Proposal!$F17,$D17,$F17+AM$4,Proposal!$G17,2,0)))</f>
        <v>95.648672331992628</v>
      </c>
      <c r="AN17" s="193">
        <f>IF(Proposal!$H17=0,1000,IF(DAYS360(Summary!$B$5,Proposal!$H17)&lt;360,1000,PRICE($BF17+360,Proposal!$H17,$D17,$F17+AM$4,100,2,0)))</f>
        <v>1000</v>
      </c>
      <c r="AO17" s="190">
        <f ca="1">IF($E17=0,1000,IF(DAYS360(Summary!$B$5,$E17)&lt;360,1000,PRICE($BF17+360,$E17,$D17,$F17+AM$4,100,2,0)))</f>
        <v>88.35145206790817</v>
      </c>
      <c r="AP17" s="168">
        <f t="shared" ca="1" si="12"/>
        <v>-7.1693280020005967E-2</v>
      </c>
      <c r="AQ17" s="167"/>
      <c r="AR17" s="169"/>
      <c r="AS17" s="188">
        <f t="shared" si="13"/>
        <v>201122</v>
      </c>
      <c r="AT17" s="191">
        <f t="shared" si="14"/>
        <v>4.9889515864172482E-3</v>
      </c>
      <c r="AU17" s="192">
        <f t="shared" si="15"/>
        <v>4651.0997849850719</v>
      </c>
      <c r="AV17" s="192">
        <f t="shared" si="17"/>
        <v>4.8891913053843812E-3</v>
      </c>
      <c r="AW17" s="192">
        <f>AS17*Proposal!M17/AS$29</f>
        <v>4.9611197048729109E-3</v>
      </c>
      <c r="AX17" s="193">
        <f t="shared" si="22"/>
        <v>0.55926536771050428</v>
      </c>
      <c r="AY17" s="167">
        <f t="shared" ca="1" si="16"/>
        <v>4.900556934219558E-3</v>
      </c>
      <c r="AZ17" s="167">
        <f t="shared" ca="1" si="18"/>
        <v>1.0003725606229018E-2</v>
      </c>
      <c r="BA17" s="167">
        <f t="shared" ca="1" si="19"/>
        <v>7.4147377825322103E-3</v>
      </c>
      <c r="BB17" s="167">
        <f t="shared" ca="1" si="20"/>
        <v>-9.9136658732776892E-4</v>
      </c>
      <c r="BC17" s="167">
        <f t="shared" ca="1" si="21"/>
        <v>-7.1693280020005976E-3</v>
      </c>
      <c r="BD17" s="167"/>
      <c r="BE17" s="208">
        <f>Enter!B13</f>
        <v>35735</v>
      </c>
      <c r="BF17" s="208">
        <f>Enter!C13</f>
        <v>37211</v>
      </c>
      <c r="BG17" s="170"/>
      <c r="BI17" s="20"/>
      <c r="BJ17" s="20"/>
      <c r="BK17" s="20"/>
      <c r="BL17" s="20"/>
      <c r="BM17" s="20"/>
      <c r="BN17" s="20"/>
      <c r="BO17" s="20"/>
    </row>
    <row r="18" spans="1:67" x14ac:dyDescent="0.3">
      <c r="A18" s="156">
        <f>Proposal!A18</f>
        <v>0</v>
      </c>
      <c r="B18" s="18">
        <f>Proposal!B18</f>
        <v>0</v>
      </c>
      <c r="C18" s="42">
        <f>Proposal!C18</f>
        <v>0</v>
      </c>
      <c r="D18" s="160">
        <f>Proposal!D18</f>
        <v>0</v>
      </c>
      <c r="E18" s="247">
        <f>Income!D17</f>
        <v>0</v>
      </c>
      <c r="F18" s="210">
        <f>Proposal!BG18</f>
        <v>0</v>
      </c>
      <c r="G18" s="219">
        <f>Proposal!J18</f>
        <v>0</v>
      </c>
      <c r="H18" s="126">
        <f t="shared" si="0"/>
        <v>0</v>
      </c>
      <c r="I18" s="127">
        <f t="shared" si="1"/>
        <v>0</v>
      </c>
      <c r="J18" s="127">
        <f t="shared" si="2"/>
        <v>0</v>
      </c>
      <c r="K18" s="127">
        <f t="shared" si="3"/>
        <v>0</v>
      </c>
      <c r="L18" s="127">
        <f t="shared" si="4"/>
        <v>0</v>
      </c>
      <c r="M18" s="127">
        <f t="shared" si="5"/>
        <v>0</v>
      </c>
      <c r="N18" s="18"/>
      <c r="O18" s="18"/>
      <c r="P18" s="18"/>
      <c r="Q18" s="18"/>
      <c r="S18" s="194" t="e">
        <f>MDURATION(BF18,Proposal!BH18,D18,F18,2,0)</f>
        <v>#NUM!</v>
      </c>
      <c r="T18" s="167" t="b">
        <f t="shared" si="6"/>
        <v>1</v>
      </c>
      <c r="U18" s="195">
        <f t="shared" si="7"/>
        <v>0</v>
      </c>
      <c r="V18" s="188"/>
      <c r="W18" s="197">
        <f>IF(Proposal!$F18=0,1000,IF(DAYS360(Summary!$B$5,Proposal!$F18)&lt;360,1000,PRICE($BF18+360,Proposal!$F18,$D18,$F18,Proposal!$G18,2,0)))</f>
        <v>1000</v>
      </c>
      <c r="X18" s="193">
        <f>IF(Proposal!$H18=0,1000,IF(DAYS360(Summary!$B$5,Proposal!$H18)&lt;360,1000,PRICE($BF18+360,Proposal!$H18,$D18,$F18,100,2,0)))</f>
        <v>1000</v>
      </c>
      <c r="Y18" s="190">
        <f>IF($E18=0,1000,IF(DAYS360(Summary!$B$5,$E18)&lt;360,1000,PRICE($BF18+360,$E18,$D18,$F18,100,2,0)))</f>
        <v>1000</v>
      </c>
      <c r="Z18" s="196">
        <f t="shared" si="8"/>
        <v>0</v>
      </c>
      <c r="AA18" s="197">
        <f>IF(Proposal!$F18=0,1000,IF(DAYS360(Summary!$B$5,Proposal!$F18)&lt;360,1000,PRICE($BF18+360,Proposal!$F18,$D18,$F18+AA$4,Proposal!$G18,2,0)))</f>
        <v>1000</v>
      </c>
      <c r="AB18" s="193">
        <f>IF(Proposal!$H18=0,1000,IF(DAYS360(Summary!$B$5,Proposal!$H18)&lt;360,1000,PRICE($BF18+360,Proposal!$H18,$D18,$F18+AA$4,100,2,0)))</f>
        <v>1000</v>
      </c>
      <c r="AC18" s="190">
        <f>IF($E18=0,1000,IF(DAYS360(Summary!$B$5,$E18)&lt;360,1000,PRICE($BF18+360,$E18,$D18,$F18+AA$4,100,2,0)))</f>
        <v>1000</v>
      </c>
      <c r="AD18" s="168">
        <f t="shared" si="9"/>
        <v>0</v>
      </c>
      <c r="AE18" s="197">
        <f>IF(Proposal!$F18=0,1000,IF(DAYS360(Summary!$B$5,Proposal!$F18)&lt;360,1000,PRICE($BF18+360,Proposal!$F18,$D18,$F18+AE$4,Proposal!$G18,2,0)))</f>
        <v>1000</v>
      </c>
      <c r="AF18" s="193">
        <f>IF(Proposal!$H18=0,1000,IF(DAYS360(Summary!$B$5,Proposal!$H18)&lt;360,1000,PRICE($BF18+360,Proposal!$H18,$D18,$F18+AE$4,100,2,0)))</f>
        <v>1000</v>
      </c>
      <c r="AG18" s="190">
        <f>IF($E18=0,1000,IF(DAYS360(Summary!$B$5,$E18)&lt;360,1000,PRICE($BF18+360,$E18,$D18,$F18+AE$4,100,2,0)))</f>
        <v>1000</v>
      </c>
      <c r="AH18" s="168">
        <f t="shared" si="10"/>
        <v>0</v>
      </c>
      <c r="AI18" s="197">
        <f>IF(Proposal!$F18=0,1000,IF(DAYS360(Summary!$B$5,Proposal!$F18)&lt;360,1000,PRICE($BF18+360,Proposal!$F18,$D18,$F18+AI$4,Proposal!$G18,2,0)))</f>
        <v>1000</v>
      </c>
      <c r="AJ18" s="193">
        <f>IF(Proposal!$H18=0,1000,IF(DAYS360(Summary!$B$5,Proposal!$H18)&lt;360,1000,PRICE($BF18+360,Proposal!$H18,$D18,$F18+AI$4,100,2,0)))</f>
        <v>1000</v>
      </c>
      <c r="AK18" s="190">
        <f>IF($E18=0,1000,IF(DAYS360(Summary!$B$5,$E18)&lt;360,1000,PRICE($BF18+360,$E18,$D18,$F18+AI$4,100,2,0)))</f>
        <v>1000</v>
      </c>
      <c r="AL18" s="168">
        <f t="shared" si="11"/>
        <v>0</v>
      </c>
      <c r="AM18" s="197">
        <f>IF(Proposal!$F18=0,1000,IF(DAYS360(Summary!$B$5,Proposal!$F18)&lt;360,1000,PRICE($BF18+360,Proposal!$F18,$D18,$F18+AM$4,Proposal!$G18,2,0)))</f>
        <v>1000</v>
      </c>
      <c r="AN18" s="193">
        <f>IF(Proposal!$H18=0,1000,IF(DAYS360(Summary!$B$5,Proposal!$H18)&lt;360,1000,PRICE($BF18+360,Proposal!$H18,$D18,$F18+AM$4,100,2,0)))</f>
        <v>1000</v>
      </c>
      <c r="AO18" s="190">
        <f>IF($E18=0,1000,IF(DAYS360(Summary!$B$5,$E18)&lt;360,1000,PRICE($BF18+360,$E18,$D18,$F18+AM$4,100,2,0)))</f>
        <v>1000</v>
      </c>
      <c r="AP18" s="168">
        <f t="shared" si="12"/>
        <v>0</v>
      </c>
      <c r="AQ18" s="167"/>
      <c r="AR18" s="169"/>
      <c r="AS18" s="188">
        <f t="shared" si="13"/>
        <v>0</v>
      </c>
      <c r="AT18" s="191">
        <f t="shared" si="14"/>
        <v>0</v>
      </c>
      <c r="AU18" s="192">
        <f t="shared" si="15"/>
        <v>0</v>
      </c>
      <c r="AV18" s="192">
        <f t="shared" si="17"/>
        <v>0</v>
      </c>
      <c r="AW18" s="192">
        <f>AS18*Proposal!M18/AS$29</f>
        <v>0</v>
      </c>
      <c r="AX18" s="193">
        <f t="shared" si="22"/>
        <v>0</v>
      </c>
      <c r="AY18" s="167">
        <f t="shared" si="16"/>
        <v>0</v>
      </c>
      <c r="AZ18" s="167">
        <f t="shared" si="18"/>
        <v>0</v>
      </c>
      <c r="BA18" s="167">
        <f t="shared" si="19"/>
        <v>0</v>
      </c>
      <c r="BB18" s="167">
        <f t="shared" si="20"/>
        <v>0</v>
      </c>
      <c r="BC18" s="167">
        <f t="shared" si="21"/>
        <v>0</v>
      </c>
      <c r="BD18" s="167"/>
      <c r="BE18" s="208">
        <f>Enter!B14</f>
        <v>0</v>
      </c>
      <c r="BF18" s="208">
        <f>Enter!C14</f>
        <v>0</v>
      </c>
      <c r="BG18" s="170"/>
      <c r="BI18" s="20"/>
      <c r="BJ18" s="20"/>
      <c r="BK18" s="20"/>
      <c r="BL18" s="20"/>
      <c r="BM18" s="20"/>
      <c r="BN18" s="20"/>
      <c r="BO18" s="20"/>
    </row>
    <row r="19" spans="1:67" x14ac:dyDescent="0.3">
      <c r="A19" s="156">
        <f>Proposal!A19</f>
        <v>0</v>
      </c>
      <c r="B19" s="18">
        <f>Proposal!B19</f>
        <v>0</v>
      </c>
      <c r="C19" s="42">
        <f>Proposal!C19</f>
        <v>0</v>
      </c>
      <c r="D19" s="160">
        <f>Proposal!D19</f>
        <v>0</v>
      </c>
      <c r="E19" s="247">
        <f>Income!D18</f>
        <v>0</v>
      </c>
      <c r="F19" s="210">
        <f>Proposal!BG19</f>
        <v>0</v>
      </c>
      <c r="G19" s="219">
        <f>Proposal!J19</f>
        <v>0</v>
      </c>
      <c r="H19" s="126">
        <f t="shared" si="0"/>
        <v>0</v>
      </c>
      <c r="I19" s="127">
        <f t="shared" si="1"/>
        <v>0</v>
      </c>
      <c r="J19" s="127">
        <f t="shared" si="2"/>
        <v>0</v>
      </c>
      <c r="K19" s="127">
        <f t="shared" si="3"/>
        <v>0</v>
      </c>
      <c r="L19" s="127">
        <f t="shared" si="4"/>
        <v>0</v>
      </c>
      <c r="M19" s="127">
        <f t="shared" si="5"/>
        <v>0</v>
      </c>
      <c r="N19" s="18"/>
      <c r="O19" s="18"/>
      <c r="P19" s="18"/>
      <c r="Q19" s="18"/>
      <c r="S19" s="194" t="e">
        <f>MDURATION(BF19,Proposal!BH19,D19,F19,2,0)</f>
        <v>#NUM!</v>
      </c>
      <c r="T19" s="167" t="b">
        <f t="shared" si="6"/>
        <v>1</v>
      </c>
      <c r="U19" s="195">
        <f t="shared" si="7"/>
        <v>0</v>
      </c>
      <c r="V19" s="188"/>
      <c r="W19" s="197">
        <f>IF(Proposal!$F19=0,1000,IF(DAYS360(Summary!$B$5,Proposal!$F19)&lt;360,1000,PRICE($BF19+360,Proposal!$F19,$D19,$F19,Proposal!$G19,2,0)))</f>
        <v>1000</v>
      </c>
      <c r="X19" s="193">
        <f>IF(Proposal!$H19=0,1000,IF(DAYS360(Summary!$B$5,Proposal!$H19)&lt;360,1000,PRICE($BF19+360,Proposal!$H19,$D19,$F19,100,2,0)))</f>
        <v>1000</v>
      </c>
      <c r="Y19" s="190">
        <f>IF($E19=0,1000,IF(DAYS360(Summary!$B$5,$E19)&lt;360,1000,PRICE($BF19+360,$E19,$D19,$F19,100,2,0)))</f>
        <v>1000</v>
      </c>
      <c r="Z19" s="196">
        <f t="shared" si="8"/>
        <v>0</v>
      </c>
      <c r="AA19" s="197">
        <f>IF(Proposal!$F19=0,1000,IF(DAYS360(Summary!$B$5,Proposal!$F19)&lt;360,1000,PRICE($BF19+360,Proposal!$F19,$D19,$F19+AA$4,Proposal!$G19,2,0)))</f>
        <v>1000</v>
      </c>
      <c r="AB19" s="193">
        <f>IF(Proposal!$H19=0,1000,IF(DAYS360(Summary!$B$5,Proposal!$H19)&lt;360,1000,PRICE($BF19+360,Proposal!$H19,$D19,$F19+AA$4,100,2,0)))</f>
        <v>1000</v>
      </c>
      <c r="AC19" s="190">
        <f>IF($E19=0,1000,IF(DAYS360(Summary!$B$5,$E19)&lt;360,1000,PRICE($BF19+360,$E19,$D19,$F19+AA$4,100,2,0)))</f>
        <v>1000</v>
      </c>
      <c r="AD19" s="168">
        <f t="shared" si="9"/>
        <v>0</v>
      </c>
      <c r="AE19" s="197">
        <f>IF(Proposal!$F19=0,1000,IF(DAYS360(Summary!$B$5,Proposal!$F19)&lt;360,1000,PRICE($BF19+360,Proposal!$F19,$D19,$F19+AE$4,Proposal!$G19,2,0)))</f>
        <v>1000</v>
      </c>
      <c r="AF19" s="193">
        <f>IF(Proposal!$H19=0,1000,IF(DAYS360(Summary!$B$5,Proposal!$H19)&lt;360,1000,PRICE($BF19+360,Proposal!$H19,$D19,$F19+AE$4,100,2,0)))</f>
        <v>1000</v>
      </c>
      <c r="AG19" s="190">
        <f>IF($E19=0,1000,IF(DAYS360(Summary!$B$5,$E19)&lt;360,1000,PRICE($BF19+360,$E19,$D19,$F19+AE$4,100,2,0)))</f>
        <v>1000</v>
      </c>
      <c r="AH19" s="168">
        <f t="shared" si="10"/>
        <v>0</v>
      </c>
      <c r="AI19" s="197">
        <f>IF(Proposal!$F19=0,1000,IF(DAYS360(Summary!$B$5,Proposal!$F19)&lt;360,1000,PRICE($BF19+360,Proposal!$F19,$D19,$F19+AI$4,Proposal!$G19,2,0)))</f>
        <v>1000</v>
      </c>
      <c r="AJ19" s="193">
        <f>IF(Proposal!$H19=0,1000,IF(DAYS360(Summary!$B$5,Proposal!$H19)&lt;360,1000,PRICE($BF19+360,Proposal!$H19,$D19,$F19+AI$4,100,2,0)))</f>
        <v>1000</v>
      </c>
      <c r="AK19" s="190">
        <f>IF($E19=0,1000,IF(DAYS360(Summary!$B$5,$E19)&lt;360,1000,PRICE($BF19+360,$E19,$D19,$F19+AI$4,100,2,0)))</f>
        <v>1000</v>
      </c>
      <c r="AL19" s="168">
        <f t="shared" si="11"/>
        <v>0</v>
      </c>
      <c r="AM19" s="197">
        <f>IF(Proposal!$F19=0,1000,IF(DAYS360(Summary!$B$5,Proposal!$F19)&lt;360,1000,PRICE($BF19+360,Proposal!$F19,$D19,$F19+AM$4,Proposal!$G19,2,0)))</f>
        <v>1000</v>
      </c>
      <c r="AN19" s="193">
        <f>IF(Proposal!$H19=0,1000,IF(DAYS360(Summary!$B$5,Proposal!$H19)&lt;360,1000,PRICE($BF19+360,Proposal!$H19,$D19,$F19+AM$4,100,2,0)))</f>
        <v>1000</v>
      </c>
      <c r="AO19" s="190">
        <f>IF($E19=0,1000,IF(DAYS360(Summary!$B$5,$E19)&lt;360,1000,PRICE($BF19+360,$E19,$D19,$F19+AM$4,100,2,0)))</f>
        <v>1000</v>
      </c>
      <c r="AP19" s="168">
        <f t="shared" si="12"/>
        <v>0</v>
      </c>
      <c r="AQ19" s="167"/>
      <c r="AR19" s="167"/>
      <c r="AS19" s="188">
        <f t="shared" si="13"/>
        <v>0</v>
      </c>
      <c r="AT19" s="191">
        <f t="shared" si="14"/>
        <v>0</v>
      </c>
      <c r="AU19" s="192">
        <f t="shared" si="15"/>
        <v>0</v>
      </c>
      <c r="AV19" s="192">
        <f t="shared" si="17"/>
        <v>0</v>
      </c>
      <c r="AW19" s="192">
        <f>AS19*Proposal!M19/AS$29</f>
        <v>0</v>
      </c>
      <c r="AX19" s="193">
        <f t="shared" si="22"/>
        <v>0</v>
      </c>
      <c r="AY19" s="167">
        <f t="shared" si="16"/>
        <v>0</v>
      </c>
      <c r="AZ19" s="167">
        <f t="shared" si="18"/>
        <v>0</v>
      </c>
      <c r="BA19" s="167">
        <f t="shared" si="19"/>
        <v>0</v>
      </c>
      <c r="BB19" s="167">
        <f t="shared" si="20"/>
        <v>0</v>
      </c>
      <c r="BC19" s="167">
        <f t="shared" si="21"/>
        <v>0</v>
      </c>
      <c r="BD19" s="167"/>
      <c r="BE19" s="208">
        <f>Enter!B15</f>
        <v>0</v>
      </c>
      <c r="BF19" s="208">
        <f>Enter!C15</f>
        <v>0</v>
      </c>
      <c r="BG19" s="170"/>
    </row>
    <row r="20" spans="1:67" x14ac:dyDescent="0.3">
      <c r="A20" s="156">
        <f>Proposal!A20</f>
        <v>0</v>
      </c>
      <c r="B20" s="18">
        <f>Proposal!B20</f>
        <v>0</v>
      </c>
      <c r="C20" s="42">
        <f>Proposal!C20</f>
        <v>0</v>
      </c>
      <c r="D20" s="160">
        <f>Proposal!D20</f>
        <v>0</v>
      </c>
      <c r="E20" s="247">
        <f>Income!D19</f>
        <v>0</v>
      </c>
      <c r="F20" s="210">
        <f>Proposal!BG20</f>
        <v>0</v>
      </c>
      <c r="G20" s="219">
        <f>Proposal!J20</f>
        <v>0</v>
      </c>
      <c r="H20" s="126">
        <f t="shared" si="0"/>
        <v>0</v>
      </c>
      <c r="I20" s="127">
        <f t="shared" si="1"/>
        <v>0</v>
      </c>
      <c r="J20" s="127">
        <f t="shared" si="2"/>
        <v>0</v>
      </c>
      <c r="K20" s="127">
        <f t="shared" si="3"/>
        <v>0</v>
      </c>
      <c r="L20" s="127">
        <f t="shared" si="4"/>
        <v>0</v>
      </c>
      <c r="M20" s="127">
        <f t="shared" si="5"/>
        <v>0</v>
      </c>
      <c r="N20" s="18"/>
      <c r="O20" s="18"/>
      <c r="P20" s="18"/>
      <c r="Q20" s="18"/>
      <c r="S20" s="194" t="e">
        <f>MDURATION(BF20,Proposal!BH20,D20,F20,2,0)</f>
        <v>#NUM!</v>
      </c>
      <c r="T20" s="167" t="b">
        <f t="shared" si="6"/>
        <v>1</v>
      </c>
      <c r="U20" s="195">
        <f t="shared" si="7"/>
        <v>0</v>
      </c>
      <c r="V20" s="188"/>
      <c r="W20" s="197">
        <f>IF(Proposal!$F20=0,1000,IF(DAYS360(Summary!$B$5,Proposal!$F20)&lt;360,1000,PRICE($BF20+360,Proposal!$F20,$D20,$F20,Proposal!$G20,2,0)))</f>
        <v>1000</v>
      </c>
      <c r="X20" s="193">
        <f>IF(Proposal!$H20=0,1000,IF(DAYS360(Summary!$B$5,Proposal!$H20)&lt;360,1000,PRICE($BF20+360,Proposal!$H20,$D20,$F20,100,2,0)))</f>
        <v>1000</v>
      </c>
      <c r="Y20" s="190">
        <f>IF($E20=0,1000,IF(DAYS360(Summary!$B$5,$E20)&lt;360,1000,PRICE($BF20+360,$E20,$D20,$F20,100,2,0)))</f>
        <v>1000</v>
      </c>
      <c r="Z20" s="196">
        <f t="shared" si="8"/>
        <v>0</v>
      </c>
      <c r="AA20" s="197">
        <f>IF(Proposal!$F20=0,1000,IF(DAYS360(Summary!$B$5,Proposal!$F20)&lt;360,1000,PRICE($BF20+360,Proposal!$F20,$D20,$F20+AA$4,Proposal!$G20,2,0)))</f>
        <v>1000</v>
      </c>
      <c r="AB20" s="193">
        <f>IF(Proposal!$H20=0,1000,IF(DAYS360(Summary!$B$5,Proposal!$H20)&lt;360,1000,PRICE($BF20+360,Proposal!$H20,$D20,$F20+AA$4,100,2,0)))</f>
        <v>1000</v>
      </c>
      <c r="AC20" s="190">
        <f>IF($E20=0,1000,IF(DAYS360(Summary!$B$5,$E20)&lt;360,1000,PRICE($BF20+360,$E20,$D20,$F20+AA$4,100,2,0)))</f>
        <v>1000</v>
      </c>
      <c r="AD20" s="168">
        <f t="shared" si="9"/>
        <v>0</v>
      </c>
      <c r="AE20" s="197">
        <f>IF(Proposal!$F20=0,1000,IF(DAYS360(Summary!$B$5,Proposal!$F20)&lt;360,1000,PRICE($BF20+360,Proposal!$F20,$D20,$F20+AE$4,Proposal!$G20,2,0)))</f>
        <v>1000</v>
      </c>
      <c r="AF20" s="193">
        <f>IF(Proposal!$H20=0,1000,IF(DAYS360(Summary!$B$5,Proposal!$H20)&lt;360,1000,PRICE($BF20+360,Proposal!$H20,$D20,$F20+AE$4,100,2,0)))</f>
        <v>1000</v>
      </c>
      <c r="AG20" s="190">
        <f>IF($E20=0,1000,IF(DAYS360(Summary!$B$5,$E20)&lt;360,1000,PRICE($BF20+360,$E20,$D20,$F20+AE$4,100,2,0)))</f>
        <v>1000</v>
      </c>
      <c r="AH20" s="168">
        <f t="shared" si="10"/>
        <v>0</v>
      </c>
      <c r="AI20" s="197">
        <f>IF(Proposal!$F20=0,1000,IF(DAYS360(Summary!$B$5,Proposal!$F20)&lt;360,1000,PRICE($BF20+360,Proposal!$F20,$D20,$F20+AI$4,Proposal!$G20,2,0)))</f>
        <v>1000</v>
      </c>
      <c r="AJ20" s="193">
        <f>IF(Proposal!$H20=0,1000,IF(DAYS360(Summary!$B$5,Proposal!$H20)&lt;360,1000,PRICE($BF20+360,Proposal!$H20,$D20,$F20+AI$4,100,2,0)))</f>
        <v>1000</v>
      </c>
      <c r="AK20" s="190">
        <f>IF($E20=0,1000,IF(DAYS360(Summary!$B$5,$E20)&lt;360,1000,PRICE($BF20+360,$E20,$D20,$F20+AI$4,100,2,0)))</f>
        <v>1000</v>
      </c>
      <c r="AL20" s="168">
        <f t="shared" si="11"/>
        <v>0</v>
      </c>
      <c r="AM20" s="197">
        <f>IF(Proposal!$F20=0,1000,IF(DAYS360(Summary!$B$5,Proposal!$F20)&lt;360,1000,PRICE($BF20+360,Proposal!$F20,$D20,$F20+AM$4,Proposal!$G20,2,0)))</f>
        <v>1000</v>
      </c>
      <c r="AN20" s="193">
        <f>IF(Proposal!$H20=0,1000,IF(DAYS360(Summary!$B$5,Proposal!$H20)&lt;360,1000,PRICE($BF20+360,Proposal!$H20,$D20,$F20+AM$4,100,2,0)))</f>
        <v>1000</v>
      </c>
      <c r="AO20" s="190">
        <f>IF($E20=0,1000,IF(DAYS360(Summary!$B$5,$E20)&lt;360,1000,PRICE($BF20+360,$E20,$D20,$F20+AM$4,100,2,0)))</f>
        <v>1000</v>
      </c>
      <c r="AP20" s="168">
        <f t="shared" si="12"/>
        <v>0</v>
      </c>
      <c r="AQ20" s="167"/>
      <c r="AR20" s="167"/>
      <c r="AS20" s="188">
        <f t="shared" si="13"/>
        <v>0</v>
      </c>
      <c r="AT20" s="191">
        <f t="shared" si="14"/>
        <v>0</v>
      </c>
      <c r="AU20" s="192">
        <f t="shared" si="15"/>
        <v>0</v>
      </c>
      <c r="AV20" s="192">
        <f t="shared" si="17"/>
        <v>0</v>
      </c>
      <c r="AW20" s="192">
        <f>AS20*Proposal!M20/AS$29</f>
        <v>0</v>
      </c>
      <c r="AX20" s="193">
        <f t="shared" si="22"/>
        <v>0</v>
      </c>
      <c r="AY20" s="167">
        <f t="shared" si="16"/>
        <v>0</v>
      </c>
      <c r="AZ20" s="167">
        <f t="shared" si="18"/>
        <v>0</v>
      </c>
      <c r="BA20" s="167">
        <f t="shared" si="19"/>
        <v>0</v>
      </c>
      <c r="BB20" s="167">
        <f t="shared" si="20"/>
        <v>0</v>
      </c>
      <c r="BC20" s="167">
        <f t="shared" si="21"/>
        <v>0</v>
      </c>
      <c r="BD20" s="167"/>
      <c r="BE20" s="208">
        <f>Enter!B16</f>
        <v>0</v>
      </c>
      <c r="BF20" s="208">
        <f>Enter!C16</f>
        <v>0</v>
      </c>
      <c r="BG20" s="170"/>
    </row>
    <row r="21" spans="1:67" x14ac:dyDescent="0.3">
      <c r="A21" s="156">
        <f>Proposal!A21</f>
        <v>0</v>
      </c>
      <c r="B21" s="18">
        <f>Proposal!B21</f>
        <v>0</v>
      </c>
      <c r="C21" s="42">
        <f>Proposal!C21</f>
        <v>0</v>
      </c>
      <c r="D21" s="160">
        <f>Proposal!D21</f>
        <v>0</v>
      </c>
      <c r="E21" s="247">
        <f>Income!D20</f>
        <v>0</v>
      </c>
      <c r="F21" s="210">
        <f>Proposal!BG21</f>
        <v>0</v>
      </c>
      <c r="G21" s="219">
        <f>Proposal!J21</f>
        <v>0</v>
      </c>
      <c r="H21" s="126">
        <f t="shared" si="0"/>
        <v>0</v>
      </c>
      <c r="I21" s="127">
        <f t="shared" si="1"/>
        <v>0</v>
      </c>
      <c r="J21" s="127">
        <f t="shared" si="2"/>
        <v>0</v>
      </c>
      <c r="K21" s="127">
        <f t="shared" si="3"/>
        <v>0</v>
      </c>
      <c r="L21" s="127">
        <f t="shared" si="4"/>
        <v>0</v>
      </c>
      <c r="M21" s="127">
        <f t="shared" si="5"/>
        <v>0</v>
      </c>
      <c r="N21" s="18"/>
      <c r="O21" s="18"/>
      <c r="P21" s="18"/>
      <c r="Q21" s="18"/>
      <c r="S21" s="194" t="e">
        <f>MDURATION(BF21,Proposal!BH21,D21,F21,2,0)</f>
        <v>#NUM!</v>
      </c>
      <c r="T21" s="167" t="b">
        <f t="shared" si="6"/>
        <v>1</v>
      </c>
      <c r="U21" s="195">
        <f t="shared" si="7"/>
        <v>0</v>
      </c>
      <c r="V21" s="188"/>
      <c r="W21" s="197">
        <f>IF(Proposal!$F21=0,1000,IF(DAYS360(Summary!$B$5,Proposal!$F21)&lt;360,1000,PRICE($BF21+360,Proposal!$F21,$D21,$F21,Proposal!$G21,2,0)))</f>
        <v>1000</v>
      </c>
      <c r="X21" s="193">
        <f>IF(Proposal!$H21=0,1000,IF(DAYS360(Summary!$B$5,Proposal!$H21)&lt;360,1000,PRICE($BF21+360,Proposal!$H21,$D21,$F21,100,2,0)))</f>
        <v>1000</v>
      </c>
      <c r="Y21" s="190">
        <f>IF($E21=0,1000,IF(DAYS360(Summary!$B$5,$E21)&lt;360,1000,PRICE($BF21+360,$E21,$D21,$F21,100,2,0)))</f>
        <v>1000</v>
      </c>
      <c r="Z21" s="196">
        <f t="shared" si="8"/>
        <v>0</v>
      </c>
      <c r="AA21" s="197">
        <f>IF(Proposal!$F21=0,1000,IF(DAYS360(Summary!$B$5,Proposal!$F21)&lt;360,1000,PRICE($BF21+360,Proposal!$F21,$D21,$F21+AA$4,Proposal!$G21,2,0)))</f>
        <v>1000</v>
      </c>
      <c r="AB21" s="193">
        <f>IF(Proposal!$H21=0,1000,IF(DAYS360(Summary!$B$5,Proposal!$H21)&lt;360,1000,PRICE($BF21+360,Proposal!$H21,$D21,$F21+AA$4,100,2,0)))</f>
        <v>1000</v>
      </c>
      <c r="AC21" s="190">
        <f>IF($E21=0,1000,IF(DAYS360(Summary!$B$5,$E21)&lt;360,1000,PRICE($BF21+360,$E21,$D21,$F21+AA$4,100,2,0)))</f>
        <v>1000</v>
      </c>
      <c r="AD21" s="168">
        <f t="shared" si="9"/>
        <v>0</v>
      </c>
      <c r="AE21" s="197">
        <f>IF(Proposal!$F21=0,1000,IF(DAYS360(Summary!$B$5,Proposal!$F21)&lt;360,1000,PRICE($BF21+360,Proposal!$F21,$D21,$F21+AE$4,Proposal!$G21,2,0)))</f>
        <v>1000</v>
      </c>
      <c r="AF21" s="193">
        <f>IF(Proposal!$H21=0,1000,IF(DAYS360(Summary!$B$5,Proposal!$H21)&lt;360,1000,PRICE($BF21+360,Proposal!$H21,$D21,$F21+AE$4,100,2,0)))</f>
        <v>1000</v>
      </c>
      <c r="AG21" s="190">
        <f>IF($E21=0,1000,IF(DAYS360(Summary!$B$5,$E21)&lt;360,1000,PRICE($BF21+360,$E21,$D21,$F21+AE$4,100,2,0)))</f>
        <v>1000</v>
      </c>
      <c r="AH21" s="168">
        <f t="shared" si="10"/>
        <v>0</v>
      </c>
      <c r="AI21" s="197">
        <f>IF(Proposal!$F21=0,1000,IF(DAYS360(Summary!$B$5,Proposal!$F21)&lt;360,1000,PRICE($BF21+360,Proposal!$F21,$D21,$F21+AI$4,Proposal!$G21,2,0)))</f>
        <v>1000</v>
      </c>
      <c r="AJ21" s="193">
        <f>IF(Proposal!$H21=0,1000,IF(DAYS360(Summary!$B$5,Proposal!$H21)&lt;360,1000,PRICE($BF21+360,Proposal!$H21,$D21,$F21+AI$4,100,2,0)))</f>
        <v>1000</v>
      </c>
      <c r="AK21" s="190">
        <f>IF($E21=0,1000,IF(DAYS360(Summary!$B$5,$E21)&lt;360,1000,PRICE($BF21+360,$E21,$D21,$F21+AI$4,100,2,0)))</f>
        <v>1000</v>
      </c>
      <c r="AL21" s="168">
        <f t="shared" si="11"/>
        <v>0</v>
      </c>
      <c r="AM21" s="197">
        <f>IF(Proposal!$F21=0,1000,IF(DAYS360(Summary!$B$5,Proposal!$F21)&lt;360,1000,PRICE($BF21+360,Proposal!$F21,$D21,$F21+AM$4,Proposal!$G21,2,0)))</f>
        <v>1000</v>
      </c>
      <c r="AN21" s="193">
        <f>IF(Proposal!$H21=0,1000,IF(DAYS360(Summary!$B$5,Proposal!$H21)&lt;360,1000,PRICE($BF21+360,Proposal!$H21,$D21,$F21+AM$4,100,2,0)))</f>
        <v>1000</v>
      </c>
      <c r="AO21" s="190">
        <f>IF($E21=0,1000,IF(DAYS360(Summary!$B$5,$E21)&lt;360,1000,PRICE($BF21+360,$E21,$D21,$F21+AM$4,100,2,0)))</f>
        <v>1000</v>
      </c>
      <c r="AP21" s="168">
        <f t="shared" si="12"/>
        <v>0</v>
      </c>
      <c r="AQ21" s="167"/>
      <c r="AR21" s="167"/>
      <c r="AS21" s="188">
        <f t="shared" si="13"/>
        <v>0</v>
      </c>
      <c r="AT21" s="191">
        <f t="shared" si="14"/>
        <v>0</v>
      </c>
      <c r="AU21" s="192">
        <f t="shared" si="15"/>
        <v>0</v>
      </c>
      <c r="AV21" s="192">
        <f t="shared" si="17"/>
        <v>0</v>
      </c>
      <c r="AW21" s="192">
        <f>AS21*Proposal!M21/AS$29</f>
        <v>0</v>
      </c>
      <c r="AX21" s="193">
        <f t="shared" si="22"/>
        <v>0</v>
      </c>
      <c r="AY21" s="167">
        <f t="shared" si="16"/>
        <v>0</v>
      </c>
      <c r="AZ21" s="167">
        <f t="shared" si="18"/>
        <v>0</v>
      </c>
      <c r="BA21" s="167">
        <f t="shared" si="19"/>
        <v>0</v>
      </c>
      <c r="BB21" s="167">
        <f t="shared" si="20"/>
        <v>0</v>
      </c>
      <c r="BC21" s="167">
        <f t="shared" si="21"/>
        <v>0</v>
      </c>
      <c r="BD21" s="167"/>
      <c r="BE21" s="208">
        <f>Enter!B17</f>
        <v>0</v>
      </c>
      <c r="BF21" s="208">
        <f>Enter!C17</f>
        <v>0</v>
      </c>
      <c r="BG21" s="170"/>
    </row>
    <row r="22" spans="1:67" x14ac:dyDescent="0.3">
      <c r="A22" s="156">
        <f>Proposal!A22</f>
        <v>0</v>
      </c>
      <c r="B22" s="18">
        <f>Proposal!B22</f>
        <v>0</v>
      </c>
      <c r="C22" s="42">
        <f>Proposal!C22</f>
        <v>0</v>
      </c>
      <c r="D22" s="160">
        <f>Proposal!D22</f>
        <v>0</v>
      </c>
      <c r="E22" s="247">
        <f>Income!D21</f>
        <v>0</v>
      </c>
      <c r="F22" s="210">
        <f>Proposal!BG22</f>
        <v>0</v>
      </c>
      <c r="G22" s="219">
        <f>Proposal!J22</f>
        <v>0</v>
      </c>
      <c r="H22" s="126">
        <f t="shared" si="0"/>
        <v>0</v>
      </c>
      <c r="I22" s="127">
        <f t="shared" si="1"/>
        <v>0</v>
      </c>
      <c r="J22" s="127">
        <f t="shared" si="2"/>
        <v>0</v>
      </c>
      <c r="K22" s="127">
        <f t="shared" si="3"/>
        <v>0</v>
      </c>
      <c r="L22" s="127">
        <f t="shared" si="4"/>
        <v>0</v>
      </c>
      <c r="M22" s="127">
        <f t="shared" si="5"/>
        <v>0</v>
      </c>
      <c r="N22" s="18"/>
      <c r="O22" s="18"/>
      <c r="P22" s="18"/>
      <c r="Q22" s="18"/>
      <c r="S22" s="194" t="e">
        <f>MDURATION(BF22,Proposal!BH22,D22,F22,2,0)</f>
        <v>#NUM!</v>
      </c>
      <c r="T22" s="167" t="b">
        <f t="shared" si="6"/>
        <v>1</v>
      </c>
      <c r="U22" s="195">
        <f t="shared" si="7"/>
        <v>0</v>
      </c>
      <c r="V22" s="188"/>
      <c r="W22" s="197">
        <f>IF(Proposal!$F22=0,1000,IF(DAYS360(Summary!$B$5,Proposal!$F22)&lt;360,1000,PRICE($BF22+360,Proposal!$F22,$D22,$F22,Proposal!$G22,2,0)))</f>
        <v>1000</v>
      </c>
      <c r="X22" s="193">
        <f>IF(Proposal!$H22=0,1000,IF(DAYS360(Summary!$B$5,Proposal!$H22)&lt;360,1000,PRICE($BF22+360,Proposal!$H22,$D22,$F22,100,2,0)))</f>
        <v>1000</v>
      </c>
      <c r="Y22" s="190">
        <f>IF($E22=0,1000,IF(DAYS360(Summary!$B$5,$E22)&lt;360,1000,PRICE($BF22+360,$E22,$D22,$F22,100,2,0)))</f>
        <v>1000</v>
      </c>
      <c r="Z22" s="196">
        <f t="shared" si="8"/>
        <v>0</v>
      </c>
      <c r="AA22" s="197">
        <f>IF(Proposal!$F22=0,1000,IF(DAYS360(Summary!$B$5,Proposal!$F22)&lt;360,1000,PRICE($BF22+360,Proposal!$F22,$D22,$F22+AA$4,Proposal!$G22,2,0)))</f>
        <v>1000</v>
      </c>
      <c r="AB22" s="193">
        <f>IF(Proposal!$H22=0,1000,IF(DAYS360(Summary!$B$5,Proposal!$H22)&lt;360,1000,PRICE($BF22+360,Proposal!$H22,$D22,$F22+AA$4,100,2,0)))</f>
        <v>1000</v>
      </c>
      <c r="AC22" s="190">
        <f>IF($E22=0,1000,IF(DAYS360(Summary!$B$5,$E22)&lt;360,1000,PRICE($BF22+360,$E22,$D22,$F22+AA$4,100,2,0)))</f>
        <v>1000</v>
      </c>
      <c r="AD22" s="168">
        <f t="shared" si="9"/>
        <v>0</v>
      </c>
      <c r="AE22" s="197">
        <f>IF(Proposal!$F22=0,1000,IF(DAYS360(Summary!$B$5,Proposal!$F22)&lt;360,1000,PRICE($BF22+360,Proposal!$F22,$D22,$F22+AE$4,Proposal!$G22,2,0)))</f>
        <v>1000</v>
      </c>
      <c r="AF22" s="193">
        <f>IF(Proposal!$H22=0,1000,IF(DAYS360(Summary!$B$5,Proposal!$H22)&lt;360,1000,PRICE($BF22+360,Proposal!$H22,$D22,$F22+AE$4,100,2,0)))</f>
        <v>1000</v>
      </c>
      <c r="AG22" s="190">
        <f>IF($E22=0,1000,IF(DAYS360(Summary!$B$5,$E22)&lt;360,1000,PRICE($BF22+360,$E22,$D22,$F22+AE$4,100,2,0)))</f>
        <v>1000</v>
      </c>
      <c r="AH22" s="168">
        <f t="shared" si="10"/>
        <v>0</v>
      </c>
      <c r="AI22" s="197">
        <f>IF(Proposal!$F22=0,1000,IF(DAYS360(Summary!$B$5,Proposal!$F22)&lt;360,1000,PRICE($BF22+360,Proposal!$F22,$D22,$F22+AI$4,Proposal!$G22,2,0)))</f>
        <v>1000</v>
      </c>
      <c r="AJ22" s="193">
        <f>IF(Proposal!$H22=0,1000,IF(DAYS360(Summary!$B$5,Proposal!$H22)&lt;360,1000,PRICE($BF22+360,Proposal!$H22,$D22,$F22+AI$4,100,2,0)))</f>
        <v>1000</v>
      </c>
      <c r="AK22" s="190">
        <f>IF($E22=0,1000,IF(DAYS360(Summary!$B$5,$E22)&lt;360,1000,PRICE($BF22+360,$E22,$D22,$F22+AI$4,100,2,0)))</f>
        <v>1000</v>
      </c>
      <c r="AL22" s="168">
        <f t="shared" si="11"/>
        <v>0</v>
      </c>
      <c r="AM22" s="197">
        <f>IF(Proposal!$F22=0,1000,IF(DAYS360(Summary!$B$5,Proposal!$F22)&lt;360,1000,PRICE($BF22+360,Proposal!$F22,$D22,$F22+AM$4,Proposal!$G22,2,0)))</f>
        <v>1000</v>
      </c>
      <c r="AN22" s="193">
        <f>IF(Proposal!$H22=0,1000,IF(DAYS360(Summary!$B$5,Proposal!$H22)&lt;360,1000,PRICE($BF22+360,Proposal!$H22,$D22,$F22+AM$4,100,2,0)))</f>
        <v>1000</v>
      </c>
      <c r="AO22" s="190">
        <f>IF($E22=0,1000,IF(DAYS360(Summary!$B$5,$E22)&lt;360,1000,PRICE($BF22+360,$E22,$D22,$F22+AM$4,100,2,0)))</f>
        <v>1000</v>
      </c>
      <c r="AP22" s="168">
        <f t="shared" si="12"/>
        <v>0</v>
      </c>
      <c r="AQ22" s="167"/>
      <c r="AR22" s="167"/>
      <c r="AS22" s="188">
        <f t="shared" si="13"/>
        <v>0</v>
      </c>
      <c r="AT22" s="191">
        <f t="shared" si="14"/>
        <v>0</v>
      </c>
      <c r="AU22" s="192">
        <f t="shared" si="15"/>
        <v>0</v>
      </c>
      <c r="AV22" s="192">
        <f t="shared" si="17"/>
        <v>0</v>
      </c>
      <c r="AW22" s="192">
        <f>AS22*Proposal!M22/AS$29</f>
        <v>0</v>
      </c>
      <c r="AX22" s="193">
        <f t="shared" si="22"/>
        <v>0</v>
      </c>
      <c r="AY22" s="167">
        <f t="shared" si="16"/>
        <v>0</v>
      </c>
      <c r="AZ22" s="167">
        <f t="shared" si="18"/>
        <v>0</v>
      </c>
      <c r="BA22" s="167">
        <f t="shared" si="19"/>
        <v>0</v>
      </c>
      <c r="BB22" s="167">
        <f t="shared" si="20"/>
        <v>0</v>
      </c>
      <c r="BC22" s="167">
        <f t="shared" si="21"/>
        <v>0</v>
      </c>
      <c r="BD22" s="167"/>
      <c r="BE22" s="208">
        <f>Enter!B18</f>
        <v>0</v>
      </c>
      <c r="BF22" s="208">
        <f>Enter!C18</f>
        <v>0</v>
      </c>
      <c r="BG22" s="170"/>
    </row>
    <row r="23" spans="1:67" x14ac:dyDescent="0.3">
      <c r="A23" s="156">
        <f>Proposal!A23</f>
        <v>0</v>
      </c>
      <c r="B23" s="18">
        <f>Proposal!B23</f>
        <v>0</v>
      </c>
      <c r="C23" s="42">
        <f>Proposal!C23</f>
        <v>0</v>
      </c>
      <c r="D23" s="160">
        <f>Proposal!D23</f>
        <v>0</v>
      </c>
      <c r="E23" s="247">
        <f>Income!D22</f>
        <v>0</v>
      </c>
      <c r="F23" s="210">
        <f>Proposal!BG23</f>
        <v>0</v>
      </c>
      <c r="G23" s="219">
        <f>Proposal!J23</f>
        <v>0</v>
      </c>
      <c r="H23" s="126">
        <f t="shared" si="0"/>
        <v>0</v>
      </c>
      <c r="I23" s="127">
        <f t="shared" si="1"/>
        <v>0</v>
      </c>
      <c r="J23" s="127">
        <f t="shared" si="2"/>
        <v>0</v>
      </c>
      <c r="K23" s="127">
        <f t="shared" si="3"/>
        <v>0</v>
      </c>
      <c r="L23" s="127">
        <f t="shared" si="4"/>
        <v>0</v>
      </c>
      <c r="M23" s="127">
        <f t="shared" si="5"/>
        <v>0</v>
      </c>
      <c r="N23" s="18"/>
      <c r="O23" s="18"/>
      <c r="P23" s="18"/>
      <c r="Q23" s="18"/>
      <c r="S23" s="194" t="e">
        <f>MDURATION(BF23,Proposal!BH23,D23,F23,2,0)</f>
        <v>#NUM!</v>
      </c>
      <c r="T23" s="167" t="b">
        <f t="shared" si="6"/>
        <v>1</v>
      </c>
      <c r="U23" s="195">
        <f t="shared" si="7"/>
        <v>0</v>
      </c>
      <c r="V23" s="188"/>
      <c r="W23" s="197">
        <f>IF(Proposal!$F23=0,1000,IF(DAYS360(Summary!$B$5,Proposal!$F23)&lt;360,1000,PRICE($BF23+360,Proposal!$F23,$D23,$F23,Proposal!$G23,2,0)))</f>
        <v>1000</v>
      </c>
      <c r="X23" s="193">
        <f>IF(Proposal!$H23=0,1000,IF(DAYS360(Summary!$B$5,Proposal!$H23)&lt;360,1000,PRICE($BF23+360,Proposal!$H23,$D23,$F23,100,2,0)))</f>
        <v>1000</v>
      </c>
      <c r="Y23" s="190">
        <f>IF($E23=0,1000,IF(DAYS360(Summary!$B$5,$E23)&lt;360,1000,PRICE($BF23+360,$E23,$D23,$F23,100,2,0)))</f>
        <v>1000</v>
      </c>
      <c r="Z23" s="196">
        <f t="shared" si="8"/>
        <v>0</v>
      </c>
      <c r="AA23" s="197">
        <f>IF(Proposal!$F23=0,1000,IF(DAYS360(Summary!$B$5,Proposal!$F23)&lt;360,1000,PRICE($BF23+360,Proposal!$F23,$D23,$F23+AA$4,Proposal!$G23,2,0)))</f>
        <v>1000</v>
      </c>
      <c r="AB23" s="193">
        <f>IF(Proposal!$H23=0,1000,IF(DAYS360(Summary!$B$5,Proposal!$H23)&lt;360,1000,PRICE($BF23+360,Proposal!$H23,$D23,$F23+AA$4,100,2,0)))</f>
        <v>1000</v>
      </c>
      <c r="AC23" s="190">
        <f>IF($E23=0,1000,IF(DAYS360(Summary!$B$5,$E23)&lt;360,1000,PRICE($BF23+360,$E23,$D23,$F23+AA$4,100,2,0)))</f>
        <v>1000</v>
      </c>
      <c r="AD23" s="168">
        <f t="shared" si="9"/>
        <v>0</v>
      </c>
      <c r="AE23" s="197">
        <f>IF(Proposal!$F23=0,1000,IF(DAYS360(Summary!$B$5,Proposal!$F23)&lt;360,1000,PRICE($BF23+360,Proposal!$F23,$D23,$F23+AE$4,Proposal!$G23,2,0)))</f>
        <v>1000</v>
      </c>
      <c r="AF23" s="193">
        <f>IF(Proposal!$H23=0,1000,IF(DAYS360(Summary!$B$5,Proposal!$H23)&lt;360,1000,PRICE($BF23+360,Proposal!$H23,$D23,$F23+AE$4,100,2,0)))</f>
        <v>1000</v>
      </c>
      <c r="AG23" s="190">
        <f>IF($E23=0,1000,IF(DAYS360(Summary!$B$5,$E23)&lt;360,1000,PRICE($BF23+360,$E23,$D23,$F23+AE$4,100,2,0)))</f>
        <v>1000</v>
      </c>
      <c r="AH23" s="168">
        <f t="shared" si="10"/>
        <v>0</v>
      </c>
      <c r="AI23" s="197">
        <f>IF(Proposal!$F23=0,1000,IF(DAYS360(Summary!$B$5,Proposal!$F23)&lt;360,1000,PRICE($BF23+360,Proposal!$F23,$D23,$F23+AI$4,Proposal!$G23,2,0)))</f>
        <v>1000</v>
      </c>
      <c r="AJ23" s="193">
        <f>IF(Proposal!$H23=0,1000,IF(DAYS360(Summary!$B$5,Proposal!$H23)&lt;360,1000,PRICE($BF23+360,Proposal!$H23,$D23,$F23+AI$4,100,2,0)))</f>
        <v>1000</v>
      </c>
      <c r="AK23" s="190">
        <f>IF($E23=0,1000,IF(DAYS360(Summary!$B$5,$E23)&lt;360,1000,PRICE($BF23+360,$E23,$D23,$F23+AI$4,100,2,0)))</f>
        <v>1000</v>
      </c>
      <c r="AL23" s="168">
        <f t="shared" si="11"/>
        <v>0</v>
      </c>
      <c r="AM23" s="197">
        <f>IF(Proposal!$F23=0,1000,IF(DAYS360(Summary!$B$5,Proposal!$F23)&lt;360,1000,PRICE($BF23+360,Proposal!$F23,$D23,$F23+AM$4,Proposal!$G23,2,0)))</f>
        <v>1000</v>
      </c>
      <c r="AN23" s="193">
        <f>IF(Proposal!$H23=0,1000,IF(DAYS360(Summary!$B$5,Proposal!$H23)&lt;360,1000,PRICE($BF23+360,Proposal!$H23,$D23,$F23+AM$4,100,2,0)))</f>
        <v>1000</v>
      </c>
      <c r="AO23" s="190">
        <f>IF($E23=0,1000,IF(DAYS360(Summary!$B$5,$E23)&lt;360,1000,PRICE($BF23+360,$E23,$D23,$F23+AM$4,100,2,0)))</f>
        <v>1000</v>
      </c>
      <c r="AP23" s="168">
        <f t="shared" si="12"/>
        <v>0</v>
      </c>
      <c r="AQ23" s="167"/>
      <c r="AR23" s="167"/>
      <c r="AS23" s="188">
        <f t="shared" si="13"/>
        <v>0</v>
      </c>
      <c r="AT23" s="191">
        <f t="shared" si="14"/>
        <v>0</v>
      </c>
      <c r="AU23" s="192">
        <f t="shared" si="15"/>
        <v>0</v>
      </c>
      <c r="AV23" s="192">
        <f t="shared" si="17"/>
        <v>0</v>
      </c>
      <c r="AW23" s="192">
        <f>AS23*Proposal!M23/AS$29</f>
        <v>0</v>
      </c>
      <c r="AX23" s="193">
        <f t="shared" si="22"/>
        <v>0</v>
      </c>
      <c r="AY23" s="167">
        <f t="shared" si="16"/>
        <v>0</v>
      </c>
      <c r="AZ23" s="167">
        <f t="shared" si="18"/>
        <v>0</v>
      </c>
      <c r="BA23" s="167">
        <f t="shared" si="19"/>
        <v>0</v>
      </c>
      <c r="BB23" s="167">
        <f t="shared" si="20"/>
        <v>0</v>
      </c>
      <c r="BC23" s="167">
        <f t="shared" si="21"/>
        <v>0</v>
      </c>
      <c r="BD23" s="167"/>
      <c r="BE23" s="208">
        <f>Enter!B19</f>
        <v>0</v>
      </c>
      <c r="BF23" s="208">
        <f>Enter!C19</f>
        <v>0</v>
      </c>
      <c r="BG23" s="170"/>
    </row>
    <row r="24" spans="1:67" x14ac:dyDescent="0.3">
      <c r="A24" s="156">
        <f>Proposal!A24</f>
        <v>0</v>
      </c>
      <c r="B24" s="18">
        <f>Proposal!B24</f>
        <v>0</v>
      </c>
      <c r="C24" s="42">
        <f>Proposal!C24</f>
        <v>0</v>
      </c>
      <c r="D24" s="160">
        <f>Proposal!D24</f>
        <v>0</v>
      </c>
      <c r="E24" s="247">
        <f>Income!D23</f>
        <v>0</v>
      </c>
      <c r="F24" s="210">
        <f>Proposal!BG24</f>
        <v>0</v>
      </c>
      <c r="G24" s="219">
        <f>Proposal!J24</f>
        <v>0</v>
      </c>
      <c r="H24" s="126">
        <f t="shared" si="0"/>
        <v>0</v>
      </c>
      <c r="I24" s="127">
        <f t="shared" si="1"/>
        <v>0</v>
      </c>
      <c r="J24" s="127">
        <f t="shared" si="2"/>
        <v>0</v>
      </c>
      <c r="K24" s="127">
        <f t="shared" si="3"/>
        <v>0</v>
      </c>
      <c r="L24" s="127">
        <f t="shared" si="4"/>
        <v>0</v>
      </c>
      <c r="M24" s="127">
        <f t="shared" si="5"/>
        <v>0</v>
      </c>
      <c r="N24" s="18"/>
      <c r="O24" s="18"/>
      <c r="P24" s="18"/>
      <c r="Q24" s="18"/>
      <c r="S24" s="194" t="e">
        <f>MDURATION(BF24,Proposal!BH24,D24,F24,2,0)</f>
        <v>#NUM!</v>
      </c>
      <c r="T24" s="167" t="b">
        <f t="shared" si="6"/>
        <v>1</v>
      </c>
      <c r="U24" s="195">
        <f t="shared" si="7"/>
        <v>0</v>
      </c>
      <c r="V24" s="188"/>
      <c r="W24" s="197">
        <f>IF(Proposal!$F24=0,1000,IF(DAYS360(Summary!$B$5,Proposal!$F24)&lt;360,1000,PRICE($BF24+360,Proposal!$F24,$D24,$F24,Proposal!$G24,2,0)))</f>
        <v>1000</v>
      </c>
      <c r="X24" s="193">
        <f>IF(Proposal!$H24=0,1000,IF(DAYS360(Summary!$B$5,Proposal!$H24)&lt;360,1000,PRICE($BF24+360,Proposal!$H24,$D24,$F24,100,2,0)))</f>
        <v>1000</v>
      </c>
      <c r="Y24" s="190">
        <f>IF($E24=0,1000,IF(DAYS360(Summary!$B$5,$E24)&lt;360,1000,PRICE($BF24+360,$E24,$D24,$F24,100,2,0)))</f>
        <v>1000</v>
      </c>
      <c r="Z24" s="196">
        <f t="shared" si="8"/>
        <v>0</v>
      </c>
      <c r="AA24" s="197">
        <f>IF(Proposal!$F24=0,1000,IF(DAYS360(Summary!$B$5,Proposal!$F24)&lt;360,1000,PRICE($BF24+360,Proposal!$F24,$D24,$F24+AA$4,Proposal!$G24,2,0)))</f>
        <v>1000</v>
      </c>
      <c r="AB24" s="193">
        <f>IF(Proposal!$H24=0,1000,IF(DAYS360(Summary!$B$5,Proposal!$H24)&lt;360,1000,PRICE($BF24+360,Proposal!$H24,$D24,$F24+AA$4,100,2,0)))</f>
        <v>1000</v>
      </c>
      <c r="AC24" s="190">
        <f>IF($E24=0,1000,IF(DAYS360(Summary!$B$5,$E24)&lt;360,1000,PRICE($BF24+360,$E24,$D24,$F24+AA$4,100,2,0)))</f>
        <v>1000</v>
      </c>
      <c r="AD24" s="168">
        <f t="shared" si="9"/>
        <v>0</v>
      </c>
      <c r="AE24" s="197">
        <f>IF(Proposal!$F24=0,1000,IF(DAYS360(Summary!$B$5,Proposal!$F24)&lt;360,1000,PRICE($BF24+360,Proposal!$F24,$D24,$F24+AE$4,Proposal!$G24,2,0)))</f>
        <v>1000</v>
      </c>
      <c r="AF24" s="193">
        <f>IF(Proposal!$H24=0,1000,IF(DAYS360(Summary!$B$5,Proposal!$H24)&lt;360,1000,PRICE($BF24+360,Proposal!$H24,$D24,$F24+AE$4,100,2,0)))</f>
        <v>1000</v>
      </c>
      <c r="AG24" s="190">
        <f>IF($E24=0,1000,IF(DAYS360(Summary!$B$5,$E24)&lt;360,1000,PRICE($BF24+360,$E24,$D24,$F24+AE$4,100,2,0)))</f>
        <v>1000</v>
      </c>
      <c r="AH24" s="168">
        <f t="shared" si="10"/>
        <v>0</v>
      </c>
      <c r="AI24" s="197">
        <f>IF(Proposal!$F24=0,1000,IF(DAYS360(Summary!$B$5,Proposal!$F24)&lt;360,1000,PRICE($BF24+360,Proposal!$F24,$D24,$F24+AI$4,Proposal!$G24,2,0)))</f>
        <v>1000</v>
      </c>
      <c r="AJ24" s="193">
        <f>IF(Proposal!$H24=0,1000,IF(DAYS360(Summary!$B$5,Proposal!$H24)&lt;360,1000,PRICE($BF24+360,Proposal!$H24,$D24,$F24+AI$4,100,2,0)))</f>
        <v>1000</v>
      </c>
      <c r="AK24" s="190">
        <f>IF($E24=0,1000,IF(DAYS360(Summary!$B$5,$E24)&lt;360,1000,PRICE($BF24+360,$E24,$D24,$F24+AI$4,100,2,0)))</f>
        <v>1000</v>
      </c>
      <c r="AL24" s="168">
        <f t="shared" si="11"/>
        <v>0</v>
      </c>
      <c r="AM24" s="197">
        <f>IF(Proposal!$F24=0,1000,IF(DAYS360(Summary!$B$5,Proposal!$F24)&lt;360,1000,PRICE($BF24+360,Proposal!$F24,$D24,$F24+AM$4,Proposal!$G24,2,0)))</f>
        <v>1000</v>
      </c>
      <c r="AN24" s="193">
        <f>IF(Proposal!$H24=0,1000,IF(DAYS360(Summary!$B$5,Proposal!$H24)&lt;360,1000,PRICE($BF24+360,Proposal!$H24,$D24,$F24+AM$4,100,2,0)))</f>
        <v>1000</v>
      </c>
      <c r="AO24" s="190">
        <f>IF($E24=0,1000,IF(DAYS360(Summary!$B$5,$E24)&lt;360,1000,PRICE($BF24+360,$E24,$D24,$F24+AM$4,100,2,0)))</f>
        <v>1000</v>
      </c>
      <c r="AP24" s="168">
        <f t="shared" si="12"/>
        <v>0</v>
      </c>
      <c r="AQ24" s="167"/>
      <c r="AR24" s="167"/>
      <c r="AS24" s="188">
        <f t="shared" si="13"/>
        <v>0</v>
      </c>
      <c r="AT24" s="191">
        <f t="shared" si="14"/>
        <v>0</v>
      </c>
      <c r="AU24" s="192">
        <f t="shared" si="15"/>
        <v>0</v>
      </c>
      <c r="AV24" s="192">
        <f t="shared" si="17"/>
        <v>0</v>
      </c>
      <c r="AW24" s="192">
        <f>AS24*Proposal!M24/AS$29</f>
        <v>0</v>
      </c>
      <c r="AX24" s="193">
        <f t="shared" si="22"/>
        <v>0</v>
      </c>
      <c r="AY24" s="167">
        <f t="shared" si="16"/>
        <v>0</v>
      </c>
      <c r="AZ24" s="167">
        <f t="shared" si="18"/>
        <v>0</v>
      </c>
      <c r="BA24" s="167">
        <f t="shared" si="19"/>
        <v>0</v>
      </c>
      <c r="BB24" s="167">
        <f t="shared" si="20"/>
        <v>0</v>
      </c>
      <c r="BC24" s="167">
        <f t="shared" si="21"/>
        <v>0</v>
      </c>
      <c r="BD24" s="167"/>
      <c r="BE24" s="208">
        <f>Enter!B20</f>
        <v>0</v>
      </c>
      <c r="BF24" s="208">
        <f>Enter!C20</f>
        <v>0</v>
      </c>
      <c r="BG24" s="170"/>
    </row>
    <row r="25" spans="1:67" x14ac:dyDescent="0.3">
      <c r="A25" s="156">
        <f>Proposal!A25</f>
        <v>0</v>
      </c>
      <c r="B25" s="18">
        <f>Proposal!B25</f>
        <v>0</v>
      </c>
      <c r="C25" s="42">
        <f>Proposal!C25</f>
        <v>0</v>
      </c>
      <c r="D25" s="160">
        <f>Proposal!D25</f>
        <v>0</v>
      </c>
      <c r="E25" s="247">
        <f>Income!D24</f>
        <v>0</v>
      </c>
      <c r="F25" s="210">
        <f>Proposal!BG25</f>
        <v>0</v>
      </c>
      <c r="G25" s="219">
        <f>Proposal!J25</f>
        <v>0</v>
      </c>
      <c r="H25" s="126">
        <f t="shared" si="0"/>
        <v>0</v>
      </c>
      <c r="I25" s="127">
        <f t="shared" si="1"/>
        <v>0</v>
      </c>
      <c r="J25" s="127">
        <f t="shared" si="2"/>
        <v>0</v>
      </c>
      <c r="K25" s="127">
        <f t="shared" si="3"/>
        <v>0</v>
      </c>
      <c r="L25" s="127">
        <f t="shared" si="4"/>
        <v>0</v>
      </c>
      <c r="M25" s="127">
        <f t="shared" si="5"/>
        <v>0</v>
      </c>
      <c r="N25" s="18"/>
      <c r="O25" s="18"/>
      <c r="P25" s="18"/>
      <c r="Q25" s="18"/>
      <c r="S25" s="194" t="e">
        <f>MDURATION(BF25,Proposal!BH25,D25,F25,2,0)</f>
        <v>#NUM!</v>
      </c>
      <c r="T25" s="167" t="b">
        <f t="shared" si="6"/>
        <v>1</v>
      </c>
      <c r="U25" s="195">
        <f t="shared" si="7"/>
        <v>0</v>
      </c>
      <c r="V25" s="188"/>
      <c r="W25" s="197">
        <f>IF(Proposal!$F25=0,1000,IF(DAYS360(Summary!$B$5,Proposal!$F25)&lt;360,1000,PRICE($BF25+360,Proposal!$F25,$D25,$F25,Proposal!$G25,2,0)))</f>
        <v>1000</v>
      </c>
      <c r="X25" s="193">
        <f>IF(Proposal!$H25=0,1000,IF(DAYS360(Summary!$B$5,Proposal!$H25)&lt;360,1000,PRICE($BF25+360,Proposal!$H25,$D25,$F25,100,2,0)))</f>
        <v>1000</v>
      </c>
      <c r="Y25" s="190">
        <f>IF($E25=0,1000,IF(DAYS360(Summary!$B$5,$E25)&lt;360,1000,PRICE($BF25+360,$E25,$D25,$F25,100,2,0)))</f>
        <v>1000</v>
      </c>
      <c r="Z25" s="196">
        <f t="shared" si="8"/>
        <v>0</v>
      </c>
      <c r="AA25" s="197">
        <f>IF(Proposal!$F25=0,1000,IF(DAYS360(Summary!$B$5,Proposal!$F25)&lt;360,1000,PRICE($BF25+360,Proposal!$F25,$D25,$F25+AA$4,Proposal!$G25,2,0)))</f>
        <v>1000</v>
      </c>
      <c r="AB25" s="193">
        <f>IF(Proposal!$H25=0,1000,IF(DAYS360(Summary!$B$5,Proposal!$H25)&lt;360,1000,PRICE($BF25+360,Proposal!$H25,$D25,$F25+AA$4,100,2,0)))</f>
        <v>1000</v>
      </c>
      <c r="AC25" s="190">
        <f>IF($E25=0,1000,IF(DAYS360(Summary!$B$5,$E25)&lt;360,1000,PRICE($BF25+360,$E25,$D25,$F25+AA$4,100,2,0)))</f>
        <v>1000</v>
      </c>
      <c r="AD25" s="168">
        <f t="shared" si="9"/>
        <v>0</v>
      </c>
      <c r="AE25" s="197">
        <f>IF(Proposal!$F25=0,1000,IF(DAYS360(Summary!$B$5,Proposal!$F25)&lt;360,1000,PRICE($BF25+360,Proposal!$F25,$D25,$F25+AE$4,Proposal!$G25,2,0)))</f>
        <v>1000</v>
      </c>
      <c r="AF25" s="193">
        <f>IF(Proposal!$H25=0,1000,IF(DAYS360(Summary!$B$5,Proposal!$H25)&lt;360,1000,PRICE($BF25+360,Proposal!$H25,$D25,$F25+AE$4,100,2,0)))</f>
        <v>1000</v>
      </c>
      <c r="AG25" s="190">
        <f>IF($E25=0,1000,IF(DAYS360(Summary!$B$5,$E25)&lt;360,1000,PRICE($BF25+360,$E25,$D25,$F25+AE$4,100,2,0)))</f>
        <v>1000</v>
      </c>
      <c r="AH25" s="168">
        <f t="shared" si="10"/>
        <v>0</v>
      </c>
      <c r="AI25" s="197">
        <f>IF(Proposal!$F25=0,1000,IF(DAYS360(Summary!$B$5,Proposal!$F25)&lt;360,1000,PRICE($BF25+360,Proposal!$F25,$D25,$F25+AI$4,Proposal!$G25,2,0)))</f>
        <v>1000</v>
      </c>
      <c r="AJ25" s="193">
        <f>IF(Proposal!$H25=0,1000,IF(DAYS360(Summary!$B$5,Proposal!$H25)&lt;360,1000,PRICE($BF25+360,Proposal!$H25,$D25,$F25+AI$4,100,2,0)))</f>
        <v>1000</v>
      </c>
      <c r="AK25" s="190">
        <f>IF($E25=0,1000,IF(DAYS360(Summary!$B$5,$E25)&lt;360,1000,PRICE($BF25+360,$E25,$D25,$F25+AI$4,100,2,0)))</f>
        <v>1000</v>
      </c>
      <c r="AL25" s="168">
        <f t="shared" si="11"/>
        <v>0</v>
      </c>
      <c r="AM25" s="197">
        <f>IF(Proposal!$F25=0,1000,IF(DAYS360(Summary!$B$5,Proposal!$F25)&lt;360,1000,PRICE($BF25+360,Proposal!$F25,$D25,$F25+AM$4,Proposal!$G25,2,0)))</f>
        <v>1000</v>
      </c>
      <c r="AN25" s="193">
        <f>IF(Proposal!$H25=0,1000,IF(DAYS360(Summary!$B$5,Proposal!$H25)&lt;360,1000,PRICE($BF25+360,Proposal!$H25,$D25,$F25+AM$4,100,2,0)))</f>
        <v>1000</v>
      </c>
      <c r="AO25" s="190">
        <f>IF($E25=0,1000,IF(DAYS360(Summary!$B$5,$E25)&lt;360,1000,PRICE($BF25+360,$E25,$D25,$F25+AM$4,100,2,0)))</f>
        <v>1000</v>
      </c>
      <c r="AP25" s="168">
        <f t="shared" si="12"/>
        <v>0</v>
      </c>
      <c r="AQ25" s="167"/>
      <c r="AR25" s="167"/>
      <c r="AS25" s="188">
        <f t="shared" si="13"/>
        <v>0</v>
      </c>
      <c r="AT25" s="191">
        <f t="shared" si="14"/>
        <v>0</v>
      </c>
      <c r="AU25" s="192">
        <f t="shared" si="15"/>
        <v>0</v>
      </c>
      <c r="AV25" s="192">
        <f t="shared" si="17"/>
        <v>0</v>
      </c>
      <c r="AW25" s="192">
        <f>AS25*Proposal!M25/AS$29</f>
        <v>0</v>
      </c>
      <c r="AX25" s="193">
        <f t="shared" si="22"/>
        <v>0</v>
      </c>
      <c r="AY25" s="167">
        <f t="shared" si="16"/>
        <v>0</v>
      </c>
      <c r="AZ25" s="167">
        <f t="shared" si="18"/>
        <v>0</v>
      </c>
      <c r="BA25" s="167">
        <f t="shared" si="19"/>
        <v>0</v>
      </c>
      <c r="BB25" s="167">
        <f t="shared" si="20"/>
        <v>0</v>
      </c>
      <c r="BC25" s="167">
        <f t="shared" si="21"/>
        <v>0</v>
      </c>
      <c r="BD25" s="167"/>
      <c r="BE25" s="208">
        <f>Enter!B21</f>
        <v>0</v>
      </c>
      <c r="BF25" s="208">
        <f>Enter!C21</f>
        <v>0</v>
      </c>
      <c r="BG25" s="170"/>
    </row>
    <row r="26" spans="1:67" x14ac:dyDescent="0.3">
      <c r="A26" s="156">
        <f>Proposal!A26</f>
        <v>0</v>
      </c>
      <c r="B26" s="18">
        <f>Proposal!B26</f>
        <v>0</v>
      </c>
      <c r="C26" s="42">
        <f>Proposal!C26</f>
        <v>0</v>
      </c>
      <c r="D26" s="160">
        <f>Proposal!D26</f>
        <v>0</v>
      </c>
      <c r="E26" s="247">
        <f>Income!D25</f>
        <v>0</v>
      </c>
      <c r="F26" s="210">
        <f>Proposal!BG26</f>
        <v>0</v>
      </c>
      <c r="G26" s="219">
        <f>Proposal!J26</f>
        <v>0</v>
      </c>
      <c r="H26" s="126">
        <f t="shared" si="0"/>
        <v>0</v>
      </c>
      <c r="I26" s="127">
        <f t="shared" si="1"/>
        <v>0</v>
      </c>
      <c r="J26" s="127">
        <f t="shared" si="2"/>
        <v>0</v>
      </c>
      <c r="K26" s="127">
        <f t="shared" si="3"/>
        <v>0</v>
      </c>
      <c r="L26" s="127">
        <f t="shared" si="4"/>
        <v>0</v>
      </c>
      <c r="M26" s="127">
        <f t="shared" si="5"/>
        <v>0</v>
      </c>
      <c r="N26" s="18"/>
      <c r="O26" s="18"/>
      <c r="P26" s="18"/>
      <c r="Q26" s="18"/>
      <c r="S26" s="194" t="e">
        <f>MDURATION(BF26,Proposal!BH26,D26,F26,2,0)</f>
        <v>#NUM!</v>
      </c>
      <c r="T26" s="167" t="b">
        <f t="shared" si="6"/>
        <v>1</v>
      </c>
      <c r="U26" s="195">
        <f t="shared" si="7"/>
        <v>0</v>
      </c>
      <c r="V26" s="188"/>
      <c r="W26" s="197">
        <f>IF(Proposal!$F26=0,1000,IF(DAYS360(Summary!$B$5,Proposal!$F26)&lt;360,1000,PRICE($BF26+360,Proposal!$F26,$D26,$F26,Proposal!$G26,2,0)))</f>
        <v>1000</v>
      </c>
      <c r="X26" s="193">
        <f>IF(Proposal!$H26=0,1000,IF(DAYS360(Summary!$B$5,Proposal!$H26)&lt;360,1000,PRICE($BF26+360,Proposal!$H26,$D26,$F26,100,2,0)))</f>
        <v>1000</v>
      </c>
      <c r="Y26" s="190">
        <f>IF($E26=0,1000,IF(DAYS360(Summary!$B$5,$E26)&lt;360,1000,PRICE($BF26+360,$E26,$D26,$F26,100,2,0)))</f>
        <v>1000</v>
      </c>
      <c r="Z26" s="196">
        <f t="shared" si="8"/>
        <v>0</v>
      </c>
      <c r="AA26" s="197">
        <f>IF(Proposal!$F26=0,1000,IF(DAYS360(Summary!$B$5,Proposal!$F26)&lt;360,1000,PRICE($BF26+360,Proposal!$F26,$D26,$F26+AA$4,Proposal!$G26,2,0)))</f>
        <v>1000</v>
      </c>
      <c r="AB26" s="193">
        <f>IF(Proposal!$H26=0,1000,IF(DAYS360(Summary!$B$5,Proposal!$H26)&lt;360,1000,PRICE($BF26+360,Proposal!$H26,$D26,$F26+AA$4,100,2,0)))</f>
        <v>1000</v>
      </c>
      <c r="AC26" s="190">
        <f>IF($E26=0,1000,IF(DAYS360(Summary!$B$5,$E26)&lt;360,1000,PRICE($BF26+360,$E26,$D26,$F26+AA$4,100,2,0)))</f>
        <v>1000</v>
      </c>
      <c r="AD26" s="168">
        <f t="shared" si="9"/>
        <v>0</v>
      </c>
      <c r="AE26" s="197">
        <f>IF(Proposal!$F26=0,1000,IF(DAYS360(Summary!$B$5,Proposal!$F26)&lt;360,1000,PRICE($BF26+360,Proposal!$F26,$D26,$F26+AE$4,Proposal!$G26,2,0)))</f>
        <v>1000</v>
      </c>
      <c r="AF26" s="193">
        <f>IF(Proposal!$H26=0,1000,IF(DAYS360(Summary!$B$5,Proposal!$H26)&lt;360,1000,PRICE($BF26+360,Proposal!$H26,$D26,$F26+AE$4,100,2,0)))</f>
        <v>1000</v>
      </c>
      <c r="AG26" s="190">
        <f>IF($E26=0,1000,IF(DAYS360(Summary!$B$5,$E26)&lt;360,1000,PRICE($BF26+360,$E26,$D26,$F26+AE$4,100,2,0)))</f>
        <v>1000</v>
      </c>
      <c r="AH26" s="168">
        <f t="shared" si="10"/>
        <v>0</v>
      </c>
      <c r="AI26" s="197">
        <f>IF(Proposal!$F26=0,1000,IF(DAYS360(Summary!$B$5,Proposal!$F26)&lt;360,1000,PRICE($BF26+360,Proposal!$F26,$D26,$F26+AI$4,Proposal!$G26,2,0)))</f>
        <v>1000</v>
      </c>
      <c r="AJ26" s="193">
        <f>IF(Proposal!$H26=0,1000,IF(DAYS360(Summary!$B$5,Proposal!$H26)&lt;360,1000,PRICE($BF26+360,Proposal!$H26,$D26,$F26+AI$4,100,2,0)))</f>
        <v>1000</v>
      </c>
      <c r="AK26" s="190">
        <f>IF($E26=0,1000,IF(DAYS360(Summary!$B$5,$E26)&lt;360,1000,PRICE($BF26+360,$E26,$D26,$F26+AI$4,100,2,0)))</f>
        <v>1000</v>
      </c>
      <c r="AL26" s="168">
        <f t="shared" si="11"/>
        <v>0</v>
      </c>
      <c r="AM26" s="197">
        <f>IF(Proposal!$F26=0,1000,IF(DAYS360(Summary!$B$5,Proposal!$F26)&lt;360,1000,PRICE($BF26+360,Proposal!$F26,$D26,$F26+AM$4,Proposal!$G26,2,0)))</f>
        <v>1000</v>
      </c>
      <c r="AN26" s="193">
        <f>IF(Proposal!$H26=0,1000,IF(DAYS360(Summary!$B$5,Proposal!$H26)&lt;360,1000,PRICE($BF26+360,Proposal!$H26,$D26,$F26+AM$4,100,2,0)))</f>
        <v>1000</v>
      </c>
      <c r="AO26" s="190">
        <f>IF($E26=0,1000,IF(DAYS360(Summary!$B$5,$E26)&lt;360,1000,PRICE($BF26+360,$E26,$D26,$F26+AM$4,100,2,0)))</f>
        <v>1000</v>
      </c>
      <c r="AP26" s="168">
        <f t="shared" si="12"/>
        <v>0</v>
      </c>
      <c r="AQ26" s="167"/>
      <c r="AR26" s="167"/>
      <c r="AS26" s="188">
        <f t="shared" si="13"/>
        <v>0</v>
      </c>
      <c r="AT26" s="191">
        <f t="shared" si="14"/>
        <v>0</v>
      </c>
      <c r="AU26" s="192">
        <f t="shared" si="15"/>
        <v>0</v>
      </c>
      <c r="AV26" s="192">
        <f t="shared" si="17"/>
        <v>0</v>
      </c>
      <c r="AW26" s="192">
        <f>AS26*Proposal!M26/AS$29</f>
        <v>0</v>
      </c>
      <c r="AX26" s="193">
        <f t="shared" si="22"/>
        <v>0</v>
      </c>
      <c r="AY26" s="167">
        <f t="shared" si="16"/>
        <v>0</v>
      </c>
      <c r="AZ26" s="167">
        <f t="shared" si="18"/>
        <v>0</v>
      </c>
      <c r="BA26" s="167">
        <f t="shared" si="19"/>
        <v>0</v>
      </c>
      <c r="BB26" s="167">
        <f t="shared" si="20"/>
        <v>0</v>
      </c>
      <c r="BC26" s="167">
        <f t="shared" si="21"/>
        <v>0</v>
      </c>
      <c r="BD26" s="167"/>
      <c r="BE26" s="208">
        <f>Enter!B22</f>
        <v>0</v>
      </c>
      <c r="BF26" s="208">
        <f>Enter!C22</f>
        <v>0</v>
      </c>
      <c r="BG26" s="170"/>
    </row>
    <row r="27" spans="1:67" x14ac:dyDescent="0.3">
      <c r="A27" s="156">
        <f>Proposal!A27</f>
        <v>0</v>
      </c>
      <c r="B27" s="18">
        <f>Proposal!B27</f>
        <v>0</v>
      </c>
      <c r="C27" s="42">
        <f>Proposal!C27</f>
        <v>0</v>
      </c>
      <c r="D27" s="160">
        <f>Proposal!D27</f>
        <v>0</v>
      </c>
      <c r="E27" s="247">
        <f>Income!D26</f>
        <v>0</v>
      </c>
      <c r="F27" s="210">
        <f>Proposal!BG27</f>
        <v>0</v>
      </c>
      <c r="G27" s="219">
        <f>Proposal!J27</f>
        <v>0</v>
      </c>
      <c r="H27" s="126">
        <f t="shared" si="0"/>
        <v>0</v>
      </c>
      <c r="I27" s="127">
        <f t="shared" si="1"/>
        <v>0</v>
      </c>
      <c r="J27" s="127">
        <f t="shared" si="2"/>
        <v>0</v>
      </c>
      <c r="K27" s="127">
        <f t="shared" si="3"/>
        <v>0</v>
      </c>
      <c r="L27" s="127">
        <f t="shared" si="4"/>
        <v>0</v>
      </c>
      <c r="M27" s="127">
        <f t="shared" si="5"/>
        <v>0</v>
      </c>
      <c r="N27" s="18"/>
      <c r="O27" s="18"/>
      <c r="P27" s="18"/>
      <c r="Q27" s="18"/>
      <c r="S27" s="194" t="e">
        <f>MDURATION(BF27,Proposal!BH27,D27,F27,2,0)</f>
        <v>#NUM!</v>
      </c>
      <c r="T27" s="167" t="b">
        <f t="shared" si="6"/>
        <v>1</v>
      </c>
      <c r="U27" s="195">
        <f t="shared" si="7"/>
        <v>0</v>
      </c>
      <c r="V27" s="188"/>
      <c r="W27" s="197">
        <f>IF(Proposal!$F27=0,1000,IF(DAYS360(Summary!$B$5,Proposal!$F27)&lt;360,1000,PRICE($BF27+360,Proposal!$F27,$D27,$F27,Proposal!$G27,2,0)))</f>
        <v>1000</v>
      </c>
      <c r="X27" s="193">
        <f>IF(Proposal!$H27=0,1000,IF(DAYS360(Summary!$B$5,Proposal!$H27)&lt;360,1000,PRICE($BF27+360,Proposal!$H27,$D27,$F27,100,2,0)))</f>
        <v>1000</v>
      </c>
      <c r="Y27" s="190">
        <f>IF($E27=0,1000,IF(DAYS360(Summary!$B$5,$E27)&lt;360,1000,PRICE($BF27+360,$E27,$D27,$F27,100,2,0)))</f>
        <v>1000</v>
      </c>
      <c r="Z27" s="196">
        <f t="shared" si="8"/>
        <v>0</v>
      </c>
      <c r="AA27" s="197">
        <f>IF(Proposal!$F27=0,1000,IF(DAYS360(Summary!$B$5,Proposal!$F27)&lt;360,1000,PRICE($BF27+360,Proposal!$F27,$D27,$F27+AA$4,Proposal!$G27,2,0)))</f>
        <v>1000</v>
      </c>
      <c r="AB27" s="193">
        <f>IF(Proposal!$H27=0,1000,IF(DAYS360(Summary!$B$5,Proposal!$H27)&lt;360,1000,PRICE($BF27+360,Proposal!$H27,$D27,$F27+AA$4,100,2,0)))</f>
        <v>1000</v>
      </c>
      <c r="AC27" s="190">
        <f>IF($E27=0,1000,IF(DAYS360(Summary!$B$5,$E27)&lt;360,1000,PRICE($BF27+360,$E27,$D27,$F27+AA$4,100,2,0)))</f>
        <v>1000</v>
      </c>
      <c r="AD27" s="168">
        <f t="shared" si="9"/>
        <v>0</v>
      </c>
      <c r="AE27" s="197">
        <f>IF(Proposal!$F27=0,1000,IF(DAYS360(Summary!$B$5,Proposal!$F27)&lt;360,1000,PRICE($BF27+360,Proposal!$F27,$D27,$F27+AE$4,Proposal!$G27,2,0)))</f>
        <v>1000</v>
      </c>
      <c r="AF27" s="193">
        <f>IF(Proposal!$H27=0,1000,IF(DAYS360(Summary!$B$5,Proposal!$H27)&lt;360,1000,PRICE($BF27+360,Proposal!$H27,$D27,$F27+AE$4,100,2,0)))</f>
        <v>1000</v>
      </c>
      <c r="AG27" s="190">
        <f>IF($E27=0,1000,IF(DAYS360(Summary!$B$5,$E27)&lt;360,1000,PRICE($BF27+360,$E27,$D27,$F27+AE$4,100,2,0)))</f>
        <v>1000</v>
      </c>
      <c r="AH27" s="168">
        <f t="shared" si="10"/>
        <v>0</v>
      </c>
      <c r="AI27" s="197">
        <f>IF(Proposal!$F27=0,1000,IF(DAYS360(Summary!$B$5,Proposal!$F27)&lt;360,1000,PRICE($BF27+360,Proposal!$F27,$D27,$F27+AI$4,Proposal!$G27,2,0)))</f>
        <v>1000</v>
      </c>
      <c r="AJ27" s="193">
        <f>IF(Proposal!$H27=0,1000,IF(DAYS360(Summary!$B$5,Proposal!$H27)&lt;360,1000,PRICE($BF27+360,Proposal!$H27,$D27,$F27+AI$4,100,2,0)))</f>
        <v>1000</v>
      </c>
      <c r="AK27" s="190">
        <f>IF($E27=0,1000,IF(DAYS360(Summary!$B$5,$E27)&lt;360,1000,PRICE($BF27+360,$E27,$D27,$F27+AI$4,100,2,0)))</f>
        <v>1000</v>
      </c>
      <c r="AL27" s="168">
        <f t="shared" si="11"/>
        <v>0</v>
      </c>
      <c r="AM27" s="197">
        <f>IF(Proposal!$F27=0,1000,IF(DAYS360(Summary!$B$5,Proposal!$F27)&lt;360,1000,PRICE($BF27+360,Proposal!$F27,$D27,$F27+AM$4,Proposal!$G27,2,0)))</f>
        <v>1000</v>
      </c>
      <c r="AN27" s="193">
        <f>IF(Proposal!$H27=0,1000,IF(DAYS360(Summary!$B$5,Proposal!$H27)&lt;360,1000,PRICE($BF27+360,Proposal!$H27,$D27,$F27+AM$4,100,2,0)))</f>
        <v>1000</v>
      </c>
      <c r="AO27" s="190">
        <f>IF($E27=0,1000,IF(DAYS360(Summary!$B$5,$E27)&lt;360,1000,PRICE($BF27+360,$E27,$D27,$F27+AM$4,100,2,0)))</f>
        <v>1000</v>
      </c>
      <c r="AP27" s="168">
        <f t="shared" si="12"/>
        <v>0</v>
      </c>
      <c r="AQ27" s="167"/>
      <c r="AR27" s="167"/>
      <c r="AS27" s="188">
        <f t="shared" si="13"/>
        <v>0</v>
      </c>
      <c r="AT27" s="191">
        <f t="shared" si="14"/>
        <v>0</v>
      </c>
      <c r="AU27" s="192">
        <f t="shared" si="15"/>
        <v>0</v>
      </c>
      <c r="AV27" s="192">
        <f t="shared" si="17"/>
        <v>0</v>
      </c>
      <c r="AW27" s="192">
        <f>AS27*Proposal!M27/AS$29</f>
        <v>0</v>
      </c>
      <c r="AX27" s="193">
        <f t="shared" si="22"/>
        <v>0</v>
      </c>
      <c r="AY27" s="167">
        <f t="shared" si="16"/>
        <v>0</v>
      </c>
      <c r="AZ27" s="167">
        <f t="shared" si="18"/>
        <v>0</v>
      </c>
      <c r="BA27" s="167">
        <f t="shared" si="19"/>
        <v>0</v>
      </c>
      <c r="BB27" s="167">
        <f t="shared" si="20"/>
        <v>0</v>
      </c>
      <c r="BC27" s="167">
        <f t="shared" si="21"/>
        <v>0</v>
      </c>
      <c r="BD27" s="167"/>
      <c r="BE27" s="208">
        <f>Enter!B23</f>
        <v>0</v>
      </c>
      <c r="BF27" s="208">
        <f>Enter!C23</f>
        <v>0</v>
      </c>
      <c r="BG27" s="170"/>
    </row>
    <row r="28" spans="1:67" ht="16.2" thickBot="1" x14ac:dyDescent="0.35">
      <c r="A28" s="238">
        <f>Proposal!A28</f>
        <v>0</v>
      </c>
      <c r="B28" s="248">
        <f>Proposal!B28</f>
        <v>0</v>
      </c>
      <c r="C28" s="261">
        <f>Proposal!C28</f>
        <v>0</v>
      </c>
      <c r="D28" s="249">
        <f>Proposal!D28</f>
        <v>0</v>
      </c>
      <c r="E28" s="323">
        <f>Income!D27</f>
        <v>0</v>
      </c>
      <c r="F28" s="249">
        <f>Proposal!BG28</f>
        <v>0</v>
      </c>
      <c r="G28" s="228">
        <f>Proposal!J28</f>
        <v>0</v>
      </c>
      <c r="H28" s="122">
        <f t="shared" si="0"/>
        <v>0</v>
      </c>
      <c r="I28" s="123">
        <f t="shared" si="1"/>
        <v>0</v>
      </c>
      <c r="J28" s="123">
        <f t="shared" si="2"/>
        <v>0</v>
      </c>
      <c r="K28" s="123">
        <f t="shared" si="3"/>
        <v>0</v>
      </c>
      <c r="L28" s="123">
        <f t="shared" si="4"/>
        <v>0</v>
      </c>
      <c r="M28" s="123">
        <f t="shared" si="5"/>
        <v>0</v>
      </c>
      <c r="N28" s="18"/>
      <c r="O28" s="18"/>
      <c r="P28" s="18"/>
      <c r="Q28" s="18"/>
      <c r="S28" s="198" t="e">
        <f>MDURATION(BF28,Proposal!BH28,D28,F28,2,0)</f>
        <v>#NUM!</v>
      </c>
      <c r="T28" s="119" t="b">
        <f t="shared" si="6"/>
        <v>1</v>
      </c>
      <c r="U28" s="199">
        <f t="shared" si="7"/>
        <v>0</v>
      </c>
      <c r="V28" s="200"/>
      <c r="W28" s="203">
        <f>IF(Proposal!$F28=0,1000,IF(DAYS360(Summary!$B$5,Proposal!$F28)&lt;360,1000,PRICE($BF28+360,Proposal!$F28,$D28,$F28,Proposal!$G28,2,0)))</f>
        <v>1000</v>
      </c>
      <c r="X28" s="204">
        <f>IF(Proposal!$H28=0,1000,IF(DAYS360(Summary!$B$5,Proposal!$H28)&lt;360,1000,PRICE($BF28+360,Proposal!$H28,$D28,$F28,100,2,0)))</f>
        <v>1000</v>
      </c>
      <c r="Y28" s="205">
        <f>IF($E28=0,1000,IF(DAYS360(Summary!$B$5,$E28)&lt;360,1000,PRICE($BF28+360,$E28,$D28,$F28,100,2,0)))</f>
        <v>1000</v>
      </c>
      <c r="Z28" s="202">
        <f t="shared" si="8"/>
        <v>0</v>
      </c>
      <c r="AA28" s="203">
        <f>IF(Proposal!$F28=0,1000,IF(DAYS360(Summary!$B$5,Proposal!$F28)&lt;360,1000,PRICE($BF28+360,Proposal!$F28,$D28,$F28+AA$4,Proposal!$G28,2,0)))</f>
        <v>1000</v>
      </c>
      <c r="AB28" s="204">
        <f>IF(Proposal!$H28=0,1000,IF(DAYS360(Summary!$B$5,Proposal!$H28)&lt;360,1000,PRICE($BF28+360,Proposal!$H28,$D28,$F28+AA$4,100,2,0)))</f>
        <v>1000</v>
      </c>
      <c r="AC28" s="205">
        <f>IF($E28=0,1000,IF(DAYS360(Summary!$B$5,$E28)&lt;360,1000,PRICE($BF28+360,$E28,$D28,$F28+AA$4,100,2,0)))</f>
        <v>1000</v>
      </c>
      <c r="AD28" s="262">
        <f t="shared" si="9"/>
        <v>0</v>
      </c>
      <c r="AE28" s="203">
        <f>IF(Proposal!$F28=0,1000,IF(DAYS360(Summary!$B$5,Proposal!$F28)&lt;360,1000,PRICE($BF28+360,Proposal!$F28,$D28,$F28+AE$4,Proposal!$G28,2,0)))</f>
        <v>1000</v>
      </c>
      <c r="AF28" s="204">
        <f>IF(Proposal!$H28=0,1000,IF(DAYS360(Summary!$B$5,Proposal!$H28)&lt;360,1000,PRICE($BF28+360,Proposal!$H28,$D28,$F28+AE$4,100,2,0)))</f>
        <v>1000</v>
      </c>
      <c r="AG28" s="205">
        <f>IF($E28=0,1000,IF(DAYS360(Summary!$B$5,$E28)&lt;360,1000,PRICE($BF28+360,$E28,$D28,$F28+AE$4,100,2,0)))</f>
        <v>1000</v>
      </c>
      <c r="AH28" s="262">
        <f t="shared" si="10"/>
        <v>0</v>
      </c>
      <c r="AI28" s="203">
        <f>IF(Proposal!$F28=0,1000,IF(DAYS360(Summary!$B$5,Proposal!$F28)&lt;360,1000,PRICE($BF28+360,Proposal!$F28,$D28,$F28+AI$4,Proposal!$G28,2,0)))</f>
        <v>1000</v>
      </c>
      <c r="AJ28" s="204">
        <f>IF(Proposal!$H28=0,1000,IF(DAYS360(Summary!$B$5,Proposal!$H28)&lt;360,1000,PRICE($BF28+360,Proposal!$H28,$D28,$F28+AI$4,100,2,0)))</f>
        <v>1000</v>
      </c>
      <c r="AK28" s="205">
        <f>IF($E28=0,1000,IF(DAYS360(Summary!$B$5,$E28)&lt;360,1000,PRICE($BF28+360,$E28,$D28,$F28+AI$4,100,2,0)))</f>
        <v>1000</v>
      </c>
      <c r="AL28" s="262">
        <f t="shared" si="11"/>
        <v>0</v>
      </c>
      <c r="AM28" s="203">
        <f>IF(Proposal!$F28=0,1000,IF(DAYS360(Summary!$B$5,Proposal!$F28)&lt;360,1000,PRICE($BF28+360,Proposal!$F28,$D28,$F28+AM$4,Proposal!$G28,2,0)))</f>
        <v>1000</v>
      </c>
      <c r="AN28" s="204">
        <f>IF(Proposal!$H28=0,1000,IF(DAYS360(Summary!$B$5,Proposal!$H28)&lt;360,1000,PRICE($BF28+360,Proposal!$H28,$D28,$F28+AM$4,100,2,0)))</f>
        <v>1000</v>
      </c>
      <c r="AO28" s="205">
        <f>IF($E28=0,1000,IF(DAYS360(Summary!$B$5,$E28)&lt;360,1000,PRICE($BF28+360,$E28,$D28,$F28+AM$4,100,2,0)))</f>
        <v>1000</v>
      </c>
      <c r="AP28" s="262">
        <f t="shared" si="12"/>
        <v>0</v>
      </c>
      <c r="AQ28" s="167"/>
      <c r="AR28" s="167"/>
      <c r="AS28" s="199">
        <f t="shared" si="13"/>
        <v>0</v>
      </c>
      <c r="AT28" s="206">
        <f t="shared" si="14"/>
        <v>0</v>
      </c>
      <c r="AU28" s="201">
        <f t="shared" si="15"/>
        <v>0</v>
      </c>
      <c r="AV28" s="201">
        <f t="shared" si="17"/>
        <v>0</v>
      </c>
      <c r="AW28" s="201">
        <f>AS28*Proposal!M28/AS$29</f>
        <v>0</v>
      </c>
      <c r="AX28" s="204">
        <f t="shared" si="22"/>
        <v>0</v>
      </c>
      <c r="AY28" s="119">
        <f t="shared" si="16"/>
        <v>0</v>
      </c>
      <c r="AZ28" s="119">
        <f t="shared" si="18"/>
        <v>0</v>
      </c>
      <c r="BA28" s="119">
        <f t="shared" si="19"/>
        <v>0</v>
      </c>
      <c r="BB28" s="119">
        <f t="shared" si="20"/>
        <v>0</v>
      </c>
      <c r="BC28" s="119">
        <f t="shared" si="21"/>
        <v>0</v>
      </c>
      <c r="BD28" s="167"/>
      <c r="BE28" s="250">
        <f>Enter!B24</f>
        <v>0</v>
      </c>
      <c r="BF28" s="250">
        <f>Enter!C24</f>
        <v>0</v>
      </c>
      <c r="BG28" s="170"/>
    </row>
    <row r="29" spans="1:67" x14ac:dyDescent="0.3">
      <c r="A29" s="251" t="s">
        <v>95</v>
      </c>
      <c r="B29" s="142"/>
      <c r="C29" s="142"/>
      <c r="D29" s="210" t="s">
        <v>78</v>
      </c>
      <c r="E29" s="210" t="s">
        <v>78</v>
      </c>
      <c r="F29" s="210" t="s">
        <v>78</v>
      </c>
      <c r="G29" s="219"/>
      <c r="H29" s="210" t="s">
        <v>78</v>
      </c>
      <c r="I29" s="127" t="s">
        <v>78</v>
      </c>
      <c r="J29" s="127" t="s">
        <v>78</v>
      </c>
      <c r="K29" s="127" t="s">
        <v>78</v>
      </c>
      <c r="L29" s="127" t="s">
        <v>78</v>
      </c>
      <c r="M29" s="127" t="s">
        <v>78</v>
      </c>
      <c r="N29" s="18"/>
      <c r="O29" s="18"/>
      <c r="P29" s="18"/>
      <c r="Q29" s="18"/>
      <c r="S29" s="197"/>
      <c r="T29" s="167"/>
      <c r="U29" s="188"/>
      <c r="V29" s="188"/>
      <c r="W29" s="192"/>
      <c r="X29" s="192"/>
      <c r="Y29" s="192"/>
      <c r="Z29" s="168"/>
      <c r="AA29" s="193"/>
      <c r="AB29" s="193"/>
      <c r="AC29" s="193"/>
      <c r="AD29" s="168"/>
      <c r="AE29" s="193"/>
      <c r="AF29" s="193"/>
      <c r="AG29" s="193"/>
      <c r="AH29" s="168"/>
      <c r="AI29" s="193"/>
      <c r="AJ29" s="193"/>
      <c r="AK29" s="193"/>
      <c r="AL29" s="168"/>
      <c r="AM29" s="193"/>
      <c r="AN29" s="193"/>
      <c r="AO29" s="193"/>
      <c r="AP29" s="168"/>
      <c r="AQ29" s="167"/>
      <c r="AR29" s="167"/>
      <c r="AS29" s="188">
        <f>SUM(AS7:AS28)</f>
        <v>2015674</v>
      </c>
      <c r="AT29" s="207">
        <f>SUM(AT7:AT28)</f>
        <v>4.8752100538083043E-2</v>
      </c>
      <c r="AU29" s="208">
        <f>INT(SUM(AU7:AU28))</f>
        <v>44420</v>
      </c>
      <c r="AV29" s="207">
        <f>SUM(AV7:AV28)</f>
        <v>4.7351871089068236E-2</v>
      </c>
      <c r="AW29" s="207">
        <f>SUM(AW7:AW28)</f>
        <v>4.8346111523986511E-2</v>
      </c>
      <c r="AX29" s="193">
        <f t="shared" ref="AX29:BC29" si="23">SUM(AX7:AX28)</f>
        <v>8.0732870449453777</v>
      </c>
      <c r="AY29" s="207">
        <f t="shared" ca="1" si="23"/>
        <v>4.7376019771094555E-2</v>
      </c>
      <c r="AZ29" s="207">
        <f t="shared" ca="1" si="23"/>
        <v>0.11589866358336594</v>
      </c>
      <c r="BA29" s="207">
        <f t="shared" ca="1" si="23"/>
        <v>8.2528140850883405E-2</v>
      </c>
      <c r="BB29" s="207">
        <f t="shared" ca="1" si="23"/>
        <v>-3.5000276246191287E-3</v>
      </c>
      <c r="BC29" s="207">
        <f t="shared" ca="1" si="23"/>
        <v>-5.7332731917401222E-2</v>
      </c>
      <c r="BD29" s="167"/>
      <c r="BE29" s="167"/>
      <c r="BF29" s="167"/>
      <c r="BG29" s="170"/>
    </row>
    <row r="30" spans="1:67" x14ac:dyDescent="0.3">
      <c r="A30" s="222">
        <f>SUM(A7:A29)</f>
        <v>2000</v>
      </c>
      <c r="B30" s="142"/>
      <c r="C30" s="142"/>
      <c r="D30" s="210">
        <f>AT29</f>
        <v>4.8752100538083043E-2</v>
      </c>
      <c r="E30" s="252">
        <f>AU29</f>
        <v>44420</v>
      </c>
      <c r="F30" s="210">
        <f>AV29</f>
        <v>4.7351871089068236E-2</v>
      </c>
      <c r="G30" s="219"/>
      <c r="H30" s="218">
        <f>AX29</f>
        <v>8.0732870449453777</v>
      </c>
      <c r="I30" s="127">
        <f ca="1">AZ29</f>
        <v>0.11589866358336594</v>
      </c>
      <c r="J30" s="127">
        <f ca="1">BA29</f>
        <v>8.2528140850883405E-2</v>
      </c>
      <c r="K30" s="127">
        <f ca="1">AY29</f>
        <v>4.7376019771094555E-2</v>
      </c>
      <c r="L30" s="127">
        <f ca="1">BB29</f>
        <v>-3.5000276246191287E-3</v>
      </c>
      <c r="M30" s="127">
        <f ca="1">BC29</f>
        <v>-5.7332731917401222E-2</v>
      </c>
      <c r="N30" s="18"/>
      <c r="O30" s="18"/>
      <c r="P30" s="18"/>
      <c r="Q30" s="18"/>
      <c r="S30" s="197"/>
      <c r="T30" s="167"/>
      <c r="U30" s="188"/>
      <c r="V30" s="188"/>
      <c r="W30" s="192"/>
      <c r="X30" s="192"/>
      <c r="Y30" s="192"/>
      <c r="Z30" s="168"/>
      <c r="AA30" s="193"/>
      <c r="AB30" s="193"/>
      <c r="AC30" s="193"/>
      <c r="AD30" s="168"/>
      <c r="AE30" s="193"/>
      <c r="AF30" s="193"/>
      <c r="AG30" s="193"/>
      <c r="AH30" s="168"/>
      <c r="AI30" s="193"/>
      <c r="AJ30" s="193"/>
      <c r="AK30" s="193"/>
      <c r="AL30" s="168"/>
      <c r="AM30" s="193"/>
      <c r="AN30" s="193"/>
      <c r="AO30" s="193"/>
      <c r="AP30" s="168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  <c r="BE30" s="167"/>
      <c r="BF30" s="167"/>
      <c r="BG30" s="170"/>
    </row>
    <row r="31" spans="1:67" x14ac:dyDescent="0.3">
      <c r="A31" s="142"/>
      <c r="B31" s="142"/>
      <c r="C31" s="142"/>
      <c r="D31" s="210"/>
      <c r="E31" s="159"/>
      <c r="F31" s="209"/>
      <c r="G31" s="219"/>
      <c r="H31" s="126"/>
      <c r="I31" s="210"/>
      <c r="J31" s="210"/>
      <c r="K31" s="210"/>
      <c r="L31" s="210"/>
      <c r="M31" s="210"/>
      <c r="N31" s="18"/>
      <c r="O31" s="18"/>
      <c r="P31" s="18"/>
      <c r="Q31" s="18"/>
      <c r="S31" s="166"/>
      <c r="T31" s="167"/>
      <c r="U31" s="188"/>
      <c r="V31" s="188"/>
      <c r="W31" s="192"/>
      <c r="X31" s="192"/>
      <c r="Y31" s="192"/>
      <c r="Z31" s="168"/>
      <c r="AA31" s="193"/>
      <c r="AB31" s="193"/>
      <c r="AC31" s="193"/>
      <c r="AD31" s="168"/>
      <c r="AE31" s="193"/>
      <c r="AF31" s="193"/>
      <c r="AG31" s="193"/>
      <c r="AH31" s="168"/>
      <c r="AI31" s="193"/>
      <c r="AJ31" s="193"/>
      <c r="AK31" s="193"/>
      <c r="AL31" s="168"/>
      <c r="AM31" s="193"/>
      <c r="AN31" s="193"/>
      <c r="AO31" s="193"/>
      <c r="AP31" s="168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70"/>
    </row>
    <row r="32" spans="1:67" x14ac:dyDescent="0.3">
      <c r="I32" s="20"/>
      <c r="J32" s="20"/>
      <c r="K32" s="20"/>
      <c r="M32" s="20"/>
    </row>
    <row r="33" spans="1:13" x14ac:dyDescent="0.3">
      <c r="I33" s="20"/>
      <c r="J33" s="20"/>
      <c r="K33" s="20"/>
      <c r="M33" s="20"/>
    </row>
    <row r="34" spans="1:13" x14ac:dyDescent="0.3">
      <c r="A34" s="20" t="s">
        <v>124</v>
      </c>
      <c r="I34" s="20"/>
      <c r="J34" s="20"/>
      <c r="K34" s="20"/>
      <c r="M34" s="20"/>
    </row>
    <row r="35" spans="1:13" x14ac:dyDescent="0.3">
      <c r="I35" s="20"/>
      <c r="J35" s="20"/>
      <c r="K35" s="20"/>
      <c r="M35" s="20"/>
    </row>
    <row r="36" spans="1:13" x14ac:dyDescent="0.3">
      <c r="I36" s="20"/>
      <c r="J36" s="20"/>
      <c r="K36" s="20"/>
      <c r="M36" s="20"/>
    </row>
    <row r="37" spans="1:13" x14ac:dyDescent="0.3">
      <c r="I37" s="20"/>
      <c r="J37" s="20"/>
      <c r="K37" s="20"/>
      <c r="M37" s="20"/>
    </row>
    <row r="38" spans="1:13" x14ac:dyDescent="0.3">
      <c r="I38" s="20"/>
      <c r="J38" s="20"/>
      <c r="K38" s="20"/>
      <c r="M38" s="20"/>
    </row>
    <row r="39" spans="1:13" x14ac:dyDescent="0.3">
      <c r="I39" s="20"/>
      <c r="J39" s="20"/>
      <c r="K39" s="20"/>
      <c r="M39" s="20"/>
    </row>
    <row r="40" spans="1:13" x14ac:dyDescent="0.3">
      <c r="I40" s="20"/>
      <c r="J40" s="20"/>
      <c r="K40" s="20"/>
      <c r="M40" s="20"/>
    </row>
    <row r="41" spans="1:13" x14ac:dyDescent="0.3">
      <c r="I41" s="20"/>
      <c r="J41" s="20"/>
      <c r="K41" s="20"/>
      <c r="M41" s="20"/>
    </row>
    <row r="42" spans="1:13" x14ac:dyDescent="0.3">
      <c r="I42" s="20"/>
      <c r="J42" s="20"/>
      <c r="K42" s="20"/>
      <c r="M42" s="20"/>
    </row>
    <row r="43" spans="1:13" x14ac:dyDescent="0.3">
      <c r="I43" s="20"/>
      <c r="J43" s="20"/>
      <c r="K43" s="20"/>
      <c r="M43" s="20"/>
    </row>
    <row r="44" spans="1:13" x14ac:dyDescent="0.3">
      <c r="I44" s="20"/>
      <c r="J44" s="20"/>
      <c r="K44" s="20"/>
      <c r="M44" s="20"/>
    </row>
    <row r="45" spans="1:13" x14ac:dyDescent="0.3">
      <c r="I45" s="20"/>
      <c r="J45" s="20"/>
      <c r="K45" s="20"/>
      <c r="M45" s="20"/>
    </row>
    <row r="46" spans="1:13" x14ac:dyDescent="0.3">
      <c r="I46" s="20"/>
      <c r="J46" s="20"/>
      <c r="K46" s="20"/>
      <c r="M46" s="20"/>
    </row>
    <row r="47" spans="1:13" x14ac:dyDescent="0.3">
      <c r="I47" s="20"/>
      <c r="J47" s="20"/>
      <c r="K47" s="20"/>
      <c r="M47" s="20"/>
    </row>
    <row r="48" spans="1:13" x14ac:dyDescent="0.3">
      <c r="I48" s="20"/>
      <c r="J48" s="20"/>
      <c r="K48" s="20"/>
      <c r="M48" s="20"/>
    </row>
    <row r="49" spans="9:13" x14ac:dyDescent="0.3">
      <c r="I49" s="20"/>
      <c r="J49" s="20"/>
      <c r="K49" s="20"/>
      <c r="M49" s="20"/>
    </row>
    <row r="50" spans="9:13" x14ac:dyDescent="0.3">
      <c r="I50" s="20"/>
      <c r="J50" s="20"/>
      <c r="K50" s="20"/>
      <c r="M50" s="20"/>
    </row>
    <row r="51" spans="9:13" x14ac:dyDescent="0.3">
      <c r="I51" s="20"/>
      <c r="J51" s="20"/>
      <c r="K51" s="20"/>
      <c r="M51" s="20"/>
    </row>
    <row r="52" spans="9:13" x14ac:dyDescent="0.3">
      <c r="I52" s="20"/>
      <c r="J52" s="20"/>
      <c r="K52" s="20"/>
      <c r="M52" s="20"/>
    </row>
    <row r="53" spans="9:13" x14ac:dyDescent="0.3">
      <c r="I53" s="20"/>
      <c r="J53" s="20"/>
      <c r="K53" s="20"/>
      <c r="M53" s="20"/>
    </row>
    <row r="54" spans="9:13" x14ac:dyDescent="0.3">
      <c r="I54" s="20"/>
      <c r="J54" s="20"/>
      <c r="K54" s="20"/>
      <c r="M54" s="20"/>
    </row>
    <row r="55" spans="9:13" x14ac:dyDescent="0.3">
      <c r="I55" s="20"/>
      <c r="J55" s="20"/>
      <c r="K55" s="20"/>
      <c r="M55" s="20"/>
    </row>
    <row r="56" spans="9:13" x14ac:dyDescent="0.3">
      <c r="I56" s="20"/>
      <c r="J56" s="20"/>
      <c r="K56" s="20"/>
      <c r="M56" s="20"/>
    </row>
    <row r="57" spans="9:13" x14ac:dyDescent="0.3">
      <c r="I57" s="20"/>
      <c r="J57" s="20"/>
      <c r="K57" s="20"/>
      <c r="M57" s="20"/>
    </row>
    <row r="58" spans="9:13" x14ac:dyDescent="0.3">
      <c r="I58" s="20"/>
      <c r="J58" s="20"/>
      <c r="K58" s="20"/>
      <c r="M58" s="20"/>
    </row>
    <row r="59" spans="9:13" x14ac:dyDescent="0.3">
      <c r="I59" s="20"/>
      <c r="J59" s="20"/>
      <c r="K59" s="20"/>
      <c r="M59" s="20"/>
    </row>
    <row r="60" spans="9:13" x14ac:dyDescent="0.3">
      <c r="I60" s="20"/>
      <c r="J60" s="20"/>
      <c r="K60" s="20"/>
      <c r="M60" s="20"/>
    </row>
    <row r="61" spans="9:13" x14ac:dyDescent="0.3">
      <c r="I61" s="20"/>
      <c r="J61" s="20"/>
      <c r="K61" s="20"/>
      <c r="M61" s="20"/>
    </row>
    <row r="62" spans="9:13" x14ac:dyDescent="0.3">
      <c r="I62" s="20"/>
      <c r="J62" s="20"/>
      <c r="K62" s="20"/>
      <c r="M62" s="20"/>
    </row>
    <row r="63" spans="9:13" x14ac:dyDescent="0.3">
      <c r="I63" s="20"/>
      <c r="J63" s="20"/>
      <c r="K63" s="20"/>
      <c r="M63" s="20"/>
    </row>
    <row r="64" spans="9:13" x14ac:dyDescent="0.3">
      <c r="I64" s="20"/>
      <c r="J64" s="20"/>
      <c r="K64" s="20"/>
      <c r="M64" s="20"/>
    </row>
    <row r="65" spans="9:13" x14ac:dyDescent="0.3">
      <c r="I65" s="20"/>
      <c r="J65" s="20"/>
      <c r="K65" s="20"/>
      <c r="M65" s="20"/>
    </row>
    <row r="66" spans="9:13" x14ac:dyDescent="0.3">
      <c r="I66" s="20"/>
      <c r="J66" s="20"/>
      <c r="K66" s="20"/>
      <c r="M66" s="20"/>
    </row>
    <row r="67" spans="9:13" x14ac:dyDescent="0.3">
      <c r="I67" s="20"/>
      <c r="J67" s="20"/>
      <c r="K67" s="20"/>
      <c r="M67" s="20"/>
    </row>
    <row r="68" spans="9:13" x14ac:dyDescent="0.3">
      <c r="I68" s="20"/>
      <c r="J68" s="20"/>
      <c r="K68" s="20"/>
      <c r="M68" s="20"/>
    </row>
    <row r="69" spans="9:13" x14ac:dyDescent="0.3">
      <c r="I69" s="20"/>
      <c r="J69" s="20"/>
      <c r="K69" s="20"/>
      <c r="M69" s="20"/>
    </row>
    <row r="70" spans="9:13" x14ac:dyDescent="0.3">
      <c r="I70" s="20"/>
      <c r="J70" s="20"/>
      <c r="K70" s="20"/>
      <c r="M70" s="20"/>
    </row>
    <row r="71" spans="9:13" x14ac:dyDescent="0.3">
      <c r="I71" s="20"/>
      <c r="J71" s="20"/>
      <c r="K71" s="20"/>
      <c r="M71" s="20"/>
    </row>
    <row r="72" spans="9:13" x14ac:dyDescent="0.3">
      <c r="I72" s="20"/>
      <c r="J72" s="20"/>
      <c r="K72" s="20"/>
      <c r="M72" s="20"/>
    </row>
    <row r="73" spans="9:13" x14ac:dyDescent="0.3">
      <c r="I73" s="20"/>
      <c r="J73" s="20"/>
      <c r="K73" s="20"/>
      <c r="M73" s="20"/>
    </row>
    <row r="74" spans="9:13" x14ac:dyDescent="0.3">
      <c r="I74" s="20"/>
      <c r="J74" s="20"/>
      <c r="K74" s="20"/>
      <c r="M74" s="20"/>
    </row>
    <row r="75" spans="9:13" x14ac:dyDescent="0.3">
      <c r="I75" s="20"/>
      <c r="J75" s="20"/>
      <c r="K75" s="20"/>
      <c r="M75" s="20"/>
    </row>
    <row r="76" spans="9:13" x14ac:dyDescent="0.3">
      <c r="I76" s="20"/>
      <c r="J76" s="20"/>
      <c r="K76" s="20"/>
      <c r="M76" s="20"/>
    </row>
    <row r="77" spans="9:13" x14ac:dyDescent="0.3">
      <c r="I77" s="20"/>
      <c r="J77" s="20"/>
      <c r="K77" s="20"/>
      <c r="M77" s="20"/>
    </row>
    <row r="78" spans="9:13" x14ac:dyDescent="0.3">
      <c r="I78" s="20"/>
      <c r="J78" s="20"/>
      <c r="K78" s="20"/>
      <c r="M78" s="20"/>
    </row>
    <row r="79" spans="9:13" x14ac:dyDescent="0.3">
      <c r="I79" s="20"/>
      <c r="J79" s="20"/>
      <c r="K79" s="20"/>
      <c r="M79" s="20"/>
    </row>
    <row r="80" spans="9:13" x14ac:dyDescent="0.3">
      <c r="I80" s="20"/>
      <c r="J80" s="20"/>
      <c r="K80" s="20"/>
      <c r="M80" s="20"/>
    </row>
    <row r="81" spans="9:13" x14ac:dyDescent="0.3">
      <c r="I81" s="20"/>
      <c r="J81" s="20"/>
      <c r="K81" s="20"/>
      <c r="M81" s="20"/>
    </row>
    <row r="82" spans="9:13" x14ac:dyDescent="0.3">
      <c r="I82" s="20"/>
      <c r="J82" s="20"/>
      <c r="K82" s="20"/>
      <c r="M82" s="20"/>
    </row>
    <row r="83" spans="9:13" x14ac:dyDescent="0.3">
      <c r="I83" s="20"/>
      <c r="J83" s="20"/>
      <c r="K83" s="20"/>
      <c r="M83" s="20"/>
    </row>
    <row r="84" spans="9:13" x14ac:dyDescent="0.3">
      <c r="I84" s="20"/>
      <c r="J84" s="20"/>
      <c r="K84" s="20"/>
      <c r="M84" s="20"/>
    </row>
    <row r="85" spans="9:13" x14ac:dyDescent="0.3">
      <c r="I85" s="20"/>
      <c r="J85" s="20"/>
      <c r="K85" s="20"/>
      <c r="M85" s="20"/>
    </row>
    <row r="86" spans="9:13" x14ac:dyDescent="0.3">
      <c r="I86" s="20"/>
      <c r="J86" s="20"/>
      <c r="K86" s="20"/>
      <c r="M86" s="20"/>
    </row>
    <row r="87" spans="9:13" x14ac:dyDescent="0.3">
      <c r="I87" s="20"/>
      <c r="J87" s="20"/>
      <c r="K87" s="20"/>
      <c r="M87" s="20"/>
    </row>
    <row r="88" spans="9:13" x14ac:dyDescent="0.3">
      <c r="I88" s="20"/>
      <c r="J88" s="20"/>
      <c r="K88" s="20"/>
      <c r="M88" s="20"/>
    </row>
    <row r="89" spans="9:13" x14ac:dyDescent="0.3">
      <c r="I89" s="20"/>
      <c r="J89" s="20"/>
      <c r="K89" s="20"/>
      <c r="M89" s="20"/>
    </row>
    <row r="90" spans="9:13" x14ac:dyDescent="0.3">
      <c r="I90" s="20"/>
      <c r="J90" s="20"/>
      <c r="K90" s="20"/>
      <c r="M90" s="20"/>
    </row>
    <row r="91" spans="9:13" x14ac:dyDescent="0.3">
      <c r="I91" s="20"/>
      <c r="J91" s="20"/>
      <c r="K91" s="20"/>
      <c r="M91" s="20"/>
    </row>
    <row r="92" spans="9:13" x14ac:dyDescent="0.3">
      <c r="I92" s="20"/>
      <c r="J92" s="20"/>
      <c r="K92" s="20"/>
      <c r="M92" s="20"/>
    </row>
    <row r="93" spans="9:13" x14ac:dyDescent="0.3">
      <c r="I93" s="20"/>
      <c r="J93" s="20"/>
      <c r="K93" s="20"/>
      <c r="M93" s="20"/>
    </row>
    <row r="94" spans="9:13" x14ac:dyDescent="0.3">
      <c r="I94" s="20"/>
      <c r="J94" s="20"/>
      <c r="K94" s="20"/>
      <c r="M94" s="20"/>
    </row>
    <row r="95" spans="9:13" x14ac:dyDescent="0.3">
      <c r="I95" s="20"/>
      <c r="J95" s="20"/>
      <c r="K95" s="20"/>
      <c r="M95" s="20"/>
    </row>
    <row r="96" spans="9:13" x14ac:dyDescent="0.3">
      <c r="I96" s="20"/>
      <c r="J96" s="20"/>
      <c r="K96" s="20"/>
      <c r="M96" s="20"/>
    </row>
    <row r="97" spans="9:13" x14ac:dyDescent="0.3">
      <c r="I97" s="20"/>
      <c r="J97" s="20"/>
      <c r="K97" s="20"/>
      <c r="M97" s="20"/>
    </row>
    <row r="98" spans="9:13" x14ac:dyDescent="0.3">
      <c r="I98" s="20"/>
      <c r="J98" s="20"/>
      <c r="K98" s="20"/>
      <c r="M98" s="20"/>
    </row>
    <row r="99" spans="9:13" x14ac:dyDescent="0.3">
      <c r="I99" s="20"/>
      <c r="J99" s="20"/>
      <c r="K99" s="20"/>
      <c r="M99" s="20"/>
    </row>
    <row r="100" spans="9:13" x14ac:dyDescent="0.3">
      <c r="I100" s="20"/>
      <c r="J100" s="20"/>
      <c r="K100" s="20"/>
      <c r="M100" s="20"/>
    </row>
    <row r="101" spans="9:13" x14ac:dyDescent="0.3">
      <c r="I101" s="20"/>
      <c r="J101" s="20"/>
      <c r="K101" s="20"/>
      <c r="M101" s="20"/>
    </row>
    <row r="102" spans="9:13" x14ac:dyDescent="0.3">
      <c r="I102" s="20"/>
      <c r="J102" s="20"/>
      <c r="K102" s="20"/>
      <c r="M102" s="20"/>
    </row>
    <row r="103" spans="9:13" x14ac:dyDescent="0.3">
      <c r="I103" s="20"/>
      <c r="J103" s="20"/>
      <c r="K103" s="20"/>
      <c r="M103" s="20"/>
    </row>
    <row r="104" spans="9:13" x14ac:dyDescent="0.3">
      <c r="I104" s="20"/>
      <c r="J104" s="20"/>
      <c r="K104" s="20"/>
      <c r="M104" s="20"/>
    </row>
    <row r="105" spans="9:13" x14ac:dyDescent="0.3">
      <c r="I105" s="20"/>
      <c r="J105" s="20"/>
      <c r="K105" s="20"/>
      <c r="M105" s="20"/>
    </row>
    <row r="106" spans="9:13" x14ac:dyDescent="0.3">
      <c r="I106" s="20"/>
      <c r="J106" s="20"/>
      <c r="K106" s="20"/>
      <c r="M106" s="20"/>
    </row>
    <row r="107" spans="9:13" x14ac:dyDescent="0.3">
      <c r="I107" s="20"/>
      <c r="J107" s="20"/>
      <c r="K107" s="20"/>
      <c r="M107" s="20"/>
    </row>
    <row r="108" spans="9:13" x14ac:dyDescent="0.3">
      <c r="I108" s="20"/>
      <c r="J108" s="20"/>
      <c r="K108" s="20"/>
      <c r="M108" s="20"/>
    </row>
    <row r="109" spans="9:13" x14ac:dyDescent="0.3">
      <c r="I109" s="20"/>
      <c r="J109" s="20"/>
      <c r="K109" s="20"/>
      <c r="M109" s="20"/>
    </row>
    <row r="110" spans="9:13" x14ac:dyDescent="0.3">
      <c r="I110" s="20"/>
      <c r="J110" s="20"/>
      <c r="K110" s="20"/>
      <c r="M110" s="20"/>
    </row>
    <row r="111" spans="9:13" x14ac:dyDescent="0.3">
      <c r="I111" s="20"/>
      <c r="J111" s="20"/>
      <c r="K111" s="20"/>
      <c r="M111" s="20"/>
    </row>
    <row r="112" spans="9:13" x14ac:dyDescent="0.3">
      <c r="I112" s="20"/>
      <c r="J112" s="20"/>
      <c r="K112" s="20"/>
      <c r="M112" s="20"/>
    </row>
    <row r="113" spans="9:13" x14ac:dyDescent="0.3">
      <c r="I113" s="20"/>
      <c r="J113" s="20"/>
      <c r="K113" s="20"/>
      <c r="M113" s="20"/>
    </row>
    <row r="114" spans="9:13" x14ac:dyDescent="0.3">
      <c r="I114" s="20"/>
      <c r="J114" s="20"/>
      <c r="K114" s="20"/>
      <c r="M114" s="20"/>
    </row>
    <row r="115" spans="9:13" x14ac:dyDescent="0.3">
      <c r="I115" s="20"/>
      <c r="J115" s="20"/>
      <c r="K115" s="20"/>
      <c r="M115" s="20"/>
    </row>
    <row r="116" spans="9:13" x14ac:dyDescent="0.3">
      <c r="I116" s="20"/>
      <c r="J116" s="20"/>
      <c r="K116" s="20"/>
      <c r="M116" s="20"/>
    </row>
    <row r="117" spans="9:13" x14ac:dyDescent="0.3">
      <c r="I117" s="20"/>
      <c r="J117" s="20"/>
      <c r="K117" s="20"/>
      <c r="M117" s="20"/>
    </row>
    <row r="118" spans="9:13" x14ac:dyDescent="0.3">
      <c r="I118" s="20"/>
      <c r="J118" s="20"/>
      <c r="K118" s="20"/>
      <c r="M118" s="20"/>
    </row>
    <row r="119" spans="9:13" x14ac:dyDescent="0.3">
      <c r="I119" s="20"/>
      <c r="J119" s="20"/>
      <c r="K119" s="20"/>
      <c r="M119" s="20"/>
    </row>
    <row r="120" spans="9:13" x14ac:dyDescent="0.3">
      <c r="I120" s="20"/>
      <c r="J120" s="20"/>
      <c r="K120" s="20"/>
      <c r="M120" s="20"/>
    </row>
    <row r="121" spans="9:13" x14ac:dyDescent="0.3">
      <c r="I121" s="20"/>
      <c r="J121" s="20"/>
      <c r="K121" s="20"/>
      <c r="M121" s="20"/>
    </row>
    <row r="122" spans="9:13" x14ac:dyDescent="0.3">
      <c r="I122" s="20"/>
      <c r="J122" s="20"/>
      <c r="K122" s="20"/>
      <c r="M122" s="20"/>
    </row>
    <row r="123" spans="9:13" x14ac:dyDescent="0.3">
      <c r="I123" s="20"/>
      <c r="J123" s="20"/>
      <c r="K123" s="20"/>
      <c r="M123" s="20"/>
    </row>
    <row r="124" spans="9:13" x14ac:dyDescent="0.3">
      <c r="I124" s="20"/>
      <c r="J124" s="20"/>
      <c r="K124" s="20"/>
      <c r="M124" s="20"/>
    </row>
    <row r="125" spans="9:13" x14ac:dyDescent="0.3">
      <c r="I125" s="20"/>
      <c r="J125" s="20"/>
      <c r="K125" s="20"/>
      <c r="M125" s="20"/>
    </row>
    <row r="126" spans="9:13" x14ac:dyDescent="0.3">
      <c r="I126" s="20"/>
      <c r="J126" s="20"/>
      <c r="K126" s="20"/>
      <c r="M126" s="20"/>
    </row>
    <row r="127" spans="9:13" x14ac:dyDescent="0.3">
      <c r="I127" s="20"/>
      <c r="J127" s="20"/>
      <c r="K127" s="20"/>
      <c r="M127" s="20"/>
    </row>
    <row r="128" spans="9:13" x14ac:dyDescent="0.3">
      <c r="I128" s="20"/>
      <c r="J128" s="20"/>
      <c r="K128" s="20"/>
      <c r="M128" s="20"/>
    </row>
    <row r="129" spans="9:13" x14ac:dyDescent="0.3">
      <c r="I129" s="20"/>
      <c r="J129" s="20"/>
      <c r="K129" s="20"/>
      <c r="M129" s="20"/>
    </row>
    <row r="130" spans="9:13" x14ac:dyDescent="0.3">
      <c r="I130" s="20"/>
      <c r="J130" s="20"/>
      <c r="K130" s="20"/>
      <c r="M130" s="20"/>
    </row>
    <row r="131" spans="9:13" x14ac:dyDescent="0.3">
      <c r="I131" s="20"/>
      <c r="J131" s="20"/>
      <c r="K131" s="20"/>
      <c r="M131" s="20"/>
    </row>
    <row r="132" spans="9:13" x14ac:dyDescent="0.3">
      <c r="I132" s="20"/>
      <c r="J132" s="20"/>
      <c r="K132" s="20"/>
      <c r="M132" s="20"/>
    </row>
    <row r="133" spans="9:13" x14ac:dyDescent="0.3">
      <c r="I133" s="20"/>
      <c r="J133" s="20"/>
      <c r="K133" s="20"/>
      <c r="M133" s="20"/>
    </row>
    <row r="134" spans="9:13" x14ac:dyDescent="0.3">
      <c r="I134" s="20"/>
      <c r="J134" s="20"/>
      <c r="K134" s="20"/>
      <c r="M134" s="20"/>
    </row>
    <row r="135" spans="9:13" x14ac:dyDescent="0.3">
      <c r="I135" s="20"/>
      <c r="J135" s="20"/>
      <c r="K135" s="20"/>
      <c r="M135" s="20"/>
    </row>
    <row r="136" spans="9:13" x14ac:dyDescent="0.3">
      <c r="I136" s="20"/>
      <c r="J136" s="20"/>
      <c r="K136" s="20"/>
      <c r="M136" s="20"/>
    </row>
    <row r="137" spans="9:13" x14ac:dyDescent="0.3">
      <c r="I137" s="20"/>
      <c r="J137" s="20"/>
      <c r="K137" s="20"/>
      <c r="M137" s="20"/>
    </row>
    <row r="138" spans="9:13" x14ac:dyDescent="0.3">
      <c r="I138" s="20"/>
      <c r="J138" s="20"/>
      <c r="K138" s="20"/>
      <c r="M138" s="20"/>
    </row>
    <row r="139" spans="9:13" x14ac:dyDescent="0.3">
      <c r="I139" s="20"/>
      <c r="J139" s="20"/>
      <c r="K139" s="20"/>
      <c r="M139" s="20"/>
    </row>
    <row r="140" spans="9:13" x14ac:dyDescent="0.3">
      <c r="I140" s="20"/>
      <c r="J140" s="20"/>
      <c r="K140" s="20"/>
      <c r="M140" s="20"/>
    </row>
    <row r="141" spans="9:13" x14ac:dyDescent="0.3">
      <c r="I141" s="20"/>
      <c r="J141" s="20"/>
      <c r="K141" s="20"/>
      <c r="M141" s="20"/>
    </row>
    <row r="142" spans="9:13" x14ac:dyDescent="0.3">
      <c r="I142" s="20"/>
      <c r="J142" s="20"/>
      <c r="K142" s="20"/>
      <c r="M142" s="20"/>
    </row>
    <row r="143" spans="9:13" x14ac:dyDescent="0.3">
      <c r="I143" s="20"/>
      <c r="J143" s="20"/>
      <c r="K143" s="20"/>
      <c r="M143" s="20"/>
    </row>
    <row r="144" spans="9:13" x14ac:dyDescent="0.3">
      <c r="I144" s="20"/>
      <c r="J144" s="20"/>
      <c r="K144" s="20"/>
      <c r="M144" s="20"/>
    </row>
    <row r="145" spans="9:13" x14ac:dyDescent="0.3">
      <c r="I145" s="20"/>
      <c r="J145" s="20"/>
      <c r="K145" s="20"/>
      <c r="M145" s="20"/>
    </row>
    <row r="146" spans="9:13" x14ac:dyDescent="0.3">
      <c r="I146" s="20"/>
      <c r="J146" s="20"/>
      <c r="K146" s="20"/>
      <c r="M146" s="20"/>
    </row>
    <row r="147" spans="9:13" x14ac:dyDescent="0.3">
      <c r="I147" s="20"/>
      <c r="J147" s="20"/>
      <c r="K147" s="20"/>
      <c r="M147" s="20"/>
    </row>
    <row r="148" spans="9:13" x14ac:dyDescent="0.3">
      <c r="I148" s="20"/>
      <c r="J148" s="20"/>
      <c r="K148" s="20"/>
      <c r="M148" s="20"/>
    </row>
    <row r="149" spans="9:13" x14ac:dyDescent="0.3">
      <c r="I149" s="20"/>
      <c r="J149" s="20"/>
      <c r="K149" s="20"/>
      <c r="M149" s="20"/>
    </row>
    <row r="150" spans="9:13" x14ac:dyDescent="0.3">
      <c r="I150" s="20"/>
      <c r="J150" s="20"/>
      <c r="K150" s="20"/>
      <c r="M150" s="20"/>
    </row>
    <row r="151" spans="9:13" x14ac:dyDescent="0.3">
      <c r="I151" s="20"/>
      <c r="J151" s="20"/>
      <c r="K151" s="20"/>
      <c r="M151" s="20"/>
    </row>
    <row r="152" spans="9:13" x14ac:dyDescent="0.3">
      <c r="I152" s="20"/>
      <c r="J152" s="20"/>
      <c r="K152" s="20"/>
      <c r="M152" s="20"/>
    </row>
    <row r="153" spans="9:13" x14ac:dyDescent="0.3">
      <c r="I153" s="20"/>
      <c r="J153" s="20"/>
      <c r="K153" s="20"/>
      <c r="M153" s="20"/>
    </row>
    <row r="154" spans="9:13" x14ac:dyDescent="0.3">
      <c r="I154" s="20"/>
      <c r="J154" s="20"/>
      <c r="K154" s="20"/>
      <c r="M154" s="20"/>
    </row>
    <row r="155" spans="9:13" x14ac:dyDescent="0.3">
      <c r="I155" s="20"/>
      <c r="J155" s="20"/>
      <c r="K155" s="20"/>
      <c r="M155" s="20"/>
    </row>
    <row r="156" spans="9:13" x14ac:dyDescent="0.3">
      <c r="I156" s="20"/>
      <c r="J156" s="20"/>
      <c r="K156" s="20"/>
      <c r="M156" s="20"/>
    </row>
    <row r="157" spans="9:13" x14ac:dyDescent="0.3">
      <c r="I157" s="20"/>
      <c r="J157" s="20"/>
      <c r="K157" s="20"/>
      <c r="M157" s="20"/>
    </row>
    <row r="158" spans="9:13" x14ac:dyDescent="0.3">
      <c r="I158" s="20"/>
      <c r="J158" s="20"/>
      <c r="K158" s="20"/>
      <c r="M158" s="20"/>
    </row>
    <row r="159" spans="9:13" x14ac:dyDescent="0.3">
      <c r="I159" s="20"/>
      <c r="J159" s="20"/>
      <c r="K159" s="20"/>
      <c r="M159" s="20"/>
    </row>
    <row r="160" spans="9:13" x14ac:dyDescent="0.3">
      <c r="I160" s="20"/>
      <c r="J160" s="20"/>
      <c r="K160" s="20"/>
      <c r="M160" s="20"/>
    </row>
    <row r="161" spans="9:13" x14ac:dyDescent="0.3">
      <c r="I161" s="20"/>
      <c r="J161" s="20"/>
      <c r="K161" s="20"/>
      <c r="M161" s="20"/>
    </row>
    <row r="162" spans="9:13" x14ac:dyDescent="0.3">
      <c r="I162" s="20"/>
      <c r="J162" s="20"/>
      <c r="K162" s="20"/>
      <c r="M162" s="20"/>
    </row>
    <row r="163" spans="9:13" x14ac:dyDescent="0.3">
      <c r="I163" s="20"/>
      <c r="J163" s="20"/>
      <c r="K163" s="20"/>
      <c r="M163" s="20"/>
    </row>
    <row r="164" spans="9:13" x14ac:dyDescent="0.3">
      <c r="I164" s="20"/>
      <c r="J164" s="20"/>
      <c r="K164" s="20"/>
      <c r="M164" s="20"/>
    </row>
    <row r="165" spans="9:13" x14ac:dyDescent="0.3">
      <c r="I165" s="20"/>
      <c r="J165" s="20"/>
      <c r="K165" s="20"/>
      <c r="M165" s="20"/>
    </row>
    <row r="166" spans="9:13" x14ac:dyDescent="0.3">
      <c r="I166" s="20"/>
      <c r="J166" s="20"/>
      <c r="K166" s="20"/>
      <c r="M166" s="20"/>
    </row>
    <row r="167" spans="9:13" x14ac:dyDescent="0.3">
      <c r="I167" s="20"/>
      <c r="J167" s="20"/>
      <c r="K167" s="20"/>
      <c r="M167" s="20"/>
    </row>
    <row r="168" spans="9:13" x14ac:dyDescent="0.3">
      <c r="I168" s="20"/>
      <c r="J168" s="20"/>
      <c r="K168" s="20"/>
      <c r="M168" s="20"/>
    </row>
    <row r="169" spans="9:13" x14ac:dyDescent="0.3">
      <c r="I169" s="20"/>
      <c r="J169" s="20"/>
      <c r="K169" s="20"/>
      <c r="M169" s="20"/>
    </row>
    <row r="170" spans="9:13" x14ac:dyDescent="0.3">
      <c r="I170" s="20"/>
      <c r="J170" s="20"/>
      <c r="K170" s="20"/>
      <c r="M170" s="20"/>
    </row>
    <row r="171" spans="9:13" x14ac:dyDescent="0.3">
      <c r="I171" s="20"/>
      <c r="J171" s="20"/>
      <c r="K171" s="20"/>
      <c r="M171" s="20"/>
    </row>
    <row r="172" spans="9:13" x14ac:dyDescent="0.3">
      <c r="I172" s="20"/>
      <c r="J172" s="20"/>
      <c r="K172" s="20"/>
      <c r="M172" s="20"/>
    </row>
    <row r="173" spans="9:13" x14ac:dyDescent="0.3">
      <c r="I173" s="20"/>
      <c r="J173" s="20"/>
      <c r="K173" s="20"/>
      <c r="M173" s="20"/>
    </row>
    <row r="174" spans="9:13" x14ac:dyDescent="0.3">
      <c r="I174" s="20"/>
      <c r="J174" s="20"/>
      <c r="K174" s="20"/>
      <c r="M174" s="20"/>
    </row>
    <row r="175" spans="9:13" x14ac:dyDescent="0.3">
      <c r="I175" s="20"/>
      <c r="J175" s="20"/>
      <c r="K175" s="20"/>
      <c r="M175" s="20"/>
    </row>
    <row r="176" spans="9:13" x14ac:dyDescent="0.3">
      <c r="I176" s="20"/>
      <c r="J176" s="20"/>
      <c r="K176" s="20"/>
      <c r="M176" s="20"/>
    </row>
    <row r="177" spans="9:13" x14ac:dyDescent="0.3">
      <c r="I177" s="20"/>
      <c r="J177" s="20"/>
      <c r="K177" s="20"/>
      <c r="M177" s="20"/>
    </row>
    <row r="178" spans="9:13" x14ac:dyDescent="0.3">
      <c r="I178" s="20"/>
      <c r="J178" s="20"/>
      <c r="K178" s="20"/>
      <c r="M178" s="20"/>
    </row>
    <row r="179" spans="9:13" x14ac:dyDescent="0.3">
      <c r="I179" s="20"/>
      <c r="J179" s="20"/>
      <c r="K179" s="20"/>
      <c r="M179" s="20"/>
    </row>
    <row r="180" spans="9:13" x14ac:dyDescent="0.3">
      <c r="I180" s="20"/>
      <c r="J180" s="20"/>
      <c r="K180" s="20"/>
      <c r="M180" s="20"/>
    </row>
    <row r="181" spans="9:13" x14ac:dyDescent="0.3">
      <c r="I181" s="20"/>
      <c r="J181" s="20"/>
      <c r="K181" s="20"/>
      <c r="M181" s="20"/>
    </row>
    <row r="182" spans="9:13" x14ac:dyDescent="0.3">
      <c r="I182" s="20"/>
      <c r="J182" s="20"/>
      <c r="K182" s="20"/>
      <c r="M182" s="20"/>
    </row>
    <row r="183" spans="9:13" x14ac:dyDescent="0.3">
      <c r="I183" s="20"/>
      <c r="J183" s="20"/>
      <c r="K183" s="20"/>
      <c r="M183" s="20"/>
    </row>
    <row r="184" spans="9:13" x14ac:dyDescent="0.3">
      <c r="I184" s="20"/>
      <c r="J184" s="20"/>
      <c r="K184" s="20"/>
      <c r="M184" s="20"/>
    </row>
    <row r="185" spans="9:13" x14ac:dyDescent="0.3">
      <c r="I185" s="20"/>
      <c r="J185" s="20"/>
      <c r="K185" s="20"/>
      <c r="M185" s="20"/>
    </row>
    <row r="186" spans="9:13" x14ac:dyDescent="0.3">
      <c r="I186" s="20"/>
      <c r="J186" s="20"/>
      <c r="K186" s="20"/>
      <c r="M186" s="20"/>
    </row>
    <row r="187" spans="9:13" x14ac:dyDescent="0.3">
      <c r="I187" s="20"/>
      <c r="J187" s="20"/>
      <c r="K187" s="20"/>
      <c r="M187" s="20"/>
    </row>
    <row r="188" spans="9:13" x14ac:dyDescent="0.3">
      <c r="I188" s="20"/>
      <c r="J188" s="20"/>
      <c r="K188" s="20"/>
      <c r="M188" s="20"/>
    </row>
    <row r="189" spans="9:13" x14ac:dyDescent="0.3">
      <c r="I189" s="20"/>
      <c r="J189" s="20"/>
      <c r="K189" s="20"/>
      <c r="M189" s="20"/>
    </row>
    <row r="190" spans="9:13" x14ac:dyDescent="0.3">
      <c r="I190" s="20"/>
      <c r="J190" s="20"/>
      <c r="K190" s="20"/>
      <c r="M190" s="20"/>
    </row>
    <row r="191" spans="9:13" x14ac:dyDescent="0.3">
      <c r="I191" s="20"/>
      <c r="J191" s="20"/>
      <c r="K191" s="20"/>
      <c r="M191" s="20"/>
    </row>
    <row r="192" spans="9:13" x14ac:dyDescent="0.3">
      <c r="I192" s="20"/>
      <c r="J192" s="20"/>
      <c r="K192" s="20"/>
      <c r="M192" s="20"/>
    </row>
    <row r="193" spans="9:13" x14ac:dyDescent="0.3">
      <c r="I193" s="20"/>
      <c r="J193" s="20"/>
      <c r="K193" s="20"/>
      <c r="M193" s="20"/>
    </row>
    <row r="194" spans="9:13" x14ac:dyDescent="0.3">
      <c r="I194" s="20"/>
      <c r="J194" s="20"/>
      <c r="K194" s="20"/>
      <c r="M194" s="20"/>
    </row>
    <row r="195" spans="9:13" x14ac:dyDescent="0.3">
      <c r="I195" s="20"/>
      <c r="J195" s="20"/>
      <c r="K195" s="20"/>
      <c r="M195" s="20"/>
    </row>
    <row r="196" spans="9:13" x14ac:dyDescent="0.3">
      <c r="I196" s="20"/>
      <c r="J196" s="20"/>
      <c r="K196" s="20"/>
      <c r="M196" s="20"/>
    </row>
    <row r="197" spans="9:13" x14ac:dyDescent="0.3">
      <c r="I197" s="20"/>
      <c r="J197" s="20"/>
      <c r="K197" s="20"/>
      <c r="M197" s="20"/>
    </row>
    <row r="198" spans="9:13" x14ac:dyDescent="0.3">
      <c r="I198" s="20"/>
      <c r="J198" s="20"/>
      <c r="K198" s="20"/>
      <c r="M198" s="20"/>
    </row>
    <row r="199" spans="9:13" x14ac:dyDescent="0.3">
      <c r="I199" s="20"/>
      <c r="J199" s="20"/>
      <c r="K199" s="20"/>
      <c r="M199" s="20"/>
    </row>
    <row r="200" spans="9:13" x14ac:dyDescent="0.3">
      <c r="I200" s="20"/>
      <c r="J200" s="20"/>
      <c r="K200" s="20"/>
      <c r="M200" s="20"/>
    </row>
    <row r="201" spans="9:13" x14ac:dyDescent="0.3">
      <c r="I201" s="20"/>
      <c r="J201" s="20"/>
      <c r="K201" s="20"/>
      <c r="M201" s="20"/>
    </row>
    <row r="202" spans="9:13" x14ac:dyDescent="0.3">
      <c r="I202" s="20"/>
      <c r="J202" s="20"/>
      <c r="K202" s="20"/>
      <c r="M202" s="20"/>
    </row>
    <row r="203" spans="9:13" x14ac:dyDescent="0.3">
      <c r="I203" s="20"/>
      <c r="J203" s="20"/>
      <c r="K203" s="20"/>
      <c r="M203" s="20"/>
    </row>
    <row r="204" spans="9:13" x14ac:dyDescent="0.3">
      <c r="I204" s="20"/>
      <c r="J204" s="20"/>
      <c r="K204" s="20"/>
      <c r="M204" s="20"/>
    </row>
    <row r="205" spans="9:13" x14ac:dyDescent="0.3">
      <c r="I205" s="20"/>
      <c r="J205" s="20"/>
      <c r="K205" s="20"/>
      <c r="M205" s="20"/>
    </row>
    <row r="206" spans="9:13" x14ac:dyDescent="0.3">
      <c r="I206" s="20"/>
      <c r="J206" s="20"/>
      <c r="K206" s="20"/>
      <c r="M206" s="20"/>
    </row>
    <row r="207" spans="9:13" x14ac:dyDescent="0.3">
      <c r="I207" s="20"/>
      <c r="J207" s="20"/>
      <c r="K207" s="20"/>
      <c r="M207" s="20"/>
    </row>
    <row r="208" spans="9:13" x14ac:dyDescent="0.3">
      <c r="I208" s="20"/>
      <c r="J208" s="20"/>
      <c r="K208" s="20"/>
      <c r="M208" s="20"/>
    </row>
    <row r="209" spans="9:13" x14ac:dyDescent="0.3">
      <c r="I209" s="20"/>
      <c r="J209" s="20"/>
      <c r="K209" s="20"/>
      <c r="M209" s="20"/>
    </row>
    <row r="210" spans="9:13" x14ac:dyDescent="0.3">
      <c r="I210" s="20"/>
      <c r="J210" s="20"/>
      <c r="K210" s="20"/>
      <c r="M210" s="20"/>
    </row>
    <row r="211" spans="9:13" x14ac:dyDescent="0.3">
      <c r="I211" s="20"/>
      <c r="J211" s="20"/>
      <c r="K211" s="20"/>
      <c r="M211" s="20"/>
    </row>
    <row r="212" spans="9:13" x14ac:dyDescent="0.3">
      <c r="I212" s="20"/>
      <c r="J212" s="20"/>
      <c r="K212" s="20"/>
      <c r="M212" s="20"/>
    </row>
    <row r="213" spans="9:13" x14ac:dyDescent="0.3">
      <c r="I213" s="20"/>
      <c r="J213" s="20"/>
      <c r="K213" s="20"/>
      <c r="M213" s="20"/>
    </row>
    <row r="214" spans="9:13" x14ac:dyDescent="0.3">
      <c r="I214" s="20"/>
      <c r="J214" s="20"/>
      <c r="K214" s="20"/>
      <c r="M214" s="20"/>
    </row>
    <row r="215" spans="9:13" x14ac:dyDescent="0.3">
      <c r="I215" s="20"/>
      <c r="J215" s="20"/>
      <c r="K215" s="20"/>
      <c r="M215" s="20"/>
    </row>
    <row r="216" spans="9:13" x14ac:dyDescent="0.3">
      <c r="I216" s="20"/>
      <c r="J216" s="20"/>
      <c r="K216" s="20"/>
      <c r="M216" s="20"/>
    </row>
    <row r="217" spans="9:13" x14ac:dyDescent="0.3">
      <c r="I217" s="20"/>
      <c r="J217" s="20"/>
      <c r="K217" s="20"/>
      <c r="M217" s="20"/>
    </row>
    <row r="218" spans="9:13" x14ac:dyDescent="0.3">
      <c r="I218" s="20"/>
      <c r="J218" s="20"/>
      <c r="K218" s="20"/>
      <c r="M218" s="20"/>
    </row>
    <row r="219" spans="9:13" x14ac:dyDescent="0.3">
      <c r="I219" s="20"/>
      <c r="J219" s="20"/>
      <c r="K219" s="20"/>
      <c r="M219" s="20"/>
    </row>
    <row r="220" spans="9:13" x14ac:dyDescent="0.3">
      <c r="I220" s="20"/>
      <c r="J220" s="20"/>
      <c r="K220" s="20"/>
      <c r="M220" s="20"/>
    </row>
    <row r="221" spans="9:13" x14ac:dyDescent="0.3">
      <c r="I221" s="20"/>
      <c r="J221" s="20"/>
      <c r="K221" s="20"/>
      <c r="M221" s="20"/>
    </row>
    <row r="222" spans="9:13" x14ac:dyDescent="0.3">
      <c r="I222" s="20"/>
      <c r="J222" s="20"/>
      <c r="K222" s="20"/>
      <c r="M222" s="20"/>
    </row>
    <row r="223" spans="9:13" x14ac:dyDescent="0.3">
      <c r="I223" s="20"/>
      <c r="J223" s="20"/>
      <c r="K223" s="20"/>
      <c r="M223" s="20"/>
    </row>
    <row r="224" spans="9:13" x14ac:dyDescent="0.3">
      <c r="I224" s="20"/>
      <c r="J224" s="20"/>
      <c r="K224" s="20"/>
      <c r="M224" s="20"/>
    </row>
    <row r="225" spans="9:13" x14ac:dyDescent="0.3">
      <c r="I225" s="20"/>
      <c r="J225" s="20"/>
      <c r="K225" s="20"/>
      <c r="M225" s="20"/>
    </row>
    <row r="226" spans="9:13" x14ac:dyDescent="0.3">
      <c r="I226" s="20"/>
      <c r="J226" s="20"/>
      <c r="K226" s="20"/>
      <c r="M226" s="20"/>
    </row>
    <row r="227" spans="9:13" x14ac:dyDescent="0.3">
      <c r="I227" s="20"/>
      <c r="J227" s="20"/>
      <c r="K227" s="20"/>
      <c r="M227" s="20"/>
    </row>
    <row r="228" spans="9:13" x14ac:dyDescent="0.3">
      <c r="I228" s="20"/>
      <c r="J228" s="20"/>
      <c r="K228" s="20"/>
      <c r="M228" s="20"/>
    </row>
    <row r="229" spans="9:13" x14ac:dyDescent="0.3">
      <c r="I229" s="20"/>
      <c r="J229" s="20"/>
      <c r="K229" s="20"/>
      <c r="M229" s="20"/>
    </row>
    <row r="230" spans="9:13" x14ac:dyDescent="0.3">
      <c r="I230" s="20"/>
      <c r="J230" s="20"/>
      <c r="K230" s="20"/>
      <c r="M230" s="20"/>
    </row>
    <row r="231" spans="9:13" x14ac:dyDescent="0.3">
      <c r="I231" s="20"/>
      <c r="J231" s="20"/>
      <c r="K231" s="20"/>
      <c r="M231" s="20"/>
    </row>
    <row r="232" spans="9:13" x14ac:dyDescent="0.3">
      <c r="I232" s="20"/>
      <c r="J232" s="20"/>
      <c r="K232" s="20"/>
      <c r="M232" s="20"/>
    </row>
    <row r="233" spans="9:13" x14ac:dyDescent="0.3">
      <c r="I233" s="20"/>
      <c r="J233" s="20"/>
      <c r="K233" s="20"/>
      <c r="M233" s="20"/>
    </row>
    <row r="234" spans="9:13" x14ac:dyDescent="0.3">
      <c r="I234" s="20"/>
      <c r="J234" s="20"/>
      <c r="K234" s="20"/>
      <c r="M234" s="20"/>
    </row>
    <row r="235" spans="9:13" x14ac:dyDescent="0.3">
      <c r="I235" s="20"/>
      <c r="J235" s="20"/>
      <c r="K235" s="20"/>
      <c r="M235" s="20"/>
    </row>
    <row r="236" spans="9:13" x14ac:dyDescent="0.3">
      <c r="I236" s="20"/>
      <c r="J236" s="20"/>
      <c r="K236" s="20"/>
      <c r="M236" s="20"/>
    </row>
    <row r="237" spans="9:13" x14ac:dyDescent="0.3">
      <c r="I237" s="20"/>
      <c r="J237" s="20"/>
      <c r="K237" s="20"/>
      <c r="M237" s="20"/>
    </row>
    <row r="238" spans="9:13" x14ac:dyDescent="0.3">
      <c r="I238" s="20"/>
      <c r="J238" s="20"/>
      <c r="K238" s="20"/>
      <c r="M238" s="20"/>
    </row>
    <row r="239" spans="9:13" x14ac:dyDescent="0.3">
      <c r="I239" s="20"/>
      <c r="J239" s="20"/>
      <c r="K239" s="20"/>
      <c r="M239" s="20"/>
    </row>
    <row r="240" spans="9:13" x14ac:dyDescent="0.3">
      <c r="I240" s="20"/>
      <c r="J240" s="20"/>
      <c r="K240" s="20"/>
      <c r="M240" s="20"/>
    </row>
    <row r="241" spans="9:13" x14ac:dyDescent="0.3">
      <c r="I241" s="20"/>
      <c r="J241" s="20"/>
      <c r="K241" s="20"/>
      <c r="M241" s="20"/>
    </row>
    <row r="242" spans="9:13" x14ac:dyDescent="0.3">
      <c r="I242" s="20"/>
      <c r="J242" s="20"/>
      <c r="K242" s="20"/>
      <c r="M242" s="20"/>
    </row>
    <row r="243" spans="9:13" x14ac:dyDescent="0.3">
      <c r="I243" s="20"/>
      <c r="J243" s="20"/>
      <c r="K243" s="20"/>
      <c r="M243" s="20"/>
    </row>
    <row r="244" spans="9:13" x14ac:dyDescent="0.3">
      <c r="I244" s="20"/>
      <c r="J244" s="20"/>
      <c r="K244" s="20"/>
      <c r="M244" s="20"/>
    </row>
    <row r="245" spans="9:13" x14ac:dyDescent="0.3">
      <c r="I245" s="20"/>
      <c r="J245" s="20"/>
      <c r="K245" s="20"/>
      <c r="M245" s="20"/>
    </row>
    <row r="246" spans="9:13" x14ac:dyDescent="0.3">
      <c r="I246" s="20"/>
      <c r="J246" s="20"/>
      <c r="K246" s="20"/>
      <c r="M246" s="20"/>
    </row>
    <row r="247" spans="9:13" x14ac:dyDescent="0.3">
      <c r="I247" s="20"/>
      <c r="J247" s="20"/>
      <c r="K247" s="20"/>
      <c r="M247" s="20"/>
    </row>
    <row r="248" spans="9:13" x14ac:dyDescent="0.3">
      <c r="I248" s="20"/>
      <c r="J248" s="20"/>
      <c r="K248" s="20"/>
      <c r="M248" s="20"/>
    </row>
    <row r="249" spans="9:13" x14ac:dyDescent="0.3">
      <c r="I249" s="20"/>
      <c r="J249" s="20"/>
      <c r="K249" s="20"/>
      <c r="M249" s="20"/>
    </row>
    <row r="250" spans="9:13" x14ac:dyDescent="0.3">
      <c r="I250" s="20"/>
      <c r="J250" s="20"/>
      <c r="K250" s="20"/>
      <c r="M250" s="20"/>
    </row>
    <row r="251" spans="9:13" x14ac:dyDescent="0.3">
      <c r="I251" s="20"/>
      <c r="J251" s="20"/>
      <c r="K251" s="20"/>
      <c r="M251" s="20"/>
    </row>
    <row r="252" spans="9:13" x14ac:dyDescent="0.3">
      <c r="I252" s="20"/>
      <c r="J252" s="20"/>
      <c r="K252" s="20"/>
      <c r="M252" s="20"/>
    </row>
    <row r="253" spans="9:13" x14ac:dyDescent="0.3">
      <c r="I253" s="20"/>
      <c r="J253" s="20"/>
      <c r="K253" s="20"/>
      <c r="M253" s="20"/>
    </row>
    <row r="254" spans="9:13" x14ac:dyDescent="0.3">
      <c r="I254" s="20"/>
      <c r="J254" s="20"/>
      <c r="K254" s="20"/>
      <c r="M254" s="20"/>
    </row>
    <row r="255" spans="9:13" x14ac:dyDescent="0.3">
      <c r="I255" s="20"/>
      <c r="J255" s="20"/>
      <c r="K255" s="20"/>
      <c r="M255" s="20"/>
    </row>
    <row r="256" spans="9:13" x14ac:dyDescent="0.3">
      <c r="I256" s="20"/>
      <c r="J256" s="20"/>
      <c r="K256" s="20"/>
      <c r="M256" s="20"/>
    </row>
    <row r="257" spans="9:13" x14ac:dyDescent="0.3">
      <c r="I257" s="20"/>
      <c r="J257" s="20"/>
      <c r="K257" s="20"/>
      <c r="M257" s="20"/>
    </row>
    <row r="258" spans="9:13" x14ac:dyDescent="0.3">
      <c r="I258" s="20"/>
      <c r="J258" s="20"/>
      <c r="K258" s="20"/>
      <c r="M258" s="20"/>
    </row>
    <row r="259" spans="9:13" x14ac:dyDescent="0.3">
      <c r="I259" s="20"/>
      <c r="J259" s="20"/>
      <c r="K259" s="20"/>
      <c r="M259" s="20"/>
    </row>
    <row r="260" spans="9:13" x14ac:dyDescent="0.3">
      <c r="I260" s="20"/>
      <c r="J260" s="20"/>
      <c r="K260" s="20"/>
      <c r="M260" s="20"/>
    </row>
    <row r="261" spans="9:13" x14ac:dyDescent="0.3">
      <c r="I261" s="20"/>
      <c r="J261" s="20"/>
      <c r="K261" s="20"/>
      <c r="M261" s="20"/>
    </row>
    <row r="262" spans="9:13" x14ac:dyDescent="0.3">
      <c r="I262" s="20"/>
      <c r="J262" s="20"/>
      <c r="K262" s="20"/>
      <c r="M262" s="20"/>
    </row>
    <row r="263" spans="9:13" x14ac:dyDescent="0.3">
      <c r="I263" s="20"/>
      <c r="J263" s="20"/>
      <c r="K263" s="20"/>
      <c r="M263" s="20"/>
    </row>
    <row r="264" spans="9:13" x14ac:dyDescent="0.3">
      <c r="I264" s="20"/>
      <c r="J264" s="20"/>
      <c r="K264" s="20"/>
      <c r="M264" s="20"/>
    </row>
    <row r="265" spans="9:13" x14ac:dyDescent="0.3">
      <c r="I265" s="20"/>
      <c r="J265" s="20"/>
      <c r="K265" s="20"/>
      <c r="M265" s="20"/>
    </row>
    <row r="266" spans="9:13" x14ac:dyDescent="0.3">
      <c r="I266" s="20"/>
      <c r="J266" s="20"/>
      <c r="K266" s="20"/>
      <c r="M266" s="20"/>
    </row>
    <row r="267" spans="9:13" x14ac:dyDescent="0.3">
      <c r="I267" s="20"/>
      <c r="J267" s="20"/>
      <c r="K267" s="20"/>
      <c r="M267" s="20"/>
    </row>
    <row r="268" spans="9:13" x14ac:dyDescent="0.3">
      <c r="I268" s="20"/>
      <c r="J268" s="20"/>
      <c r="K268" s="20"/>
      <c r="M268" s="20"/>
    </row>
    <row r="269" spans="9:13" x14ac:dyDescent="0.3">
      <c r="I269" s="20"/>
      <c r="J269" s="20"/>
      <c r="K269" s="20"/>
      <c r="M269" s="20"/>
    </row>
    <row r="270" spans="9:13" x14ac:dyDescent="0.3">
      <c r="I270" s="20"/>
      <c r="J270" s="20"/>
      <c r="K270" s="20"/>
      <c r="M270" s="20"/>
    </row>
    <row r="271" spans="9:13" x14ac:dyDescent="0.3">
      <c r="I271" s="20"/>
      <c r="J271" s="20"/>
      <c r="K271" s="20"/>
      <c r="M271" s="20"/>
    </row>
    <row r="272" spans="9:13" x14ac:dyDescent="0.3">
      <c r="I272" s="20"/>
      <c r="J272" s="20"/>
      <c r="K272" s="20"/>
      <c r="M272" s="20"/>
    </row>
    <row r="273" spans="9:13" x14ac:dyDescent="0.3">
      <c r="I273" s="20"/>
      <c r="J273" s="20"/>
      <c r="K273" s="20"/>
      <c r="M273" s="20"/>
    </row>
    <row r="274" spans="9:13" x14ac:dyDescent="0.3">
      <c r="I274" s="20"/>
      <c r="J274" s="20"/>
      <c r="K274" s="20"/>
      <c r="M274" s="20"/>
    </row>
    <row r="275" spans="9:13" x14ac:dyDescent="0.3">
      <c r="I275" s="20"/>
      <c r="J275" s="20"/>
      <c r="K275" s="20"/>
      <c r="M275" s="20"/>
    </row>
    <row r="276" spans="9:13" x14ac:dyDescent="0.3">
      <c r="I276" s="20"/>
      <c r="J276" s="20"/>
      <c r="K276" s="20"/>
      <c r="M276" s="20"/>
    </row>
    <row r="277" spans="9:13" x14ac:dyDescent="0.3">
      <c r="I277" s="20"/>
      <c r="J277" s="20"/>
      <c r="K277" s="20"/>
      <c r="M277" s="20"/>
    </row>
    <row r="278" spans="9:13" x14ac:dyDescent="0.3">
      <c r="I278" s="20"/>
      <c r="J278" s="20"/>
      <c r="K278" s="20"/>
      <c r="M278" s="20"/>
    </row>
    <row r="279" spans="9:13" x14ac:dyDescent="0.3">
      <c r="I279" s="20"/>
      <c r="J279" s="20"/>
      <c r="K279" s="20"/>
      <c r="M279" s="20"/>
    </row>
    <row r="280" spans="9:13" x14ac:dyDescent="0.3">
      <c r="I280" s="20"/>
      <c r="J280" s="20"/>
      <c r="K280" s="20"/>
      <c r="M280" s="20"/>
    </row>
    <row r="281" spans="9:13" x14ac:dyDescent="0.3">
      <c r="I281" s="20"/>
      <c r="J281" s="20"/>
      <c r="K281" s="20"/>
      <c r="M281" s="20"/>
    </row>
    <row r="282" spans="9:13" x14ac:dyDescent="0.3">
      <c r="I282" s="20"/>
      <c r="J282" s="20"/>
      <c r="K282" s="20"/>
      <c r="M282" s="20"/>
    </row>
    <row r="283" spans="9:13" x14ac:dyDescent="0.3">
      <c r="I283" s="20"/>
      <c r="J283" s="20"/>
      <c r="K283" s="20"/>
      <c r="M283" s="20"/>
    </row>
    <row r="284" spans="9:13" x14ac:dyDescent="0.3">
      <c r="I284" s="20"/>
      <c r="J284" s="20"/>
      <c r="K284" s="20"/>
      <c r="M284" s="20"/>
    </row>
    <row r="285" spans="9:13" x14ac:dyDescent="0.3">
      <c r="I285" s="20"/>
      <c r="J285" s="20"/>
      <c r="K285" s="20"/>
      <c r="M285" s="20"/>
    </row>
    <row r="286" spans="9:13" x14ac:dyDescent="0.3">
      <c r="I286" s="20"/>
      <c r="J286" s="20"/>
      <c r="K286" s="20"/>
      <c r="M286" s="20"/>
    </row>
    <row r="287" spans="9:13" x14ac:dyDescent="0.3">
      <c r="I287" s="20"/>
      <c r="J287" s="20"/>
      <c r="K287" s="20"/>
      <c r="M287" s="20"/>
    </row>
    <row r="288" spans="9:13" x14ac:dyDescent="0.3">
      <c r="I288" s="20"/>
      <c r="J288" s="20"/>
      <c r="K288" s="20"/>
      <c r="M288" s="20"/>
    </row>
    <row r="289" spans="9:13" x14ac:dyDescent="0.3">
      <c r="I289" s="20"/>
      <c r="J289" s="20"/>
      <c r="K289" s="20"/>
      <c r="M289" s="20"/>
    </row>
    <row r="290" spans="9:13" x14ac:dyDescent="0.3">
      <c r="I290" s="20"/>
      <c r="J290" s="20"/>
      <c r="K290" s="20"/>
      <c r="M290" s="20"/>
    </row>
    <row r="291" spans="9:13" x14ac:dyDescent="0.3">
      <c r="I291" s="20"/>
      <c r="J291" s="20"/>
      <c r="K291" s="20"/>
      <c r="M291" s="20"/>
    </row>
    <row r="292" spans="9:13" x14ac:dyDescent="0.3">
      <c r="I292" s="20"/>
      <c r="J292" s="20"/>
      <c r="K292" s="20"/>
      <c r="M292" s="20"/>
    </row>
    <row r="293" spans="9:13" x14ac:dyDescent="0.3">
      <c r="I293" s="20"/>
      <c r="J293" s="20"/>
      <c r="K293" s="20"/>
      <c r="M293" s="20"/>
    </row>
    <row r="294" spans="9:13" x14ac:dyDescent="0.3">
      <c r="I294" s="20"/>
      <c r="J294" s="20"/>
      <c r="K294" s="20"/>
      <c r="M294" s="20"/>
    </row>
    <row r="295" spans="9:13" x14ac:dyDescent="0.3">
      <c r="I295" s="20"/>
      <c r="J295" s="20"/>
      <c r="K295" s="20"/>
      <c r="M295" s="20"/>
    </row>
    <row r="296" spans="9:13" x14ac:dyDescent="0.3">
      <c r="I296" s="20"/>
      <c r="J296" s="20"/>
      <c r="K296" s="20"/>
      <c r="M296" s="20"/>
    </row>
    <row r="297" spans="9:13" x14ac:dyDescent="0.3">
      <c r="I297" s="20"/>
      <c r="J297" s="20"/>
      <c r="K297" s="20"/>
      <c r="M297" s="20"/>
    </row>
    <row r="298" spans="9:13" x14ac:dyDescent="0.3">
      <c r="I298" s="20"/>
      <c r="J298" s="20"/>
      <c r="K298" s="20"/>
      <c r="M298" s="20"/>
    </row>
    <row r="299" spans="9:13" x14ac:dyDescent="0.3">
      <c r="I299" s="20"/>
      <c r="J299" s="20"/>
      <c r="K299" s="20"/>
      <c r="M299" s="20"/>
    </row>
    <row r="300" spans="9:13" x14ac:dyDescent="0.3">
      <c r="I300" s="20"/>
      <c r="J300" s="20"/>
      <c r="K300" s="20"/>
      <c r="M300" s="20"/>
    </row>
    <row r="301" spans="9:13" x14ac:dyDescent="0.3">
      <c r="I301" s="20"/>
      <c r="J301" s="20"/>
      <c r="K301" s="20"/>
      <c r="M301" s="20"/>
    </row>
    <row r="302" spans="9:13" x14ac:dyDescent="0.3">
      <c r="I302" s="20"/>
      <c r="J302" s="20"/>
      <c r="K302" s="20"/>
      <c r="M302" s="20"/>
    </row>
    <row r="303" spans="9:13" x14ac:dyDescent="0.3">
      <c r="I303" s="20"/>
      <c r="J303" s="20"/>
      <c r="K303" s="20"/>
      <c r="M303" s="20"/>
    </row>
    <row r="304" spans="9:13" x14ac:dyDescent="0.3">
      <c r="I304" s="20"/>
      <c r="J304" s="20"/>
      <c r="K304" s="20"/>
      <c r="M304" s="20"/>
    </row>
    <row r="305" spans="9:13" x14ac:dyDescent="0.3">
      <c r="I305" s="20"/>
      <c r="J305" s="20"/>
      <c r="K305" s="20"/>
      <c r="M305" s="20"/>
    </row>
    <row r="306" spans="9:13" x14ac:dyDescent="0.3">
      <c r="I306" s="20"/>
      <c r="J306" s="20"/>
      <c r="K306" s="20"/>
      <c r="M306" s="20"/>
    </row>
    <row r="307" spans="9:13" x14ac:dyDescent="0.3">
      <c r="I307" s="20"/>
      <c r="J307" s="20"/>
      <c r="K307" s="20"/>
      <c r="M307" s="20"/>
    </row>
    <row r="308" spans="9:13" x14ac:dyDescent="0.3">
      <c r="I308" s="20"/>
      <c r="J308" s="20"/>
      <c r="K308" s="20"/>
      <c r="M308" s="20"/>
    </row>
    <row r="309" spans="9:13" x14ac:dyDescent="0.3">
      <c r="I309" s="20"/>
      <c r="J309" s="20"/>
      <c r="K309" s="20"/>
      <c r="M309" s="20"/>
    </row>
    <row r="310" spans="9:13" x14ac:dyDescent="0.3">
      <c r="I310" s="20"/>
      <c r="J310" s="20"/>
      <c r="K310" s="20"/>
      <c r="M310" s="20"/>
    </row>
    <row r="311" spans="9:13" x14ac:dyDescent="0.3">
      <c r="I311" s="20"/>
      <c r="J311" s="20"/>
      <c r="K311" s="20"/>
      <c r="M311" s="20"/>
    </row>
    <row r="312" spans="9:13" x14ac:dyDescent="0.3">
      <c r="I312" s="20"/>
      <c r="J312" s="20"/>
      <c r="K312" s="20"/>
      <c r="M312" s="20"/>
    </row>
    <row r="313" spans="9:13" x14ac:dyDescent="0.3">
      <c r="I313" s="20"/>
      <c r="J313" s="20"/>
      <c r="K313" s="20"/>
      <c r="M313" s="20"/>
    </row>
    <row r="314" spans="9:13" x14ac:dyDescent="0.3">
      <c r="I314" s="20"/>
      <c r="J314" s="20"/>
      <c r="K314" s="20"/>
      <c r="M314" s="20"/>
    </row>
    <row r="315" spans="9:13" x14ac:dyDescent="0.3">
      <c r="I315" s="20"/>
      <c r="J315" s="20"/>
      <c r="K315" s="20"/>
      <c r="M315" s="20"/>
    </row>
    <row r="316" spans="9:13" x14ac:dyDescent="0.3">
      <c r="I316" s="20"/>
      <c r="J316" s="20"/>
      <c r="K316" s="20"/>
      <c r="M316" s="20"/>
    </row>
    <row r="317" spans="9:13" x14ac:dyDescent="0.3">
      <c r="I317" s="20"/>
      <c r="J317" s="20"/>
      <c r="K317" s="20"/>
      <c r="M317" s="20"/>
    </row>
    <row r="318" spans="9:13" x14ac:dyDescent="0.3">
      <c r="I318" s="20"/>
      <c r="J318" s="20"/>
      <c r="K318" s="20"/>
      <c r="M318" s="20"/>
    </row>
    <row r="319" spans="9:13" x14ac:dyDescent="0.3">
      <c r="I319" s="20"/>
      <c r="J319" s="20"/>
      <c r="K319" s="20"/>
      <c r="M319" s="20"/>
    </row>
    <row r="320" spans="9:13" x14ac:dyDescent="0.3">
      <c r="I320" s="20"/>
      <c r="J320" s="20"/>
      <c r="K320" s="20"/>
      <c r="M320" s="20"/>
    </row>
    <row r="321" spans="9:13" x14ac:dyDescent="0.3">
      <c r="I321" s="20"/>
      <c r="J321" s="20"/>
      <c r="K321" s="20"/>
      <c r="M321" s="20"/>
    </row>
    <row r="322" spans="9:13" x14ac:dyDescent="0.3">
      <c r="I322" s="20"/>
      <c r="J322" s="20"/>
      <c r="K322" s="20"/>
      <c r="M322" s="20"/>
    </row>
    <row r="323" spans="9:13" x14ac:dyDescent="0.3">
      <c r="I323" s="20"/>
      <c r="J323" s="20"/>
      <c r="K323" s="20"/>
      <c r="M323" s="20"/>
    </row>
    <row r="324" spans="9:13" x14ac:dyDescent="0.3">
      <c r="I324" s="20"/>
      <c r="J324" s="20"/>
      <c r="K324" s="20"/>
      <c r="M324" s="20"/>
    </row>
    <row r="325" spans="9:13" x14ac:dyDescent="0.3">
      <c r="I325" s="20"/>
      <c r="J325" s="20"/>
      <c r="K325" s="20"/>
      <c r="M325" s="20"/>
    </row>
    <row r="326" spans="9:13" x14ac:dyDescent="0.3">
      <c r="I326" s="20"/>
      <c r="J326" s="20"/>
      <c r="K326" s="20"/>
      <c r="M326" s="20"/>
    </row>
    <row r="327" spans="9:13" x14ac:dyDescent="0.3">
      <c r="I327" s="20"/>
      <c r="J327" s="20"/>
      <c r="K327" s="20"/>
      <c r="M327" s="20"/>
    </row>
    <row r="328" spans="9:13" x14ac:dyDescent="0.3">
      <c r="I328" s="20"/>
      <c r="J328" s="20"/>
      <c r="K328" s="20"/>
      <c r="M328" s="20"/>
    </row>
    <row r="329" spans="9:13" x14ac:dyDescent="0.3">
      <c r="I329" s="20"/>
      <c r="J329" s="20"/>
      <c r="K329" s="20"/>
      <c r="M329" s="20"/>
    </row>
    <row r="330" spans="9:13" x14ac:dyDescent="0.3">
      <c r="I330" s="20"/>
      <c r="J330" s="20"/>
      <c r="K330" s="20"/>
      <c r="M330" s="20"/>
    </row>
    <row r="331" spans="9:13" x14ac:dyDescent="0.3">
      <c r="I331" s="20"/>
      <c r="J331" s="20"/>
      <c r="K331" s="20"/>
      <c r="M331" s="20"/>
    </row>
    <row r="332" spans="9:13" x14ac:dyDescent="0.3">
      <c r="I332" s="20"/>
      <c r="J332" s="20"/>
      <c r="K332" s="20"/>
      <c r="M332" s="20"/>
    </row>
    <row r="333" spans="9:13" x14ac:dyDescent="0.3">
      <c r="I333" s="20"/>
      <c r="J333" s="20"/>
      <c r="K333" s="20"/>
      <c r="M333" s="20"/>
    </row>
    <row r="334" spans="9:13" x14ac:dyDescent="0.3">
      <c r="I334" s="20"/>
      <c r="J334" s="20"/>
      <c r="K334" s="20"/>
      <c r="M334" s="20"/>
    </row>
    <row r="335" spans="9:13" x14ac:dyDescent="0.3">
      <c r="I335" s="20"/>
      <c r="J335" s="20"/>
      <c r="K335" s="20"/>
      <c r="M335" s="20"/>
    </row>
    <row r="336" spans="9:13" x14ac:dyDescent="0.3">
      <c r="I336" s="20"/>
      <c r="J336" s="20"/>
      <c r="K336" s="20"/>
      <c r="M336" s="20"/>
    </row>
    <row r="337" spans="9:13" x14ac:dyDescent="0.3">
      <c r="I337" s="20"/>
      <c r="J337" s="20"/>
      <c r="K337" s="20"/>
      <c r="M337" s="20"/>
    </row>
    <row r="338" spans="9:13" x14ac:dyDescent="0.3">
      <c r="I338" s="20"/>
      <c r="J338" s="20"/>
      <c r="K338" s="20"/>
      <c r="M338" s="20"/>
    </row>
    <row r="339" spans="9:13" x14ac:dyDescent="0.3">
      <c r="I339" s="20"/>
      <c r="J339" s="20"/>
      <c r="K339" s="20"/>
      <c r="M339" s="20"/>
    </row>
    <row r="340" spans="9:13" x14ac:dyDescent="0.3">
      <c r="I340" s="20"/>
      <c r="J340" s="20"/>
      <c r="K340" s="20"/>
      <c r="M340" s="20"/>
    </row>
    <row r="341" spans="9:13" x14ac:dyDescent="0.3">
      <c r="I341" s="20"/>
      <c r="J341" s="20"/>
      <c r="K341" s="20"/>
      <c r="M341" s="20"/>
    </row>
    <row r="342" spans="9:13" x14ac:dyDescent="0.3">
      <c r="I342" s="20"/>
      <c r="J342" s="20"/>
      <c r="K342" s="20"/>
      <c r="M342" s="20"/>
    </row>
    <row r="343" spans="9:13" x14ac:dyDescent="0.3">
      <c r="I343" s="20"/>
      <c r="J343" s="20"/>
      <c r="K343" s="20"/>
      <c r="M343" s="20"/>
    </row>
    <row r="344" spans="9:13" x14ac:dyDescent="0.3">
      <c r="I344" s="20"/>
      <c r="J344" s="20"/>
      <c r="K344" s="20"/>
      <c r="M344" s="20"/>
    </row>
    <row r="345" spans="9:13" x14ac:dyDescent="0.3">
      <c r="I345" s="20"/>
      <c r="J345" s="20"/>
      <c r="K345" s="20"/>
      <c r="M345" s="20"/>
    </row>
    <row r="346" spans="9:13" x14ac:dyDescent="0.3">
      <c r="I346" s="20"/>
      <c r="J346" s="20"/>
      <c r="K346" s="20"/>
      <c r="M346" s="20"/>
    </row>
    <row r="347" spans="9:13" x14ac:dyDescent="0.3">
      <c r="I347" s="20"/>
      <c r="J347" s="20"/>
      <c r="K347" s="20"/>
      <c r="M347" s="20"/>
    </row>
    <row r="348" spans="9:13" x14ac:dyDescent="0.3">
      <c r="I348" s="20"/>
      <c r="J348" s="20"/>
      <c r="K348" s="20"/>
      <c r="M348" s="20"/>
    </row>
    <row r="349" spans="9:13" x14ac:dyDescent="0.3">
      <c r="I349" s="20"/>
      <c r="J349" s="20"/>
      <c r="K349" s="20"/>
      <c r="M349" s="20"/>
    </row>
    <row r="350" spans="9:13" x14ac:dyDescent="0.3">
      <c r="I350" s="20"/>
      <c r="J350" s="20"/>
      <c r="K350" s="20"/>
      <c r="M350" s="20"/>
    </row>
    <row r="351" spans="9:13" x14ac:dyDescent="0.3">
      <c r="I351" s="20"/>
      <c r="J351" s="20"/>
      <c r="K351" s="20"/>
      <c r="M351" s="20"/>
    </row>
    <row r="352" spans="9:13" x14ac:dyDescent="0.3">
      <c r="I352" s="20"/>
      <c r="J352" s="20"/>
      <c r="K352" s="20"/>
      <c r="M352" s="20"/>
    </row>
    <row r="353" spans="9:13" x14ac:dyDescent="0.3">
      <c r="I353" s="20"/>
      <c r="J353" s="20"/>
      <c r="K353" s="20"/>
      <c r="M353" s="20"/>
    </row>
    <row r="354" spans="9:13" x14ac:dyDescent="0.3">
      <c r="I354" s="20"/>
      <c r="J354" s="20"/>
      <c r="K354" s="20"/>
      <c r="M354" s="20"/>
    </row>
    <row r="355" spans="9:13" x14ac:dyDescent="0.3">
      <c r="I355" s="20"/>
      <c r="J355" s="20"/>
      <c r="K355" s="20"/>
      <c r="M355" s="20"/>
    </row>
    <row r="356" spans="9:13" x14ac:dyDescent="0.3">
      <c r="I356" s="20"/>
      <c r="J356" s="20"/>
      <c r="K356" s="20"/>
      <c r="M356" s="20"/>
    </row>
    <row r="357" spans="9:13" x14ac:dyDescent="0.3">
      <c r="I357" s="20"/>
      <c r="J357" s="20"/>
      <c r="K357" s="20"/>
      <c r="M357" s="20"/>
    </row>
    <row r="358" spans="9:13" x14ac:dyDescent="0.3">
      <c r="I358" s="20"/>
      <c r="J358" s="20"/>
      <c r="K358" s="20"/>
      <c r="M358" s="20"/>
    </row>
    <row r="359" spans="9:13" x14ac:dyDescent="0.3">
      <c r="I359" s="20"/>
      <c r="J359" s="20"/>
      <c r="K359" s="20"/>
      <c r="M359" s="20"/>
    </row>
    <row r="360" spans="9:13" x14ac:dyDescent="0.3">
      <c r="I360" s="20"/>
      <c r="J360" s="20"/>
      <c r="K360" s="20"/>
      <c r="M360" s="20"/>
    </row>
    <row r="361" spans="9:13" x14ac:dyDescent="0.3">
      <c r="I361" s="20"/>
      <c r="J361" s="20"/>
      <c r="K361" s="20"/>
      <c r="M361" s="20"/>
    </row>
    <row r="362" spans="9:13" x14ac:dyDescent="0.3">
      <c r="I362" s="20"/>
      <c r="J362" s="20"/>
      <c r="K362" s="20"/>
      <c r="M362" s="20"/>
    </row>
    <row r="363" spans="9:13" x14ac:dyDescent="0.3">
      <c r="I363" s="20"/>
      <c r="J363" s="20"/>
      <c r="K363" s="20"/>
      <c r="M363" s="20"/>
    </row>
    <row r="364" spans="9:13" x14ac:dyDescent="0.3">
      <c r="I364" s="20"/>
      <c r="J364" s="20"/>
      <c r="K364" s="20"/>
      <c r="M364" s="20"/>
    </row>
    <row r="365" spans="9:13" x14ac:dyDescent="0.3">
      <c r="I365" s="20"/>
      <c r="J365" s="20"/>
      <c r="K365" s="20"/>
      <c r="M365" s="20"/>
    </row>
    <row r="366" spans="9:13" x14ac:dyDescent="0.3">
      <c r="I366" s="20"/>
      <c r="J366" s="20"/>
      <c r="K366" s="20"/>
      <c r="M366" s="20"/>
    </row>
    <row r="367" spans="9:13" x14ac:dyDescent="0.3">
      <c r="I367" s="20"/>
      <c r="J367" s="20"/>
      <c r="K367" s="20"/>
      <c r="M367" s="20"/>
    </row>
    <row r="368" spans="9:13" x14ac:dyDescent="0.3">
      <c r="I368" s="20"/>
      <c r="J368" s="20"/>
      <c r="K368" s="20"/>
      <c r="M368" s="20"/>
    </row>
    <row r="369" spans="9:13" x14ac:dyDescent="0.3">
      <c r="I369" s="20"/>
      <c r="J369" s="20"/>
      <c r="K369" s="20"/>
      <c r="M369" s="20"/>
    </row>
    <row r="370" spans="9:13" x14ac:dyDescent="0.3">
      <c r="I370" s="20"/>
      <c r="J370" s="20"/>
      <c r="K370" s="20"/>
      <c r="M370" s="20"/>
    </row>
    <row r="371" spans="9:13" x14ac:dyDescent="0.3">
      <c r="I371" s="20"/>
      <c r="J371" s="20"/>
      <c r="K371" s="20"/>
      <c r="M371" s="20"/>
    </row>
    <row r="372" spans="9:13" x14ac:dyDescent="0.3">
      <c r="I372" s="20"/>
      <c r="J372" s="20"/>
      <c r="K372" s="20"/>
      <c r="M372" s="20"/>
    </row>
    <row r="373" spans="9:13" x14ac:dyDescent="0.3">
      <c r="I373" s="20"/>
      <c r="J373" s="20"/>
      <c r="K373" s="20"/>
      <c r="M373" s="20"/>
    </row>
    <row r="374" spans="9:13" x14ac:dyDescent="0.3">
      <c r="I374" s="20"/>
      <c r="J374" s="20"/>
      <c r="K374" s="20"/>
      <c r="M374" s="20"/>
    </row>
    <row r="375" spans="9:13" x14ac:dyDescent="0.3">
      <c r="I375" s="20"/>
      <c r="J375" s="20"/>
      <c r="K375" s="20"/>
      <c r="M375" s="20"/>
    </row>
    <row r="376" spans="9:13" x14ac:dyDescent="0.3">
      <c r="I376" s="20"/>
      <c r="J376" s="20"/>
      <c r="K376" s="20"/>
      <c r="M376" s="20"/>
    </row>
    <row r="377" spans="9:13" x14ac:dyDescent="0.3">
      <c r="I377" s="20"/>
      <c r="J377" s="20"/>
      <c r="K377" s="20"/>
      <c r="M377" s="20"/>
    </row>
    <row r="378" spans="9:13" x14ac:dyDescent="0.3">
      <c r="I378" s="20"/>
      <c r="J378" s="20"/>
      <c r="K378" s="20"/>
      <c r="M378" s="20"/>
    </row>
    <row r="379" spans="9:13" x14ac:dyDescent="0.3">
      <c r="I379" s="20"/>
      <c r="J379" s="20"/>
      <c r="K379" s="20"/>
      <c r="M379" s="20"/>
    </row>
    <row r="380" spans="9:13" x14ac:dyDescent="0.3">
      <c r="I380" s="20"/>
      <c r="J380" s="20"/>
      <c r="K380" s="20"/>
      <c r="M380" s="20"/>
    </row>
    <row r="381" spans="9:13" x14ac:dyDescent="0.3">
      <c r="I381" s="20"/>
      <c r="J381" s="20"/>
      <c r="K381" s="20"/>
      <c r="M381" s="20"/>
    </row>
    <row r="382" spans="9:13" x14ac:dyDescent="0.3">
      <c r="I382" s="20"/>
      <c r="J382" s="20"/>
      <c r="K382" s="20"/>
      <c r="M382" s="20"/>
    </row>
    <row r="383" spans="9:13" x14ac:dyDescent="0.3">
      <c r="I383" s="20"/>
      <c r="J383" s="20"/>
      <c r="K383" s="20"/>
      <c r="M383" s="20"/>
    </row>
    <row r="384" spans="9:13" x14ac:dyDescent="0.3">
      <c r="I384" s="20"/>
      <c r="J384" s="20"/>
      <c r="K384" s="20"/>
      <c r="M384" s="20"/>
    </row>
    <row r="385" spans="9:13" x14ac:dyDescent="0.3">
      <c r="I385" s="20"/>
      <c r="J385" s="20"/>
      <c r="K385" s="20"/>
      <c r="M385" s="20"/>
    </row>
    <row r="386" spans="9:13" x14ac:dyDescent="0.3">
      <c r="I386" s="20"/>
      <c r="J386" s="20"/>
      <c r="K386" s="20"/>
      <c r="M386" s="20"/>
    </row>
    <row r="387" spans="9:13" x14ac:dyDescent="0.3">
      <c r="I387" s="20"/>
      <c r="J387" s="20"/>
      <c r="K387" s="20"/>
      <c r="M387" s="20"/>
    </row>
    <row r="388" spans="9:13" x14ac:dyDescent="0.3">
      <c r="I388" s="20"/>
      <c r="J388" s="20"/>
      <c r="K388" s="20"/>
      <c r="M388" s="20"/>
    </row>
    <row r="389" spans="9:13" x14ac:dyDescent="0.3">
      <c r="I389" s="20"/>
      <c r="J389" s="20"/>
      <c r="K389" s="20"/>
      <c r="M389" s="20"/>
    </row>
    <row r="390" spans="9:13" x14ac:dyDescent="0.3">
      <c r="I390" s="20"/>
      <c r="J390" s="20"/>
      <c r="K390" s="20"/>
      <c r="M390" s="20"/>
    </row>
    <row r="391" spans="9:13" x14ac:dyDescent="0.3">
      <c r="I391" s="20"/>
      <c r="J391" s="20"/>
      <c r="K391" s="20"/>
      <c r="M391" s="20"/>
    </row>
    <row r="392" spans="9:13" x14ac:dyDescent="0.3">
      <c r="I392" s="20"/>
      <c r="J392" s="20"/>
      <c r="K392" s="20"/>
      <c r="M392" s="20"/>
    </row>
    <row r="393" spans="9:13" x14ac:dyDescent="0.3">
      <c r="I393" s="20"/>
      <c r="J393" s="20"/>
      <c r="K393" s="20"/>
      <c r="M393" s="20"/>
    </row>
    <row r="394" spans="9:13" x14ac:dyDescent="0.3">
      <c r="I394" s="20"/>
      <c r="J394" s="20"/>
      <c r="K394" s="20"/>
      <c r="M394" s="20"/>
    </row>
    <row r="395" spans="9:13" x14ac:dyDescent="0.3">
      <c r="I395" s="20"/>
      <c r="J395" s="20"/>
      <c r="K395" s="20"/>
      <c r="M395" s="20"/>
    </row>
    <row r="396" spans="9:13" x14ac:dyDescent="0.3">
      <c r="I396" s="20"/>
      <c r="J396" s="20"/>
      <c r="K396" s="20"/>
      <c r="M396" s="20"/>
    </row>
    <row r="397" spans="9:13" x14ac:dyDescent="0.3">
      <c r="I397" s="20"/>
      <c r="J397" s="20"/>
      <c r="K397" s="20"/>
      <c r="M397" s="20"/>
    </row>
    <row r="398" spans="9:13" x14ac:dyDescent="0.3">
      <c r="I398" s="20"/>
      <c r="J398" s="20"/>
      <c r="K398" s="20"/>
      <c r="M398" s="20"/>
    </row>
    <row r="399" spans="9:13" x14ac:dyDescent="0.3">
      <c r="I399" s="20"/>
      <c r="J399" s="20"/>
      <c r="K399" s="20"/>
      <c r="M399" s="20"/>
    </row>
    <row r="400" spans="9:13" x14ac:dyDescent="0.3">
      <c r="I400" s="20"/>
      <c r="J400" s="20"/>
      <c r="K400" s="20"/>
      <c r="M400" s="20"/>
    </row>
    <row r="401" spans="9:13" x14ac:dyDescent="0.3">
      <c r="I401" s="20"/>
      <c r="J401" s="20"/>
      <c r="K401" s="20"/>
      <c r="M401" s="20"/>
    </row>
    <row r="402" spans="9:13" x14ac:dyDescent="0.3">
      <c r="I402" s="20"/>
      <c r="J402" s="20"/>
      <c r="K402" s="20"/>
      <c r="M402" s="20"/>
    </row>
    <row r="403" spans="9:13" x14ac:dyDescent="0.3">
      <c r="I403" s="20"/>
      <c r="J403" s="20"/>
      <c r="K403" s="20"/>
      <c r="M403" s="20"/>
    </row>
    <row r="404" spans="9:13" x14ac:dyDescent="0.3">
      <c r="I404" s="20"/>
      <c r="J404" s="20"/>
      <c r="K404" s="20"/>
      <c r="M404" s="20"/>
    </row>
    <row r="405" spans="9:13" x14ac:dyDescent="0.3">
      <c r="I405" s="20"/>
      <c r="J405" s="20"/>
      <c r="K405" s="20"/>
      <c r="M405" s="20"/>
    </row>
    <row r="406" spans="9:13" x14ac:dyDescent="0.3">
      <c r="I406" s="20"/>
      <c r="J406" s="20"/>
      <c r="K406" s="20"/>
      <c r="M406" s="20"/>
    </row>
    <row r="407" spans="9:13" x14ac:dyDescent="0.3">
      <c r="I407" s="20"/>
      <c r="J407" s="20"/>
      <c r="K407" s="20"/>
      <c r="M407" s="20"/>
    </row>
    <row r="408" spans="9:13" x14ac:dyDescent="0.3">
      <c r="I408" s="20"/>
      <c r="J408" s="20"/>
      <c r="K408" s="20"/>
      <c r="M408" s="20"/>
    </row>
    <row r="409" spans="9:13" x14ac:dyDescent="0.3">
      <c r="I409" s="20"/>
      <c r="J409" s="20"/>
      <c r="K409" s="20"/>
      <c r="M409" s="20"/>
    </row>
    <row r="410" spans="9:13" x14ac:dyDescent="0.3">
      <c r="I410" s="20"/>
      <c r="J410" s="20"/>
      <c r="K410" s="20"/>
      <c r="M410" s="20"/>
    </row>
    <row r="411" spans="9:13" x14ac:dyDescent="0.3">
      <c r="I411" s="20"/>
      <c r="J411" s="20"/>
      <c r="K411" s="20"/>
      <c r="M411" s="20"/>
    </row>
    <row r="412" spans="9:13" x14ac:dyDescent="0.3">
      <c r="I412" s="20"/>
      <c r="J412" s="20"/>
      <c r="K412" s="20"/>
      <c r="M412" s="20"/>
    </row>
    <row r="413" spans="9:13" x14ac:dyDescent="0.3">
      <c r="I413" s="20"/>
      <c r="J413" s="20"/>
      <c r="K413" s="20"/>
      <c r="M413" s="20"/>
    </row>
    <row r="414" spans="9:13" x14ac:dyDescent="0.3">
      <c r="I414" s="20"/>
      <c r="J414" s="20"/>
      <c r="K414" s="20"/>
      <c r="M414" s="20"/>
    </row>
    <row r="415" spans="9:13" x14ac:dyDescent="0.3">
      <c r="I415" s="20"/>
      <c r="J415" s="20"/>
      <c r="K415" s="20"/>
      <c r="M415" s="20"/>
    </row>
    <row r="416" spans="9:13" x14ac:dyDescent="0.3">
      <c r="I416" s="20"/>
      <c r="J416" s="20"/>
      <c r="K416" s="20"/>
      <c r="M416" s="20"/>
    </row>
    <row r="417" spans="9:13" x14ac:dyDescent="0.3">
      <c r="I417" s="20"/>
      <c r="J417" s="20"/>
      <c r="K417" s="20"/>
      <c r="M417" s="20"/>
    </row>
    <row r="418" spans="9:13" x14ac:dyDescent="0.3">
      <c r="I418" s="20"/>
      <c r="J418" s="20"/>
      <c r="K418" s="20"/>
      <c r="M418" s="20"/>
    </row>
    <row r="419" spans="9:13" x14ac:dyDescent="0.3">
      <c r="I419" s="20"/>
      <c r="J419" s="20"/>
      <c r="K419" s="20"/>
      <c r="M419" s="20"/>
    </row>
    <row r="420" spans="9:13" x14ac:dyDescent="0.3">
      <c r="I420" s="20"/>
      <c r="J420" s="20"/>
      <c r="K420" s="20"/>
      <c r="M420" s="20"/>
    </row>
    <row r="421" spans="9:13" x14ac:dyDescent="0.3">
      <c r="I421" s="20"/>
      <c r="J421" s="20"/>
      <c r="K421" s="20"/>
      <c r="M421" s="20"/>
    </row>
    <row r="422" spans="9:13" x14ac:dyDescent="0.3">
      <c r="I422" s="20"/>
      <c r="J422" s="20"/>
      <c r="K422" s="20"/>
      <c r="M422" s="20"/>
    </row>
    <row r="423" spans="9:13" x14ac:dyDescent="0.3">
      <c r="I423" s="20"/>
      <c r="J423" s="20"/>
      <c r="K423" s="20"/>
      <c r="M423" s="20"/>
    </row>
    <row r="424" spans="9:13" x14ac:dyDescent="0.3">
      <c r="I424" s="20"/>
      <c r="J424" s="20"/>
      <c r="K424" s="20"/>
      <c r="M424" s="20"/>
    </row>
    <row r="425" spans="9:13" x14ac:dyDescent="0.3">
      <c r="I425" s="20"/>
      <c r="J425" s="20"/>
      <c r="K425" s="20"/>
      <c r="M425" s="20"/>
    </row>
    <row r="426" spans="9:13" x14ac:dyDescent="0.3">
      <c r="I426" s="20"/>
      <c r="J426" s="20"/>
      <c r="K426" s="20"/>
      <c r="M426" s="20"/>
    </row>
    <row r="427" spans="9:13" x14ac:dyDescent="0.3">
      <c r="I427" s="20"/>
      <c r="J427" s="20"/>
      <c r="K427" s="20"/>
      <c r="M427" s="20"/>
    </row>
    <row r="428" spans="9:13" x14ac:dyDescent="0.3">
      <c r="I428" s="20"/>
      <c r="J428" s="20"/>
      <c r="K428" s="20"/>
      <c r="M428" s="20"/>
    </row>
    <row r="429" spans="9:13" x14ac:dyDescent="0.3">
      <c r="I429" s="20"/>
      <c r="J429" s="20"/>
      <c r="K429" s="20"/>
      <c r="M429" s="20"/>
    </row>
    <row r="430" spans="9:13" x14ac:dyDescent="0.3">
      <c r="I430" s="20"/>
      <c r="J430" s="20"/>
      <c r="K430" s="20"/>
      <c r="M430" s="20"/>
    </row>
    <row r="431" spans="9:13" x14ac:dyDescent="0.3">
      <c r="I431" s="20"/>
      <c r="J431" s="20"/>
      <c r="K431" s="20"/>
      <c r="M431" s="20"/>
    </row>
    <row r="432" spans="9:13" x14ac:dyDescent="0.3">
      <c r="I432" s="20"/>
      <c r="J432" s="20"/>
      <c r="K432" s="20"/>
      <c r="M432" s="20"/>
    </row>
    <row r="433" spans="9:13" x14ac:dyDescent="0.3">
      <c r="I433" s="20"/>
      <c r="J433" s="20"/>
      <c r="K433" s="20"/>
      <c r="M433" s="20"/>
    </row>
    <row r="434" spans="9:13" x14ac:dyDescent="0.3">
      <c r="I434" s="20"/>
      <c r="J434" s="20"/>
      <c r="K434" s="20"/>
      <c r="M434" s="20"/>
    </row>
    <row r="435" spans="9:13" x14ac:dyDescent="0.3">
      <c r="I435" s="20"/>
      <c r="J435" s="20"/>
      <c r="K435" s="20"/>
      <c r="M435" s="20"/>
    </row>
    <row r="436" spans="9:13" x14ac:dyDescent="0.3">
      <c r="I436" s="20"/>
      <c r="J436" s="20"/>
      <c r="K436" s="20"/>
      <c r="M436" s="20"/>
    </row>
    <row r="437" spans="9:13" x14ac:dyDescent="0.3">
      <c r="I437" s="20"/>
      <c r="J437" s="20"/>
      <c r="K437" s="20"/>
      <c r="M437" s="20"/>
    </row>
    <row r="438" spans="9:13" x14ac:dyDescent="0.3">
      <c r="I438" s="20"/>
      <c r="J438" s="20"/>
      <c r="K438" s="20"/>
      <c r="M438" s="20"/>
    </row>
    <row r="439" spans="9:13" x14ac:dyDescent="0.3">
      <c r="I439" s="20"/>
      <c r="J439" s="20"/>
      <c r="K439" s="20"/>
      <c r="M439" s="20"/>
    </row>
    <row r="440" spans="9:13" x14ac:dyDescent="0.3">
      <c r="I440" s="20"/>
      <c r="J440" s="20"/>
      <c r="K440" s="20"/>
      <c r="M440" s="20"/>
    </row>
    <row r="441" spans="9:13" x14ac:dyDescent="0.3">
      <c r="I441" s="20"/>
      <c r="J441" s="20"/>
      <c r="K441" s="20"/>
      <c r="M441" s="20"/>
    </row>
    <row r="442" spans="9:13" x14ac:dyDescent="0.3">
      <c r="I442" s="20"/>
      <c r="J442" s="20"/>
      <c r="K442" s="20"/>
      <c r="M442" s="20"/>
    </row>
    <row r="443" spans="9:13" x14ac:dyDescent="0.3">
      <c r="I443" s="20"/>
      <c r="J443" s="20"/>
      <c r="K443" s="20"/>
      <c r="M443" s="20"/>
    </row>
    <row r="444" spans="9:13" x14ac:dyDescent="0.3">
      <c r="I444" s="20"/>
      <c r="J444" s="20"/>
      <c r="K444" s="20"/>
      <c r="M444" s="20"/>
    </row>
    <row r="445" spans="9:13" x14ac:dyDescent="0.3">
      <c r="I445" s="20"/>
      <c r="J445" s="20"/>
      <c r="K445" s="20"/>
      <c r="M445" s="20"/>
    </row>
    <row r="446" spans="9:13" x14ac:dyDescent="0.3">
      <c r="I446" s="20"/>
      <c r="J446" s="20"/>
      <c r="K446" s="20"/>
      <c r="M446" s="20"/>
    </row>
    <row r="447" spans="9:13" x14ac:dyDescent="0.3">
      <c r="I447" s="20"/>
      <c r="J447" s="20"/>
      <c r="K447" s="20"/>
      <c r="M447" s="20"/>
    </row>
    <row r="448" spans="9:13" x14ac:dyDescent="0.3">
      <c r="I448" s="20"/>
      <c r="J448" s="20"/>
      <c r="K448" s="20"/>
      <c r="M448" s="20"/>
    </row>
    <row r="449" spans="9:13" x14ac:dyDescent="0.3">
      <c r="I449" s="20"/>
      <c r="J449" s="20"/>
      <c r="K449" s="20"/>
      <c r="M449" s="20"/>
    </row>
    <row r="450" spans="9:13" x14ac:dyDescent="0.3">
      <c r="I450" s="20"/>
      <c r="J450" s="20"/>
      <c r="K450" s="20"/>
      <c r="M450" s="20"/>
    </row>
    <row r="451" spans="9:13" x14ac:dyDescent="0.3">
      <c r="I451" s="20"/>
      <c r="J451" s="20"/>
      <c r="K451" s="20"/>
      <c r="M451" s="20"/>
    </row>
    <row r="452" spans="9:13" x14ac:dyDescent="0.3">
      <c r="I452" s="20"/>
      <c r="J452" s="20"/>
      <c r="K452" s="20"/>
      <c r="M452" s="20"/>
    </row>
    <row r="453" spans="9:13" x14ac:dyDescent="0.3">
      <c r="I453" s="20"/>
      <c r="J453" s="20"/>
      <c r="K453" s="20"/>
      <c r="M453" s="20"/>
    </row>
    <row r="454" spans="9:13" x14ac:dyDescent="0.3">
      <c r="I454" s="20"/>
      <c r="J454" s="20"/>
      <c r="K454" s="20"/>
      <c r="M454" s="20"/>
    </row>
    <row r="455" spans="9:13" x14ac:dyDescent="0.3">
      <c r="I455" s="20"/>
      <c r="J455" s="20"/>
      <c r="K455" s="20"/>
      <c r="M455" s="20"/>
    </row>
    <row r="456" spans="9:13" x14ac:dyDescent="0.3">
      <c r="I456" s="20"/>
      <c r="J456" s="20"/>
      <c r="K456" s="20"/>
      <c r="M456" s="20"/>
    </row>
    <row r="457" spans="9:13" x14ac:dyDescent="0.3">
      <c r="I457" s="20"/>
      <c r="J457" s="20"/>
      <c r="K457" s="20"/>
      <c r="M457" s="20"/>
    </row>
    <row r="458" spans="9:13" x14ac:dyDescent="0.3">
      <c r="I458" s="20"/>
      <c r="J458" s="20"/>
      <c r="K458" s="20"/>
      <c r="M458" s="20"/>
    </row>
    <row r="459" spans="9:13" x14ac:dyDescent="0.3">
      <c r="I459" s="20"/>
      <c r="J459" s="20"/>
      <c r="K459" s="20"/>
      <c r="M459" s="20"/>
    </row>
    <row r="460" spans="9:13" x14ac:dyDescent="0.3">
      <c r="I460" s="20"/>
      <c r="J460" s="20"/>
      <c r="K460" s="20"/>
      <c r="M460" s="20"/>
    </row>
    <row r="461" spans="9:13" x14ac:dyDescent="0.3">
      <c r="I461" s="20"/>
      <c r="J461" s="20"/>
      <c r="K461" s="20"/>
      <c r="M461" s="20"/>
    </row>
    <row r="462" spans="9:13" x14ac:dyDescent="0.3">
      <c r="I462" s="20"/>
      <c r="J462" s="20"/>
      <c r="K462" s="20"/>
      <c r="M462" s="20"/>
    </row>
    <row r="463" spans="9:13" x14ac:dyDescent="0.3">
      <c r="I463" s="20"/>
      <c r="J463" s="20"/>
      <c r="K463" s="20"/>
      <c r="M463" s="20"/>
    </row>
    <row r="464" spans="9:13" x14ac:dyDescent="0.3">
      <c r="I464" s="20"/>
      <c r="J464" s="20"/>
      <c r="K464" s="20"/>
      <c r="M464" s="20"/>
    </row>
    <row r="465" spans="9:13" x14ac:dyDescent="0.3">
      <c r="I465" s="20"/>
      <c r="J465" s="20"/>
      <c r="K465" s="20"/>
      <c r="M465" s="20"/>
    </row>
    <row r="466" spans="9:13" x14ac:dyDescent="0.3">
      <c r="I466" s="20"/>
      <c r="J466" s="20"/>
      <c r="K466" s="20"/>
      <c r="M466" s="20"/>
    </row>
    <row r="467" spans="9:13" x14ac:dyDescent="0.3">
      <c r="I467" s="20"/>
      <c r="J467" s="20"/>
      <c r="K467" s="20"/>
      <c r="M467" s="20"/>
    </row>
    <row r="468" spans="9:13" x14ac:dyDescent="0.3">
      <c r="I468" s="20"/>
      <c r="J468" s="20"/>
      <c r="K468" s="20"/>
      <c r="M468" s="20"/>
    </row>
    <row r="469" spans="9:13" x14ac:dyDescent="0.3">
      <c r="I469" s="20"/>
      <c r="J469" s="20"/>
      <c r="K469" s="20"/>
      <c r="M469" s="20"/>
    </row>
    <row r="470" spans="9:13" x14ac:dyDescent="0.3">
      <c r="I470" s="20"/>
      <c r="J470" s="20"/>
      <c r="K470" s="20"/>
      <c r="M470" s="20"/>
    </row>
    <row r="471" spans="9:13" x14ac:dyDescent="0.3">
      <c r="I471" s="20"/>
      <c r="J471" s="20"/>
      <c r="K471" s="20"/>
      <c r="M471" s="20"/>
    </row>
    <row r="472" spans="9:13" x14ac:dyDescent="0.3">
      <c r="I472" s="20"/>
      <c r="J472" s="20"/>
      <c r="K472" s="20"/>
      <c r="M472" s="20"/>
    </row>
    <row r="473" spans="9:13" x14ac:dyDescent="0.3">
      <c r="I473" s="20"/>
      <c r="J473" s="20"/>
      <c r="K473" s="20"/>
      <c r="M473" s="20"/>
    </row>
    <row r="474" spans="9:13" x14ac:dyDescent="0.3">
      <c r="I474" s="20"/>
      <c r="J474" s="20"/>
      <c r="K474" s="20"/>
      <c r="M474" s="20"/>
    </row>
    <row r="475" spans="9:13" x14ac:dyDescent="0.3">
      <c r="I475" s="20"/>
      <c r="J475" s="20"/>
      <c r="K475" s="20"/>
      <c r="M475" s="20"/>
    </row>
    <row r="476" spans="9:13" x14ac:dyDescent="0.3">
      <c r="I476" s="20"/>
      <c r="J476" s="20"/>
      <c r="K476" s="20"/>
      <c r="M476" s="20"/>
    </row>
    <row r="477" spans="9:13" x14ac:dyDescent="0.3">
      <c r="I477" s="20"/>
      <c r="J477" s="20"/>
      <c r="K477" s="20"/>
      <c r="M477" s="20"/>
    </row>
    <row r="478" spans="9:13" x14ac:dyDescent="0.3">
      <c r="I478" s="20"/>
      <c r="J478" s="20"/>
      <c r="K478" s="20"/>
      <c r="M478" s="20"/>
    </row>
    <row r="479" spans="9:13" x14ac:dyDescent="0.3">
      <c r="I479" s="20"/>
      <c r="J479" s="20"/>
      <c r="K479" s="20"/>
      <c r="M479" s="20"/>
    </row>
    <row r="480" spans="9:13" x14ac:dyDescent="0.3">
      <c r="I480" s="20"/>
      <c r="J480" s="20"/>
      <c r="K480" s="20"/>
      <c r="M480" s="20"/>
    </row>
    <row r="481" spans="9:13" x14ac:dyDescent="0.3">
      <c r="I481" s="20"/>
      <c r="J481" s="20"/>
      <c r="K481" s="20"/>
      <c r="M481" s="20"/>
    </row>
    <row r="482" spans="9:13" x14ac:dyDescent="0.3">
      <c r="I482" s="20"/>
      <c r="J482" s="20"/>
      <c r="K482" s="20"/>
      <c r="M482" s="20"/>
    </row>
    <row r="483" spans="9:13" x14ac:dyDescent="0.3">
      <c r="I483" s="20"/>
      <c r="J483" s="20"/>
      <c r="K483" s="20"/>
      <c r="M483" s="20"/>
    </row>
    <row r="484" spans="9:13" x14ac:dyDescent="0.3">
      <c r="I484" s="20"/>
      <c r="J484" s="20"/>
      <c r="K484" s="20"/>
      <c r="M484" s="20"/>
    </row>
    <row r="485" spans="9:13" x14ac:dyDescent="0.3">
      <c r="I485" s="20"/>
      <c r="J485" s="20"/>
      <c r="K485" s="20"/>
      <c r="M485" s="20"/>
    </row>
    <row r="486" spans="9:13" x14ac:dyDescent="0.3">
      <c r="I486" s="20"/>
      <c r="J486" s="20"/>
      <c r="K486" s="20"/>
      <c r="M486" s="20"/>
    </row>
    <row r="487" spans="9:13" x14ac:dyDescent="0.3">
      <c r="I487" s="20"/>
      <c r="J487" s="20"/>
      <c r="K487" s="20"/>
      <c r="M487" s="20"/>
    </row>
    <row r="488" spans="9:13" x14ac:dyDescent="0.3">
      <c r="I488" s="20"/>
      <c r="J488" s="20"/>
      <c r="K488" s="20"/>
      <c r="M488" s="20"/>
    </row>
    <row r="489" spans="9:13" x14ac:dyDescent="0.3">
      <c r="I489" s="20"/>
      <c r="J489" s="20"/>
      <c r="K489" s="20"/>
      <c r="M489" s="20"/>
    </row>
    <row r="490" spans="9:13" x14ac:dyDescent="0.3">
      <c r="I490" s="20"/>
      <c r="J490" s="20"/>
      <c r="K490" s="20"/>
      <c r="M490" s="20"/>
    </row>
    <row r="491" spans="9:13" x14ac:dyDescent="0.3">
      <c r="I491" s="20"/>
      <c r="J491" s="20"/>
      <c r="K491" s="20"/>
      <c r="M491" s="20"/>
    </row>
    <row r="492" spans="9:13" x14ac:dyDescent="0.3">
      <c r="I492" s="20"/>
      <c r="J492" s="20"/>
      <c r="K492" s="20"/>
      <c r="M492" s="20"/>
    </row>
    <row r="493" spans="9:13" x14ac:dyDescent="0.3">
      <c r="I493" s="20"/>
      <c r="J493" s="20"/>
      <c r="K493" s="20"/>
      <c r="M493" s="20"/>
    </row>
    <row r="494" spans="9:13" x14ac:dyDescent="0.3">
      <c r="I494" s="20"/>
      <c r="J494" s="20"/>
      <c r="K494" s="20"/>
      <c r="M494" s="20"/>
    </row>
    <row r="495" spans="9:13" x14ac:dyDescent="0.3">
      <c r="I495" s="20"/>
      <c r="J495" s="20"/>
      <c r="K495" s="20"/>
      <c r="M495" s="20"/>
    </row>
    <row r="496" spans="9:13" x14ac:dyDescent="0.3">
      <c r="I496" s="20"/>
      <c r="J496" s="20"/>
      <c r="K496" s="20"/>
      <c r="M496" s="20"/>
    </row>
    <row r="497" spans="9:13" x14ac:dyDescent="0.3">
      <c r="I497" s="20"/>
      <c r="J497" s="20"/>
      <c r="K497" s="20"/>
      <c r="M497" s="20"/>
    </row>
    <row r="498" spans="9:13" x14ac:dyDescent="0.3">
      <c r="I498" s="20"/>
      <c r="J498" s="20"/>
      <c r="K498" s="20"/>
      <c r="M498" s="20"/>
    </row>
    <row r="499" spans="9:13" x14ac:dyDescent="0.3">
      <c r="I499" s="20"/>
      <c r="J499" s="20"/>
      <c r="K499" s="20"/>
      <c r="M499" s="20"/>
    </row>
    <row r="500" spans="9:13" x14ac:dyDescent="0.3">
      <c r="I500" s="20"/>
      <c r="J500" s="20"/>
      <c r="K500" s="20"/>
      <c r="M500" s="20"/>
    </row>
    <row r="501" spans="9:13" x14ac:dyDescent="0.3">
      <c r="I501" s="20"/>
      <c r="J501" s="20"/>
      <c r="K501" s="20"/>
      <c r="M501" s="20"/>
    </row>
    <row r="502" spans="9:13" x14ac:dyDescent="0.3">
      <c r="I502" s="20"/>
      <c r="J502" s="20"/>
      <c r="K502" s="20"/>
      <c r="M502" s="20"/>
    </row>
    <row r="503" spans="9:13" x14ac:dyDescent="0.3">
      <c r="I503" s="20"/>
      <c r="J503" s="20"/>
      <c r="K503" s="20"/>
      <c r="M503" s="20"/>
    </row>
    <row r="504" spans="9:13" x14ac:dyDescent="0.3">
      <c r="I504" s="20"/>
      <c r="J504" s="20"/>
      <c r="K504" s="20"/>
      <c r="M504" s="20"/>
    </row>
    <row r="505" spans="9:13" x14ac:dyDescent="0.3">
      <c r="I505" s="20"/>
      <c r="J505" s="20"/>
      <c r="K505" s="20"/>
      <c r="M505" s="20"/>
    </row>
    <row r="506" spans="9:13" x14ac:dyDescent="0.3">
      <c r="I506" s="20"/>
      <c r="J506" s="20"/>
      <c r="K506" s="20"/>
      <c r="M506" s="20"/>
    </row>
    <row r="507" spans="9:13" x14ac:dyDescent="0.3">
      <c r="I507" s="20"/>
      <c r="J507" s="20"/>
      <c r="K507" s="20"/>
      <c r="M507" s="20"/>
    </row>
    <row r="508" spans="9:13" x14ac:dyDescent="0.3">
      <c r="I508" s="20"/>
      <c r="J508" s="20"/>
      <c r="K508" s="20"/>
      <c r="M508" s="20"/>
    </row>
    <row r="509" spans="9:13" x14ac:dyDescent="0.3">
      <c r="I509" s="20"/>
      <c r="J509" s="20"/>
      <c r="K509" s="20"/>
      <c r="M509" s="20"/>
    </row>
    <row r="510" spans="9:13" x14ac:dyDescent="0.3">
      <c r="I510" s="20"/>
      <c r="J510" s="20"/>
      <c r="K510" s="20"/>
      <c r="M510" s="20"/>
    </row>
    <row r="511" spans="9:13" x14ac:dyDescent="0.3">
      <c r="I511" s="20"/>
      <c r="J511" s="20"/>
      <c r="K511" s="20"/>
      <c r="M511" s="20"/>
    </row>
    <row r="512" spans="9:13" x14ac:dyDescent="0.3">
      <c r="I512" s="20"/>
      <c r="J512" s="20"/>
      <c r="K512" s="20"/>
      <c r="M512" s="20"/>
    </row>
    <row r="513" spans="9:13" x14ac:dyDescent="0.3">
      <c r="I513" s="20"/>
      <c r="J513" s="20"/>
      <c r="K513" s="20"/>
      <c r="M513" s="20"/>
    </row>
    <row r="514" spans="9:13" x14ac:dyDescent="0.3">
      <c r="I514" s="20"/>
      <c r="J514" s="20"/>
      <c r="K514" s="20"/>
      <c r="M514" s="20"/>
    </row>
    <row r="515" spans="9:13" x14ac:dyDescent="0.3">
      <c r="I515" s="20"/>
      <c r="J515" s="20"/>
      <c r="K515" s="20"/>
      <c r="M515" s="20"/>
    </row>
    <row r="516" spans="9:13" x14ac:dyDescent="0.3">
      <c r="I516" s="20"/>
      <c r="J516" s="20"/>
      <c r="K516" s="20"/>
      <c r="M516" s="20"/>
    </row>
    <row r="517" spans="9:13" x14ac:dyDescent="0.3">
      <c r="I517" s="20"/>
      <c r="J517" s="20"/>
      <c r="K517" s="20"/>
      <c r="M517" s="20"/>
    </row>
    <row r="518" spans="9:13" x14ac:dyDescent="0.3">
      <c r="I518" s="20"/>
      <c r="J518" s="20"/>
      <c r="K518" s="20"/>
      <c r="M518" s="20"/>
    </row>
    <row r="519" spans="9:13" x14ac:dyDescent="0.3">
      <c r="I519" s="20"/>
      <c r="J519" s="20"/>
      <c r="K519" s="20"/>
      <c r="M519" s="20"/>
    </row>
    <row r="520" spans="9:13" x14ac:dyDescent="0.3">
      <c r="I520" s="20"/>
      <c r="J520" s="20"/>
      <c r="K520" s="20"/>
      <c r="M520" s="20"/>
    </row>
    <row r="521" spans="9:13" x14ac:dyDescent="0.3">
      <c r="I521" s="20"/>
      <c r="J521" s="20"/>
      <c r="K521" s="20"/>
      <c r="M521" s="20"/>
    </row>
    <row r="522" spans="9:13" x14ac:dyDescent="0.3">
      <c r="I522" s="20"/>
      <c r="J522" s="20"/>
      <c r="K522" s="20"/>
      <c r="M522" s="20"/>
    </row>
    <row r="523" spans="9:13" x14ac:dyDescent="0.3">
      <c r="I523" s="20"/>
      <c r="J523" s="20"/>
      <c r="K523" s="20"/>
      <c r="M523" s="20"/>
    </row>
    <row r="524" spans="9:13" x14ac:dyDescent="0.3">
      <c r="I524" s="20"/>
      <c r="J524" s="20"/>
      <c r="K524" s="20"/>
      <c r="M524" s="20"/>
    </row>
    <row r="525" spans="9:13" x14ac:dyDescent="0.3">
      <c r="I525" s="20"/>
      <c r="J525" s="20"/>
      <c r="K525" s="20"/>
      <c r="M525" s="20"/>
    </row>
    <row r="526" spans="9:13" x14ac:dyDescent="0.3">
      <c r="I526" s="20"/>
      <c r="J526" s="20"/>
      <c r="K526" s="20"/>
      <c r="M526" s="20"/>
    </row>
    <row r="527" spans="9:13" x14ac:dyDescent="0.3">
      <c r="I527" s="20"/>
      <c r="J527" s="20"/>
      <c r="K527" s="20"/>
      <c r="M527" s="20"/>
    </row>
    <row r="528" spans="9:13" x14ac:dyDescent="0.3">
      <c r="I528" s="20"/>
      <c r="J528" s="20"/>
      <c r="K528" s="20"/>
      <c r="M528" s="20"/>
    </row>
    <row r="529" spans="9:13" x14ac:dyDescent="0.3">
      <c r="I529" s="20"/>
      <c r="J529" s="20"/>
      <c r="K529" s="20"/>
      <c r="M529" s="20"/>
    </row>
    <row r="530" spans="9:13" x14ac:dyDescent="0.3">
      <c r="I530" s="20"/>
      <c r="J530" s="20"/>
      <c r="K530" s="20"/>
      <c r="M530" s="20"/>
    </row>
    <row r="531" spans="9:13" x14ac:dyDescent="0.3">
      <c r="I531" s="20"/>
      <c r="J531" s="20"/>
      <c r="K531" s="20"/>
      <c r="M531" s="20"/>
    </row>
    <row r="532" spans="9:13" x14ac:dyDescent="0.3">
      <c r="I532" s="20"/>
      <c r="J532" s="20"/>
      <c r="K532" s="20"/>
      <c r="M532" s="20"/>
    </row>
    <row r="533" spans="9:13" x14ac:dyDescent="0.3">
      <c r="I533" s="20"/>
      <c r="J533" s="20"/>
      <c r="K533" s="20"/>
      <c r="M533" s="20"/>
    </row>
    <row r="534" spans="9:13" x14ac:dyDescent="0.3">
      <c r="I534" s="20"/>
      <c r="J534" s="20"/>
      <c r="K534" s="20"/>
      <c r="M534" s="20"/>
    </row>
    <row r="535" spans="9:13" x14ac:dyDescent="0.3">
      <c r="I535" s="20"/>
      <c r="J535" s="20"/>
      <c r="K535" s="20"/>
      <c r="M535" s="20"/>
    </row>
    <row r="536" spans="9:13" x14ac:dyDescent="0.3">
      <c r="I536" s="20"/>
      <c r="J536" s="20"/>
      <c r="K536" s="20"/>
      <c r="M536" s="20"/>
    </row>
    <row r="537" spans="9:13" x14ac:dyDescent="0.3">
      <c r="I537" s="20"/>
      <c r="J537" s="20"/>
      <c r="K537" s="20"/>
      <c r="M537" s="20"/>
    </row>
    <row r="538" spans="9:13" x14ac:dyDescent="0.3">
      <c r="I538" s="20"/>
      <c r="J538" s="20"/>
      <c r="K538" s="20"/>
      <c r="M538" s="20"/>
    </row>
    <row r="539" spans="9:13" x14ac:dyDescent="0.3">
      <c r="I539" s="20"/>
      <c r="J539" s="20"/>
      <c r="K539" s="20"/>
      <c r="M539" s="20"/>
    </row>
    <row r="540" spans="9:13" x14ac:dyDescent="0.3">
      <c r="I540" s="20"/>
      <c r="J540" s="20"/>
      <c r="K540" s="20"/>
      <c r="M540" s="20"/>
    </row>
    <row r="541" spans="9:13" x14ac:dyDescent="0.3">
      <c r="I541" s="20"/>
      <c r="J541" s="20"/>
      <c r="K541" s="20"/>
      <c r="M541" s="20"/>
    </row>
    <row r="542" spans="9:13" x14ac:dyDescent="0.3">
      <c r="I542" s="20"/>
      <c r="J542" s="20"/>
      <c r="K542" s="20"/>
      <c r="M542" s="20"/>
    </row>
    <row r="543" spans="9:13" x14ac:dyDescent="0.3">
      <c r="I543" s="20"/>
      <c r="J543" s="20"/>
      <c r="K543" s="20"/>
      <c r="M543" s="20"/>
    </row>
    <row r="544" spans="9:13" x14ac:dyDescent="0.3">
      <c r="I544" s="20"/>
      <c r="J544" s="20"/>
      <c r="K544" s="20"/>
      <c r="M544" s="20"/>
    </row>
    <row r="545" spans="9:13" x14ac:dyDescent="0.3">
      <c r="I545" s="20"/>
      <c r="J545" s="20"/>
      <c r="K545" s="20"/>
      <c r="M545" s="20"/>
    </row>
    <row r="546" spans="9:13" x14ac:dyDescent="0.3">
      <c r="I546" s="20"/>
      <c r="J546" s="20"/>
      <c r="K546" s="20"/>
      <c r="M546" s="20"/>
    </row>
    <row r="547" spans="9:13" x14ac:dyDescent="0.3">
      <c r="I547" s="20"/>
      <c r="J547" s="20"/>
      <c r="K547" s="20"/>
      <c r="M547" s="20"/>
    </row>
    <row r="548" spans="9:13" x14ac:dyDescent="0.3">
      <c r="I548" s="20"/>
      <c r="J548" s="20"/>
      <c r="K548" s="20"/>
      <c r="M548" s="20"/>
    </row>
    <row r="549" spans="9:13" x14ac:dyDescent="0.3">
      <c r="I549" s="20"/>
      <c r="J549" s="20"/>
      <c r="K549" s="20"/>
      <c r="M549" s="20"/>
    </row>
    <row r="550" spans="9:13" x14ac:dyDescent="0.3">
      <c r="I550" s="20"/>
      <c r="J550" s="20"/>
      <c r="K550" s="20"/>
      <c r="M550" s="20"/>
    </row>
    <row r="551" spans="9:13" x14ac:dyDescent="0.3">
      <c r="I551" s="20"/>
      <c r="J551" s="20"/>
      <c r="K551" s="20"/>
      <c r="M551" s="20"/>
    </row>
    <row r="552" spans="9:13" x14ac:dyDescent="0.3">
      <c r="I552" s="20"/>
      <c r="J552" s="20"/>
      <c r="K552" s="20"/>
      <c r="M552" s="20"/>
    </row>
    <row r="553" spans="9:13" x14ac:dyDescent="0.3">
      <c r="I553" s="20"/>
      <c r="J553" s="20"/>
      <c r="K553" s="20"/>
      <c r="M553" s="20"/>
    </row>
    <row r="554" spans="9:13" x14ac:dyDescent="0.3">
      <c r="I554" s="20"/>
      <c r="J554" s="20"/>
      <c r="K554" s="20"/>
      <c r="M554" s="20"/>
    </row>
    <row r="555" spans="9:13" x14ac:dyDescent="0.3">
      <c r="I555" s="20"/>
      <c r="J555" s="20"/>
      <c r="K555" s="20"/>
      <c r="M555" s="20"/>
    </row>
    <row r="556" spans="9:13" x14ac:dyDescent="0.3">
      <c r="I556" s="20"/>
      <c r="J556" s="20"/>
      <c r="K556" s="20"/>
      <c r="M556" s="20"/>
    </row>
    <row r="557" spans="9:13" x14ac:dyDescent="0.3">
      <c r="I557" s="20"/>
      <c r="J557" s="20"/>
      <c r="K557" s="20"/>
      <c r="M557" s="20"/>
    </row>
    <row r="558" spans="9:13" x14ac:dyDescent="0.3">
      <c r="I558" s="20"/>
      <c r="J558" s="20"/>
      <c r="K558" s="20"/>
      <c r="M558" s="20"/>
    </row>
    <row r="559" spans="9:13" x14ac:dyDescent="0.3">
      <c r="I559" s="20"/>
      <c r="J559" s="20"/>
      <c r="K559" s="20"/>
      <c r="M559" s="20"/>
    </row>
    <row r="560" spans="9:13" x14ac:dyDescent="0.3">
      <c r="I560" s="20"/>
      <c r="J560" s="20"/>
      <c r="K560" s="20"/>
      <c r="M560" s="20"/>
    </row>
    <row r="561" spans="9:13" x14ac:dyDescent="0.3">
      <c r="I561" s="20"/>
      <c r="J561" s="20"/>
      <c r="K561" s="20"/>
      <c r="M561" s="20"/>
    </row>
    <row r="562" spans="9:13" x14ac:dyDescent="0.3">
      <c r="I562" s="20"/>
      <c r="J562" s="20"/>
      <c r="K562" s="20"/>
      <c r="M562" s="20"/>
    </row>
    <row r="563" spans="9:13" x14ac:dyDescent="0.3">
      <c r="I563" s="20"/>
      <c r="J563" s="20"/>
      <c r="K563" s="20"/>
      <c r="M563" s="20"/>
    </row>
    <row r="564" spans="9:13" x14ac:dyDescent="0.3">
      <c r="I564" s="20"/>
      <c r="J564" s="20"/>
      <c r="K564" s="20"/>
      <c r="M564" s="20"/>
    </row>
    <row r="565" spans="9:13" x14ac:dyDescent="0.3">
      <c r="I565" s="20"/>
      <c r="J565" s="20"/>
      <c r="K565" s="20"/>
      <c r="M565" s="20"/>
    </row>
    <row r="566" spans="9:13" x14ac:dyDescent="0.3">
      <c r="I566" s="20"/>
      <c r="J566" s="20"/>
      <c r="K566" s="20"/>
      <c r="M566" s="20"/>
    </row>
    <row r="567" spans="9:13" x14ac:dyDescent="0.3">
      <c r="I567" s="20"/>
      <c r="J567" s="20"/>
      <c r="K567" s="20"/>
      <c r="M567" s="20"/>
    </row>
    <row r="568" spans="9:13" x14ac:dyDescent="0.3">
      <c r="I568" s="20"/>
      <c r="J568" s="20"/>
      <c r="K568" s="20"/>
      <c r="M568" s="20"/>
    </row>
    <row r="569" spans="9:13" x14ac:dyDescent="0.3">
      <c r="I569" s="20"/>
      <c r="J569" s="20"/>
      <c r="K569" s="20"/>
      <c r="M569" s="20"/>
    </row>
    <row r="570" spans="9:13" x14ac:dyDescent="0.3">
      <c r="I570" s="20"/>
      <c r="J570" s="20"/>
      <c r="K570" s="20"/>
      <c r="M570" s="20"/>
    </row>
    <row r="571" spans="9:13" x14ac:dyDescent="0.3">
      <c r="I571" s="20"/>
      <c r="J571" s="20"/>
      <c r="K571" s="20"/>
      <c r="M571" s="20"/>
    </row>
    <row r="572" spans="9:13" x14ac:dyDescent="0.3">
      <c r="I572" s="20"/>
      <c r="J572" s="20"/>
      <c r="K572" s="20"/>
      <c r="M572" s="20"/>
    </row>
    <row r="573" spans="9:13" x14ac:dyDescent="0.3">
      <c r="I573" s="20"/>
      <c r="J573" s="20"/>
      <c r="K573" s="20"/>
      <c r="M573" s="20"/>
    </row>
    <row r="574" spans="9:13" x14ac:dyDescent="0.3">
      <c r="I574" s="20"/>
      <c r="J574" s="20"/>
      <c r="K574" s="20"/>
      <c r="M574" s="20"/>
    </row>
    <row r="575" spans="9:13" x14ac:dyDescent="0.3">
      <c r="I575" s="20"/>
      <c r="J575" s="20"/>
      <c r="K575" s="20"/>
      <c r="M575" s="20"/>
    </row>
    <row r="576" spans="9:13" x14ac:dyDescent="0.3">
      <c r="I576" s="20"/>
      <c r="J576" s="20"/>
      <c r="K576" s="20"/>
      <c r="M576" s="20"/>
    </row>
    <row r="577" spans="9:13" x14ac:dyDescent="0.3">
      <c r="I577" s="20"/>
      <c r="J577" s="20"/>
      <c r="K577" s="20"/>
      <c r="M577" s="20"/>
    </row>
  </sheetData>
  <sheetProtection password="DD15" sheet="1" objects="1" scenarios="1"/>
  <phoneticPr fontId="0" type="noConversion"/>
  <pageMargins left="0.25" right="0" top="0.25" bottom="0" header="0" footer="0"/>
  <pageSetup scale="8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D77"/>
  <sheetViews>
    <sheetView showGridLines="0" showZeros="0" topLeftCell="A9" zoomScale="65" workbookViewId="0"/>
  </sheetViews>
  <sheetFormatPr defaultColWidth="9.109375" defaultRowHeight="13.2" x14ac:dyDescent="0.25"/>
  <cols>
    <col min="1" max="1" width="18.44140625" style="2" customWidth="1"/>
    <col min="2" max="2" width="17" style="2" customWidth="1"/>
    <col min="3" max="3" width="18" style="2" customWidth="1"/>
    <col min="4" max="4" width="19.5546875" style="2" customWidth="1"/>
    <col min="5" max="6" width="24.6640625" style="2" customWidth="1"/>
    <col min="7" max="7" width="17" style="2" customWidth="1"/>
    <col min="8" max="8" width="18" style="2" customWidth="1"/>
    <col min="9" max="10" width="21.88671875" style="2" customWidth="1"/>
    <col min="11" max="12" width="15.88671875" style="2" customWidth="1"/>
    <col min="13" max="16" width="9.109375" style="2"/>
    <col min="17" max="17" width="9.109375" style="5"/>
    <col min="18" max="18" width="10.33203125" style="5" customWidth="1"/>
    <col min="19" max="19" width="9.109375" style="5"/>
    <col min="20" max="20" width="9.109375" style="2"/>
    <col min="21" max="22" width="9.109375" style="5"/>
    <col min="23" max="16384" width="9.109375" style="2"/>
  </cols>
  <sheetData>
    <row r="1" spans="1:56" ht="16.2" thickBot="1" x14ac:dyDescent="0.35">
      <c r="A1" s="4"/>
      <c r="B1" s="4"/>
      <c r="C1" s="4"/>
      <c r="D1" s="4"/>
      <c r="E1" s="4"/>
      <c r="F1" s="4"/>
      <c r="G1" s="4"/>
      <c r="H1" s="4"/>
      <c r="I1" s="4"/>
      <c r="J1" s="248" t="s">
        <v>139</v>
      </c>
    </row>
    <row r="2" spans="1:56" ht="15.6" x14ac:dyDescent="0.3">
      <c r="A2" s="18"/>
      <c r="B2" s="20"/>
      <c r="C2" s="20"/>
      <c r="D2" s="20"/>
      <c r="E2" s="18"/>
      <c r="F2" s="18"/>
      <c r="G2" s="18"/>
      <c r="H2" s="18"/>
      <c r="I2" s="18"/>
      <c r="K2" s="5"/>
      <c r="L2" s="5"/>
      <c r="M2" s="5"/>
      <c r="N2" s="5"/>
      <c r="P2" s="55"/>
      <c r="Q2" s="56"/>
      <c r="R2" s="56"/>
      <c r="S2" s="56"/>
      <c r="T2" s="61"/>
      <c r="U2" s="56"/>
      <c r="V2" s="67"/>
    </row>
    <row r="3" spans="1:56" ht="18" x14ac:dyDescent="0.35">
      <c r="A3" s="20"/>
      <c r="B3" s="362"/>
      <c r="C3" s="362" t="s">
        <v>103</v>
      </c>
      <c r="D3" s="362"/>
      <c r="E3" s="263"/>
      <c r="F3" s="263"/>
      <c r="G3" s="362"/>
      <c r="H3" s="362" t="s">
        <v>103</v>
      </c>
      <c r="I3" s="362"/>
      <c r="J3" s="20"/>
      <c r="K3" s="5"/>
      <c r="L3" s="5"/>
      <c r="M3" s="5"/>
      <c r="N3" s="5"/>
      <c r="P3" s="240" t="s">
        <v>56</v>
      </c>
      <c r="Q3" s="241" t="s">
        <v>56</v>
      </c>
      <c r="R3" s="241" t="s">
        <v>59</v>
      </c>
      <c r="S3" s="61"/>
      <c r="T3" s="241" t="s">
        <v>56</v>
      </c>
      <c r="U3" s="241" t="s">
        <v>56</v>
      </c>
      <c r="V3" s="242" t="s">
        <v>56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8" x14ac:dyDescent="0.35">
      <c r="A4" s="20"/>
      <c r="B4" s="363" t="s">
        <v>58</v>
      </c>
      <c r="C4" s="364" t="s">
        <v>114</v>
      </c>
      <c r="D4" s="363" t="s">
        <v>60</v>
      </c>
      <c r="E4" s="263"/>
      <c r="F4" s="263"/>
      <c r="G4" s="363" t="s">
        <v>58</v>
      </c>
      <c r="H4" s="364" t="s">
        <v>114</v>
      </c>
      <c r="I4" s="363" t="s">
        <v>60</v>
      </c>
      <c r="J4" s="20"/>
      <c r="K4" s="5"/>
      <c r="L4" s="5"/>
      <c r="M4" s="5"/>
      <c r="N4" s="5"/>
      <c r="P4" s="62">
        <f>YEAR(Income!D6)</f>
        <v>2016</v>
      </c>
      <c r="Q4" s="56">
        <f>IF(P4=1900,0,P4)</f>
        <v>2016</v>
      </c>
      <c r="R4" s="243">
        <f>IF(Proposal!I7="y",Proposal!A7*Proposal!G7*10,Proposal!A7*1000)</f>
        <v>200000</v>
      </c>
      <c r="S4" s="61"/>
      <c r="T4" s="56">
        <v>1999</v>
      </c>
      <c r="U4" s="56">
        <v>2011</v>
      </c>
      <c r="V4" s="67">
        <v>2023</v>
      </c>
    </row>
    <row r="5" spans="1:56" ht="18" x14ac:dyDescent="0.35">
      <c r="A5" s="20"/>
      <c r="B5" s="264">
        <v>1999</v>
      </c>
      <c r="C5" s="265">
        <f>DSUM($Q$3:$R$25,"Value",T3:T4)/1000</f>
        <v>0</v>
      </c>
      <c r="D5" s="266">
        <f>C5/R$26</f>
        <v>0</v>
      </c>
      <c r="E5" s="263"/>
      <c r="F5" s="263"/>
      <c r="G5" s="265">
        <v>2014</v>
      </c>
      <c r="H5" s="265">
        <f>DSUM($Q$3:$R$25,"Value",U9:U10)/1000</f>
        <v>0</v>
      </c>
      <c r="I5" s="266">
        <f>H5/R$26</f>
        <v>0</v>
      </c>
      <c r="J5" s="20"/>
      <c r="K5" s="5"/>
      <c r="L5" s="5"/>
      <c r="M5" s="5"/>
      <c r="N5" s="5"/>
      <c r="P5" s="62">
        <f>YEAR(Income!D7)</f>
        <v>2017</v>
      </c>
      <c r="Q5" s="56">
        <f t="shared" ref="Q5:Q21" si="0">IF(P5=1900,0,P5)</f>
        <v>2017</v>
      </c>
      <c r="R5" s="243">
        <f>IF(Proposal!I8="y",Proposal!A8*Proposal!G8*10,Proposal!A8*1000)</f>
        <v>200000</v>
      </c>
      <c r="S5" s="61"/>
      <c r="T5" s="241" t="s">
        <v>56</v>
      </c>
      <c r="U5" s="241" t="s">
        <v>56</v>
      </c>
      <c r="V5" s="242" t="s">
        <v>56</v>
      </c>
    </row>
    <row r="6" spans="1:56" ht="18" x14ac:dyDescent="0.35">
      <c r="A6" s="20"/>
      <c r="B6" s="265">
        <v>2000</v>
      </c>
      <c r="C6" s="265">
        <f>DSUM($Q$3:$R$25,"Value",T5:T6)/1000</f>
        <v>0</v>
      </c>
      <c r="D6" s="266">
        <f t="shared" ref="D6:D19" si="1">C6/R$26</f>
        <v>0</v>
      </c>
      <c r="E6" s="263"/>
      <c r="F6" s="263"/>
      <c r="G6" s="265">
        <v>2015</v>
      </c>
      <c r="H6" s="265">
        <f>DSUM($Q$3:$R$25,"Value",U11:U12)/1000</f>
        <v>0</v>
      </c>
      <c r="I6" s="266">
        <f t="shared" ref="I6:I19" si="2">H6/R$26</f>
        <v>0</v>
      </c>
      <c r="J6" s="20"/>
      <c r="K6" s="5"/>
      <c r="L6" s="5"/>
      <c r="M6" s="5"/>
      <c r="N6" s="5"/>
      <c r="P6" s="62">
        <f>YEAR(Income!D8)</f>
        <v>2018</v>
      </c>
      <c r="Q6" s="56">
        <f t="shared" si="0"/>
        <v>2018</v>
      </c>
      <c r="R6" s="243">
        <f>IF(Proposal!I9="y",Proposal!A9*Proposal!G9*10,Proposal!A9*1000)</f>
        <v>200000</v>
      </c>
      <c r="S6" s="61"/>
      <c r="T6" s="56">
        <v>2000</v>
      </c>
      <c r="U6" s="56">
        <v>2012</v>
      </c>
      <c r="V6" s="67">
        <v>2024</v>
      </c>
    </row>
    <row r="7" spans="1:56" ht="18" x14ac:dyDescent="0.35">
      <c r="A7" s="20"/>
      <c r="B7" s="265">
        <v>2001</v>
      </c>
      <c r="C7" s="265">
        <f>DSUM($Q$3:$R$25,"Value",T7:T8)/1000</f>
        <v>0</v>
      </c>
      <c r="D7" s="266">
        <f t="shared" si="1"/>
        <v>0</v>
      </c>
      <c r="E7" s="263"/>
      <c r="F7" s="263"/>
      <c r="G7" s="265">
        <v>2016</v>
      </c>
      <c r="H7" s="265">
        <f>DSUM($Q$3:$R$25,"Value",U13:U14)/1000</f>
        <v>200</v>
      </c>
      <c r="I7" s="266">
        <f t="shared" si="2"/>
        <v>0.1</v>
      </c>
      <c r="J7" s="20"/>
      <c r="K7" s="5"/>
      <c r="L7" s="5"/>
      <c r="M7" s="5"/>
      <c r="N7" s="5"/>
      <c r="P7" s="62">
        <f>YEAR(Income!D9)</f>
        <v>2019</v>
      </c>
      <c r="Q7" s="56">
        <f t="shared" si="0"/>
        <v>2019</v>
      </c>
      <c r="R7" s="243">
        <f>IF(Proposal!I10="y",Proposal!A10*Proposal!G10*10,Proposal!A10*1000)</f>
        <v>200000</v>
      </c>
      <c r="S7" s="61"/>
      <c r="T7" s="241" t="s">
        <v>56</v>
      </c>
      <c r="U7" s="241" t="s">
        <v>56</v>
      </c>
      <c r="V7" s="242" t="s">
        <v>56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</row>
    <row r="8" spans="1:56" ht="18" x14ac:dyDescent="0.35">
      <c r="A8" s="20"/>
      <c r="B8" s="265">
        <v>2002</v>
      </c>
      <c r="C8" s="265">
        <f>DSUM($Q$3:$R$25,"Value",T9:T10)/1000</f>
        <v>0</v>
      </c>
      <c r="D8" s="266">
        <f t="shared" si="1"/>
        <v>0</v>
      </c>
      <c r="E8" s="263"/>
      <c r="F8" s="263"/>
      <c r="G8" s="265">
        <v>2017</v>
      </c>
      <c r="H8" s="265">
        <f>DSUM($Q$3:$R$25,"Value",U15:U16)/1000</f>
        <v>200</v>
      </c>
      <c r="I8" s="266">
        <f t="shared" si="2"/>
        <v>0.1</v>
      </c>
      <c r="J8" s="20"/>
      <c r="K8" s="5"/>
      <c r="L8" s="5"/>
      <c r="M8" s="5"/>
      <c r="N8" s="5"/>
      <c r="P8" s="62">
        <f>YEAR(Income!D10)</f>
        <v>2020</v>
      </c>
      <c r="Q8" s="56">
        <f t="shared" si="0"/>
        <v>2020</v>
      </c>
      <c r="R8" s="243">
        <f>IF(Proposal!I11="y",Proposal!A11*Proposal!G11*10,Proposal!A11*1000)</f>
        <v>200000</v>
      </c>
      <c r="S8" s="61"/>
      <c r="T8" s="56">
        <v>2001</v>
      </c>
      <c r="U8" s="56">
        <v>2013</v>
      </c>
      <c r="V8" s="67">
        <v>2025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ht="18" x14ac:dyDescent="0.35">
      <c r="A9" s="20"/>
      <c r="B9" s="265">
        <v>2003</v>
      </c>
      <c r="C9" s="265">
        <f>DSUM($Q$3:$R$25,"Value",T11:T12)/1000</f>
        <v>0</v>
      </c>
      <c r="D9" s="266">
        <f t="shared" si="1"/>
        <v>0</v>
      </c>
      <c r="E9" s="263"/>
      <c r="F9" s="263"/>
      <c r="G9" s="265">
        <v>2018</v>
      </c>
      <c r="H9" s="265">
        <f>DSUM($Q$3:$R$25,"Value",U17:U18)/1000</f>
        <v>200</v>
      </c>
      <c r="I9" s="266">
        <f t="shared" si="2"/>
        <v>0.1</v>
      </c>
      <c r="J9" s="20"/>
      <c r="K9" s="5"/>
      <c r="L9" s="5"/>
      <c r="M9" s="5"/>
      <c r="N9" s="5"/>
      <c r="P9" s="62">
        <f>YEAR(Income!D11)</f>
        <v>2021</v>
      </c>
      <c r="Q9" s="56">
        <f t="shared" si="0"/>
        <v>2021</v>
      </c>
      <c r="R9" s="243">
        <f>IF(Proposal!I12="y",Proposal!A12*Proposal!G12*10,Proposal!A12*1000)</f>
        <v>200000</v>
      </c>
      <c r="S9" s="61"/>
      <c r="T9" s="241" t="s">
        <v>56</v>
      </c>
      <c r="U9" s="241" t="s">
        <v>56</v>
      </c>
      <c r="V9" s="242" t="s">
        <v>56</v>
      </c>
    </row>
    <row r="10" spans="1:56" ht="18" x14ac:dyDescent="0.35">
      <c r="A10" s="20"/>
      <c r="B10" s="265">
        <v>2004</v>
      </c>
      <c r="C10" s="265">
        <f>DSUM($Q$3:$R$25,"Value",T13:T14)/1000</f>
        <v>0</v>
      </c>
      <c r="D10" s="266">
        <f t="shared" si="1"/>
        <v>0</v>
      </c>
      <c r="E10" s="263"/>
      <c r="F10" s="263"/>
      <c r="G10" s="265">
        <v>2019</v>
      </c>
      <c r="H10" s="265">
        <f>DSUM($Q$3:$R$25,"Value",U19:U20)/1000</f>
        <v>200</v>
      </c>
      <c r="I10" s="266">
        <f t="shared" si="2"/>
        <v>0.1</v>
      </c>
      <c r="J10" s="20"/>
      <c r="K10" s="5"/>
      <c r="L10" s="5"/>
      <c r="M10" s="5"/>
      <c r="N10" s="5"/>
      <c r="P10" s="62">
        <f>YEAR(Income!D12)</f>
        <v>2023</v>
      </c>
      <c r="Q10" s="56">
        <f t="shared" si="0"/>
        <v>2023</v>
      </c>
      <c r="R10" s="243">
        <f>IF(Proposal!I13="y",Proposal!A13*Proposal!G13*10,Proposal!A13*1000)</f>
        <v>200000</v>
      </c>
      <c r="S10" s="61"/>
      <c r="T10" s="56">
        <v>2002</v>
      </c>
      <c r="U10" s="56">
        <v>2014</v>
      </c>
      <c r="V10" s="67">
        <v>2026</v>
      </c>
    </row>
    <row r="11" spans="1:56" ht="18" x14ac:dyDescent="0.35">
      <c r="A11" s="20"/>
      <c r="B11" s="265">
        <v>2005</v>
      </c>
      <c r="C11" s="265">
        <f>DSUM($Q$3:$R$25,"Value",T15:T16)/1000</f>
        <v>0</v>
      </c>
      <c r="D11" s="266">
        <f t="shared" si="1"/>
        <v>0</v>
      </c>
      <c r="E11" s="263"/>
      <c r="F11" s="263"/>
      <c r="G11" s="265">
        <v>2020</v>
      </c>
      <c r="H11" s="265">
        <f>DSUM($Q$3:$R$25,"Value",U21:U22)/1000</f>
        <v>200</v>
      </c>
      <c r="I11" s="266">
        <f t="shared" si="2"/>
        <v>0.1</v>
      </c>
      <c r="J11" s="20"/>
      <c r="K11" s="5"/>
      <c r="L11" s="5"/>
      <c r="M11" s="5"/>
      <c r="N11" s="5"/>
      <c r="P11" s="62">
        <f>YEAR(Income!D13)</f>
        <v>2025</v>
      </c>
      <c r="Q11" s="56">
        <f t="shared" si="0"/>
        <v>2025</v>
      </c>
      <c r="R11" s="243">
        <f>IF(Proposal!I14="y",Proposal!A14*Proposal!G14*10,Proposal!A14*1000)</f>
        <v>100000</v>
      </c>
      <c r="S11" s="61"/>
      <c r="T11" s="241" t="s">
        <v>56</v>
      </c>
      <c r="U11" s="241" t="s">
        <v>56</v>
      </c>
      <c r="V11" s="242" t="s">
        <v>56</v>
      </c>
    </row>
    <row r="12" spans="1:56" ht="18" x14ac:dyDescent="0.35">
      <c r="A12" s="20"/>
      <c r="B12" s="265">
        <v>2006</v>
      </c>
      <c r="C12" s="265">
        <f>DSUM($Q$3:$R$25,"Value",T17:T18)/1000</f>
        <v>0</v>
      </c>
      <c r="D12" s="266">
        <f t="shared" si="1"/>
        <v>0</v>
      </c>
      <c r="E12" s="263"/>
      <c r="F12" s="263"/>
      <c r="G12" s="265">
        <v>2021</v>
      </c>
      <c r="H12" s="265">
        <f>DSUM($Q$3:$R$25,"Value",U23:U24)/1000</f>
        <v>200</v>
      </c>
      <c r="I12" s="266">
        <f t="shared" si="2"/>
        <v>0.1</v>
      </c>
      <c r="J12" s="20"/>
      <c r="K12" s="5"/>
      <c r="L12" s="5"/>
      <c r="M12" s="5"/>
      <c r="N12" s="5"/>
      <c r="P12" s="62">
        <f>YEAR(Income!D14)</f>
        <v>2025</v>
      </c>
      <c r="Q12" s="56">
        <f t="shared" si="0"/>
        <v>2025</v>
      </c>
      <c r="R12" s="243">
        <f>IF(Proposal!I15="y",Proposal!A15*Proposal!G15*10,Proposal!A15*1000)</f>
        <v>100000</v>
      </c>
      <c r="S12" s="61"/>
      <c r="T12" s="56">
        <v>2003</v>
      </c>
      <c r="U12" s="56">
        <v>2015</v>
      </c>
      <c r="V12" s="67">
        <v>2027</v>
      </c>
    </row>
    <row r="13" spans="1:56" ht="18" x14ac:dyDescent="0.35">
      <c r="A13" s="20"/>
      <c r="B13" s="265">
        <v>2007</v>
      </c>
      <c r="C13" s="265">
        <f>DSUM($Q$3:$R$25,"Value",T19:T20)/1000</f>
        <v>0</v>
      </c>
      <c r="D13" s="266">
        <f t="shared" si="1"/>
        <v>0</v>
      </c>
      <c r="E13" s="263"/>
      <c r="F13" s="263"/>
      <c r="G13" s="265">
        <v>2022</v>
      </c>
      <c r="H13" s="265">
        <f>DSUM($Q$3:$R$25,"Value",U25:U26)/1000</f>
        <v>0</v>
      </c>
      <c r="I13" s="266">
        <f t="shared" si="2"/>
        <v>0</v>
      </c>
      <c r="J13" s="20"/>
      <c r="K13" s="5"/>
      <c r="L13" s="5"/>
      <c r="M13" s="5"/>
      <c r="N13" s="5"/>
      <c r="P13" s="62">
        <f>YEAR(Income!D15)</f>
        <v>2026</v>
      </c>
      <c r="Q13" s="56">
        <f t="shared" si="0"/>
        <v>2026</v>
      </c>
      <c r="R13" s="243">
        <f>IF(Proposal!I16="y",Proposal!A16*Proposal!G16*10,Proposal!A16*1000)</f>
        <v>200000</v>
      </c>
      <c r="S13" s="61"/>
      <c r="T13" s="241" t="s">
        <v>56</v>
      </c>
      <c r="U13" s="241" t="s">
        <v>56</v>
      </c>
      <c r="V13" s="242" t="s">
        <v>56</v>
      </c>
    </row>
    <row r="14" spans="1:56" ht="18" x14ac:dyDescent="0.35">
      <c r="A14" s="20"/>
      <c r="B14" s="265">
        <v>2008</v>
      </c>
      <c r="C14" s="265">
        <f>DSUM($Q$3:$R$25,"Value",T21:T22)/1000</f>
        <v>0</v>
      </c>
      <c r="D14" s="266">
        <f t="shared" si="1"/>
        <v>0</v>
      </c>
      <c r="E14" s="263"/>
      <c r="F14" s="263"/>
      <c r="G14" s="265">
        <v>2023</v>
      </c>
      <c r="H14" s="265">
        <f>DSUM($Q$3:$R$25,"Value",V3:V4)/1000</f>
        <v>200</v>
      </c>
      <c r="I14" s="266">
        <f t="shared" si="2"/>
        <v>0.1</v>
      </c>
      <c r="J14" s="20"/>
      <c r="K14" s="5"/>
      <c r="L14" s="5"/>
      <c r="M14" s="5"/>
      <c r="N14" s="5"/>
      <c r="P14" s="62">
        <f>YEAR(Income!D16)</f>
        <v>2027</v>
      </c>
      <c r="Q14" s="56">
        <f t="shared" si="0"/>
        <v>2027</v>
      </c>
      <c r="R14" s="243">
        <f>IF(Proposal!I17="y",Proposal!A17*Proposal!G17*10,Proposal!A17*1000)</f>
        <v>200000</v>
      </c>
      <c r="S14" s="61"/>
      <c r="T14" s="56">
        <v>2004</v>
      </c>
      <c r="U14" s="56">
        <v>2016</v>
      </c>
      <c r="V14" s="67">
        <v>2028</v>
      </c>
    </row>
    <row r="15" spans="1:56" ht="18" x14ac:dyDescent="0.35">
      <c r="A15" s="20"/>
      <c r="B15" s="265">
        <v>2009</v>
      </c>
      <c r="C15" s="265">
        <f>DSUM($Q$3:$R$25,"Value",T23:T24)/1000</f>
        <v>0</v>
      </c>
      <c r="D15" s="266">
        <f t="shared" si="1"/>
        <v>0</v>
      </c>
      <c r="E15" s="263"/>
      <c r="F15" s="263"/>
      <c r="G15" s="265">
        <v>2024</v>
      </c>
      <c r="H15" s="265">
        <f>DSUM($Q$3:$R$25,"Value",V5:V6)/1000</f>
        <v>0</v>
      </c>
      <c r="I15" s="266">
        <f t="shared" si="2"/>
        <v>0</v>
      </c>
      <c r="J15" s="20"/>
      <c r="K15" s="5"/>
      <c r="L15" s="5"/>
      <c r="M15" s="5"/>
      <c r="N15" s="5"/>
      <c r="P15" s="62">
        <f>YEAR(Income!D17)</f>
        <v>1900</v>
      </c>
      <c r="Q15" s="56">
        <f t="shared" si="0"/>
        <v>0</v>
      </c>
      <c r="R15" s="243">
        <f>IF(Proposal!I18="y",Proposal!A18*Proposal!G18*10,Proposal!A18*1000)</f>
        <v>0</v>
      </c>
      <c r="S15" s="61"/>
      <c r="T15" s="241" t="s">
        <v>56</v>
      </c>
      <c r="U15" s="241" t="s">
        <v>56</v>
      </c>
      <c r="V15" s="67">
        <v>2029</v>
      </c>
    </row>
    <row r="16" spans="1:56" ht="18" x14ac:dyDescent="0.35">
      <c r="A16" s="20"/>
      <c r="B16" s="265">
        <v>2010</v>
      </c>
      <c r="C16" s="265">
        <f>DSUM($Q$3:$R$25,"Value",T25:T26)/1000</f>
        <v>0</v>
      </c>
      <c r="D16" s="266">
        <f t="shared" si="1"/>
        <v>0</v>
      </c>
      <c r="E16" s="263"/>
      <c r="F16" s="263"/>
      <c r="G16" s="265">
        <v>2025</v>
      </c>
      <c r="H16" s="265">
        <f>DSUM($Q$3:$R$25,"Value",V7:V8)/1000</f>
        <v>200</v>
      </c>
      <c r="I16" s="266">
        <f t="shared" si="2"/>
        <v>0.1</v>
      </c>
      <c r="J16" s="20"/>
      <c r="K16" s="5"/>
      <c r="L16" s="5"/>
      <c r="M16" s="5"/>
      <c r="N16" s="5"/>
      <c r="P16" s="62">
        <f>YEAR(Income!D18)</f>
        <v>1900</v>
      </c>
      <c r="Q16" s="56">
        <f t="shared" si="0"/>
        <v>0</v>
      </c>
      <c r="R16" s="243">
        <f>IF(Proposal!I19="y",Proposal!A19*Proposal!G19*10,Proposal!A19*1000)</f>
        <v>0</v>
      </c>
      <c r="S16" s="61"/>
      <c r="T16" s="56">
        <v>2005</v>
      </c>
      <c r="U16" s="56">
        <v>2017</v>
      </c>
      <c r="V16" s="67">
        <v>2030</v>
      </c>
    </row>
    <row r="17" spans="1:22" ht="18" x14ac:dyDescent="0.35">
      <c r="A17" s="20"/>
      <c r="B17" s="265">
        <v>2011</v>
      </c>
      <c r="C17" s="265">
        <f>DSUM($Q$3:$R$25,"Value",U3:U4)/1000</f>
        <v>0</v>
      </c>
      <c r="D17" s="266">
        <f t="shared" si="1"/>
        <v>0</v>
      </c>
      <c r="E17" s="263"/>
      <c r="F17" s="263"/>
      <c r="G17" s="265">
        <v>2026</v>
      </c>
      <c r="H17" s="265">
        <f>DSUM($Q$3:$R$25,"Value",V9:V10)/1000</f>
        <v>200</v>
      </c>
      <c r="I17" s="266">
        <f t="shared" si="2"/>
        <v>0.1</v>
      </c>
      <c r="J17" s="20"/>
      <c r="K17" s="5"/>
      <c r="L17" s="5"/>
      <c r="M17" s="5"/>
      <c r="N17" s="5"/>
      <c r="P17" s="62">
        <f>YEAR(Income!D19)</f>
        <v>1900</v>
      </c>
      <c r="Q17" s="56">
        <f t="shared" si="0"/>
        <v>0</v>
      </c>
      <c r="R17" s="243">
        <f>IF(Proposal!I20="y",Proposal!A20*Proposal!G20*10,Proposal!A20*1000)</f>
        <v>0</v>
      </c>
      <c r="S17" s="61"/>
      <c r="T17" s="241" t="s">
        <v>56</v>
      </c>
      <c r="U17" s="241" t="s">
        <v>56</v>
      </c>
      <c r="V17" s="67">
        <v>2031</v>
      </c>
    </row>
    <row r="18" spans="1:22" ht="18" x14ac:dyDescent="0.35">
      <c r="A18" s="20"/>
      <c r="B18" s="265">
        <v>2012</v>
      </c>
      <c r="C18" s="265">
        <f>DSUM($Q$3:$R$25,"Value",U5:U6)/1000</f>
        <v>0</v>
      </c>
      <c r="D18" s="266">
        <f t="shared" si="1"/>
        <v>0</v>
      </c>
      <c r="E18" s="263"/>
      <c r="F18" s="263"/>
      <c r="G18" s="265">
        <v>2027</v>
      </c>
      <c r="H18" s="265">
        <f>DSUM($Q$3:$R$25,"Value",V11:V12)/1000</f>
        <v>200</v>
      </c>
      <c r="I18" s="266">
        <f t="shared" si="2"/>
        <v>0.1</v>
      </c>
      <c r="J18" s="18"/>
      <c r="K18" s="5"/>
      <c r="L18" s="5"/>
      <c r="M18" s="5"/>
      <c r="N18" s="5"/>
      <c r="P18" s="62">
        <f>YEAR(Income!D20)</f>
        <v>1900</v>
      </c>
      <c r="Q18" s="56">
        <f t="shared" si="0"/>
        <v>0</v>
      </c>
      <c r="R18" s="243">
        <f>IF(Proposal!I21="y",Proposal!A21*Proposal!G21*10,Proposal!A21*1000)</f>
        <v>0</v>
      </c>
      <c r="S18" s="61"/>
      <c r="T18" s="56">
        <v>2006</v>
      </c>
      <c r="U18" s="56">
        <v>2018</v>
      </c>
      <c r="V18" s="67">
        <v>2032</v>
      </c>
    </row>
    <row r="19" spans="1:22" ht="18" x14ac:dyDescent="0.35">
      <c r="A19" s="20"/>
      <c r="B19" s="265">
        <v>2013</v>
      </c>
      <c r="C19" s="265">
        <f>DSUM($Q$3:$R$25,"Value",U7:U8)/1000</f>
        <v>0</v>
      </c>
      <c r="D19" s="266">
        <f t="shared" si="1"/>
        <v>0</v>
      </c>
      <c r="E19" s="263"/>
      <c r="F19" s="263"/>
      <c r="G19" s="265" t="s">
        <v>61</v>
      </c>
      <c r="H19" s="265">
        <f>DSUM($Q$3:$R$25,"Value",V13:V27)/1000</f>
        <v>0</v>
      </c>
      <c r="I19" s="266">
        <f t="shared" si="2"/>
        <v>0</v>
      </c>
      <c r="J19" s="18"/>
      <c r="K19" s="5"/>
      <c r="L19" s="5"/>
      <c r="M19" s="5"/>
      <c r="N19" s="5"/>
      <c r="P19" s="62">
        <f>YEAR(Income!D21)</f>
        <v>1900</v>
      </c>
      <c r="Q19" s="56">
        <f t="shared" si="0"/>
        <v>0</v>
      </c>
      <c r="R19" s="243">
        <f>IF(Proposal!I22="y",Proposal!A22*Proposal!G22*10,Proposal!A22*1000)</f>
        <v>0</v>
      </c>
      <c r="S19" s="61"/>
      <c r="T19" s="241" t="s">
        <v>56</v>
      </c>
      <c r="U19" s="241" t="s">
        <v>56</v>
      </c>
      <c r="V19" s="67">
        <v>2033</v>
      </c>
    </row>
    <row r="20" spans="1:22" ht="15.6" x14ac:dyDescent="0.3">
      <c r="A20" s="20"/>
      <c r="B20" s="20"/>
      <c r="C20" s="20"/>
      <c r="D20" s="20"/>
      <c r="E20" s="20"/>
      <c r="F20" s="20"/>
      <c r="G20" s="20"/>
      <c r="H20" s="20"/>
      <c r="I20" s="20"/>
      <c r="J20" s="18"/>
      <c r="K20" s="5"/>
      <c r="L20" s="5"/>
      <c r="M20" s="5"/>
      <c r="N20" s="5"/>
      <c r="P20" s="62">
        <f>YEAR(Income!D22)</f>
        <v>1900</v>
      </c>
      <c r="Q20" s="56">
        <f t="shared" si="0"/>
        <v>0</v>
      </c>
      <c r="R20" s="243">
        <f>IF(Proposal!I23="y",Proposal!A23*Proposal!G23*10,Proposal!A23*1000)</f>
        <v>0</v>
      </c>
      <c r="S20" s="61"/>
      <c r="T20" s="56">
        <v>2007</v>
      </c>
      <c r="U20" s="56">
        <v>2019</v>
      </c>
      <c r="V20" s="67">
        <v>2034</v>
      </c>
    </row>
    <row r="21" spans="1:22" ht="15.6" x14ac:dyDescent="0.3">
      <c r="A21" s="20"/>
      <c r="B21" s="20"/>
      <c r="C21" s="20"/>
      <c r="D21" s="20"/>
      <c r="E21" s="18"/>
      <c r="F21" s="18"/>
      <c r="G21" s="18"/>
      <c r="H21" s="18"/>
      <c r="I21" s="18"/>
      <c r="J21" s="18"/>
      <c r="K21" s="5"/>
      <c r="L21" s="5"/>
      <c r="M21" s="5"/>
      <c r="N21" s="5"/>
      <c r="P21" s="62">
        <f>YEAR(Income!D23)</f>
        <v>1900</v>
      </c>
      <c r="Q21" s="56">
        <f t="shared" si="0"/>
        <v>0</v>
      </c>
      <c r="R21" s="243">
        <f>IF(Proposal!I24="y",Proposal!A24*Proposal!G24*10,Proposal!A24*1000)</f>
        <v>0</v>
      </c>
      <c r="S21" s="61"/>
      <c r="T21" s="241" t="s">
        <v>56</v>
      </c>
      <c r="U21" s="241" t="s">
        <v>56</v>
      </c>
      <c r="V21" s="67">
        <v>2035</v>
      </c>
    </row>
    <row r="22" spans="1:22" ht="15.6" x14ac:dyDescent="0.3">
      <c r="A22" s="20"/>
      <c r="B22" s="20"/>
      <c r="C22" s="20"/>
      <c r="D22" s="20"/>
      <c r="E22" s="20"/>
      <c r="F22" s="20"/>
      <c r="G22" s="20"/>
      <c r="H22" s="20"/>
      <c r="I22" s="18"/>
      <c r="J22" s="18"/>
      <c r="K22" s="5"/>
      <c r="L22" s="5"/>
      <c r="M22" s="5"/>
      <c r="N22" s="5"/>
      <c r="P22" s="62">
        <f>YEAR(Income!D24)</f>
        <v>1900</v>
      </c>
      <c r="Q22" s="56">
        <f>IF(P22=1900,0,P22)</f>
        <v>0</v>
      </c>
      <c r="R22" s="243">
        <f>IF(Proposal!I25="y",Proposal!A25*Proposal!G25*10,Proposal!A25*1000)</f>
        <v>0</v>
      </c>
      <c r="S22" s="61"/>
      <c r="T22" s="56">
        <v>2008</v>
      </c>
      <c r="U22" s="56">
        <v>2020</v>
      </c>
      <c r="V22" s="67">
        <v>2036</v>
      </c>
    </row>
    <row r="23" spans="1:22" ht="15.6" x14ac:dyDescent="0.3">
      <c r="A23" s="20"/>
      <c r="B23" s="20"/>
      <c r="C23" s="20"/>
      <c r="D23" s="20"/>
      <c r="E23" s="20"/>
      <c r="F23" s="20"/>
      <c r="G23" s="20"/>
      <c r="H23" s="20"/>
      <c r="I23" s="18"/>
      <c r="J23" s="18"/>
      <c r="K23" s="5"/>
      <c r="L23" s="5"/>
      <c r="M23" s="5"/>
      <c r="N23" s="5"/>
      <c r="P23" s="62">
        <f>YEAR(Income!D25)</f>
        <v>1900</v>
      </c>
      <c r="Q23" s="56">
        <f>IF(P23=1900,0,P23)</f>
        <v>0</v>
      </c>
      <c r="R23" s="243">
        <f>IF(Proposal!I26="y",Proposal!A26*Proposal!G26*10,Proposal!A26*1000)</f>
        <v>0</v>
      </c>
      <c r="S23" s="61"/>
      <c r="T23" s="241" t="s">
        <v>56</v>
      </c>
      <c r="U23" s="241" t="s">
        <v>56</v>
      </c>
      <c r="V23" s="67">
        <v>2037</v>
      </c>
    </row>
    <row r="24" spans="1:22" ht="15.6" x14ac:dyDescent="0.3">
      <c r="A24" s="20"/>
      <c r="B24" s="20"/>
      <c r="C24" s="20"/>
      <c r="D24" s="20"/>
      <c r="E24" s="20"/>
      <c r="F24" s="20"/>
      <c r="G24" s="20"/>
      <c r="H24" s="20"/>
      <c r="I24" s="18"/>
      <c r="J24" s="18"/>
      <c r="K24" s="5"/>
      <c r="L24" s="5"/>
      <c r="M24" s="5"/>
      <c r="N24" s="5"/>
      <c r="P24" s="62">
        <f>YEAR(Income!D26)</f>
        <v>1900</v>
      </c>
      <c r="Q24" s="56">
        <f>IF(P24=1900,0,P24)</f>
        <v>0</v>
      </c>
      <c r="R24" s="243">
        <f>IF(Proposal!I27="y",Proposal!A27*Proposal!G27*10,Proposal!A27*1000)</f>
        <v>0</v>
      </c>
      <c r="S24" s="61"/>
      <c r="T24" s="56">
        <v>2009</v>
      </c>
      <c r="U24" s="56">
        <v>2021</v>
      </c>
      <c r="V24" s="67">
        <v>2038</v>
      </c>
    </row>
    <row r="25" spans="1:22" ht="15.6" x14ac:dyDescent="0.3">
      <c r="A25" s="20"/>
      <c r="B25" s="20"/>
      <c r="C25" s="20"/>
      <c r="D25" s="20"/>
      <c r="E25" s="20"/>
      <c r="F25" s="20"/>
      <c r="G25" s="20"/>
      <c r="H25" s="20"/>
      <c r="I25" s="18"/>
      <c r="J25" s="18"/>
      <c r="K25" s="5"/>
      <c r="L25" s="5"/>
      <c r="M25" s="5"/>
      <c r="N25" s="5"/>
      <c r="P25" s="64"/>
      <c r="Q25" s="79"/>
      <c r="R25" s="244">
        <f>IF(Proposal!I28="y",Proposal!A28*Proposal!G28*10,Proposal!A28*1000)</f>
        <v>0</v>
      </c>
      <c r="S25" s="61"/>
      <c r="T25" s="241" t="s">
        <v>56</v>
      </c>
      <c r="U25" s="241" t="s">
        <v>56</v>
      </c>
      <c r="V25" s="67">
        <v>2039</v>
      </c>
    </row>
    <row r="26" spans="1:22" ht="15.6" x14ac:dyDescent="0.3">
      <c r="A26" s="20"/>
      <c r="B26" s="20"/>
      <c r="C26" s="20"/>
      <c r="D26" s="20"/>
      <c r="E26" s="20"/>
      <c r="F26" s="20"/>
      <c r="G26" s="20"/>
      <c r="H26" s="20"/>
      <c r="I26" s="18"/>
      <c r="J26" s="18"/>
      <c r="K26" s="5"/>
      <c r="L26" s="5"/>
      <c r="M26" s="5"/>
      <c r="N26" s="5"/>
      <c r="P26" s="62"/>
      <c r="Q26" s="56"/>
      <c r="R26" s="243">
        <f>SUM(R4:R25)/1000</f>
        <v>2000</v>
      </c>
      <c r="S26" s="61"/>
      <c r="T26" s="56">
        <v>2010</v>
      </c>
      <c r="U26" s="56">
        <v>2022</v>
      </c>
      <c r="V26" s="67">
        <v>2040</v>
      </c>
    </row>
    <row r="27" spans="1:22" ht="15.6" x14ac:dyDescent="0.3">
      <c r="A27" s="20"/>
      <c r="B27" s="20"/>
      <c r="C27" s="20"/>
      <c r="D27" s="20"/>
      <c r="E27" s="20"/>
      <c r="F27" s="20"/>
      <c r="G27" s="20"/>
      <c r="H27" s="20"/>
      <c r="I27" s="18"/>
      <c r="J27" s="18"/>
      <c r="K27" s="5"/>
      <c r="L27" s="5"/>
      <c r="M27" s="5"/>
      <c r="N27" s="5"/>
      <c r="P27" s="55"/>
      <c r="Q27" s="56"/>
      <c r="R27" s="56"/>
      <c r="S27" s="56"/>
      <c r="T27" s="61"/>
      <c r="U27" s="56"/>
      <c r="V27" s="67">
        <v>2041</v>
      </c>
    </row>
    <row r="28" spans="1:22" ht="15.6" x14ac:dyDescent="0.3">
      <c r="A28" s="20"/>
      <c r="B28" s="20"/>
      <c r="C28" s="20"/>
      <c r="D28" s="20"/>
      <c r="E28" s="20"/>
      <c r="F28" s="20"/>
      <c r="G28" s="20"/>
      <c r="H28" s="20"/>
      <c r="I28" s="18"/>
      <c r="J28" s="18"/>
      <c r="K28" s="5"/>
      <c r="L28" s="5"/>
      <c r="M28" s="5"/>
      <c r="N28" s="5"/>
      <c r="P28" s="62"/>
      <c r="Q28" s="56"/>
      <c r="R28" s="243"/>
      <c r="S28" s="61"/>
      <c r="T28" s="61"/>
      <c r="U28" s="56"/>
      <c r="V28" s="67"/>
    </row>
    <row r="29" spans="1:22" ht="15.6" x14ac:dyDescent="0.3">
      <c r="A29" s="20"/>
      <c r="B29" s="20"/>
      <c r="C29" s="20"/>
      <c r="D29" s="20"/>
      <c r="E29" s="20"/>
      <c r="F29" s="20"/>
      <c r="G29" s="20"/>
      <c r="H29" s="20"/>
      <c r="I29" s="18"/>
      <c r="J29" s="18"/>
      <c r="K29" s="5"/>
      <c r="L29" s="5"/>
      <c r="M29" s="5"/>
      <c r="N29" s="5"/>
      <c r="P29" s="64"/>
      <c r="Q29" s="79"/>
      <c r="R29" s="244"/>
      <c r="S29" s="63"/>
      <c r="T29" s="63"/>
      <c r="U29" s="79"/>
      <c r="V29" s="65"/>
    </row>
    <row r="30" spans="1:22" ht="15.6" x14ac:dyDescent="0.3">
      <c r="A30" s="20"/>
      <c r="B30" s="20"/>
      <c r="C30" s="20"/>
      <c r="D30" s="20"/>
      <c r="E30" s="20"/>
      <c r="F30" s="20"/>
      <c r="G30" s="20"/>
      <c r="H30" s="20"/>
      <c r="I30" s="18"/>
      <c r="J30" s="18"/>
      <c r="K30" s="5"/>
      <c r="L30" s="5"/>
      <c r="M30" s="5"/>
      <c r="N30" s="5"/>
      <c r="P30" s="5"/>
      <c r="R30" s="245"/>
      <c r="S30" s="2"/>
    </row>
    <row r="31" spans="1:22" ht="15.6" x14ac:dyDescent="0.3">
      <c r="A31" s="20"/>
      <c r="B31" s="20"/>
      <c r="C31" s="20"/>
      <c r="D31" s="20"/>
      <c r="E31" s="20"/>
      <c r="F31" s="20"/>
      <c r="G31" s="20"/>
      <c r="H31" s="20"/>
      <c r="I31" s="18"/>
      <c r="J31" s="18"/>
      <c r="K31" s="5"/>
      <c r="L31" s="5"/>
      <c r="M31" s="5"/>
      <c r="N31" s="5"/>
      <c r="P31" s="5"/>
      <c r="R31" s="245"/>
      <c r="S31" s="2"/>
    </row>
    <row r="32" spans="1:22" ht="15.6" x14ac:dyDescent="0.3">
      <c r="A32" s="18"/>
      <c r="B32" s="20"/>
      <c r="C32" s="20"/>
      <c r="D32" s="20"/>
      <c r="E32" s="20"/>
      <c r="F32" s="20"/>
      <c r="G32" s="20"/>
      <c r="H32" s="20"/>
      <c r="I32" s="18"/>
      <c r="J32" s="18"/>
      <c r="K32" s="5"/>
      <c r="L32" s="5"/>
      <c r="M32" s="5"/>
      <c r="N32" s="5"/>
      <c r="P32" s="5"/>
      <c r="R32" s="245"/>
      <c r="S32" s="2"/>
    </row>
    <row r="33" spans="1:19" ht="15.6" x14ac:dyDescent="0.3">
      <c r="A33" s="20"/>
      <c r="B33" s="20"/>
      <c r="C33" s="20"/>
      <c r="D33" s="20"/>
      <c r="E33" s="20"/>
      <c r="F33" s="20"/>
      <c r="G33" s="20"/>
      <c r="H33" s="20"/>
      <c r="I33" s="18"/>
      <c r="J33" s="18"/>
      <c r="K33" s="5"/>
      <c r="L33" s="5"/>
      <c r="M33" s="5"/>
      <c r="N33" s="5"/>
      <c r="P33" s="5"/>
      <c r="R33" s="245"/>
      <c r="S33" s="2"/>
    </row>
    <row r="34" spans="1:19" ht="15.6" x14ac:dyDescent="0.3">
      <c r="A34" s="18"/>
      <c r="B34" s="20"/>
      <c r="C34" s="20"/>
      <c r="D34" s="20"/>
      <c r="E34" s="20"/>
      <c r="F34" s="20"/>
      <c r="G34" s="20"/>
      <c r="H34" s="20"/>
      <c r="I34" s="18"/>
      <c r="J34" s="18"/>
      <c r="K34" s="5"/>
      <c r="L34" s="5"/>
      <c r="M34" s="5"/>
      <c r="N34" s="5"/>
      <c r="P34" s="5"/>
      <c r="R34" s="245"/>
      <c r="S34" s="2"/>
    </row>
    <row r="35" spans="1:19" ht="15.6" x14ac:dyDescent="0.3">
      <c r="A35" s="18"/>
      <c r="B35" s="18"/>
      <c r="C35" s="18"/>
      <c r="D35" s="18"/>
      <c r="E35" s="20"/>
      <c r="F35" s="20"/>
      <c r="G35" s="20"/>
      <c r="H35" s="20"/>
      <c r="I35" s="18"/>
      <c r="J35" s="18"/>
      <c r="K35" s="5"/>
      <c r="L35" s="5"/>
      <c r="M35" s="5"/>
      <c r="N35" s="5"/>
      <c r="S35" s="2"/>
    </row>
    <row r="36" spans="1:19" ht="15.6" x14ac:dyDescent="0.3">
      <c r="A36" s="18"/>
      <c r="B36" s="18"/>
      <c r="C36" s="18"/>
      <c r="D36" s="18"/>
      <c r="E36" s="20"/>
      <c r="F36" s="20"/>
      <c r="G36" s="20"/>
      <c r="H36" s="20"/>
      <c r="I36" s="18"/>
      <c r="J36" s="18"/>
      <c r="K36" s="5"/>
      <c r="L36" s="5"/>
      <c r="M36" s="5"/>
      <c r="N36" s="5"/>
      <c r="S36" s="2"/>
    </row>
    <row r="37" spans="1:19" ht="15.6" x14ac:dyDescent="0.3">
      <c r="A37" s="18"/>
      <c r="B37" s="18"/>
      <c r="C37" s="18"/>
      <c r="D37" s="18"/>
      <c r="E37" s="20"/>
      <c r="F37" s="20"/>
      <c r="G37" s="20"/>
      <c r="H37" s="20"/>
      <c r="I37" s="18"/>
      <c r="J37" s="18"/>
      <c r="K37" s="5"/>
      <c r="L37" s="5"/>
      <c r="M37" s="5"/>
      <c r="N37" s="5"/>
      <c r="S37" s="2"/>
    </row>
    <row r="38" spans="1:19" ht="15.6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S38" s="2"/>
    </row>
    <row r="39" spans="1:19" ht="15.6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S39" s="2"/>
    </row>
    <row r="40" spans="1:19" ht="15.6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P40" s="5"/>
      <c r="R40" s="245"/>
      <c r="S40" s="2"/>
    </row>
    <row r="41" spans="1:19" ht="15.6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P41" s="5"/>
      <c r="R41" s="245"/>
      <c r="S41" s="2"/>
    </row>
    <row r="42" spans="1:19" x14ac:dyDescent="0.25">
      <c r="P42" s="5"/>
      <c r="R42" s="245"/>
      <c r="S42" s="2"/>
    </row>
    <row r="43" spans="1:19" x14ac:dyDescent="0.25">
      <c r="P43" s="5"/>
      <c r="R43" s="245"/>
      <c r="S43" s="2"/>
    </row>
    <row r="44" spans="1:19" x14ac:dyDescent="0.25">
      <c r="P44" s="5"/>
      <c r="R44" s="245"/>
      <c r="S44" s="2"/>
    </row>
    <row r="45" spans="1:19" x14ac:dyDescent="0.25">
      <c r="P45" s="5"/>
      <c r="R45" s="245"/>
      <c r="S45" s="2"/>
    </row>
    <row r="46" spans="1:19" x14ac:dyDescent="0.25">
      <c r="P46" s="5"/>
      <c r="S46" s="2"/>
    </row>
    <row r="47" spans="1:19" x14ac:dyDescent="0.25">
      <c r="P47" s="5"/>
      <c r="S47" s="2"/>
    </row>
    <row r="48" spans="1:19" x14ac:dyDescent="0.25">
      <c r="P48" s="5"/>
      <c r="S48" s="2"/>
    </row>
    <row r="49" spans="16:19" x14ac:dyDescent="0.25">
      <c r="P49" s="5"/>
      <c r="S49" s="2"/>
    </row>
    <row r="50" spans="16:19" x14ac:dyDescent="0.25">
      <c r="P50" s="5"/>
      <c r="S50" s="2"/>
    </row>
    <row r="51" spans="16:19" x14ac:dyDescent="0.25">
      <c r="P51" s="5"/>
      <c r="S51" s="2"/>
    </row>
    <row r="52" spans="16:19" x14ac:dyDescent="0.25">
      <c r="P52" s="5"/>
      <c r="S52" s="2"/>
    </row>
    <row r="53" spans="16:19" x14ac:dyDescent="0.25">
      <c r="P53" s="5"/>
      <c r="S53" s="2"/>
    </row>
    <row r="54" spans="16:19" x14ac:dyDescent="0.25">
      <c r="P54" s="5"/>
      <c r="S54" s="2"/>
    </row>
    <row r="55" spans="16:19" x14ac:dyDescent="0.25">
      <c r="P55" s="5"/>
      <c r="S55" s="2"/>
    </row>
    <row r="56" spans="16:19" x14ac:dyDescent="0.25">
      <c r="P56" s="5"/>
      <c r="S56" s="2"/>
    </row>
    <row r="57" spans="16:19" x14ac:dyDescent="0.25">
      <c r="P57" s="5"/>
      <c r="S57" s="2"/>
    </row>
    <row r="58" spans="16:19" x14ac:dyDescent="0.25">
      <c r="P58" s="5"/>
      <c r="S58" s="2"/>
    </row>
    <row r="59" spans="16:19" x14ac:dyDescent="0.25">
      <c r="P59" s="5"/>
      <c r="S59" s="2"/>
    </row>
    <row r="60" spans="16:19" x14ac:dyDescent="0.25">
      <c r="P60" s="5"/>
      <c r="S60" s="2"/>
    </row>
    <row r="61" spans="16:19" x14ac:dyDescent="0.25">
      <c r="P61" s="5"/>
      <c r="S61" s="2"/>
    </row>
    <row r="62" spans="16:19" x14ac:dyDescent="0.25">
      <c r="P62" s="5"/>
      <c r="S62" s="2"/>
    </row>
    <row r="63" spans="16:19" x14ac:dyDescent="0.25">
      <c r="P63" s="5"/>
      <c r="S63" s="2"/>
    </row>
    <row r="64" spans="16:19" x14ac:dyDescent="0.25">
      <c r="P64" s="5"/>
      <c r="S64" s="2"/>
    </row>
    <row r="65" spans="16:20" x14ac:dyDescent="0.25">
      <c r="P65" s="5"/>
      <c r="S65" s="2"/>
    </row>
    <row r="66" spans="16:20" x14ac:dyDescent="0.25">
      <c r="P66" s="5"/>
      <c r="S66" s="2"/>
    </row>
    <row r="67" spans="16:20" x14ac:dyDescent="0.25">
      <c r="P67" s="5"/>
      <c r="S67" s="2"/>
    </row>
    <row r="68" spans="16:20" x14ac:dyDescent="0.25">
      <c r="P68" s="5"/>
      <c r="S68" s="2"/>
    </row>
    <row r="69" spans="16:20" x14ac:dyDescent="0.25">
      <c r="P69" s="5"/>
      <c r="S69" s="2"/>
    </row>
    <row r="70" spans="16:20" x14ac:dyDescent="0.25">
      <c r="P70" s="5"/>
      <c r="S70" s="2"/>
    </row>
    <row r="71" spans="16:20" x14ac:dyDescent="0.25">
      <c r="P71" s="5"/>
      <c r="S71" s="2"/>
    </row>
    <row r="72" spans="16:20" x14ac:dyDescent="0.25">
      <c r="P72" s="5"/>
      <c r="S72" s="2"/>
    </row>
    <row r="73" spans="16:20" x14ac:dyDescent="0.25">
      <c r="P73" s="5"/>
      <c r="S73" s="2"/>
    </row>
    <row r="74" spans="16:20" x14ac:dyDescent="0.25">
      <c r="P74" s="5"/>
      <c r="S74" s="2"/>
    </row>
    <row r="75" spans="16:20" x14ac:dyDescent="0.25">
      <c r="P75" s="5"/>
      <c r="S75" s="2"/>
    </row>
    <row r="76" spans="16:20" x14ac:dyDescent="0.25">
      <c r="P76" s="5"/>
      <c r="S76" s="2"/>
      <c r="T76" s="5"/>
    </row>
    <row r="77" spans="16:20" x14ac:dyDescent="0.25">
      <c r="P77" s="5"/>
      <c r="S77" s="2"/>
      <c r="T77" s="5"/>
    </row>
  </sheetData>
  <sheetProtection password="DD15" sheet="1" objects="1" scenarios="1"/>
  <phoneticPr fontId="0" type="noConversion"/>
  <pageMargins left="0.25" right="0" top="0.2" bottom="0" header="0" footer="0"/>
  <pageSetup scale="82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showGridLines="0" showZeros="0" zoomScale="60" workbookViewId="0">
      <selection activeCell="A2" sqref="A2"/>
    </sheetView>
  </sheetViews>
  <sheetFormatPr defaultColWidth="9.109375" defaultRowHeight="12.6" x14ac:dyDescent="0.25"/>
  <cols>
    <col min="1" max="1" width="38" style="317" customWidth="1"/>
    <col min="2" max="2" width="17.5546875" style="317" customWidth="1"/>
    <col min="3" max="3" width="3.33203125" style="317" bestFit="1" customWidth="1"/>
    <col min="4" max="4" width="10" style="317" customWidth="1"/>
    <col min="5" max="5" width="13.33203125" style="317" customWidth="1"/>
    <col min="6" max="6" width="21.5546875" style="317" bestFit="1" customWidth="1"/>
    <col min="7" max="7" width="10.44140625" style="317" customWidth="1"/>
    <col min="8" max="8" width="11.109375" style="317" customWidth="1"/>
    <col min="9" max="9" width="11.88671875" style="317" customWidth="1"/>
    <col min="10" max="10" width="13.6640625" style="317" customWidth="1"/>
    <col min="11" max="11" width="12.5546875" style="317" customWidth="1"/>
    <col min="12" max="12" width="10.44140625" style="317" customWidth="1"/>
    <col min="13" max="13" width="12.33203125" style="317" customWidth="1"/>
    <col min="14" max="14" width="12.109375" style="317" customWidth="1"/>
    <col min="15" max="15" width="11.88671875" style="317" customWidth="1"/>
    <col min="16" max="16" width="12" style="317" customWidth="1"/>
    <col min="17" max="17" width="14" style="317" bestFit="1" customWidth="1"/>
    <col min="18" max="16384" width="9.109375" style="317"/>
  </cols>
  <sheetData>
    <row r="1" spans="1:17" ht="55.5" customHeight="1" thickBot="1" x14ac:dyDescent="0.3">
      <c r="A1" s="316"/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19.8" x14ac:dyDescent="0.35">
      <c r="D2" s="378" t="s">
        <v>142</v>
      </c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18"/>
      <c r="P2" s="319" t="s">
        <v>148</v>
      </c>
      <c r="Q2" s="320">
        <f>Enter!C27</f>
        <v>37211</v>
      </c>
    </row>
    <row r="3" spans="1:17" ht="15.6" x14ac:dyDescent="0.3">
      <c r="A3" s="367" t="s">
        <v>0</v>
      </c>
      <c r="B3" s="368" t="s">
        <v>20</v>
      </c>
      <c r="C3" s="20"/>
      <c r="D3" s="371" t="str">
        <f>Proposal!A5</f>
        <v>($000's)</v>
      </c>
      <c r="E3" s="353">
        <f>Proposal!B5</f>
        <v>0</v>
      </c>
      <c r="F3" s="360">
        <f>Proposal!C5</f>
        <v>0</v>
      </c>
      <c r="G3" s="353">
        <f>Proposal!D5</f>
        <v>0</v>
      </c>
      <c r="H3" s="353">
        <f>Proposal!E5</f>
        <v>0</v>
      </c>
      <c r="I3" s="353" t="str">
        <f>Proposal!F5</f>
        <v>Prem.</v>
      </c>
      <c r="J3" s="353" t="str">
        <f>Proposal!G5</f>
        <v>Prem. Call</v>
      </c>
      <c r="K3" s="353" t="str">
        <f>Proposal!H5</f>
        <v>Par</v>
      </c>
      <c r="L3" s="353" t="str">
        <f>Proposal!I5</f>
        <v>Pre-Re</v>
      </c>
      <c r="M3" s="353">
        <f>Proposal!J5</f>
        <v>0</v>
      </c>
      <c r="N3" s="353">
        <f>Proposal!K5</f>
        <v>0</v>
      </c>
      <c r="O3" s="353">
        <f>Proposal!L5</f>
        <v>0</v>
      </c>
      <c r="P3" s="353">
        <f>Proposal!M5</f>
        <v>0</v>
      </c>
      <c r="Q3" s="372">
        <f>Proposal!N5</f>
        <v>0</v>
      </c>
    </row>
    <row r="4" spans="1:17" ht="18" x14ac:dyDescent="0.35">
      <c r="A4" s="369" t="str">
        <f>Enter!E27</f>
        <v>Scott Neal Muni Ladder</v>
      </c>
      <c r="B4" s="370">
        <f ca="1">NOW()</f>
        <v>37208.425726851849</v>
      </c>
      <c r="C4" s="20"/>
      <c r="D4" s="373" t="str">
        <f>Proposal!A6</f>
        <v>Par</v>
      </c>
      <c r="E4" s="361" t="str">
        <f>Proposal!B6</f>
        <v>Rating</v>
      </c>
      <c r="F4" s="361" t="str">
        <f>Proposal!C6</f>
        <v>Description</v>
      </c>
      <c r="G4" s="361" t="str">
        <f>Proposal!D6</f>
        <v>Coupon</v>
      </c>
      <c r="H4" s="361" t="str">
        <f>Proposal!E6</f>
        <v>Maturity</v>
      </c>
      <c r="I4" s="361" t="str">
        <f>Proposal!F6</f>
        <v>Call</v>
      </c>
      <c r="J4" s="361" t="str">
        <f>Proposal!G6</f>
        <v>Price</v>
      </c>
      <c r="K4" s="361" t="str">
        <f>Proposal!H6</f>
        <v>Call</v>
      </c>
      <c r="L4" s="361" t="str">
        <f>Proposal!I6</f>
        <v>Y/N</v>
      </c>
      <c r="M4" s="361" t="str">
        <f>Proposal!J6</f>
        <v>Price</v>
      </c>
      <c r="N4" s="357" t="str">
        <f>Proposal!K6</f>
        <v>YTC</v>
      </c>
      <c r="O4" s="357" t="str">
        <f>Proposal!L6</f>
        <v>YTM</v>
      </c>
      <c r="P4" s="358" t="str">
        <f>Proposal!M6</f>
        <v>CY</v>
      </c>
      <c r="Q4" s="374" t="str">
        <f>Proposal!N6</f>
        <v>TEY*</v>
      </c>
    </row>
    <row r="5" spans="1:17" ht="16.8" x14ac:dyDescent="0.3">
      <c r="C5" s="275"/>
      <c r="D5" s="276">
        <f>Proposal!A7</f>
        <v>200</v>
      </c>
      <c r="E5" s="277" t="str">
        <f>Proposal!B7</f>
        <v>AAA/AAA</v>
      </c>
      <c r="F5" s="278" t="str">
        <f>Proposal!C7</f>
        <v>SPRING TX ISD PSF</v>
      </c>
      <c r="G5" s="279">
        <f>Proposal!D7</f>
        <v>0.05</v>
      </c>
      <c r="H5" s="280">
        <f>Proposal!E7</f>
        <v>42597</v>
      </c>
      <c r="I5" s="280">
        <f>Proposal!F7</f>
        <v>40770</v>
      </c>
      <c r="J5" s="281">
        <f>Proposal!G7</f>
        <v>100</v>
      </c>
      <c r="K5" s="280">
        <f>Proposal!H7</f>
        <v>0</v>
      </c>
      <c r="L5" s="282">
        <f>Proposal!I7</f>
        <v>0</v>
      </c>
      <c r="M5" s="282">
        <f>Proposal!J7</f>
        <v>104.70699999999999</v>
      </c>
      <c r="N5" s="283">
        <f>Proposal!K7</f>
        <v>4.4000789567477272E-2</v>
      </c>
      <c r="O5" s="283">
        <f>Proposal!L7</f>
        <v>4.5574833942321029E-2</v>
      </c>
      <c r="P5" s="284">
        <f>Proposal!M7</f>
        <v>4.7752299273210008E-2</v>
      </c>
      <c r="Q5" s="283">
        <f>Proposal!N7</f>
        <v>7.2249296469797678E-2</v>
      </c>
    </row>
    <row r="6" spans="1:17" ht="16.8" x14ac:dyDescent="0.3">
      <c r="C6" s="286"/>
      <c r="D6" s="287">
        <f>Proposal!A8</f>
        <v>200</v>
      </c>
      <c r="E6" s="288" t="str">
        <f>Proposal!B8</f>
        <v>AAA/AAA</v>
      </c>
      <c r="F6" s="289" t="str">
        <f>Proposal!C8</f>
        <v>PORT HOUSTON</v>
      </c>
      <c r="G6" s="290">
        <f>Proposal!D8</f>
        <v>4.7500000000000001E-2</v>
      </c>
      <c r="H6" s="291">
        <f>Proposal!E8</f>
        <v>43009</v>
      </c>
      <c r="I6" s="291">
        <f>Proposal!F8</f>
        <v>40817</v>
      </c>
      <c r="J6" s="292">
        <f>Proposal!G8</f>
        <v>100</v>
      </c>
      <c r="K6" s="291">
        <f>Proposal!H8</f>
        <v>0</v>
      </c>
      <c r="L6" s="293">
        <f>Proposal!I8</f>
        <v>0</v>
      </c>
      <c r="M6" s="294">
        <f>Proposal!J8</f>
        <v>101.566</v>
      </c>
      <c r="N6" s="283">
        <f>Proposal!K8</f>
        <v>4.5500440824577805E-2</v>
      </c>
      <c r="O6" s="283">
        <f>Proposal!L8</f>
        <v>4.6090725004782424E-2</v>
      </c>
      <c r="P6" s="283">
        <f>Proposal!M8</f>
        <v>4.6767619085126916E-2</v>
      </c>
      <c r="Q6" s="283">
        <f>Proposal!N8</f>
        <v>7.4711723833956745E-2</v>
      </c>
    </row>
    <row r="7" spans="1:17" ht="16.8" x14ac:dyDescent="0.3">
      <c r="A7" s="318"/>
      <c r="C7" s="286"/>
      <c r="D7" s="287">
        <f>Proposal!A9</f>
        <v>200</v>
      </c>
      <c r="E7" s="288" t="str">
        <f>Proposal!B9</f>
        <v>AAA/AAA</v>
      </c>
      <c r="F7" s="289" t="str">
        <f>Proposal!C9</f>
        <v>MONROE WISC SCH</v>
      </c>
      <c r="G7" s="290">
        <f>Proposal!D9</f>
        <v>4.8750000000000002E-2</v>
      </c>
      <c r="H7" s="291">
        <f>Proposal!E9</f>
        <v>43191</v>
      </c>
      <c r="I7" s="291">
        <f>Proposal!F9</f>
        <v>40634</v>
      </c>
      <c r="J7" s="292">
        <f>Proposal!G9</f>
        <v>100</v>
      </c>
      <c r="K7" s="291">
        <f>Proposal!H9</f>
        <v>0</v>
      </c>
      <c r="L7" s="293">
        <f>Proposal!I9</f>
        <v>0</v>
      </c>
      <c r="M7" s="294">
        <f>Proposal!J9</f>
        <v>101.309</v>
      </c>
      <c r="N7" s="283">
        <f>Proposal!K9</f>
        <v>4.7000461142918955E-2</v>
      </c>
      <c r="O7" s="283">
        <f>Proposal!L9</f>
        <v>4.7585356373638601E-2</v>
      </c>
      <c r="P7" s="283">
        <f>Proposal!M9</f>
        <v>4.8120107789041446E-2</v>
      </c>
      <c r="Q7" s="283">
        <f>Proposal!N9</f>
        <v>7.7174757196672925E-2</v>
      </c>
    </row>
    <row r="8" spans="1:17" ht="16.8" x14ac:dyDescent="0.3">
      <c r="A8" s="318"/>
      <c r="B8" s="320"/>
      <c r="C8" s="296"/>
      <c r="D8" s="287">
        <f>Proposal!A10</f>
        <v>200</v>
      </c>
      <c r="E8" s="288" t="str">
        <f>Proposal!B10</f>
        <v>AAA/AA+</v>
      </c>
      <c r="F8" s="289" t="str">
        <f>Proposal!C10</f>
        <v>TROY MICH</v>
      </c>
      <c r="G8" s="290">
        <f>Proposal!D10</f>
        <v>4.5999999999999999E-2</v>
      </c>
      <c r="H8" s="291">
        <f>Proposal!E10</f>
        <v>43739</v>
      </c>
      <c r="I8" s="291">
        <f>Proposal!F10</f>
        <v>40452</v>
      </c>
      <c r="J8" s="292">
        <f>Proposal!G10</f>
        <v>100.5</v>
      </c>
      <c r="K8" s="291">
        <f>Proposal!H10</f>
        <v>41183</v>
      </c>
      <c r="L8" s="293">
        <f>Proposal!I10</f>
        <v>0</v>
      </c>
      <c r="M8" s="294">
        <f>Proposal!J10</f>
        <v>99.266999999999996</v>
      </c>
      <c r="N8" s="283">
        <f>Proposal!K10</f>
        <v>0</v>
      </c>
      <c r="O8" s="283">
        <f>Proposal!L10</f>
        <v>4.6604700544822665E-2</v>
      </c>
      <c r="P8" s="283">
        <f>Proposal!M10</f>
        <v>4.6339669779483617E-2</v>
      </c>
      <c r="Q8" s="283">
        <f>Proposal!N10</f>
        <v>7.6524918294598815E-2</v>
      </c>
    </row>
    <row r="9" spans="1:17" ht="19.8" x14ac:dyDescent="0.35">
      <c r="A9" s="378" t="s">
        <v>141</v>
      </c>
      <c r="B9" s="378"/>
      <c r="C9" s="275"/>
      <c r="D9" s="287">
        <f>Proposal!A11</f>
        <v>200</v>
      </c>
      <c r="E9" s="288" t="str">
        <f>Proposal!B11</f>
        <v>AAA/AAA</v>
      </c>
      <c r="F9" s="289" t="str">
        <f>Proposal!C11</f>
        <v>PASADENA TX COMB</v>
      </c>
      <c r="G9" s="290">
        <f>Proposal!D11</f>
        <v>0.05</v>
      </c>
      <c r="H9" s="291">
        <f>Proposal!E11</f>
        <v>43876</v>
      </c>
      <c r="I9" s="291">
        <f>Proposal!F11</f>
        <v>40224</v>
      </c>
      <c r="J9" s="292">
        <f>Proposal!G11</f>
        <v>100</v>
      </c>
      <c r="K9" s="291">
        <f>Proposal!H11</f>
        <v>0</v>
      </c>
      <c r="L9" s="293">
        <f>Proposal!I11</f>
        <v>0</v>
      </c>
      <c r="M9" s="294">
        <f>Proposal!J11</f>
        <v>101.68</v>
      </c>
      <c r="N9" s="283">
        <f>Proposal!K11</f>
        <v>4.7500586515454503E-2</v>
      </c>
      <c r="O9" s="283">
        <f>Proposal!L11</f>
        <v>4.8594360187443356E-2</v>
      </c>
      <c r="P9" s="283">
        <f>Proposal!M11</f>
        <v>4.9173878835562547E-2</v>
      </c>
      <c r="Q9" s="283">
        <f>Proposal!N11</f>
        <v>7.7995963058376291E-2</v>
      </c>
    </row>
    <row r="10" spans="1:17" ht="16.8" x14ac:dyDescent="0.3">
      <c r="C10" s="275"/>
      <c r="D10" s="287">
        <f>Proposal!A12</f>
        <v>200</v>
      </c>
      <c r="E10" s="288" t="str">
        <f>Proposal!B12</f>
        <v>AAA/AAA</v>
      </c>
      <c r="F10" s="289" t="str">
        <f>Proposal!C12</f>
        <v>N.HARRIS MONT CCD</v>
      </c>
      <c r="G10" s="290">
        <f>Proposal!D12</f>
        <v>0.05</v>
      </c>
      <c r="H10" s="291">
        <f>Proposal!E12</f>
        <v>44242</v>
      </c>
      <c r="I10" s="291">
        <f>Proposal!F12</f>
        <v>40224</v>
      </c>
      <c r="J10" s="292">
        <f>Proposal!G12</f>
        <v>100</v>
      </c>
      <c r="K10" s="291">
        <f>Proposal!H12</f>
        <v>0</v>
      </c>
      <c r="L10" s="293">
        <f>Proposal!I12</f>
        <v>0</v>
      </c>
      <c r="M10" s="294">
        <f>Proposal!J12</f>
        <v>101.002</v>
      </c>
      <c r="N10" s="283">
        <f>Proposal!K12</f>
        <v>4.8500299553935262E-2</v>
      </c>
      <c r="O10" s="283">
        <f>Proposal!L12</f>
        <v>4.9182622476135932E-2</v>
      </c>
      <c r="P10" s="283">
        <f>Proposal!M12</f>
        <v>4.9503970218411526E-2</v>
      </c>
      <c r="Q10" s="283">
        <f>Proposal!N12</f>
        <v>7.9637491867561694E-2</v>
      </c>
    </row>
    <row r="11" spans="1:17" ht="16.8" x14ac:dyDescent="0.3">
      <c r="A11" s="273" t="str">
        <f>Summary!A11</f>
        <v xml:space="preserve">Par Amount </v>
      </c>
      <c r="B11" s="274">
        <f>Summary!B11</f>
        <v>2000000</v>
      </c>
      <c r="C11" s="275"/>
      <c r="D11" s="287">
        <f>Proposal!A13</f>
        <v>200</v>
      </c>
      <c r="E11" s="288" t="str">
        <f>Proposal!B13</f>
        <v>AAA/AAA</v>
      </c>
      <c r="F11" s="289" t="str">
        <f>Proposal!C13</f>
        <v>PHILADELPHIA PA SCH</v>
      </c>
      <c r="G11" s="290">
        <f>Proposal!D13</f>
        <v>4.4999999999999998E-2</v>
      </c>
      <c r="H11" s="291">
        <f>Proposal!E13</f>
        <v>45017</v>
      </c>
      <c r="I11" s="291">
        <f>Proposal!F13</f>
        <v>39904</v>
      </c>
      <c r="J11" s="292">
        <f>Proposal!G13</f>
        <v>100</v>
      </c>
      <c r="K11" s="291">
        <f>Proposal!H13</f>
        <v>0</v>
      </c>
      <c r="L11" s="293">
        <f>Proposal!I13</f>
        <v>0</v>
      </c>
      <c r="M11" s="294">
        <f>Proposal!J13</f>
        <v>96.012</v>
      </c>
      <c r="N11" s="283">
        <f>Proposal!K13</f>
        <v>0</v>
      </c>
      <c r="O11" s="283">
        <f>Proposal!L13</f>
        <v>4.8000431302579576E-2</v>
      </c>
      <c r="P11" s="283">
        <f>Proposal!M13</f>
        <v>4.6869141357330335E-2</v>
      </c>
      <c r="Q11" s="283">
        <f>Proposal!N13</f>
        <v>7.8816708198835655E-2</v>
      </c>
    </row>
    <row r="12" spans="1:17" ht="16.8" x14ac:dyDescent="0.3">
      <c r="A12" s="273" t="str">
        <f>Summary!A12</f>
        <v>Average Coupon</v>
      </c>
      <c r="B12" s="285">
        <f>Summary!B12</f>
        <v>4.8752100538083036E-2</v>
      </c>
      <c r="C12" s="275"/>
      <c r="D12" s="287">
        <f>Proposal!A14</f>
        <v>100</v>
      </c>
      <c r="E12" s="288" t="str">
        <f>Proposal!B14</f>
        <v>AAA/AAA</v>
      </c>
      <c r="F12" s="289" t="str">
        <f>Proposal!C14</f>
        <v>TEXAS TURNPIKE</v>
      </c>
      <c r="G12" s="290">
        <f>Proposal!D14</f>
        <v>0.05</v>
      </c>
      <c r="H12" s="291">
        <f>Proposal!E14</f>
        <v>45658</v>
      </c>
      <c r="I12" s="291">
        <f>Proposal!F14</f>
        <v>38718</v>
      </c>
      <c r="J12" s="292">
        <f>Proposal!G14</f>
        <v>102</v>
      </c>
      <c r="K12" s="291">
        <f>Proposal!H14</f>
        <v>39448</v>
      </c>
      <c r="L12" s="293">
        <f>Proposal!I14</f>
        <v>0</v>
      </c>
      <c r="M12" s="294">
        <f>Proposal!J14</f>
        <v>100.517</v>
      </c>
      <c r="N12" s="283">
        <f>Proposal!K14</f>
        <v>4.9001843414157857E-2</v>
      </c>
      <c r="O12" s="283">
        <f>Proposal!L14</f>
        <v>4.961747272547868E-2</v>
      </c>
      <c r="P12" s="283">
        <f>Proposal!M14</f>
        <v>4.9742829571117329E-2</v>
      </c>
      <c r="Q12" s="283">
        <f>Proposal!N14</f>
        <v>8.0461026886047199E-2</v>
      </c>
    </row>
    <row r="13" spans="1:17" ht="16.8" x14ac:dyDescent="0.3">
      <c r="A13" s="273" t="str">
        <f>Summary!A13</f>
        <v>Projected Annual Income</v>
      </c>
      <c r="B13" s="274">
        <f>Summary!B13</f>
        <v>97450</v>
      </c>
      <c r="C13" s="275"/>
      <c r="D13" s="287">
        <f>Proposal!A15</f>
        <v>100</v>
      </c>
      <c r="E13" s="288" t="str">
        <f>Proposal!B15</f>
        <v>AAA/AAA</v>
      </c>
      <c r="F13" s="289" t="str">
        <f>Proposal!C15</f>
        <v>HOUSTON TX CCD</v>
      </c>
      <c r="G13" s="290">
        <f>Proposal!D15</f>
        <v>0.05</v>
      </c>
      <c r="H13" s="291">
        <f>Proposal!E15</f>
        <v>45762</v>
      </c>
      <c r="I13" s="291">
        <f>Proposal!F15</f>
        <v>40648</v>
      </c>
      <c r="J13" s="292">
        <f>Proposal!G15</f>
        <v>100</v>
      </c>
      <c r="K13" s="291">
        <f>Proposal!H15</f>
        <v>0</v>
      </c>
      <c r="L13" s="293">
        <f>Proposal!I15</f>
        <v>0</v>
      </c>
      <c r="M13" s="294">
        <f>Proposal!J15</f>
        <v>101.111</v>
      </c>
      <c r="N13" s="283">
        <f>Proposal!K15</f>
        <v>4.8510212358435521E-2</v>
      </c>
      <c r="O13" s="283">
        <f>Proposal!L15</f>
        <v>4.9192554722216585E-2</v>
      </c>
      <c r="P13" s="283">
        <f>Proposal!M15</f>
        <v>4.9450603791872307E-2</v>
      </c>
      <c r="Q13" s="283">
        <f>Proposal!N15</f>
        <v>7.9653768692551127E-2</v>
      </c>
    </row>
    <row r="14" spans="1:17" ht="16.8" x14ac:dyDescent="0.3">
      <c r="A14" s="273">
        <f>Summary!A14</f>
        <v>0</v>
      </c>
      <c r="B14" s="295">
        <f>Summary!B14</f>
        <v>0</v>
      </c>
      <c r="C14" s="275"/>
      <c r="D14" s="287">
        <f>Proposal!A16</f>
        <v>200</v>
      </c>
      <c r="E14" s="288" t="str">
        <f>Proposal!B16</f>
        <v>AAA/AAA</v>
      </c>
      <c r="F14" s="289" t="str">
        <f>Proposal!C16</f>
        <v>SEATTLE WASH WTR</v>
      </c>
      <c r="G14" s="290">
        <f>Proposal!D16</f>
        <v>0.05</v>
      </c>
      <c r="H14" s="291">
        <f>Proposal!E16</f>
        <v>46327</v>
      </c>
      <c r="I14" s="291">
        <f>Proposal!F16</f>
        <v>40848</v>
      </c>
      <c r="J14" s="292">
        <f>Proposal!G16</f>
        <v>100</v>
      </c>
      <c r="K14" s="291">
        <f>Proposal!H16</f>
        <v>0</v>
      </c>
      <c r="L14" s="293">
        <f>Proposal!I16</f>
        <v>0</v>
      </c>
      <c r="M14" s="294">
        <f>Proposal!J16</f>
        <v>100.919</v>
      </c>
      <c r="N14" s="283">
        <f>Proposal!K16</f>
        <v>4.8819066195941202E-2</v>
      </c>
      <c r="O14" s="283">
        <f>Proposal!L16</f>
        <v>4.9353428932541007E-2</v>
      </c>
      <c r="P14" s="283">
        <f>Proposal!M16</f>
        <v>4.9544684350816E-2</v>
      </c>
      <c r="Q14" s="283">
        <f>Proposal!N16</f>
        <v>8.0160906693735448E-2</v>
      </c>
    </row>
    <row r="15" spans="1:17" ht="16.8" x14ac:dyDescent="0.3">
      <c r="A15" s="273" t="str">
        <f>Summary!A15</f>
        <v>Estimated Market Value</v>
      </c>
      <c r="B15" s="274">
        <f>Summary!B15</f>
        <v>2015674</v>
      </c>
      <c r="C15" s="275"/>
      <c r="D15" s="287">
        <f>Proposal!A17</f>
        <v>200</v>
      </c>
      <c r="E15" s="288" t="str">
        <f>Proposal!B17</f>
        <v>AAA/AAA</v>
      </c>
      <c r="F15" s="289" t="str">
        <f>Proposal!C17</f>
        <v>SAN ANTONIO ISD</v>
      </c>
      <c r="G15" s="290">
        <f>Proposal!D17</f>
        <v>0.05</v>
      </c>
      <c r="H15" s="291">
        <f>Proposal!E17</f>
        <v>46614</v>
      </c>
      <c r="I15" s="291">
        <f>Proposal!F17</f>
        <v>39675</v>
      </c>
      <c r="J15" s="292">
        <f>Proposal!G17</f>
        <v>100</v>
      </c>
      <c r="K15" s="291">
        <f>Proposal!H17</f>
        <v>0</v>
      </c>
      <c r="L15" s="293">
        <f>Proposal!I17</f>
        <v>0</v>
      </c>
      <c r="M15" s="294">
        <f>Proposal!J17</f>
        <v>100.56100000000001</v>
      </c>
      <c r="N15" s="283">
        <f>Proposal!K17</f>
        <v>4.9000187922203224E-2</v>
      </c>
      <c r="O15" s="283">
        <f>Proposal!L17</f>
        <v>4.9606466107895889E-2</v>
      </c>
      <c r="P15" s="283">
        <f>Proposal!M17</f>
        <v>4.9721064826324317E-2</v>
      </c>
      <c r="Q15" s="283">
        <f>Proposal!N17</f>
        <v>8.0458308568257683E-2</v>
      </c>
    </row>
    <row r="16" spans="1:17" ht="16.8" x14ac:dyDescent="0.3">
      <c r="A16" s="273" t="str">
        <f>Summary!A16</f>
        <v>Accrued Interest</v>
      </c>
      <c r="B16" s="274">
        <f>Summary!B16</f>
        <v>10042.361111111084</v>
      </c>
      <c r="C16" s="275"/>
      <c r="D16" s="287">
        <f>Proposal!A18</f>
        <v>0</v>
      </c>
      <c r="E16" s="288">
        <f>Proposal!B18</f>
        <v>0</v>
      </c>
      <c r="F16" s="289">
        <f>Proposal!C18</f>
        <v>0</v>
      </c>
      <c r="G16" s="290">
        <f>Proposal!D18</f>
        <v>0</v>
      </c>
      <c r="H16" s="291">
        <f>Proposal!E18</f>
        <v>0</v>
      </c>
      <c r="I16" s="291">
        <f>Proposal!F18</f>
        <v>0</v>
      </c>
      <c r="J16" s="292">
        <f>Proposal!G18</f>
        <v>0</v>
      </c>
      <c r="K16" s="291">
        <f>Proposal!H18</f>
        <v>0</v>
      </c>
      <c r="L16" s="293">
        <f>Proposal!I18</f>
        <v>0</v>
      </c>
      <c r="M16" s="294">
        <f>Proposal!J18</f>
        <v>0</v>
      </c>
      <c r="N16" s="283">
        <f>Proposal!K18</f>
        <v>0</v>
      </c>
      <c r="O16" s="283">
        <f>Proposal!L18</f>
        <v>0</v>
      </c>
      <c r="P16" s="283">
        <f>Proposal!M18</f>
        <v>0</v>
      </c>
      <c r="Q16" s="283">
        <f>Proposal!N18</f>
        <v>0</v>
      </c>
    </row>
    <row r="17" spans="1:18" ht="16.8" x14ac:dyDescent="0.3">
      <c r="A17" s="273" t="str">
        <f>Summary!A17</f>
        <v>Total Market Value</v>
      </c>
      <c r="B17" s="274">
        <f>Summary!B17</f>
        <v>2025716.361111111</v>
      </c>
      <c r="C17" s="275"/>
      <c r="D17" s="287">
        <f>Proposal!A19</f>
        <v>0</v>
      </c>
      <c r="E17" s="288">
        <f>Proposal!B19</f>
        <v>0</v>
      </c>
      <c r="F17" s="289">
        <f>Proposal!C19</f>
        <v>0</v>
      </c>
      <c r="G17" s="290">
        <f>Proposal!D19</f>
        <v>0</v>
      </c>
      <c r="H17" s="291">
        <f>Proposal!E19</f>
        <v>0</v>
      </c>
      <c r="I17" s="291">
        <f>Proposal!F19</f>
        <v>0</v>
      </c>
      <c r="J17" s="292">
        <f>Proposal!G19</f>
        <v>0</v>
      </c>
      <c r="K17" s="291">
        <f>Proposal!H19</f>
        <v>0</v>
      </c>
      <c r="L17" s="293">
        <f>Proposal!I19</f>
        <v>0</v>
      </c>
      <c r="M17" s="294">
        <f>Proposal!J19</f>
        <v>0</v>
      </c>
      <c r="N17" s="283">
        <f>Proposal!K19</f>
        <v>0</v>
      </c>
      <c r="O17" s="283">
        <f>Proposal!L19</f>
        <v>0</v>
      </c>
      <c r="P17" s="283">
        <f>Proposal!M19</f>
        <v>0</v>
      </c>
      <c r="Q17" s="283">
        <f>Proposal!N19</f>
        <v>0</v>
      </c>
    </row>
    <row r="18" spans="1:18" ht="16.8" x14ac:dyDescent="0.3">
      <c r="A18" s="275"/>
      <c r="B18" s="275"/>
      <c r="C18" s="321"/>
      <c r="D18" s="287">
        <f>Proposal!A20</f>
        <v>0</v>
      </c>
      <c r="E18" s="288">
        <f>Proposal!B20</f>
        <v>0</v>
      </c>
      <c r="F18" s="289">
        <f>Proposal!C20</f>
        <v>0</v>
      </c>
      <c r="G18" s="290">
        <f>Proposal!D20</f>
        <v>0</v>
      </c>
      <c r="H18" s="291">
        <f>Proposal!E20</f>
        <v>0</v>
      </c>
      <c r="I18" s="291">
        <f>Proposal!F20</f>
        <v>0</v>
      </c>
      <c r="J18" s="292">
        <f>Proposal!G20</f>
        <v>0</v>
      </c>
      <c r="K18" s="291">
        <f>Proposal!H20</f>
        <v>0</v>
      </c>
      <c r="L18" s="293">
        <f>Proposal!I20</f>
        <v>0</v>
      </c>
      <c r="M18" s="294">
        <f>Proposal!J20</f>
        <v>0</v>
      </c>
      <c r="N18" s="283">
        <f>Proposal!K20</f>
        <v>0</v>
      </c>
      <c r="O18" s="283">
        <f>Proposal!L20</f>
        <v>0</v>
      </c>
      <c r="P18" s="283">
        <f>Proposal!M20</f>
        <v>0</v>
      </c>
      <c r="Q18" s="283">
        <f>Proposal!N20</f>
        <v>0</v>
      </c>
    </row>
    <row r="19" spans="1:18" ht="16.8" x14ac:dyDescent="0.3">
      <c r="A19" s="273" t="str">
        <f>Summary!A19</f>
        <v>Average Maturity ( Years )</v>
      </c>
      <c r="B19" s="297">
        <f>Summary!B19</f>
        <v>19.734757216031294</v>
      </c>
      <c r="C19" s="321"/>
      <c r="D19" s="287">
        <f>Proposal!A21</f>
        <v>0</v>
      </c>
      <c r="E19" s="288">
        <f>Proposal!B21</f>
        <v>0</v>
      </c>
      <c r="F19" s="289">
        <f>Proposal!C21</f>
        <v>0</v>
      </c>
      <c r="G19" s="290">
        <f>Proposal!D21</f>
        <v>0</v>
      </c>
      <c r="H19" s="291">
        <f>Proposal!E21</f>
        <v>0</v>
      </c>
      <c r="I19" s="291">
        <f>Proposal!F21</f>
        <v>0</v>
      </c>
      <c r="J19" s="292">
        <f>Proposal!G21</f>
        <v>0</v>
      </c>
      <c r="K19" s="291">
        <f>Proposal!H21</f>
        <v>0</v>
      </c>
      <c r="L19" s="293">
        <f>Proposal!I21</f>
        <v>0</v>
      </c>
      <c r="M19" s="294">
        <f>Proposal!J21</f>
        <v>0</v>
      </c>
      <c r="N19" s="283">
        <f>Proposal!K21</f>
        <v>0</v>
      </c>
      <c r="O19" s="283">
        <f>Proposal!L21</f>
        <v>0</v>
      </c>
      <c r="P19" s="283">
        <f>Proposal!M21</f>
        <v>0</v>
      </c>
      <c r="Q19" s="283">
        <f>Proposal!N21</f>
        <v>0</v>
      </c>
    </row>
    <row r="20" spans="1:18" ht="16.8" x14ac:dyDescent="0.3">
      <c r="A20" s="273" t="str">
        <f>Summary!A20</f>
        <v>Average Duration ( Modified )</v>
      </c>
      <c r="B20" s="297">
        <f>Summary!B20</f>
        <v>8.0732870449453777</v>
      </c>
      <c r="C20" s="321"/>
      <c r="D20" s="287">
        <f>Proposal!A22</f>
        <v>0</v>
      </c>
      <c r="E20" s="288">
        <f>Proposal!B22</f>
        <v>0</v>
      </c>
      <c r="F20" s="289">
        <f>Proposal!C22</f>
        <v>0</v>
      </c>
      <c r="G20" s="290">
        <f>Proposal!D22</f>
        <v>0</v>
      </c>
      <c r="H20" s="291">
        <f>Proposal!E22</f>
        <v>0</v>
      </c>
      <c r="I20" s="291">
        <f>Proposal!F22</f>
        <v>0</v>
      </c>
      <c r="J20" s="292">
        <f>Proposal!G22</f>
        <v>0</v>
      </c>
      <c r="K20" s="291">
        <f>Proposal!H22</f>
        <v>0</v>
      </c>
      <c r="L20" s="293">
        <f>Proposal!I22</f>
        <v>0</v>
      </c>
      <c r="M20" s="294">
        <f>Proposal!J22</f>
        <v>0</v>
      </c>
      <c r="N20" s="283">
        <f>Proposal!K22</f>
        <v>0</v>
      </c>
      <c r="O20" s="283">
        <f>Proposal!L22</f>
        <v>0</v>
      </c>
      <c r="P20" s="283">
        <f>Proposal!M22</f>
        <v>0</v>
      </c>
      <c r="Q20" s="283">
        <f>Proposal!N22</f>
        <v>0</v>
      </c>
    </row>
    <row r="21" spans="1:18" ht="16.8" x14ac:dyDescent="0.3">
      <c r="A21" s="273" t="str">
        <f>Summary!A21</f>
        <v>Average Current Yield</v>
      </c>
      <c r="B21" s="298">
        <f>Summary!B21</f>
        <v>4.8346111523986511E-2</v>
      </c>
      <c r="C21" s="321"/>
      <c r="D21" s="287">
        <f>Proposal!A23</f>
        <v>0</v>
      </c>
      <c r="E21" s="288">
        <f>Proposal!B23</f>
        <v>0</v>
      </c>
      <c r="F21" s="289">
        <f>Proposal!C23</f>
        <v>0</v>
      </c>
      <c r="G21" s="290">
        <f>Proposal!D23</f>
        <v>0</v>
      </c>
      <c r="H21" s="291">
        <f>Proposal!E23</f>
        <v>0</v>
      </c>
      <c r="I21" s="291">
        <f>Proposal!F23</f>
        <v>0</v>
      </c>
      <c r="J21" s="292">
        <f>Proposal!G23</f>
        <v>0</v>
      </c>
      <c r="K21" s="291">
        <f>Proposal!H23</f>
        <v>0</v>
      </c>
      <c r="L21" s="293">
        <f>Proposal!I23</f>
        <v>0</v>
      </c>
      <c r="M21" s="294">
        <f>Proposal!J23</f>
        <v>0</v>
      </c>
      <c r="N21" s="283">
        <f>Proposal!K23</f>
        <v>0</v>
      </c>
      <c r="O21" s="283">
        <f>Proposal!L23</f>
        <v>0</v>
      </c>
      <c r="P21" s="283">
        <f>Proposal!M23</f>
        <v>0</v>
      </c>
      <c r="Q21" s="283">
        <f>Proposal!N23</f>
        <v>0</v>
      </c>
    </row>
    <row r="22" spans="1:18" ht="16.8" x14ac:dyDescent="0.3">
      <c r="A22" s="273" t="str">
        <f>Summary!A22</f>
        <v>Average Market Yield</v>
      </c>
      <c r="B22" s="298">
        <f>Summary!B22</f>
        <v>4.7351871089068236E-2</v>
      </c>
      <c r="C22" s="321"/>
      <c r="D22" s="287">
        <f>Proposal!A24</f>
        <v>0</v>
      </c>
      <c r="E22" s="288">
        <f>Proposal!B24</f>
        <v>0</v>
      </c>
      <c r="F22" s="289">
        <f>Proposal!C24</f>
        <v>0</v>
      </c>
      <c r="G22" s="290">
        <f>Proposal!D24</f>
        <v>0</v>
      </c>
      <c r="H22" s="291">
        <f>Proposal!E24</f>
        <v>0</v>
      </c>
      <c r="I22" s="291">
        <f>Proposal!F24</f>
        <v>0</v>
      </c>
      <c r="J22" s="292">
        <f>Proposal!G24</f>
        <v>0</v>
      </c>
      <c r="K22" s="291">
        <f>Proposal!H24</f>
        <v>0</v>
      </c>
      <c r="L22" s="293">
        <f>Proposal!I24</f>
        <v>0</v>
      </c>
      <c r="M22" s="294">
        <f>Proposal!J24</f>
        <v>0</v>
      </c>
      <c r="N22" s="283">
        <f>Proposal!K24</f>
        <v>0</v>
      </c>
      <c r="O22" s="283">
        <f>Proposal!L24</f>
        <v>0</v>
      </c>
      <c r="P22" s="283">
        <f>Proposal!M24</f>
        <v>0</v>
      </c>
      <c r="Q22" s="283">
        <f>Proposal!N24</f>
        <v>0</v>
      </c>
    </row>
    <row r="23" spans="1:18" ht="16.8" x14ac:dyDescent="0.3">
      <c r="A23" s="273" t="str">
        <f>Summary!A23</f>
        <v>Average Cost</v>
      </c>
      <c r="B23" s="274">
        <f>Summary!B23</f>
        <v>100.7837</v>
      </c>
      <c r="C23" s="321"/>
      <c r="D23" s="287">
        <f>Proposal!A25</f>
        <v>0</v>
      </c>
      <c r="E23" s="288">
        <f>Proposal!B25</f>
        <v>0</v>
      </c>
      <c r="F23" s="289">
        <f>Proposal!C25</f>
        <v>0</v>
      </c>
      <c r="G23" s="290">
        <f>Proposal!D25</f>
        <v>0</v>
      </c>
      <c r="H23" s="291">
        <f>Proposal!E25</f>
        <v>0</v>
      </c>
      <c r="I23" s="291">
        <f>Proposal!F25</f>
        <v>0</v>
      </c>
      <c r="J23" s="292">
        <f>Proposal!G25</f>
        <v>0</v>
      </c>
      <c r="K23" s="291">
        <f>Proposal!H25</f>
        <v>0</v>
      </c>
      <c r="L23" s="293">
        <f>Proposal!I25</f>
        <v>0</v>
      </c>
      <c r="M23" s="294">
        <f>Proposal!J25</f>
        <v>0</v>
      </c>
      <c r="N23" s="283">
        <f>Proposal!K25</f>
        <v>0</v>
      </c>
      <c r="O23" s="283">
        <f>Proposal!L25</f>
        <v>0</v>
      </c>
      <c r="P23" s="283">
        <f>Proposal!M25</f>
        <v>0</v>
      </c>
      <c r="Q23" s="283">
        <f>Proposal!N25</f>
        <v>0</v>
      </c>
    </row>
    <row r="24" spans="1:18" ht="16.8" x14ac:dyDescent="0.3">
      <c r="A24" s="275"/>
      <c r="B24" s="275"/>
      <c r="C24" s="321"/>
      <c r="D24" s="287">
        <f>Proposal!A26</f>
        <v>0</v>
      </c>
      <c r="E24" s="288">
        <f>Proposal!B26</f>
        <v>0</v>
      </c>
      <c r="F24" s="289">
        <f>Proposal!C26</f>
        <v>0</v>
      </c>
      <c r="G24" s="290">
        <f>Proposal!D26</f>
        <v>0</v>
      </c>
      <c r="H24" s="291">
        <f>Proposal!E26</f>
        <v>0</v>
      </c>
      <c r="I24" s="291">
        <f>Proposal!F26</f>
        <v>0</v>
      </c>
      <c r="J24" s="292">
        <f>Proposal!G26</f>
        <v>0</v>
      </c>
      <c r="K24" s="291">
        <f>Proposal!H26</f>
        <v>0</v>
      </c>
      <c r="L24" s="293">
        <f>Proposal!I26</f>
        <v>0</v>
      </c>
      <c r="M24" s="294">
        <f>Proposal!J26</f>
        <v>0</v>
      </c>
      <c r="N24" s="283">
        <f>Proposal!K26</f>
        <v>0</v>
      </c>
      <c r="O24" s="283">
        <f>Proposal!L26</f>
        <v>0</v>
      </c>
      <c r="P24" s="283">
        <f>Proposal!M26</f>
        <v>0</v>
      </c>
      <c r="Q24" s="283">
        <f>Proposal!N26</f>
        <v>0</v>
      </c>
    </row>
    <row r="25" spans="1:18" ht="16.8" x14ac:dyDescent="0.3">
      <c r="A25" s="275" t="str">
        <f>Summary!A25</f>
        <v>Note:    Averages are weighted by market value</v>
      </c>
      <c r="B25" s="275"/>
      <c r="C25" s="321"/>
      <c r="D25" s="287">
        <f>Proposal!A27</f>
        <v>0</v>
      </c>
      <c r="E25" s="288">
        <f>Proposal!B27</f>
        <v>0</v>
      </c>
      <c r="F25" s="289">
        <f>Proposal!C27</f>
        <v>0</v>
      </c>
      <c r="G25" s="290">
        <f>Proposal!D27</f>
        <v>0</v>
      </c>
      <c r="H25" s="291">
        <f>Proposal!E27</f>
        <v>0</v>
      </c>
      <c r="I25" s="291">
        <f>Proposal!F27</f>
        <v>0</v>
      </c>
      <c r="J25" s="292">
        <f>Proposal!G27</f>
        <v>0</v>
      </c>
      <c r="K25" s="291">
        <f>Proposal!H27</f>
        <v>0</v>
      </c>
      <c r="L25" s="293">
        <f>Proposal!I27</f>
        <v>0</v>
      </c>
      <c r="M25" s="294">
        <f>Proposal!J27</f>
        <v>0</v>
      </c>
      <c r="N25" s="283">
        <f>Proposal!K27</f>
        <v>0</v>
      </c>
      <c r="O25" s="283">
        <f>Proposal!L27</f>
        <v>0</v>
      </c>
      <c r="P25" s="283">
        <f>Proposal!M27</f>
        <v>0</v>
      </c>
      <c r="Q25" s="283">
        <f>Proposal!N27</f>
        <v>0</v>
      </c>
    </row>
    <row r="26" spans="1:18" ht="17.399999999999999" thickBot="1" x14ac:dyDescent="0.35">
      <c r="C26" s="321"/>
      <c r="D26" s="299">
        <f>Proposal!A28</f>
        <v>0</v>
      </c>
      <c r="E26" s="300">
        <f>Proposal!B28</f>
        <v>0</v>
      </c>
      <c r="F26" s="301">
        <f>Proposal!C28</f>
        <v>0</v>
      </c>
      <c r="G26" s="302">
        <f>Proposal!D28</f>
        <v>0</v>
      </c>
      <c r="H26" s="303">
        <f>Proposal!E28</f>
        <v>0</v>
      </c>
      <c r="I26" s="303">
        <f>Proposal!F28</f>
        <v>0</v>
      </c>
      <c r="J26" s="304">
        <f>Proposal!G28</f>
        <v>0</v>
      </c>
      <c r="K26" s="303">
        <f>Proposal!H28</f>
        <v>0</v>
      </c>
      <c r="L26" s="305">
        <f>Proposal!I28</f>
        <v>0</v>
      </c>
      <c r="M26" s="306">
        <f>Proposal!J28</f>
        <v>0</v>
      </c>
      <c r="N26" s="307">
        <f>Proposal!K28</f>
        <v>0</v>
      </c>
      <c r="O26" s="307">
        <f>Proposal!L28</f>
        <v>0</v>
      </c>
      <c r="P26" s="307">
        <f>Proposal!M28</f>
        <v>0</v>
      </c>
      <c r="Q26" s="307">
        <f>Proposal!N28</f>
        <v>0</v>
      </c>
    </row>
    <row r="27" spans="1:18" ht="16.8" x14ac:dyDescent="0.3">
      <c r="A27" s="321"/>
      <c r="B27" s="321"/>
      <c r="C27" s="321"/>
      <c r="D27" s="308">
        <f>Proposal!A29</f>
        <v>2000</v>
      </c>
      <c r="E27" s="275">
        <f>Proposal!B29</f>
        <v>0</v>
      </c>
      <c r="F27" s="309">
        <f>Proposal!C29</f>
        <v>0</v>
      </c>
      <c r="G27" s="275">
        <f>Proposal!D29</f>
        <v>0</v>
      </c>
      <c r="H27" s="275">
        <f>Proposal!E29</f>
        <v>0</v>
      </c>
      <c r="I27" s="275">
        <f>Proposal!F29</f>
        <v>0</v>
      </c>
      <c r="J27" s="275">
        <f>Proposal!G29</f>
        <v>0</v>
      </c>
      <c r="K27" s="275">
        <f>Proposal!H29</f>
        <v>0</v>
      </c>
      <c r="L27" s="275">
        <f>Proposal!I29</f>
        <v>0</v>
      </c>
      <c r="M27" s="275">
        <f>Proposal!J29</f>
        <v>0</v>
      </c>
      <c r="N27" s="275">
        <f>Proposal!K29</f>
        <v>0</v>
      </c>
      <c r="O27" s="275">
        <f>Proposal!L29</f>
        <v>0</v>
      </c>
      <c r="P27" s="275">
        <f>Proposal!M29</f>
        <v>0</v>
      </c>
      <c r="Q27" s="275">
        <f>Proposal!N29</f>
        <v>0</v>
      </c>
    </row>
    <row r="28" spans="1:18" ht="13.8" x14ac:dyDescent="0.25">
      <c r="D28" s="269" t="s">
        <v>149</v>
      </c>
      <c r="E28" s="270"/>
      <c r="F28" s="271"/>
      <c r="G28" s="270"/>
      <c r="H28" s="270"/>
      <c r="I28" s="270"/>
      <c r="J28" s="270"/>
      <c r="K28" s="269"/>
      <c r="L28" s="271"/>
      <c r="M28" s="270"/>
      <c r="N28" s="270"/>
      <c r="O28" s="270"/>
      <c r="P28" s="270"/>
      <c r="R28" s="2"/>
    </row>
    <row r="29" spans="1:18" ht="13.8" x14ac:dyDescent="0.25">
      <c r="D29" s="269" t="s">
        <v>150</v>
      </c>
      <c r="E29" s="270"/>
      <c r="F29" s="271"/>
      <c r="G29" s="270"/>
      <c r="H29" s="270"/>
      <c r="I29" s="270"/>
      <c r="J29" s="270"/>
      <c r="K29" s="270"/>
      <c r="L29" s="271"/>
      <c r="M29" s="272"/>
      <c r="N29" s="272"/>
      <c r="O29" s="270"/>
      <c r="P29" s="270"/>
      <c r="R29" s="2"/>
    </row>
    <row r="31" spans="1:18" ht="19.8" x14ac:dyDescent="0.35">
      <c r="A31" s="378" t="s">
        <v>143</v>
      </c>
      <c r="B31" s="378"/>
      <c r="C31" s="378"/>
      <c r="D31" s="378"/>
      <c r="E31" s="378"/>
      <c r="F31" s="378"/>
      <c r="G31" s="378"/>
      <c r="H31" s="378"/>
      <c r="I31" s="378"/>
      <c r="J31" s="378"/>
      <c r="K31" s="378" t="s">
        <v>139</v>
      </c>
      <c r="L31" s="378"/>
      <c r="M31" s="378"/>
      <c r="N31" s="378"/>
      <c r="O31" s="378"/>
      <c r="P31" s="378"/>
      <c r="Q31" s="378"/>
    </row>
    <row r="33" spans="11:17" ht="15.6" x14ac:dyDescent="0.3">
      <c r="K33" s="375">
        <f>Maturity!B3</f>
        <v>0</v>
      </c>
      <c r="L33" s="353" t="str">
        <f>Maturity!C3</f>
        <v>Par Value</v>
      </c>
      <c r="M33" s="353">
        <f>Maturity!D3</f>
        <v>0</v>
      </c>
      <c r="N33" s="353"/>
      <c r="O33" s="353">
        <f>Maturity!G3</f>
        <v>0</v>
      </c>
      <c r="P33" s="353" t="str">
        <f>Maturity!H3</f>
        <v>Par Value</v>
      </c>
      <c r="Q33" s="372">
        <f>Maturity!I3</f>
        <v>0</v>
      </c>
    </row>
    <row r="34" spans="11:17" ht="15.6" x14ac:dyDescent="0.3">
      <c r="K34" s="373" t="str">
        <f>Maturity!B4</f>
        <v xml:space="preserve">Year </v>
      </c>
      <c r="L34" s="361" t="str">
        <f>Maturity!C4</f>
        <v>($000's)</v>
      </c>
      <c r="M34" s="361" t="str">
        <f>Maturity!D4</f>
        <v>% Total</v>
      </c>
      <c r="N34" s="361"/>
      <c r="O34" s="361" t="str">
        <f>Maturity!G4</f>
        <v xml:space="preserve">Year </v>
      </c>
      <c r="P34" s="361" t="str">
        <f>Maturity!H4</f>
        <v>($000's)</v>
      </c>
      <c r="Q34" s="376" t="str">
        <f>Maturity!I4</f>
        <v>% Total</v>
      </c>
    </row>
    <row r="35" spans="11:17" ht="15.6" x14ac:dyDescent="0.3">
      <c r="K35" s="318">
        <f>Maturity!B5</f>
        <v>1999</v>
      </c>
      <c r="L35" s="318">
        <f>Maturity!C5</f>
        <v>0</v>
      </c>
      <c r="M35" s="322">
        <f>Maturity!D5</f>
        <v>0</v>
      </c>
      <c r="N35" s="318"/>
      <c r="O35" s="318">
        <f>Maturity!G5</f>
        <v>2014</v>
      </c>
      <c r="P35" s="318">
        <f>Maturity!H5</f>
        <v>0</v>
      </c>
      <c r="Q35" s="322">
        <f>Maturity!I5</f>
        <v>0</v>
      </c>
    </row>
    <row r="36" spans="11:17" ht="15.6" x14ac:dyDescent="0.3">
      <c r="K36" s="318">
        <f>Maturity!B6</f>
        <v>2000</v>
      </c>
      <c r="L36" s="318">
        <f>Maturity!C6</f>
        <v>0</v>
      </c>
      <c r="M36" s="322">
        <f>Maturity!D6</f>
        <v>0</v>
      </c>
      <c r="N36" s="318"/>
      <c r="O36" s="318">
        <f>Maturity!G6</f>
        <v>2015</v>
      </c>
      <c r="P36" s="318">
        <f>Maturity!H6</f>
        <v>0</v>
      </c>
      <c r="Q36" s="322">
        <f>Maturity!I6</f>
        <v>0</v>
      </c>
    </row>
    <row r="37" spans="11:17" ht="15.6" x14ac:dyDescent="0.3">
      <c r="K37" s="318">
        <f>Maturity!B7</f>
        <v>2001</v>
      </c>
      <c r="L37" s="318">
        <f>Maturity!C7</f>
        <v>0</v>
      </c>
      <c r="M37" s="322">
        <f>Maturity!D7</f>
        <v>0</v>
      </c>
      <c r="N37" s="318"/>
      <c r="O37" s="318">
        <f>Maturity!G7</f>
        <v>2016</v>
      </c>
      <c r="P37" s="318">
        <f>Maturity!H7</f>
        <v>200</v>
      </c>
      <c r="Q37" s="322">
        <f>Maturity!I7</f>
        <v>0.1</v>
      </c>
    </row>
    <row r="38" spans="11:17" ht="15.6" x14ac:dyDescent="0.3">
      <c r="K38" s="318">
        <f>Maturity!B8</f>
        <v>2002</v>
      </c>
      <c r="L38" s="318">
        <f>Maturity!C8</f>
        <v>0</v>
      </c>
      <c r="M38" s="322">
        <f>Maturity!D8</f>
        <v>0</v>
      </c>
      <c r="N38" s="318"/>
      <c r="O38" s="318">
        <f>Maturity!G8</f>
        <v>2017</v>
      </c>
      <c r="P38" s="318">
        <f>Maturity!H8</f>
        <v>200</v>
      </c>
      <c r="Q38" s="322">
        <f>Maturity!I8</f>
        <v>0.1</v>
      </c>
    </row>
    <row r="39" spans="11:17" ht="15.6" x14ac:dyDescent="0.3">
      <c r="K39" s="318">
        <f>Maturity!B9</f>
        <v>2003</v>
      </c>
      <c r="L39" s="318">
        <f>Maturity!C9</f>
        <v>0</v>
      </c>
      <c r="M39" s="322">
        <f>Maturity!D9</f>
        <v>0</v>
      </c>
      <c r="N39" s="318"/>
      <c r="O39" s="318">
        <f>Maturity!G9</f>
        <v>2018</v>
      </c>
      <c r="P39" s="318">
        <f>Maturity!H9</f>
        <v>200</v>
      </c>
      <c r="Q39" s="322">
        <f>Maturity!I9</f>
        <v>0.1</v>
      </c>
    </row>
    <row r="40" spans="11:17" ht="15.6" x14ac:dyDescent="0.3">
      <c r="K40" s="318">
        <f>Maturity!B10</f>
        <v>2004</v>
      </c>
      <c r="L40" s="318">
        <f>Maturity!C10</f>
        <v>0</v>
      </c>
      <c r="M40" s="322">
        <f>Maturity!D10</f>
        <v>0</v>
      </c>
      <c r="N40" s="318"/>
      <c r="O40" s="318">
        <f>Maturity!G10</f>
        <v>2019</v>
      </c>
      <c r="P40" s="318">
        <f>Maturity!H10</f>
        <v>200</v>
      </c>
      <c r="Q40" s="322">
        <f>Maturity!I10</f>
        <v>0.1</v>
      </c>
    </row>
    <row r="41" spans="11:17" ht="15.6" x14ac:dyDescent="0.3">
      <c r="K41" s="318">
        <f>Maturity!B11</f>
        <v>2005</v>
      </c>
      <c r="L41" s="318">
        <f>Maturity!C11</f>
        <v>0</v>
      </c>
      <c r="M41" s="322">
        <f>Maturity!D11</f>
        <v>0</v>
      </c>
      <c r="N41" s="318"/>
      <c r="O41" s="318">
        <f>Maturity!G11</f>
        <v>2020</v>
      </c>
      <c r="P41" s="318">
        <f>Maturity!H11</f>
        <v>200</v>
      </c>
      <c r="Q41" s="322">
        <f>Maturity!I11</f>
        <v>0.1</v>
      </c>
    </row>
    <row r="42" spans="11:17" ht="15.6" x14ac:dyDescent="0.3">
      <c r="K42" s="318">
        <f>Maturity!B12</f>
        <v>2006</v>
      </c>
      <c r="L42" s="318">
        <f>Maturity!C12</f>
        <v>0</v>
      </c>
      <c r="M42" s="322">
        <f>Maturity!D12</f>
        <v>0</v>
      </c>
      <c r="N42" s="318"/>
      <c r="O42" s="318">
        <f>Maturity!G12</f>
        <v>2021</v>
      </c>
      <c r="P42" s="318">
        <f>Maturity!H12</f>
        <v>200</v>
      </c>
      <c r="Q42" s="322">
        <f>Maturity!I12</f>
        <v>0.1</v>
      </c>
    </row>
    <row r="43" spans="11:17" ht="15.6" x14ac:dyDescent="0.3">
      <c r="K43" s="318">
        <f>Maturity!B13</f>
        <v>2007</v>
      </c>
      <c r="L43" s="318">
        <f>Maturity!C13</f>
        <v>0</v>
      </c>
      <c r="M43" s="322">
        <f>Maturity!D13</f>
        <v>0</v>
      </c>
      <c r="N43" s="318"/>
      <c r="O43" s="318">
        <f>Maturity!G13</f>
        <v>2022</v>
      </c>
      <c r="P43" s="318">
        <f>Maturity!H13</f>
        <v>0</v>
      </c>
      <c r="Q43" s="322">
        <f>Maturity!I13</f>
        <v>0</v>
      </c>
    </row>
    <row r="44" spans="11:17" ht="15.6" x14ac:dyDescent="0.3">
      <c r="K44" s="318">
        <f>Maturity!B14</f>
        <v>2008</v>
      </c>
      <c r="L44" s="318">
        <f>Maturity!C14</f>
        <v>0</v>
      </c>
      <c r="M44" s="322">
        <f>Maturity!D14</f>
        <v>0</v>
      </c>
      <c r="N44" s="318"/>
      <c r="O44" s="318">
        <f>Maturity!G14</f>
        <v>2023</v>
      </c>
      <c r="P44" s="318">
        <f>Maturity!H14</f>
        <v>200</v>
      </c>
      <c r="Q44" s="322">
        <f>Maturity!I14</f>
        <v>0.1</v>
      </c>
    </row>
    <row r="45" spans="11:17" ht="15.6" x14ac:dyDescent="0.3">
      <c r="K45" s="318">
        <f>Maturity!B15</f>
        <v>2009</v>
      </c>
      <c r="L45" s="318">
        <f>Maturity!C15</f>
        <v>0</v>
      </c>
      <c r="M45" s="322">
        <f>Maturity!D15</f>
        <v>0</v>
      </c>
      <c r="N45" s="318"/>
      <c r="O45" s="318">
        <f>Maturity!G15</f>
        <v>2024</v>
      </c>
      <c r="P45" s="318">
        <f>Maturity!H15</f>
        <v>0</v>
      </c>
      <c r="Q45" s="322">
        <f>Maturity!I15</f>
        <v>0</v>
      </c>
    </row>
    <row r="46" spans="11:17" ht="15.6" x14ac:dyDescent="0.3">
      <c r="K46" s="318">
        <f>Maturity!B16</f>
        <v>2010</v>
      </c>
      <c r="L46" s="318">
        <f>Maturity!C16</f>
        <v>0</v>
      </c>
      <c r="M46" s="322">
        <f>Maturity!D16</f>
        <v>0</v>
      </c>
      <c r="N46" s="318"/>
      <c r="O46" s="318">
        <f>Maturity!G16</f>
        <v>2025</v>
      </c>
      <c r="P46" s="318">
        <f>Maturity!H16</f>
        <v>200</v>
      </c>
      <c r="Q46" s="322">
        <f>Maturity!I16</f>
        <v>0.1</v>
      </c>
    </row>
    <row r="47" spans="11:17" ht="15.6" x14ac:dyDescent="0.3">
      <c r="K47" s="318">
        <f>Maturity!B17</f>
        <v>2011</v>
      </c>
      <c r="L47" s="318">
        <f>Maturity!C17</f>
        <v>0</v>
      </c>
      <c r="M47" s="322">
        <f>Maturity!D17</f>
        <v>0</v>
      </c>
      <c r="N47" s="318"/>
      <c r="O47" s="318">
        <f>Maturity!G17</f>
        <v>2026</v>
      </c>
      <c r="P47" s="318">
        <f>Maturity!H17</f>
        <v>200</v>
      </c>
      <c r="Q47" s="322">
        <f>Maturity!I17</f>
        <v>0.1</v>
      </c>
    </row>
    <row r="48" spans="11:17" ht="15.6" x14ac:dyDescent="0.3">
      <c r="K48" s="318">
        <f>Maturity!B18</f>
        <v>2012</v>
      </c>
      <c r="L48" s="318">
        <f>Maturity!C18</f>
        <v>0</v>
      </c>
      <c r="M48" s="322">
        <f>Maturity!D18</f>
        <v>0</v>
      </c>
      <c r="N48" s="318"/>
      <c r="O48" s="318">
        <f>Maturity!G18</f>
        <v>2027</v>
      </c>
      <c r="P48" s="318">
        <f>Maturity!H18</f>
        <v>200</v>
      </c>
      <c r="Q48" s="322">
        <f>Maturity!I18</f>
        <v>0.1</v>
      </c>
    </row>
    <row r="49" spans="1:17" ht="15.6" x14ac:dyDescent="0.3">
      <c r="K49" s="318">
        <f>Maturity!B19</f>
        <v>2013</v>
      </c>
      <c r="L49" s="318">
        <f>Maturity!C19</f>
        <v>0</v>
      </c>
      <c r="M49" s="322">
        <f>Maturity!D19</f>
        <v>0</v>
      </c>
      <c r="N49" s="318"/>
      <c r="O49" s="318" t="str">
        <f>Maturity!G19</f>
        <v>2028+</v>
      </c>
      <c r="P49" s="318">
        <f>Maturity!H19</f>
        <v>0</v>
      </c>
      <c r="Q49" s="322">
        <f>Maturity!I19</f>
        <v>0</v>
      </c>
    </row>
    <row r="52" spans="1:17" ht="15.6" x14ac:dyDescent="0.3">
      <c r="A52" s="20" t="s">
        <v>144</v>
      </c>
      <c r="B52" s="20"/>
      <c r="C52" s="20"/>
      <c r="D52" s="20"/>
      <c r="E52" s="20"/>
      <c r="F52" s="20"/>
      <c r="G52" s="20"/>
      <c r="H52" s="20"/>
      <c r="I52" s="20"/>
    </row>
    <row r="53" spans="1:17" ht="15.6" x14ac:dyDescent="0.3">
      <c r="A53" s="20" t="s">
        <v>145</v>
      </c>
      <c r="B53" s="20"/>
      <c r="C53" s="20"/>
      <c r="D53" s="20"/>
      <c r="E53" s="20"/>
      <c r="F53" s="20"/>
      <c r="G53" s="20"/>
      <c r="H53" s="20"/>
      <c r="I53" s="20"/>
    </row>
    <row r="54" spans="1:17" ht="15.6" x14ac:dyDescent="0.3">
      <c r="A54" s="20" t="s">
        <v>146</v>
      </c>
      <c r="B54" s="20"/>
      <c r="C54" s="20"/>
      <c r="D54" s="20"/>
      <c r="E54" s="20"/>
      <c r="F54" s="20"/>
      <c r="G54" s="20"/>
      <c r="H54" s="20"/>
      <c r="I54" s="20"/>
    </row>
    <row r="55" spans="1:17" ht="16.2" thickBot="1" x14ac:dyDescent="0.35">
      <c r="A55" s="21" t="s">
        <v>147</v>
      </c>
      <c r="B55" s="21"/>
      <c r="C55" s="21"/>
      <c r="D55" s="21"/>
      <c r="E55" s="21"/>
      <c r="F55" s="21"/>
      <c r="G55" s="21"/>
      <c r="H55" s="21"/>
      <c r="I55" s="21"/>
      <c r="J55" s="316"/>
      <c r="K55" s="316"/>
      <c r="L55" s="316"/>
      <c r="M55" s="316"/>
      <c r="N55" s="316"/>
      <c r="O55" s="316"/>
      <c r="P55" s="316"/>
      <c r="Q55" s="316"/>
    </row>
  </sheetData>
  <sheetProtection password="DD15" sheet="1" objects="1" scenarios="1"/>
  <mergeCells count="4">
    <mergeCell ref="D2:N2"/>
    <mergeCell ref="A9:B9"/>
    <mergeCell ref="K31:Q31"/>
    <mergeCell ref="A31:J31"/>
  </mergeCells>
  <phoneticPr fontId="0" type="noConversion"/>
  <pageMargins left="0.25" right="0.25" top="0.66" bottom="0.25" header="0.17" footer="0.2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22530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68580</xdr:rowOff>
              </from>
              <to>
                <xdr:col>3</xdr:col>
                <xdr:colOff>502920</xdr:colOff>
                <xdr:row>0</xdr:row>
                <xdr:rowOff>655320</xdr:rowOff>
              </to>
            </anchor>
          </objectPr>
        </oleObject>
      </mc:Choice>
      <mc:Fallback>
        <oleObject progId="Word.Picture.8" shapeId="2253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Enter</vt:lpstr>
      <vt:lpstr>Summary</vt:lpstr>
      <vt:lpstr>Proposal</vt:lpstr>
      <vt:lpstr>Income</vt:lpstr>
      <vt:lpstr>Volatility</vt:lpstr>
      <vt:lpstr>Maturity</vt:lpstr>
      <vt:lpstr>Brief</vt:lpstr>
      <vt:lpstr>Database</vt:lpstr>
      <vt:lpstr>MatProfile</vt:lpstr>
      <vt:lpstr>Brief!Print_Area</vt:lpstr>
      <vt:lpstr>Enter!Print_Area</vt:lpstr>
      <vt:lpstr>Income!Print_Area</vt:lpstr>
      <vt:lpstr>Maturity!Print_Area</vt:lpstr>
      <vt:lpstr>Proposal!Print_Area</vt:lpstr>
      <vt:lpstr>Summary!Print_Area</vt:lpstr>
      <vt:lpstr>Volatility!Print_Area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2001-11-13T15:54:43Z</cp:lastPrinted>
  <dcterms:created xsi:type="dcterms:W3CDTF">1999-01-15T20:16:09Z</dcterms:created>
  <dcterms:modified xsi:type="dcterms:W3CDTF">2023-09-10T11:29:59Z</dcterms:modified>
</cp:coreProperties>
</file>