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0" windowWidth="13932" windowHeight="8040" activeTab="7"/>
  </bookViews>
  <sheets>
    <sheet name="ex4" sheetId="3" r:id="rId1"/>
    <sheet name="ex3" sheetId="11" r:id="rId2"/>
    <sheet name="ex5" sheetId="17" r:id="rId3"/>
    <sheet name="ex6" sheetId="15" r:id="rId4"/>
    <sheet name="ex7" sheetId="16" r:id="rId5"/>
    <sheet name="ex8" sheetId="19" r:id="rId6"/>
    <sheet name="ex9" sheetId="18" r:id="rId7"/>
    <sheet name="Chart89" sheetId="20" r:id="rId8"/>
    <sheet name="thrpt.trend" sheetId="13" r:id="rId9"/>
    <sheet name="thrpt.bymo" sheetId="14" r:id="rId10"/>
    <sheet name="trend.pct" sheetId="7" r:id="rId11"/>
    <sheet name="trend.dy" sheetId="8" r:id="rId12"/>
    <sheet name="trend.mo" sheetId="9" r:id="rId13"/>
    <sheet name="scatter1" sheetId="6" r:id="rId14"/>
    <sheet name="scatter1p" sheetId="12" r:id="rId15"/>
    <sheet name="daily" sheetId="5" r:id="rId16"/>
    <sheet name="filings" sheetId="1" r:id="rId17"/>
    <sheet name="regr" sheetId="2" r:id="rId18"/>
  </sheets>
  <definedNames>
    <definedName name="_xlnm.Print_Area" localSheetId="15">daily!$C$18:$W$118</definedName>
    <definedName name="_xlnm.Print_Area" localSheetId="16">filings!$C$18:$Y$100</definedName>
    <definedName name="_xlnm.Print_Titles" localSheetId="15">daily!$A:$B,daily!$1:$7</definedName>
    <definedName name="_xlnm.Print_Titles" localSheetId="5">'ex8'!$A:$C,'ex8'!$1:$4</definedName>
    <definedName name="_xlnm.Print_Titles" localSheetId="6">'ex9'!$A:$C,'ex9'!$1:$4</definedName>
    <definedName name="_xlnm.Print_Titles" localSheetId="16">filings!$A:$B,filings!$1:$7</definedName>
  </definedNames>
  <calcPr calcId="0" fullCalcOnLoad="1"/>
</workbook>
</file>

<file path=xl/calcChain.xml><?xml version="1.0" encoding="utf-8"?>
<calcChain xmlns="http://schemas.openxmlformats.org/spreadsheetml/2006/main">
  <c r="C1" i="5" l="1"/>
  <c r="J1" i="5"/>
  <c r="L1" i="5"/>
  <c r="M1" i="5"/>
  <c r="T1" i="5"/>
  <c r="U1" i="5"/>
  <c r="V1" i="5"/>
  <c r="X1" i="5"/>
  <c r="Y1" i="5"/>
  <c r="Z1" i="5"/>
  <c r="AA1" i="5"/>
  <c r="C2" i="5"/>
  <c r="J2" i="5"/>
  <c r="L2" i="5"/>
  <c r="M2" i="5"/>
  <c r="T2" i="5"/>
  <c r="U2" i="5"/>
  <c r="V2" i="5"/>
  <c r="Y2" i="5"/>
  <c r="Z2" i="5"/>
  <c r="AA2" i="5"/>
  <c r="L4" i="5"/>
  <c r="M4" i="5"/>
  <c r="U4" i="5"/>
  <c r="V4" i="5"/>
  <c r="Y7" i="5"/>
  <c r="A8" i="5"/>
  <c r="A9" i="5"/>
  <c r="A10" i="5"/>
  <c r="A11" i="5"/>
  <c r="A12" i="5"/>
  <c r="A13" i="5"/>
  <c r="A14" i="5"/>
  <c r="A15" i="5"/>
  <c r="A16" i="5"/>
  <c r="A17" i="5"/>
  <c r="A18" i="5"/>
  <c r="N18" i="5"/>
  <c r="O18" i="5"/>
  <c r="P18" i="5"/>
  <c r="Q18" i="5"/>
  <c r="R18" i="5"/>
  <c r="S18" i="5"/>
  <c r="T18" i="5"/>
  <c r="U18" i="5"/>
  <c r="V18" i="5"/>
  <c r="W18" i="5"/>
  <c r="Y18" i="5"/>
  <c r="Z18" i="5"/>
  <c r="AA18" i="5"/>
  <c r="AB18" i="5"/>
  <c r="AC18" i="5"/>
  <c r="A19" i="5"/>
  <c r="E19" i="5"/>
  <c r="F19" i="5"/>
  <c r="G19" i="5"/>
  <c r="H19" i="5"/>
  <c r="L19" i="5"/>
  <c r="N19" i="5"/>
  <c r="O19" i="5"/>
  <c r="P19" i="5"/>
  <c r="Q19" i="5"/>
  <c r="R19" i="5"/>
  <c r="S19" i="5"/>
  <c r="T19" i="5"/>
  <c r="U19" i="5"/>
  <c r="V19" i="5"/>
  <c r="W19" i="5"/>
  <c r="Y19" i="5"/>
  <c r="Z19" i="5"/>
  <c r="AA19" i="5"/>
  <c r="AB19" i="5"/>
  <c r="AC19" i="5"/>
  <c r="A20" i="5"/>
  <c r="E20" i="5"/>
  <c r="F20" i="5"/>
  <c r="G20" i="5"/>
  <c r="H20" i="5"/>
  <c r="N20" i="5"/>
  <c r="O20" i="5"/>
  <c r="P20" i="5"/>
  <c r="Q20" i="5"/>
  <c r="R20" i="5"/>
  <c r="S20" i="5"/>
  <c r="T20" i="5"/>
  <c r="U20" i="5"/>
  <c r="V20" i="5"/>
  <c r="W20" i="5"/>
  <c r="Y20" i="5"/>
  <c r="Z20" i="5"/>
  <c r="AA20" i="5"/>
  <c r="AB20" i="5"/>
  <c r="AC20" i="5"/>
  <c r="A21" i="5"/>
  <c r="C21" i="5"/>
  <c r="D21" i="5"/>
  <c r="E21" i="5"/>
  <c r="F21" i="5"/>
  <c r="G21" i="5"/>
  <c r="H21" i="5"/>
  <c r="I21" i="5"/>
  <c r="J21" i="5"/>
  <c r="K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22" i="5"/>
  <c r="C22" i="5"/>
  <c r="D22" i="5"/>
  <c r="E22" i="5"/>
  <c r="F22" i="5"/>
  <c r="G22" i="5"/>
  <c r="H22" i="5"/>
  <c r="I22" i="5"/>
  <c r="J22" i="5"/>
  <c r="K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23" i="5"/>
  <c r="C23" i="5"/>
  <c r="D23" i="5"/>
  <c r="E23" i="5"/>
  <c r="F23" i="5"/>
  <c r="G23" i="5"/>
  <c r="H23" i="5"/>
  <c r="I23" i="5"/>
  <c r="J23" i="5"/>
  <c r="K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24" i="5"/>
  <c r="C24" i="5"/>
  <c r="D24" i="5"/>
  <c r="E24" i="5"/>
  <c r="F24" i="5"/>
  <c r="G24" i="5"/>
  <c r="H24" i="5"/>
  <c r="I24" i="5"/>
  <c r="J24" i="5"/>
  <c r="K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25" i="5"/>
  <c r="C25" i="5"/>
  <c r="D25" i="5"/>
  <c r="E25" i="5"/>
  <c r="F25" i="5"/>
  <c r="G25" i="5"/>
  <c r="H25" i="5"/>
  <c r="I25" i="5"/>
  <c r="J25" i="5"/>
  <c r="K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26" i="5"/>
  <c r="C26" i="5"/>
  <c r="D26" i="5"/>
  <c r="E26" i="5"/>
  <c r="F26" i="5"/>
  <c r="G26" i="5"/>
  <c r="H26" i="5"/>
  <c r="I26" i="5"/>
  <c r="J26" i="5"/>
  <c r="K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27" i="5"/>
  <c r="C27" i="5"/>
  <c r="D27" i="5"/>
  <c r="E27" i="5"/>
  <c r="F27" i="5"/>
  <c r="G27" i="5"/>
  <c r="H27" i="5"/>
  <c r="I27" i="5"/>
  <c r="J27" i="5"/>
  <c r="K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28" i="5"/>
  <c r="C28" i="5"/>
  <c r="D28" i="5"/>
  <c r="E28" i="5"/>
  <c r="F28" i="5"/>
  <c r="G28" i="5"/>
  <c r="H28" i="5"/>
  <c r="I28" i="5"/>
  <c r="J28" i="5"/>
  <c r="K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29" i="5"/>
  <c r="C29" i="5"/>
  <c r="D29" i="5"/>
  <c r="E29" i="5"/>
  <c r="F29" i="5"/>
  <c r="G29" i="5"/>
  <c r="H29" i="5"/>
  <c r="I29" i="5"/>
  <c r="J29" i="5"/>
  <c r="K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30" i="5"/>
  <c r="C30" i="5"/>
  <c r="D30" i="5"/>
  <c r="E30" i="5"/>
  <c r="F30" i="5"/>
  <c r="G30" i="5"/>
  <c r="H30" i="5"/>
  <c r="I30" i="5"/>
  <c r="J30" i="5"/>
  <c r="K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31" i="5"/>
  <c r="C31" i="5"/>
  <c r="D31" i="5"/>
  <c r="E31" i="5"/>
  <c r="F31" i="5"/>
  <c r="G31" i="5"/>
  <c r="H31" i="5"/>
  <c r="I31" i="5"/>
  <c r="J31" i="5"/>
  <c r="K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32" i="5"/>
  <c r="C32" i="5"/>
  <c r="D32" i="5"/>
  <c r="E32" i="5"/>
  <c r="F32" i="5"/>
  <c r="G32" i="5"/>
  <c r="H32" i="5"/>
  <c r="I32" i="5"/>
  <c r="J32" i="5"/>
  <c r="K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33" i="5"/>
  <c r="C33" i="5"/>
  <c r="D33" i="5"/>
  <c r="E33" i="5"/>
  <c r="F33" i="5"/>
  <c r="G33" i="5"/>
  <c r="H33" i="5"/>
  <c r="I33" i="5"/>
  <c r="J33" i="5"/>
  <c r="K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34" i="5"/>
  <c r="C34" i="5"/>
  <c r="D34" i="5"/>
  <c r="E34" i="5"/>
  <c r="F34" i="5"/>
  <c r="G34" i="5"/>
  <c r="H34" i="5"/>
  <c r="I34" i="5"/>
  <c r="J34" i="5"/>
  <c r="K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35" i="5"/>
  <c r="C35" i="5"/>
  <c r="D35" i="5"/>
  <c r="E35" i="5"/>
  <c r="F35" i="5"/>
  <c r="G35" i="5"/>
  <c r="H35" i="5"/>
  <c r="I35" i="5"/>
  <c r="J35" i="5"/>
  <c r="K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36" i="5"/>
  <c r="C36" i="5"/>
  <c r="D36" i="5"/>
  <c r="E36" i="5"/>
  <c r="F36" i="5"/>
  <c r="G36" i="5"/>
  <c r="H36" i="5"/>
  <c r="I36" i="5"/>
  <c r="J36" i="5"/>
  <c r="K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37" i="5"/>
  <c r="C37" i="5"/>
  <c r="D37" i="5"/>
  <c r="E37" i="5"/>
  <c r="F37" i="5"/>
  <c r="G37" i="5"/>
  <c r="H37" i="5"/>
  <c r="I37" i="5"/>
  <c r="J37" i="5"/>
  <c r="K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38" i="5"/>
  <c r="C38" i="5"/>
  <c r="D38" i="5"/>
  <c r="E38" i="5"/>
  <c r="F38" i="5"/>
  <c r="G38" i="5"/>
  <c r="H38" i="5"/>
  <c r="I38" i="5"/>
  <c r="J38" i="5"/>
  <c r="K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39" i="5"/>
  <c r="C39" i="5"/>
  <c r="D39" i="5"/>
  <c r="E39" i="5"/>
  <c r="F39" i="5"/>
  <c r="G39" i="5"/>
  <c r="H39" i="5"/>
  <c r="I39" i="5"/>
  <c r="J39" i="5"/>
  <c r="K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40" i="5"/>
  <c r="C40" i="5"/>
  <c r="D40" i="5"/>
  <c r="E40" i="5"/>
  <c r="F40" i="5"/>
  <c r="G40" i="5"/>
  <c r="H40" i="5"/>
  <c r="I40" i="5"/>
  <c r="J40" i="5"/>
  <c r="K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41" i="5"/>
  <c r="C41" i="5"/>
  <c r="D41" i="5"/>
  <c r="E41" i="5"/>
  <c r="F41" i="5"/>
  <c r="G41" i="5"/>
  <c r="H41" i="5"/>
  <c r="I41" i="5"/>
  <c r="J41" i="5"/>
  <c r="K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42" i="5"/>
  <c r="C42" i="5"/>
  <c r="D42" i="5"/>
  <c r="E42" i="5"/>
  <c r="F42" i="5"/>
  <c r="G42" i="5"/>
  <c r="H42" i="5"/>
  <c r="I42" i="5"/>
  <c r="J42" i="5"/>
  <c r="K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43" i="5"/>
  <c r="C43" i="5"/>
  <c r="D43" i="5"/>
  <c r="E43" i="5"/>
  <c r="F43" i="5"/>
  <c r="G43" i="5"/>
  <c r="H43" i="5"/>
  <c r="I43" i="5"/>
  <c r="J43" i="5"/>
  <c r="K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44" i="5"/>
  <c r="C44" i="5"/>
  <c r="D44" i="5"/>
  <c r="E44" i="5"/>
  <c r="F44" i="5"/>
  <c r="G44" i="5"/>
  <c r="H44" i="5"/>
  <c r="I44" i="5"/>
  <c r="J44" i="5"/>
  <c r="K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45" i="5"/>
  <c r="C45" i="5"/>
  <c r="D45" i="5"/>
  <c r="E45" i="5"/>
  <c r="F45" i="5"/>
  <c r="G45" i="5"/>
  <c r="H45" i="5"/>
  <c r="I45" i="5"/>
  <c r="J45" i="5"/>
  <c r="K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46" i="5"/>
  <c r="C46" i="5"/>
  <c r="D46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47" i="5"/>
  <c r="C47" i="5"/>
  <c r="D47" i="5"/>
  <c r="E47" i="5"/>
  <c r="F47" i="5"/>
  <c r="G47" i="5"/>
  <c r="H47" i="5"/>
  <c r="I47" i="5"/>
  <c r="J47" i="5"/>
  <c r="K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48" i="5"/>
  <c r="C48" i="5"/>
  <c r="D48" i="5"/>
  <c r="E48" i="5"/>
  <c r="F48" i="5"/>
  <c r="G48" i="5"/>
  <c r="H48" i="5"/>
  <c r="I48" i="5"/>
  <c r="J48" i="5"/>
  <c r="K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49" i="5"/>
  <c r="C49" i="5"/>
  <c r="D49" i="5"/>
  <c r="E49" i="5"/>
  <c r="F49" i="5"/>
  <c r="G49" i="5"/>
  <c r="H49" i="5"/>
  <c r="I49" i="5"/>
  <c r="J49" i="5"/>
  <c r="K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50" i="5"/>
  <c r="C50" i="5"/>
  <c r="D50" i="5"/>
  <c r="E50" i="5"/>
  <c r="F50" i="5"/>
  <c r="G50" i="5"/>
  <c r="H50" i="5"/>
  <c r="I50" i="5"/>
  <c r="J50" i="5"/>
  <c r="K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51" i="5"/>
  <c r="C51" i="5"/>
  <c r="D51" i="5"/>
  <c r="E51" i="5"/>
  <c r="F51" i="5"/>
  <c r="G51" i="5"/>
  <c r="H51" i="5"/>
  <c r="I51" i="5"/>
  <c r="J51" i="5"/>
  <c r="K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52" i="5"/>
  <c r="C52" i="5"/>
  <c r="D52" i="5"/>
  <c r="E52" i="5"/>
  <c r="F52" i="5"/>
  <c r="G52" i="5"/>
  <c r="H52" i="5"/>
  <c r="I52" i="5"/>
  <c r="J52" i="5"/>
  <c r="K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53" i="5"/>
  <c r="C53" i="5"/>
  <c r="D53" i="5"/>
  <c r="E53" i="5"/>
  <c r="F53" i="5"/>
  <c r="G53" i="5"/>
  <c r="H53" i="5"/>
  <c r="I53" i="5"/>
  <c r="J53" i="5"/>
  <c r="K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54" i="5"/>
  <c r="C54" i="5"/>
  <c r="D54" i="5"/>
  <c r="E54" i="5"/>
  <c r="F54" i="5"/>
  <c r="G54" i="5"/>
  <c r="H54" i="5"/>
  <c r="I54" i="5"/>
  <c r="J54" i="5"/>
  <c r="K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55" i="5"/>
  <c r="C55" i="5"/>
  <c r="D55" i="5"/>
  <c r="E55" i="5"/>
  <c r="F55" i="5"/>
  <c r="G55" i="5"/>
  <c r="H55" i="5"/>
  <c r="I55" i="5"/>
  <c r="J55" i="5"/>
  <c r="K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56" i="5"/>
  <c r="C56" i="5"/>
  <c r="D56" i="5"/>
  <c r="E56" i="5"/>
  <c r="F56" i="5"/>
  <c r="G56" i="5"/>
  <c r="H56" i="5"/>
  <c r="I56" i="5"/>
  <c r="J56" i="5"/>
  <c r="K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57" i="5"/>
  <c r="C57" i="5"/>
  <c r="D57" i="5"/>
  <c r="E57" i="5"/>
  <c r="F57" i="5"/>
  <c r="G57" i="5"/>
  <c r="H57" i="5"/>
  <c r="I57" i="5"/>
  <c r="J57" i="5"/>
  <c r="K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58" i="5"/>
  <c r="C58" i="5"/>
  <c r="D58" i="5"/>
  <c r="E58" i="5"/>
  <c r="F58" i="5"/>
  <c r="G58" i="5"/>
  <c r="H58" i="5"/>
  <c r="I58" i="5"/>
  <c r="J58" i="5"/>
  <c r="K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59" i="5"/>
  <c r="C59" i="5"/>
  <c r="D59" i="5"/>
  <c r="E59" i="5"/>
  <c r="F59" i="5"/>
  <c r="G59" i="5"/>
  <c r="H59" i="5"/>
  <c r="I59" i="5"/>
  <c r="J59" i="5"/>
  <c r="K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60" i="5"/>
  <c r="C60" i="5"/>
  <c r="D60" i="5"/>
  <c r="E60" i="5"/>
  <c r="F60" i="5"/>
  <c r="G60" i="5"/>
  <c r="H60" i="5"/>
  <c r="I60" i="5"/>
  <c r="J60" i="5"/>
  <c r="K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61" i="5"/>
  <c r="C61" i="5"/>
  <c r="D61" i="5"/>
  <c r="E61" i="5"/>
  <c r="F61" i="5"/>
  <c r="G61" i="5"/>
  <c r="H61" i="5"/>
  <c r="I61" i="5"/>
  <c r="J61" i="5"/>
  <c r="K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62" i="5"/>
  <c r="C62" i="5"/>
  <c r="D62" i="5"/>
  <c r="E62" i="5"/>
  <c r="F62" i="5"/>
  <c r="G62" i="5"/>
  <c r="H62" i="5"/>
  <c r="I62" i="5"/>
  <c r="J62" i="5"/>
  <c r="K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63" i="5"/>
  <c r="C63" i="5"/>
  <c r="D63" i="5"/>
  <c r="E63" i="5"/>
  <c r="F63" i="5"/>
  <c r="G63" i="5"/>
  <c r="H63" i="5"/>
  <c r="I63" i="5"/>
  <c r="J63" i="5"/>
  <c r="K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64" i="5"/>
  <c r="C64" i="5"/>
  <c r="D64" i="5"/>
  <c r="E64" i="5"/>
  <c r="F64" i="5"/>
  <c r="G64" i="5"/>
  <c r="H64" i="5"/>
  <c r="I64" i="5"/>
  <c r="J64" i="5"/>
  <c r="K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65" i="5"/>
  <c r="C65" i="5"/>
  <c r="D65" i="5"/>
  <c r="E65" i="5"/>
  <c r="F65" i="5"/>
  <c r="G65" i="5"/>
  <c r="H65" i="5"/>
  <c r="I65" i="5"/>
  <c r="J65" i="5"/>
  <c r="K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66" i="5"/>
  <c r="C66" i="5"/>
  <c r="D66" i="5"/>
  <c r="E66" i="5"/>
  <c r="F66" i="5"/>
  <c r="G66" i="5"/>
  <c r="H66" i="5"/>
  <c r="I66" i="5"/>
  <c r="J66" i="5"/>
  <c r="K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67" i="5"/>
  <c r="C67" i="5"/>
  <c r="D67" i="5"/>
  <c r="E67" i="5"/>
  <c r="F67" i="5"/>
  <c r="G67" i="5"/>
  <c r="H67" i="5"/>
  <c r="I67" i="5"/>
  <c r="J67" i="5"/>
  <c r="K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68" i="5"/>
  <c r="C68" i="5"/>
  <c r="D68" i="5"/>
  <c r="E68" i="5"/>
  <c r="F68" i="5"/>
  <c r="G68" i="5"/>
  <c r="H68" i="5"/>
  <c r="I68" i="5"/>
  <c r="J68" i="5"/>
  <c r="K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69" i="5"/>
  <c r="C69" i="5"/>
  <c r="D69" i="5"/>
  <c r="E69" i="5"/>
  <c r="F69" i="5"/>
  <c r="G69" i="5"/>
  <c r="H69" i="5"/>
  <c r="I69" i="5"/>
  <c r="J69" i="5"/>
  <c r="K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70" i="5"/>
  <c r="C70" i="5"/>
  <c r="D70" i="5"/>
  <c r="E70" i="5"/>
  <c r="F70" i="5"/>
  <c r="G70" i="5"/>
  <c r="H70" i="5"/>
  <c r="I70" i="5"/>
  <c r="J70" i="5"/>
  <c r="K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71" i="5"/>
  <c r="C71" i="5"/>
  <c r="D71" i="5"/>
  <c r="E71" i="5"/>
  <c r="F71" i="5"/>
  <c r="G71" i="5"/>
  <c r="H71" i="5"/>
  <c r="I71" i="5"/>
  <c r="J71" i="5"/>
  <c r="K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72" i="5"/>
  <c r="C72" i="5"/>
  <c r="D72" i="5"/>
  <c r="E72" i="5"/>
  <c r="F72" i="5"/>
  <c r="G72" i="5"/>
  <c r="H72" i="5"/>
  <c r="I72" i="5"/>
  <c r="J72" i="5"/>
  <c r="K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73" i="5"/>
  <c r="C73" i="5"/>
  <c r="D73" i="5"/>
  <c r="E73" i="5"/>
  <c r="F73" i="5"/>
  <c r="G73" i="5"/>
  <c r="H73" i="5"/>
  <c r="I73" i="5"/>
  <c r="J73" i="5"/>
  <c r="K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74" i="5"/>
  <c r="C74" i="5"/>
  <c r="D74" i="5"/>
  <c r="E74" i="5"/>
  <c r="F74" i="5"/>
  <c r="G74" i="5"/>
  <c r="H74" i="5"/>
  <c r="I74" i="5"/>
  <c r="J74" i="5"/>
  <c r="K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75" i="5"/>
  <c r="C75" i="5"/>
  <c r="D75" i="5"/>
  <c r="E75" i="5"/>
  <c r="F75" i="5"/>
  <c r="G75" i="5"/>
  <c r="H75" i="5"/>
  <c r="I75" i="5"/>
  <c r="J75" i="5"/>
  <c r="K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76" i="5"/>
  <c r="C76" i="5"/>
  <c r="D76" i="5"/>
  <c r="E76" i="5"/>
  <c r="F76" i="5"/>
  <c r="G76" i="5"/>
  <c r="H76" i="5"/>
  <c r="I76" i="5"/>
  <c r="J76" i="5"/>
  <c r="K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77" i="5"/>
  <c r="C77" i="5"/>
  <c r="D77" i="5"/>
  <c r="E77" i="5"/>
  <c r="F77" i="5"/>
  <c r="G77" i="5"/>
  <c r="H77" i="5"/>
  <c r="I77" i="5"/>
  <c r="J77" i="5"/>
  <c r="K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78" i="5"/>
  <c r="C78" i="5"/>
  <c r="D78" i="5"/>
  <c r="E78" i="5"/>
  <c r="F78" i="5"/>
  <c r="G78" i="5"/>
  <c r="H78" i="5"/>
  <c r="I78" i="5"/>
  <c r="J78" i="5"/>
  <c r="K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79" i="5"/>
  <c r="C79" i="5"/>
  <c r="D79" i="5"/>
  <c r="E79" i="5"/>
  <c r="F79" i="5"/>
  <c r="G79" i="5"/>
  <c r="H79" i="5"/>
  <c r="I79" i="5"/>
  <c r="J79" i="5"/>
  <c r="K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80" i="5"/>
  <c r="C80" i="5"/>
  <c r="D80" i="5"/>
  <c r="E80" i="5"/>
  <c r="F80" i="5"/>
  <c r="G80" i="5"/>
  <c r="H80" i="5"/>
  <c r="I80" i="5"/>
  <c r="J80" i="5"/>
  <c r="K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81" i="5"/>
  <c r="C81" i="5"/>
  <c r="D81" i="5"/>
  <c r="E81" i="5"/>
  <c r="F81" i="5"/>
  <c r="G81" i="5"/>
  <c r="H81" i="5"/>
  <c r="I81" i="5"/>
  <c r="J81" i="5"/>
  <c r="K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82" i="5"/>
  <c r="C82" i="5"/>
  <c r="D82" i="5"/>
  <c r="E82" i="5"/>
  <c r="F82" i="5"/>
  <c r="G82" i="5"/>
  <c r="H82" i="5"/>
  <c r="I82" i="5"/>
  <c r="J82" i="5"/>
  <c r="K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83" i="5"/>
  <c r="C83" i="5"/>
  <c r="D83" i="5"/>
  <c r="E83" i="5"/>
  <c r="F83" i="5"/>
  <c r="G83" i="5"/>
  <c r="H83" i="5"/>
  <c r="I83" i="5"/>
  <c r="J83" i="5"/>
  <c r="K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84" i="5"/>
  <c r="C84" i="5"/>
  <c r="D84" i="5"/>
  <c r="E84" i="5"/>
  <c r="F84" i="5"/>
  <c r="G84" i="5"/>
  <c r="H84" i="5"/>
  <c r="I84" i="5"/>
  <c r="J84" i="5"/>
  <c r="K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85" i="5"/>
  <c r="C85" i="5"/>
  <c r="D85" i="5"/>
  <c r="E85" i="5"/>
  <c r="F85" i="5"/>
  <c r="G85" i="5"/>
  <c r="H85" i="5"/>
  <c r="I85" i="5"/>
  <c r="J85" i="5"/>
  <c r="K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86" i="5"/>
  <c r="C86" i="5"/>
  <c r="D86" i="5"/>
  <c r="E86" i="5"/>
  <c r="F86" i="5"/>
  <c r="G86" i="5"/>
  <c r="H86" i="5"/>
  <c r="I86" i="5"/>
  <c r="J86" i="5"/>
  <c r="K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87" i="5"/>
  <c r="C87" i="5"/>
  <c r="D87" i="5"/>
  <c r="E87" i="5"/>
  <c r="F87" i="5"/>
  <c r="G87" i="5"/>
  <c r="H87" i="5"/>
  <c r="I87" i="5"/>
  <c r="J87" i="5"/>
  <c r="K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88" i="5"/>
  <c r="C88" i="5"/>
  <c r="D88" i="5"/>
  <c r="E88" i="5"/>
  <c r="F88" i="5"/>
  <c r="G88" i="5"/>
  <c r="H88" i="5"/>
  <c r="I88" i="5"/>
  <c r="J88" i="5"/>
  <c r="K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89" i="5"/>
  <c r="C89" i="5"/>
  <c r="D89" i="5"/>
  <c r="E89" i="5"/>
  <c r="F89" i="5"/>
  <c r="G89" i="5"/>
  <c r="H89" i="5"/>
  <c r="I89" i="5"/>
  <c r="J89" i="5"/>
  <c r="K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90" i="5"/>
  <c r="C90" i="5"/>
  <c r="D90" i="5"/>
  <c r="E90" i="5"/>
  <c r="F90" i="5"/>
  <c r="G90" i="5"/>
  <c r="H90" i="5"/>
  <c r="I90" i="5"/>
  <c r="J90" i="5"/>
  <c r="K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91" i="5"/>
  <c r="C91" i="5"/>
  <c r="D91" i="5"/>
  <c r="E91" i="5"/>
  <c r="F91" i="5"/>
  <c r="G91" i="5"/>
  <c r="H91" i="5"/>
  <c r="I91" i="5"/>
  <c r="J91" i="5"/>
  <c r="K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92" i="5"/>
  <c r="C92" i="5"/>
  <c r="D92" i="5"/>
  <c r="E92" i="5"/>
  <c r="F92" i="5"/>
  <c r="G92" i="5"/>
  <c r="H92" i="5"/>
  <c r="I92" i="5"/>
  <c r="J92" i="5"/>
  <c r="K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93" i="5"/>
  <c r="C93" i="5"/>
  <c r="D93" i="5"/>
  <c r="E93" i="5"/>
  <c r="F93" i="5"/>
  <c r="G93" i="5"/>
  <c r="H93" i="5"/>
  <c r="I93" i="5"/>
  <c r="J93" i="5"/>
  <c r="K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94" i="5"/>
  <c r="C94" i="5"/>
  <c r="D94" i="5"/>
  <c r="E94" i="5"/>
  <c r="F94" i="5"/>
  <c r="G94" i="5"/>
  <c r="H94" i="5"/>
  <c r="I94" i="5"/>
  <c r="J94" i="5"/>
  <c r="K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95" i="5"/>
  <c r="C95" i="5"/>
  <c r="D95" i="5"/>
  <c r="E95" i="5"/>
  <c r="F95" i="5"/>
  <c r="G95" i="5"/>
  <c r="H95" i="5"/>
  <c r="I95" i="5"/>
  <c r="J95" i="5"/>
  <c r="K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100" i="5"/>
  <c r="C100" i="5"/>
  <c r="D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101" i="5"/>
  <c r="C101" i="5"/>
  <c r="D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102" i="5"/>
  <c r="L102" i="5"/>
  <c r="M102" i="5"/>
  <c r="W102" i="5"/>
  <c r="Z102" i="5"/>
  <c r="A103" i="5"/>
  <c r="L103" i="5"/>
  <c r="M103" i="5"/>
  <c r="W103" i="5"/>
  <c r="Z103" i="5"/>
  <c r="A104" i="5"/>
  <c r="L104" i="5"/>
  <c r="M104" i="5"/>
  <c r="W104" i="5"/>
  <c r="Z104" i="5"/>
  <c r="A105" i="5"/>
  <c r="L105" i="5"/>
  <c r="M105" i="5"/>
  <c r="W105" i="5"/>
  <c r="Z105" i="5"/>
  <c r="A106" i="5"/>
  <c r="L106" i="5"/>
  <c r="M106" i="5"/>
  <c r="W106" i="5"/>
  <c r="Z106" i="5"/>
  <c r="A107" i="5"/>
  <c r="L107" i="5"/>
  <c r="M107" i="5"/>
  <c r="W107" i="5"/>
  <c r="Z107" i="5"/>
  <c r="A108" i="5"/>
  <c r="L108" i="5"/>
  <c r="M108" i="5"/>
  <c r="W108" i="5"/>
  <c r="Z108" i="5"/>
  <c r="A109" i="5"/>
  <c r="M109" i="5"/>
  <c r="W109" i="5"/>
  <c r="Z109" i="5"/>
  <c r="A110" i="5"/>
  <c r="W110" i="5"/>
  <c r="Z110" i="5"/>
  <c r="A111" i="5"/>
  <c r="W111" i="5"/>
  <c r="Z111" i="5"/>
  <c r="A112" i="5"/>
  <c r="W112" i="5"/>
  <c r="Z112" i="5"/>
  <c r="A113" i="5"/>
  <c r="W113" i="5"/>
  <c r="Z113" i="5"/>
  <c r="A114" i="5"/>
  <c r="W114" i="5"/>
  <c r="Z114" i="5"/>
  <c r="A115" i="5"/>
  <c r="W115" i="5"/>
  <c r="Z115" i="5"/>
  <c r="W116" i="5"/>
  <c r="Z116" i="5"/>
  <c r="D3" i="3"/>
  <c r="E3" i="3"/>
  <c r="F3" i="3"/>
  <c r="B4" i="3"/>
  <c r="C4" i="3"/>
  <c r="D4" i="3"/>
  <c r="E4" i="3"/>
  <c r="F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D16" i="3"/>
  <c r="E16" i="3"/>
  <c r="F16" i="3"/>
  <c r="G16" i="3"/>
  <c r="H16" i="3"/>
  <c r="B17" i="3"/>
  <c r="D17" i="3"/>
  <c r="E17" i="3"/>
  <c r="F17" i="3"/>
  <c r="G17" i="3"/>
  <c r="H17" i="3"/>
  <c r="B18" i="3"/>
  <c r="B19" i="3"/>
  <c r="A3" i="19"/>
  <c r="A4" i="19"/>
  <c r="A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A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A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A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A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A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A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A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A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A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A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A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A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A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A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A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A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A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A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A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A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A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A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A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A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A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A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A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A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A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A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A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A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A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A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A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A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A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A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A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A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A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A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A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A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A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A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A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A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A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A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A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A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A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A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A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A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A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A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A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A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A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A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A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A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A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A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A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A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A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A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A76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A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A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A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A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A81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A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A83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A84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A85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A86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A87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A88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A89" i="19"/>
  <c r="C89" i="19"/>
  <c r="D89" i="19"/>
  <c r="L89" i="19"/>
  <c r="M89" i="19"/>
  <c r="N89" i="19"/>
  <c r="A90" i="19"/>
  <c r="C90" i="19"/>
  <c r="D90" i="19"/>
  <c r="L90" i="19"/>
  <c r="M90" i="19"/>
  <c r="N90" i="19"/>
  <c r="A91" i="19"/>
  <c r="C91" i="19"/>
  <c r="D91" i="19"/>
  <c r="L91" i="19"/>
  <c r="M91" i="19"/>
  <c r="N91" i="19"/>
  <c r="A92" i="19"/>
  <c r="C92" i="19"/>
  <c r="D92" i="19"/>
  <c r="L92" i="19"/>
  <c r="M92" i="19"/>
  <c r="N92" i="19"/>
  <c r="A93" i="19"/>
  <c r="C93" i="19"/>
  <c r="D93" i="19"/>
  <c r="L93" i="19"/>
  <c r="M93" i="19"/>
  <c r="N93" i="19"/>
  <c r="A94" i="19"/>
  <c r="C94" i="19"/>
  <c r="D94" i="19"/>
  <c r="L94" i="19"/>
  <c r="M94" i="19"/>
  <c r="N94" i="19"/>
  <c r="A95" i="19"/>
  <c r="C95" i="19"/>
  <c r="D95" i="19"/>
  <c r="A96" i="19"/>
  <c r="C96" i="19"/>
  <c r="A97" i="19"/>
  <c r="C97" i="19"/>
  <c r="A98" i="19"/>
  <c r="D98" i="19"/>
  <c r="O98" i="19"/>
  <c r="P98" i="19"/>
  <c r="Q98" i="19"/>
  <c r="A99" i="19"/>
  <c r="D99" i="19"/>
  <c r="O99" i="19"/>
  <c r="P99" i="19"/>
  <c r="A100" i="19"/>
  <c r="D100" i="19"/>
  <c r="O100" i="19"/>
  <c r="P100" i="19"/>
  <c r="A3" i="18"/>
  <c r="A4" i="18"/>
  <c r="A5" i="18"/>
  <c r="C5" i="18"/>
  <c r="A6" i="18"/>
  <c r="C6" i="18"/>
  <c r="A7" i="18"/>
  <c r="C7" i="18"/>
  <c r="A8" i="18"/>
  <c r="C8" i="18"/>
  <c r="D8" i="18"/>
  <c r="E8" i="18"/>
  <c r="F8" i="18"/>
  <c r="G8" i="18"/>
  <c r="H8" i="18"/>
  <c r="I8" i="18"/>
  <c r="J8" i="18"/>
  <c r="K8" i="18"/>
  <c r="L8" i="18"/>
  <c r="M8" i="18"/>
  <c r="A9" i="18"/>
  <c r="C9" i="18"/>
  <c r="D9" i="18"/>
  <c r="E9" i="18"/>
  <c r="F9" i="18"/>
  <c r="G9" i="18"/>
  <c r="H9" i="18"/>
  <c r="I9" i="18"/>
  <c r="J9" i="18"/>
  <c r="K9" i="18"/>
  <c r="L9" i="18"/>
  <c r="M9" i="18"/>
  <c r="A10" i="18"/>
  <c r="C10" i="18"/>
  <c r="D10" i="18"/>
  <c r="E10" i="18"/>
  <c r="F10" i="18"/>
  <c r="G10" i="18"/>
  <c r="H10" i="18"/>
  <c r="I10" i="18"/>
  <c r="J10" i="18"/>
  <c r="K10" i="18"/>
  <c r="L10" i="18"/>
  <c r="M10" i="18"/>
  <c r="A11" i="18"/>
  <c r="C11" i="18"/>
  <c r="D11" i="18"/>
  <c r="E11" i="18"/>
  <c r="F11" i="18"/>
  <c r="G11" i="18"/>
  <c r="H11" i="18"/>
  <c r="I11" i="18"/>
  <c r="J11" i="18"/>
  <c r="K11" i="18"/>
  <c r="L11" i="18"/>
  <c r="M11" i="18"/>
  <c r="A12" i="18"/>
  <c r="C12" i="18"/>
  <c r="D12" i="18"/>
  <c r="E12" i="18"/>
  <c r="F12" i="18"/>
  <c r="G12" i="18"/>
  <c r="H12" i="18"/>
  <c r="I12" i="18"/>
  <c r="J12" i="18"/>
  <c r="K12" i="18"/>
  <c r="L12" i="18"/>
  <c r="M12" i="18"/>
  <c r="A13" i="18"/>
  <c r="C13" i="18"/>
  <c r="D13" i="18"/>
  <c r="E13" i="18"/>
  <c r="F13" i="18"/>
  <c r="G13" i="18"/>
  <c r="H13" i="18"/>
  <c r="I13" i="18"/>
  <c r="J13" i="18"/>
  <c r="K13" i="18"/>
  <c r="L13" i="18"/>
  <c r="M13" i="18"/>
  <c r="A14" i="18"/>
  <c r="C14" i="18"/>
  <c r="D14" i="18"/>
  <c r="E14" i="18"/>
  <c r="F14" i="18"/>
  <c r="G14" i="18"/>
  <c r="H14" i="18"/>
  <c r="I14" i="18"/>
  <c r="J14" i="18"/>
  <c r="K14" i="18"/>
  <c r="L14" i="18"/>
  <c r="M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A20" i="18"/>
  <c r="C20" i="18"/>
  <c r="D20" i="18"/>
  <c r="E20" i="18"/>
  <c r="F20" i="18"/>
  <c r="G20" i="18"/>
  <c r="H20" i="18"/>
  <c r="I20" i="18"/>
  <c r="J20" i="18"/>
  <c r="K20" i="18"/>
  <c r="L20" i="18"/>
  <c r="M20" i="18"/>
  <c r="A21" i="18"/>
  <c r="C21" i="18"/>
  <c r="D21" i="18"/>
  <c r="E21" i="18"/>
  <c r="F21" i="18"/>
  <c r="G21" i="18"/>
  <c r="H21" i="18"/>
  <c r="I21" i="18"/>
  <c r="J21" i="18"/>
  <c r="K21" i="18"/>
  <c r="L21" i="18"/>
  <c r="M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A28" i="18"/>
  <c r="C28" i="18"/>
  <c r="D28" i="18"/>
  <c r="E28" i="18"/>
  <c r="F28" i="18"/>
  <c r="G28" i="18"/>
  <c r="H28" i="18"/>
  <c r="I28" i="18"/>
  <c r="J28" i="18"/>
  <c r="K28" i="18"/>
  <c r="L28" i="18"/>
  <c r="M28" i="18"/>
  <c r="A29" i="18"/>
  <c r="C29" i="18"/>
  <c r="D29" i="18"/>
  <c r="E29" i="18"/>
  <c r="F29" i="18"/>
  <c r="G29" i="18"/>
  <c r="H29" i="18"/>
  <c r="I29" i="18"/>
  <c r="J29" i="18"/>
  <c r="K29" i="18"/>
  <c r="L29" i="18"/>
  <c r="M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A34" i="18"/>
  <c r="C34" i="18"/>
  <c r="D34" i="18"/>
  <c r="E34" i="18"/>
  <c r="F34" i="18"/>
  <c r="G34" i="18"/>
  <c r="H34" i="18"/>
  <c r="I34" i="18"/>
  <c r="J34" i="18"/>
  <c r="K34" i="18"/>
  <c r="L34" i="18"/>
  <c r="M34" i="18"/>
  <c r="A35" i="18"/>
  <c r="C35" i="18"/>
  <c r="D35" i="18"/>
  <c r="E35" i="18"/>
  <c r="F35" i="18"/>
  <c r="G35" i="18"/>
  <c r="H35" i="18"/>
  <c r="I35" i="18"/>
  <c r="J35" i="18"/>
  <c r="K35" i="18"/>
  <c r="L35" i="18"/>
  <c r="M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A37" i="18"/>
  <c r="C37" i="18"/>
  <c r="D37" i="18"/>
  <c r="E37" i="18"/>
  <c r="F37" i="18"/>
  <c r="G37" i="18"/>
  <c r="H37" i="18"/>
  <c r="I37" i="18"/>
  <c r="J37" i="18"/>
  <c r="K37" i="18"/>
  <c r="L37" i="18"/>
  <c r="M37" i="18"/>
  <c r="A38" i="18"/>
  <c r="C38" i="18"/>
  <c r="D38" i="18"/>
  <c r="E38" i="18"/>
  <c r="F38" i="18"/>
  <c r="G38" i="18"/>
  <c r="H38" i="18"/>
  <c r="I38" i="18"/>
  <c r="J38" i="18"/>
  <c r="K38" i="18"/>
  <c r="L38" i="18"/>
  <c r="M38" i="18"/>
  <c r="A39" i="18"/>
  <c r="C39" i="18"/>
  <c r="D39" i="18"/>
  <c r="E39" i="18"/>
  <c r="F39" i="18"/>
  <c r="G39" i="18"/>
  <c r="H39" i="18"/>
  <c r="I39" i="18"/>
  <c r="J39" i="18"/>
  <c r="K39" i="18"/>
  <c r="L39" i="18"/>
  <c r="M39" i="18"/>
  <c r="A40" i="18"/>
  <c r="C40" i="18"/>
  <c r="D40" i="18"/>
  <c r="E40" i="18"/>
  <c r="F40" i="18"/>
  <c r="G40" i="18"/>
  <c r="H40" i="18"/>
  <c r="I40" i="18"/>
  <c r="J40" i="18"/>
  <c r="K40" i="18"/>
  <c r="L40" i="18"/>
  <c r="M40" i="18"/>
  <c r="A41" i="18"/>
  <c r="C41" i="18"/>
  <c r="D41" i="18"/>
  <c r="E41" i="18"/>
  <c r="F41" i="18"/>
  <c r="G41" i="18"/>
  <c r="H41" i="18"/>
  <c r="I41" i="18"/>
  <c r="J41" i="18"/>
  <c r="K41" i="18"/>
  <c r="L41" i="18"/>
  <c r="M41" i="18"/>
  <c r="A42" i="18"/>
  <c r="C42" i="18"/>
  <c r="D42" i="18"/>
  <c r="E42" i="18"/>
  <c r="F42" i="18"/>
  <c r="G42" i="18"/>
  <c r="H42" i="18"/>
  <c r="I42" i="18"/>
  <c r="J42" i="18"/>
  <c r="K42" i="18"/>
  <c r="L42" i="18"/>
  <c r="M42" i="18"/>
  <c r="A43" i="18"/>
  <c r="C43" i="18"/>
  <c r="D43" i="18"/>
  <c r="E43" i="18"/>
  <c r="F43" i="18"/>
  <c r="G43" i="18"/>
  <c r="H43" i="18"/>
  <c r="I43" i="18"/>
  <c r="J43" i="18"/>
  <c r="K43" i="18"/>
  <c r="L43" i="18"/>
  <c r="M43" i="18"/>
  <c r="A44" i="18"/>
  <c r="C44" i="18"/>
  <c r="D44" i="18"/>
  <c r="E44" i="18"/>
  <c r="F44" i="18"/>
  <c r="G44" i="18"/>
  <c r="H44" i="18"/>
  <c r="I44" i="18"/>
  <c r="J44" i="18"/>
  <c r="K44" i="18"/>
  <c r="L44" i="18"/>
  <c r="M44" i="18"/>
  <c r="A45" i="18"/>
  <c r="C45" i="18"/>
  <c r="D45" i="18"/>
  <c r="E45" i="18"/>
  <c r="F45" i="18"/>
  <c r="G45" i="18"/>
  <c r="H45" i="18"/>
  <c r="I45" i="18"/>
  <c r="J45" i="18"/>
  <c r="K45" i="18"/>
  <c r="L45" i="18"/>
  <c r="M45" i="18"/>
  <c r="A46" i="18"/>
  <c r="C46" i="18"/>
  <c r="D46" i="18"/>
  <c r="E46" i="18"/>
  <c r="F46" i="18"/>
  <c r="G46" i="18"/>
  <c r="H46" i="18"/>
  <c r="I46" i="18"/>
  <c r="J46" i="18"/>
  <c r="K46" i="18"/>
  <c r="L46" i="18"/>
  <c r="M46" i="18"/>
  <c r="A47" i="18"/>
  <c r="C47" i="18"/>
  <c r="D47" i="18"/>
  <c r="E47" i="18"/>
  <c r="F47" i="18"/>
  <c r="G47" i="18"/>
  <c r="H47" i="18"/>
  <c r="I47" i="18"/>
  <c r="J47" i="18"/>
  <c r="K47" i="18"/>
  <c r="L47" i="18"/>
  <c r="M47" i="18"/>
  <c r="A48" i="18"/>
  <c r="C48" i="18"/>
  <c r="D48" i="18"/>
  <c r="E48" i="18"/>
  <c r="F48" i="18"/>
  <c r="G48" i="18"/>
  <c r="H48" i="18"/>
  <c r="I48" i="18"/>
  <c r="J48" i="18"/>
  <c r="K48" i="18"/>
  <c r="L48" i="18"/>
  <c r="M48" i="18"/>
  <c r="A49" i="18"/>
  <c r="C49" i="18"/>
  <c r="D49" i="18"/>
  <c r="E49" i="18"/>
  <c r="F49" i="18"/>
  <c r="G49" i="18"/>
  <c r="H49" i="18"/>
  <c r="I49" i="18"/>
  <c r="J49" i="18"/>
  <c r="K49" i="18"/>
  <c r="L49" i="18"/>
  <c r="M49" i="18"/>
  <c r="A50" i="18"/>
  <c r="C50" i="18"/>
  <c r="D50" i="18"/>
  <c r="E50" i="18"/>
  <c r="F50" i="18"/>
  <c r="G50" i="18"/>
  <c r="H50" i="18"/>
  <c r="I50" i="18"/>
  <c r="J50" i="18"/>
  <c r="K50" i="18"/>
  <c r="L50" i="18"/>
  <c r="M50" i="18"/>
  <c r="A51" i="18"/>
  <c r="C51" i="18"/>
  <c r="D51" i="18"/>
  <c r="E51" i="18"/>
  <c r="F51" i="18"/>
  <c r="G51" i="18"/>
  <c r="H51" i="18"/>
  <c r="I51" i="18"/>
  <c r="J51" i="18"/>
  <c r="K51" i="18"/>
  <c r="L51" i="18"/>
  <c r="M51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A53" i="18"/>
  <c r="C53" i="18"/>
  <c r="D53" i="18"/>
  <c r="E53" i="18"/>
  <c r="F53" i="18"/>
  <c r="G53" i="18"/>
  <c r="H53" i="18"/>
  <c r="I53" i="18"/>
  <c r="J53" i="18"/>
  <c r="K53" i="18"/>
  <c r="L53" i="18"/>
  <c r="M53" i="18"/>
  <c r="A54" i="18"/>
  <c r="C54" i="18"/>
  <c r="D54" i="18"/>
  <c r="E54" i="18"/>
  <c r="F54" i="18"/>
  <c r="G54" i="18"/>
  <c r="H54" i="18"/>
  <c r="I54" i="18"/>
  <c r="J54" i="18"/>
  <c r="K54" i="18"/>
  <c r="L54" i="18"/>
  <c r="M54" i="18"/>
  <c r="A55" i="18"/>
  <c r="C55" i="18"/>
  <c r="D55" i="18"/>
  <c r="E55" i="18"/>
  <c r="F55" i="18"/>
  <c r="G55" i="18"/>
  <c r="H55" i="18"/>
  <c r="I55" i="18"/>
  <c r="J55" i="18"/>
  <c r="K55" i="18"/>
  <c r="L55" i="18"/>
  <c r="M55" i="18"/>
  <c r="A56" i="18"/>
  <c r="C56" i="18"/>
  <c r="D56" i="18"/>
  <c r="E56" i="18"/>
  <c r="F56" i="18"/>
  <c r="G56" i="18"/>
  <c r="H56" i="18"/>
  <c r="I56" i="18"/>
  <c r="J56" i="18"/>
  <c r="K56" i="18"/>
  <c r="L56" i="18"/>
  <c r="M56" i="18"/>
  <c r="A57" i="18"/>
  <c r="C57" i="18"/>
  <c r="D57" i="18"/>
  <c r="E57" i="18"/>
  <c r="F57" i="18"/>
  <c r="G57" i="18"/>
  <c r="H57" i="18"/>
  <c r="I57" i="18"/>
  <c r="J57" i="18"/>
  <c r="K57" i="18"/>
  <c r="L57" i="18"/>
  <c r="M57" i="18"/>
  <c r="A58" i="18"/>
  <c r="C58" i="18"/>
  <c r="D58" i="18"/>
  <c r="E58" i="18"/>
  <c r="F58" i="18"/>
  <c r="G58" i="18"/>
  <c r="H58" i="18"/>
  <c r="I58" i="18"/>
  <c r="J58" i="18"/>
  <c r="K58" i="18"/>
  <c r="L58" i="18"/>
  <c r="M58" i="18"/>
  <c r="A59" i="18"/>
  <c r="C59" i="18"/>
  <c r="D59" i="18"/>
  <c r="E59" i="18"/>
  <c r="F59" i="18"/>
  <c r="G59" i="18"/>
  <c r="H59" i="18"/>
  <c r="I59" i="18"/>
  <c r="J59" i="18"/>
  <c r="K59" i="18"/>
  <c r="L59" i="18"/>
  <c r="M59" i="18"/>
  <c r="A60" i="18"/>
  <c r="C60" i="18"/>
  <c r="D60" i="18"/>
  <c r="E60" i="18"/>
  <c r="F60" i="18"/>
  <c r="G60" i="18"/>
  <c r="H60" i="18"/>
  <c r="I60" i="18"/>
  <c r="J60" i="18"/>
  <c r="K60" i="18"/>
  <c r="L60" i="18"/>
  <c r="M60" i="18"/>
  <c r="A61" i="18"/>
  <c r="C61" i="18"/>
  <c r="D61" i="18"/>
  <c r="E61" i="18"/>
  <c r="F61" i="18"/>
  <c r="G61" i="18"/>
  <c r="H61" i="18"/>
  <c r="I61" i="18"/>
  <c r="J61" i="18"/>
  <c r="K61" i="18"/>
  <c r="L61" i="18"/>
  <c r="M61" i="18"/>
  <c r="A62" i="18"/>
  <c r="C62" i="18"/>
  <c r="D62" i="18"/>
  <c r="E62" i="18"/>
  <c r="F62" i="18"/>
  <c r="G62" i="18"/>
  <c r="H62" i="18"/>
  <c r="I62" i="18"/>
  <c r="J62" i="18"/>
  <c r="K62" i="18"/>
  <c r="L62" i="18"/>
  <c r="M62" i="18"/>
  <c r="A63" i="18"/>
  <c r="C63" i="18"/>
  <c r="D63" i="18"/>
  <c r="E63" i="18"/>
  <c r="F63" i="18"/>
  <c r="G63" i="18"/>
  <c r="H63" i="18"/>
  <c r="I63" i="18"/>
  <c r="J63" i="18"/>
  <c r="K63" i="18"/>
  <c r="L63" i="18"/>
  <c r="M63" i="18"/>
  <c r="A64" i="18"/>
  <c r="C64" i="18"/>
  <c r="D64" i="18"/>
  <c r="E64" i="18"/>
  <c r="F64" i="18"/>
  <c r="G64" i="18"/>
  <c r="H64" i="18"/>
  <c r="I64" i="18"/>
  <c r="J64" i="18"/>
  <c r="K64" i="18"/>
  <c r="L64" i="18"/>
  <c r="M64" i="18"/>
  <c r="A65" i="18"/>
  <c r="C65" i="18"/>
  <c r="D65" i="18"/>
  <c r="E65" i="18"/>
  <c r="F65" i="18"/>
  <c r="G65" i="18"/>
  <c r="H65" i="18"/>
  <c r="I65" i="18"/>
  <c r="J65" i="18"/>
  <c r="K65" i="18"/>
  <c r="L65" i="18"/>
  <c r="M65" i="18"/>
  <c r="A66" i="18"/>
  <c r="C66" i="18"/>
  <c r="D66" i="18"/>
  <c r="E66" i="18"/>
  <c r="F66" i="18"/>
  <c r="G66" i="18"/>
  <c r="H66" i="18"/>
  <c r="I66" i="18"/>
  <c r="J66" i="18"/>
  <c r="K66" i="18"/>
  <c r="L66" i="18"/>
  <c r="M66" i="18"/>
  <c r="A67" i="18"/>
  <c r="C67" i="18"/>
  <c r="D67" i="18"/>
  <c r="E67" i="18"/>
  <c r="F67" i="18"/>
  <c r="G67" i="18"/>
  <c r="H67" i="18"/>
  <c r="I67" i="18"/>
  <c r="J67" i="18"/>
  <c r="K67" i="18"/>
  <c r="L67" i="18"/>
  <c r="M67" i="18"/>
  <c r="A68" i="18"/>
  <c r="C68" i="18"/>
  <c r="D68" i="18"/>
  <c r="E68" i="18"/>
  <c r="F68" i="18"/>
  <c r="G68" i="18"/>
  <c r="H68" i="18"/>
  <c r="I68" i="18"/>
  <c r="J68" i="18"/>
  <c r="K68" i="18"/>
  <c r="L68" i="18"/>
  <c r="M68" i="18"/>
  <c r="A69" i="18"/>
  <c r="C69" i="18"/>
  <c r="D69" i="18"/>
  <c r="E69" i="18"/>
  <c r="F69" i="18"/>
  <c r="G69" i="18"/>
  <c r="H69" i="18"/>
  <c r="I69" i="18"/>
  <c r="J69" i="18"/>
  <c r="K69" i="18"/>
  <c r="L69" i="18"/>
  <c r="M69" i="18"/>
  <c r="A70" i="18"/>
  <c r="C70" i="18"/>
  <c r="D70" i="18"/>
  <c r="E70" i="18"/>
  <c r="F70" i="18"/>
  <c r="G70" i="18"/>
  <c r="H70" i="18"/>
  <c r="I70" i="18"/>
  <c r="J70" i="18"/>
  <c r="K70" i="18"/>
  <c r="L70" i="18"/>
  <c r="M70" i="18"/>
  <c r="A71" i="18"/>
  <c r="C71" i="18"/>
  <c r="D71" i="18"/>
  <c r="E71" i="18"/>
  <c r="F71" i="18"/>
  <c r="G71" i="18"/>
  <c r="H71" i="18"/>
  <c r="I71" i="18"/>
  <c r="J71" i="18"/>
  <c r="K71" i="18"/>
  <c r="L71" i="18"/>
  <c r="M71" i="18"/>
  <c r="A72" i="18"/>
  <c r="C72" i="18"/>
  <c r="D72" i="18"/>
  <c r="E72" i="18"/>
  <c r="F72" i="18"/>
  <c r="G72" i="18"/>
  <c r="H72" i="18"/>
  <c r="I72" i="18"/>
  <c r="J72" i="18"/>
  <c r="K72" i="18"/>
  <c r="L72" i="18"/>
  <c r="M72" i="18"/>
  <c r="A73" i="18"/>
  <c r="C73" i="18"/>
  <c r="D73" i="18"/>
  <c r="E73" i="18"/>
  <c r="F73" i="18"/>
  <c r="G73" i="18"/>
  <c r="H73" i="18"/>
  <c r="I73" i="18"/>
  <c r="J73" i="18"/>
  <c r="K73" i="18"/>
  <c r="L73" i="18"/>
  <c r="M73" i="18"/>
  <c r="A74" i="18"/>
  <c r="C74" i="18"/>
  <c r="D74" i="18"/>
  <c r="E74" i="18"/>
  <c r="F74" i="18"/>
  <c r="G74" i="18"/>
  <c r="H74" i="18"/>
  <c r="I74" i="18"/>
  <c r="J74" i="18"/>
  <c r="K74" i="18"/>
  <c r="L74" i="18"/>
  <c r="M74" i="18"/>
  <c r="A75" i="18"/>
  <c r="C75" i="18"/>
  <c r="D75" i="18"/>
  <c r="E75" i="18"/>
  <c r="F75" i="18"/>
  <c r="G75" i="18"/>
  <c r="H75" i="18"/>
  <c r="I75" i="18"/>
  <c r="J75" i="18"/>
  <c r="K75" i="18"/>
  <c r="L75" i="18"/>
  <c r="M75" i="18"/>
  <c r="A76" i="18"/>
  <c r="C76" i="18"/>
  <c r="D76" i="18"/>
  <c r="E76" i="18"/>
  <c r="F76" i="18"/>
  <c r="G76" i="18"/>
  <c r="H76" i="18"/>
  <c r="I76" i="18"/>
  <c r="J76" i="18"/>
  <c r="K76" i="18"/>
  <c r="L76" i="18"/>
  <c r="M76" i="18"/>
  <c r="A77" i="18"/>
  <c r="C77" i="18"/>
  <c r="D77" i="18"/>
  <c r="E77" i="18"/>
  <c r="F77" i="18"/>
  <c r="G77" i="18"/>
  <c r="H77" i="18"/>
  <c r="I77" i="18"/>
  <c r="J77" i="18"/>
  <c r="K77" i="18"/>
  <c r="L77" i="18"/>
  <c r="M77" i="18"/>
  <c r="A78" i="18"/>
  <c r="C78" i="18"/>
  <c r="D78" i="18"/>
  <c r="E78" i="18"/>
  <c r="F78" i="18"/>
  <c r="G78" i="18"/>
  <c r="H78" i="18"/>
  <c r="I78" i="18"/>
  <c r="J78" i="18"/>
  <c r="K78" i="18"/>
  <c r="L78" i="18"/>
  <c r="M78" i="18"/>
  <c r="A79" i="18"/>
  <c r="C79" i="18"/>
  <c r="D79" i="18"/>
  <c r="E79" i="18"/>
  <c r="F79" i="18"/>
  <c r="G79" i="18"/>
  <c r="H79" i="18"/>
  <c r="I79" i="18"/>
  <c r="J79" i="18"/>
  <c r="K79" i="18"/>
  <c r="L79" i="18"/>
  <c r="M79" i="18"/>
  <c r="A80" i="18"/>
  <c r="C80" i="18"/>
  <c r="D80" i="18"/>
  <c r="E80" i="18"/>
  <c r="F80" i="18"/>
  <c r="G80" i="18"/>
  <c r="H80" i="18"/>
  <c r="I80" i="18"/>
  <c r="J80" i="18"/>
  <c r="K80" i="18"/>
  <c r="L80" i="18"/>
  <c r="M80" i="18"/>
  <c r="A81" i="18"/>
  <c r="C81" i="18"/>
  <c r="D81" i="18"/>
  <c r="E81" i="18"/>
  <c r="F81" i="18"/>
  <c r="G81" i="18"/>
  <c r="H81" i="18"/>
  <c r="I81" i="18"/>
  <c r="J81" i="18"/>
  <c r="K81" i="18"/>
  <c r="L81" i="18"/>
  <c r="M81" i="18"/>
  <c r="A82" i="18"/>
  <c r="C82" i="18"/>
  <c r="D82" i="18"/>
  <c r="E82" i="18"/>
  <c r="F82" i="18"/>
  <c r="G82" i="18"/>
  <c r="H82" i="18"/>
  <c r="I82" i="18"/>
  <c r="J82" i="18"/>
  <c r="K82" i="18"/>
  <c r="L82" i="18"/>
  <c r="M82" i="18"/>
  <c r="A83" i="18"/>
  <c r="C83" i="18"/>
  <c r="D83" i="18"/>
  <c r="E83" i="18"/>
  <c r="F83" i="18"/>
  <c r="G83" i="18"/>
  <c r="H83" i="18"/>
  <c r="I83" i="18"/>
  <c r="J83" i="18"/>
  <c r="K83" i="18"/>
  <c r="L83" i="18"/>
  <c r="M83" i="18"/>
  <c r="A84" i="18"/>
  <c r="C84" i="18"/>
  <c r="D84" i="18"/>
  <c r="E84" i="18"/>
  <c r="F84" i="18"/>
  <c r="G84" i="18"/>
  <c r="H84" i="18"/>
  <c r="I84" i="18"/>
  <c r="J84" i="18"/>
  <c r="K84" i="18"/>
  <c r="L84" i="18"/>
  <c r="M84" i="18"/>
  <c r="A85" i="18"/>
  <c r="C85" i="18"/>
  <c r="D85" i="18"/>
  <c r="E85" i="18"/>
  <c r="F85" i="18"/>
  <c r="G85" i="18"/>
  <c r="H85" i="18"/>
  <c r="I85" i="18"/>
  <c r="J85" i="18"/>
  <c r="K85" i="18"/>
  <c r="L85" i="18"/>
  <c r="M85" i="18"/>
  <c r="A86" i="18"/>
  <c r="C86" i="18"/>
  <c r="D86" i="18"/>
  <c r="E86" i="18"/>
  <c r="F86" i="18"/>
  <c r="G86" i="18"/>
  <c r="H86" i="18"/>
  <c r="I86" i="18"/>
  <c r="J86" i="18"/>
  <c r="K86" i="18"/>
  <c r="L86" i="18"/>
  <c r="M86" i="18"/>
  <c r="A87" i="18"/>
  <c r="C87" i="18"/>
  <c r="D87" i="18"/>
  <c r="E87" i="18"/>
  <c r="F87" i="18"/>
  <c r="G87" i="18"/>
  <c r="H87" i="18"/>
  <c r="I87" i="18"/>
  <c r="J87" i="18"/>
  <c r="K87" i="18"/>
  <c r="L87" i="18"/>
  <c r="M87" i="18"/>
  <c r="A88" i="18"/>
  <c r="C88" i="18"/>
  <c r="D88" i="18"/>
  <c r="E88" i="18"/>
  <c r="F88" i="18"/>
  <c r="G88" i="18"/>
  <c r="H88" i="18"/>
  <c r="I88" i="18"/>
  <c r="J88" i="18"/>
  <c r="K88" i="18"/>
  <c r="L88" i="18"/>
  <c r="M88" i="18"/>
  <c r="A89" i="18"/>
  <c r="C89" i="18"/>
  <c r="G89" i="18"/>
  <c r="H89" i="18"/>
  <c r="I89" i="18"/>
  <c r="J89" i="18"/>
  <c r="L89" i="18"/>
  <c r="M89" i="18"/>
  <c r="A90" i="18"/>
  <c r="C90" i="18"/>
  <c r="G90" i="18"/>
  <c r="H90" i="18"/>
  <c r="I90" i="18"/>
  <c r="J90" i="18"/>
  <c r="L90" i="18"/>
  <c r="M90" i="18"/>
  <c r="A91" i="18"/>
  <c r="C91" i="18"/>
  <c r="G91" i="18"/>
  <c r="H91" i="18"/>
  <c r="I91" i="18"/>
  <c r="J91" i="18"/>
  <c r="L91" i="18"/>
  <c r="M91" i="18"/>
  <c r="A92" i="18"/>
  <c r="C92" i="18"/>
  <c r="G92" i="18"/>
  <c r="H92" i="18"/>
  <c r="I92" i="18"/>
  <c r="J92" i="18"/>
  <c r="L92" i="18"/>
  <c r="M92" i="18"/>
  <c r="A93" i="18"/>
  <c r="C93" i="18"/>
  <c r="G93" i="18"/>
  <c r="H93" i="18"/>
  <c r="I93" i="18"/>
  <c r="J93" i="18"/>
  <c r="L93" i="18"/>
  <c r="M93" i="18"/>
  <c r="A94" i="18"/>
  <c r="C94" i="18"/>
  <c r="G94" i="18"/>
  <c r="H94" i="18"/>
  <c r="I94" i="18"/>
  <c r="J94" i="18"/>
  <c r="L94" i="18"/>
  <c r="M94" i="18"/>
  <c r="A95" i="18"/>
  <c r="C95" i="18"/>
  <c r="L95" i="18"/>
  <c r="M95" i="18"/>
  <c r="A96" i="18"/>
  <c r="C96" i="18"/>
  <c r="A97" i="18"/>
  <c r="C97" i="18"/>
  <c r="A98" i="18"/>
  <c r="J98" i="18"/>
  <c r="K98" i="18"/>
  <c r="L98" i="18"/>
  <c r="M98" i="18"/>
  <c r="A99" i="18"/>
  <c r="J99" i="18"/>
  <c r="L99" i="18"/>
  <c r="A100" i="18"/>
  <c r="J100" i="18"/>
  <c r="L100" i="18"/>
  <c r="Z1" i="1"/>
  <c r="AB1" i="1"/>
  <c r="M2" i="1"/>
  <c r="N2" i="1"/>
  <c r="W2" i="1"/>
  <c r="Y2" i="1"/>
  <c r="Z2" i="1"/>
  <c r="AB2" i="1"/>
  <c r="AP2" i="1"/>
  <c r="AQ2" i="1"/>
  <c r="AR2" i="1"/>
  <c r="AS2" i="1"/>
  <c r="AT2" i="1"/>
  <c r="AU2" i="1"/>
  <c r="AV2" i="1"/>
  <c r="AZ2" i="1"/>
  <c r="AB3" i="1"/>
  <c r="AP3" i="1"/>
  <c r="AQ3" i="1"/>
  <c r="AR3" i="1"/>
  <c r="AS3" i="1"/>
  <c r="AT3" i="1"/>
  <c r="AU3" i="1"/>
  <c r="AV3" i="1"/>
  <c r="AZ3" i="1"/>
  <c r="W4" i="1"/>
  <c r="AP5" i="1"/>
  <c r="AQ5" i="1"/>
  <c r="AR5" i="1"/>
  <c r="AS5" i="1"/>
  <c r="AT5" i="1"/>
  <c r="AU5" i="1"/>
  <c r="AV5" i="1"/>
  <c r="AZ5" i="1"/>
  <c r="AP6" i="1"/>
  <c r="AQ6" i="1"/>
  <c r="AR6" i="1"/>
  <c r="AS6" i="1"/>
  <c r="AT6" i="1"/>
  <c r="AU6" i="1"/>
  <c r="AV6" i="1"/>
  <c r="AZ6" i="1"/>
  <c r="A8" i="1"/>
  <c r="A9" i="1"/>
  <c r="A10" i="1"/>
  <c r="A11" i="1"/>
  <c r="A12" i="1"/>
  <c r="A13" i="1"/>
  <c r="A14" i="1"/>
  <c r="A15" i="1"/>
  <c r="A16" i="1"/>
  <c r="A17" i="1"/>
  <c r="AB17" i="1"/>
  <c r="A18" i="1"/>
  <c r="Q18" i="1"/>
  <c r="R18" i="1"/>
  <c r="T18" i="1"/>
  <c r="X18" i="1"/>
  <c r="AA18" i="1"/>
  <c r="AB18" i="1"/>
  <c r="A19" i="1"/>
  <c r="M19" i="1"/>
  <c r="Q19" i="1"/>
  <c r="R19" i="1"/>
  <c r="T19" i="1"/>
  <c r="U19" i="1"/>
  <c r="X19" i="1"/>
  <c r="Y19" i="1"/>
  <c r="AA19" i="1"/>
  <c r="AB19" i="1"/>
  <c r="A20" i="1"/>
  <c r="Q20" i="1"/>
  <c r="R20" i="1"/>
  <c r="T20" i="1"/>
  <c r="U20" i="1"/>
  <c r="X20" i="1"/>
  <c r="Y20" i="1"/>
  <c r="AA20" i="1"/>
  <c r="AB20" i="1"/>
  <c r="AC20" i="1"/>
  <c r="A21" i="1"/>
  <c r="H21" i="1"/>
  <c r="I21" i="1"/>
  <c r="J21" i="1"/>
  <c r="K21" i="1"/>
  <c r="L21" i="1"/>
  <c r="Q21" i="1"/>
  <c r="R21" i="1"/>
  <c r="T21" i="1"/>
  <c r="U21" i="1"/>
  <c r="X21" i="1"/>
  <c r="Y21" i="1"/>
  <c r="AA21" i="1"/>
  <c r="AB21" i="1"/>
  <c r="AC21" i="1"/>
  <c r="A22" i="1"/>
  <c r="H22" i="1"/>
  <c r="I22" i="1"/>
  <c r="J22" i="1"/>
  <c r="K22" i="1"/>
  <c r="L22" i="1"/>
  <c r="Q22" i="1"/>
  <c r="R22" i="1"/>
  <c r="T22" i="1"/>
  <c r="U22" i="1"/>
  <c r="X22" i="1"/>
  <c r="Y22" i="1"/>
  <c r="AA22" i="1"/>
  <c r="AB22" i="1"/>
  <c r="AC22" i="1"/>
  <c r="A23" i="1"/>
  <c r="H23" i="1"/>
  <c r="I23" i="1"/>
  <c r="J23" i="1"/>
  <c r="K23" i="1"/>
  <c r="L23" i="1"/>
  <c r="Q23" i="1"/>
  <c r="R23" i="1"/>
  <c r="T23" i="1"/>
  <c r="U23" i="1"/>
  <c r="X23" i="1"/>
  <c r="Y23" i="1"/>
  <c r="Z23" i="1"/>
  <c r="AA23" i="1"/>
  <c r="AB23" i="1"/>
  <c r="AC23" i="1"/>
  <c r="A24" i="1"/>
  <c r="H24" i="1"/>
  <c r="I24" i="1"/>
  <c r="J24" i="1"/>
  <c r="K24" i="1"/>
  <c r="L24" i="1"/>
  <c r="Q24" i="1"/>
  <c r="R24" i="1"/>
  <c r="T24" i="1"/>
  <c r="U24" i="1"/>
  <c r="X24" i="1"/>
  <c r="Y24" i="1"/>
  <c r="Z24" i="1"/>
  <c r="AA24" i="1"/>
  <c r="AB24" i="1"/>
  <c r="AC24" i="1"/>
  <c r="A25" i="1"/>
  <c r="H25" i="1"/>
  <c r="I25" i="1"/>
  <c r="J25" i="1"/>
  <c r="K25" i="1"/>
  <c r="L25" i="1"/>
  <c r="Q25" i="1"/>
  <c r="R25" i="1"/>
  <c r="T25" i="1"/>
  <c r="U25" i="1"/>
  <c r="X25" i="1"/>
  <c r="Y25" i="1"/>
  <c r="Z25" i="1"/>
  <c r="AA25" i="1"/>
  <c r="AB25" i="1"/>
  <c r="AC25" i="1"/>
  <c r="A26" i="1"/>
  <c r="H26" i="1"/>
  <c r="I26" i="1"/>
  <c r="J26" i="1"/>
  <c r="K26" i="1"/>
  <c r="L26" i="1"/>
  <c r="Q26" i="1"/>
  <c r="T26" i="1"/>
  <c r="U26" i="1"/>
  <c r="X26" i="1"/>
  <c r="Y26" i="1"/>
  <c r="Z26" i="1"/>
  <c r="AA26" i="1"/>
  <c r="AB26" i="1"/>
  <c r="AC26" i="1"/>
  <c r="A27" i="1"/>
  <c r="H27" i="1"/>
  <c r="I27" i="1"/>
  <c r="J27" i="1"/>
  <c r="K27" i="1"/>
  <c r="L27" i="1"/>
  <c r="Q27" i="1"/>
  <c r="T27" i="1"/>
  <c r="U27" i="1"/>
  <c r="X27" i="1"/>
  <c r="Y27" i="1"/>
  <c r="Z27" i="1"/>
  <c r="AA27" i="1"/>
  <c r="AB27" i="1"/>
  <c r="AC27" i="1"/>
  <c r="A28" i="1"/>
  <c r="H28" i="1"/>
  <c r="I28" i="1"/>
  <c r="J28" i="1"/>
  <c r="K28" i="1"/>
  <c r="L28" i="1"/>
  <c r="Q28" i="1"/>
  <c r="T28" i="1"/>
  <c r="U28" i="1"/>
  <c r="X28" i="1"/>
  <c r="Y28" i="1"/>
  <c r="Z28" i="1"/>
  <c r="AA28" i="1"/>
  <c r="AB28" i="1"/>
  <c r="AC28" i="1"/>
  <c r="A29" i="1"/>
  <c r="H29" i="1"/>
  <c r="I29" i="1"/>
  <c r="J29" i="1"/>
  <c r="K29" i="1"/>
  <c r="L29" i="1"/>
  <c r="Q29" i="1"/>
  <c r="T29" i="1"/>
  <c r="U29" i="1"/>
  <c r="X29" i="1"/>
  <c r="Y29" i="1"/>
  <c r="Z29" i="1"/>
  <c r="AA29" i="1"/>
  <c r="AB29" i="1"/>
  <c r="AC29" i="1"/>
  <c r="A30" i="1"/>
  <c r="G30" i="1"/>
  <c r="H30" i="1"/>
  <c r="I30" i="1"/>
  <c r="J30" i="1"/>
  <c r="K30" i="1"/>
  <c r="L30" i="1"/>
  <c r="Q30" i="1"/>
  <c r="T30" i="1"/>
  <c r="U30" i="1"/>
  <c r="X30" i="1"/>
  <c r="Y30" i="1"/>
  <c r="Z30" i="1"/>
  <c r="AA30" i="1"/>
  <c r="AB30" i="1"/>
  <c r="AC30" i="1"/>
  <c r="A31" i="1"/>
  <c r="H31" i="1"/>
  <c r="I31" i="1"/>
  <c r="J31" i="1"/>
  <c r="K31" i="1"/>
  <c r="L31" i="1"/>
  <c r="Q31" i="1"/>
  <c r="T31" i="1"/>
  <c r="U31" i="1"/>
  <c r="X31" i="1"/>
  <c r="Y31" i="1"/>
  <c r="Z31" i="1"/>
  <c r="AA31" i="1"/>
  <c r="AB31" i="1"/>
  <c r="AC31" i="1"/>
  <c r="A32" i="1"/>
  <c r="H32" i="1"/>
  <c r="I32" i="1"/>
  <c r="J32" i="1"/>
  <c r="K32" i="1"/>
  <c r="L32" i="1"/>
  <c r="Q32" i="1"/>
  <c r="T32" i="1"/>
  <c r="U32" i="1"/>
  <c r="X32" i="1"/>
  <c r="Y32" i="1"/>
  <c r="Z32" i="1"/>
  <c r="AA32" i="1"/>
  <c r="AB32" i="1"/>
  <c r="AC32" i="1"/>
  <c r="A33" i="1"/>
  <c r="H33" i="1"/>
  <c r="I33" i="1"/>
  <c r="J33" i="1"/>
  <c r="K33" i="1"/>
  <c r="L33" i="1"/>
  <c r="Q33" i="1"/>
  <c r="T33" i="1"/>
  <c r="U33" i="1"/>
  <c r="X33" i="1"/>
  <c r="Y33" i="1"/>
  <c r="Z33" i="1"/>
  <c r="AA33" i="1"/>
  <c r="AB33" i="1"/>
  <c r="AC33" i="1"/>
  <c r="A34" i="1"/>
  <c r="H34" i="1"/>
  <c r="I34" i="1"/>
  <c r="J34" i="1"/>
  <c r="K34" i="1"/>
  <c r="L34" i="1"/>
  <c r="Q34" i="1"/>
  <c r="T34" i="1"/>
  <c r="U34" i="1"/>
  <c r="X34" i="1"/>
  <c r="Y34" i="1"/>
  <c r="Z34" i="1"/>
  <c r="AA34" i="1"/>
  <c r="AB34" i="1"/>
  <c r="AC34" i="1"/>
  <c r="A35" i="1"/>
  <c r="H35" i="1"/>
  <c r="I35" i="1"/>
  <c r="J35" i="1"/>
  <c r="K35" i="1"/>
  <c r="L35" i="1"/>
  <c r="Q35" i="1"/>
  <c r="T35" i="1"/>
  <c r="U35" i="1"/>
  <c r="X35" i="1"/>
  <c r="Y35" i="1"/>
  <c r="Z35" i="1"/>
  <c r="AA35" i="1"/>
  <c r="AB35" i="1"/>
  <c r="AC35" i="1"/>
  <c r="A36" i="1"/>
  <c r="G36" i="1"/>
  <c r="H36" i="1"/>
  <c r="I36" i="1"/>
  <c r="J36" i="1"/>
  <c r="L36" i="1"/>
  <c r="Q36" i="1"/>
  <c r="T36" i="1"/>
  <c r="U36" i="1"/>
  <c r="X36" i="1"/>
  <c r="Y36" i="1"/>
  <c r="Z36" i="1"/>
  <c r="AA36" i="1"/>
  <c r="AB36" i="1"/>
  <c r="AC36" i="1"/>
  <c r="A37" i="1"/>
  <c r="H37" i="1"/>
  <c r="I37" i="1"/>
  <c r="J37" i="1"/>
  <c r="L37" i="1"/>
  <c r="Q37" i="1"/>
  <c r="T37" i="1"/>
  <c r="U37" i="1"/>
  <c r="X37" i="1"/>
  <c r="Y37" i="1"/>
  <c r="Z37" i="1"/>
  <c r="AA37" i="1"/>
  <c r="AB37" i="1"/>
  <c r="AC37" i="1"/>
  <c r="A38" i="1"/>
  <c r="H38" i="1"/>
  <c r="I38" i="1"/>
  <c r="J38" i="1"/>
  <c r="L38" i="1"/>
  <c r="Q38" i="1"/>
  <c r="T38" i="1"/>
  <c r="U38" i="1"/>
  <c r="X38" i="1"/>
  <c r="Y38" i="1"/>
  <c r="Z38" i="1"/>
  <c r="AA38" i="1"/>
  <c r="AB38" i="1"/>
  <c r="AC38" i="1"/>
  <c r="A39" i="1"/>
  <c r="H39" i="1"/>
  <c r="I39" i="1"/>
  <c r="J39" i="1"/>
  <c r="L39" i="1"/>
  <c r="Q39" i="1"/>
  <c r="T39" i="1"/>
  <c r="U39" i="1"/>
  <c r="X39" i="1"/>
  <c r="Y39" i="1"/>
  <c r="Z39" i="1"/>
  <c r="AA39" i="1"/>
  <c r="AB39" i="1"/>
  <c r="AC39" i="1"/>
  <c r="A40" i="1"/>
  <c r="H40" i="1"/>
  <c r="I40" i="1"/>
  <c r="J40" i="1"/>
  <c r="L40" i="1"/>
  <c r="Q40" i="1"/>
  <c r="T40" i="1"/>
  <c r="U40" i="1"/>
  <c r="X40" i="1"/>
  <c r="Y40" i="1"/>
  <c r="Z40" i="1"/>
  <c r="AA40" i="1"/>
  <c r="AB40" i="1"/>
  <c r="AC40" i="1"/>
  <c r="A41" i="1"/>
  <c r="H41" i="1"/>
  <c r="I41" i="1"/>
  <c r="J41" i="1"/>
  <c r="L41" i="1"/>
  <c r="Q41" i="1"/>
  <c r="T41" i="1"/>
  <c r="U41" i="1"/>
  <c r="X41" i="1"/>
  <c r="Y41" i="1"/>
  <c r="Z41" i="1"/>
  <c r="AA41" i="1"/>
  <c r="AB41" i="1"/>
  <c r="AC41" i="1"/>
  <c r="A42" i="1"/>
  <c r="H42" i="1"/>
  <c r="I42" i="1"/>
  <c r="J42" i="1"/>
  <c r="L42" i="1"/>
  <c r="Q42" i="1"/>
  <c r="T42" i="1"/>
  <c r="U42" i="1"/>
  <c r="X42" i="1"/>
  <c r="Y42" i="1"/>
  <c r="Z42" i="1"/>
  <c r="AA42" i="1"/>
  <c r="AB42" i="1"/>
  <c r="AC42" i="1"/>
  <c r="A43" i="1"/>
  <c r="H43" i="1"/>
  <c r="I43" i="1"/>
  <c r="J43" i="1"/>
  <c r="L43" i="1"/>
  <c r="Q43" i="1"/>
  <c r="T43" i="1"/>
  <c r="U43" i="1"/>
  <c r="X43" i="1"/>
  <c r="Y43" i="1"/>
  <c r="Z43" i="1"/>
  <c r="AA43" i="1"/>
  <c r="AB43" i="1"/>
  <c r="AC43" i="1"/>
  <c r="A44" i="1"/>
  <c r="H44" i="1"/>
  <c r="I44" i="1"/>
  <c r="J44" i="1"/>
  <c r="L44" i="1"/>
  <c r="Q44" i="1"/>
  <c r="T44" i="1"/>
  <c r="U44" i="1"/>
  <c r="X44" i="1"/>
  <c r="Y44" i="1"/>
  <c r="Z44" i="1"/>
  <c r="AA44" i="1"/>
  <c r="AB44" i="1"/>
  <c r="AC44" i="1"/>
  <c r="A45" i="1"/>
  <c r="H45" i="1"/>
  <c r="I45" i="1"/>
  <c r="J45" i="1"/>
  <c r="L45" i="1"/>
  <c r="Q45" i="1"/>
  <c r="T45" i="1"/>
  <c r="U45" i="1"/>
  <c r="X45" i="1"/>
  <c r="Y45" i="1"/>
  <c r="Z45" i="1"/>
  <c r="AA45" i="1"/>
  <c r="AB45" i="1"/>
  <c r="AC45" i="1"/>
  <c r="A46" i="1"/>
  <c r="H46" i="1"/>
  <c r="I46" i="1"/>
  <c r="J46" i="1"/>
  <c r="L46" i="1"/>
  <c r="Q46" i="1"/>
  <c r="T46" i="1"/>
  <c r="U46" i="1"/>
  <c r="X46" i="1"/>
  <c r="Y46" i="1"/>
  <c r="Z46" i="1"/>
  <c r="AA46" i="1"/>
  <c r="AB46" i="1"/>
  <c r="AC46" i="1"/>
  <c r="A47" i="1"/>
  <c r="H47" i="1"/>
  <c r="I47" i="1"/>
  <c r="J47" i="1"/>
  <c r="L47" i="1"/>
  <c r="Q47" i="1"/>
  <c r="T47" i="1"/>
  <c r="U47" i="1"/>
  <c r="X47" i="1"/>
  <c r="Y47" i="1"/>
  <c r="Z47" i="1"/>
  <c r="AA47" i="1"/>
  <c r="AB47" i="1"/>
  <c r="AC47" i="1"/>
  <c r="A48" i="1"/>
  <c r="H48" i="1"/>
  <c r="I48" i="1"/>
  <c r="J48" i="1"/>
  <c r="L48" i="1"/>
  <c r="Q48" i="1"/>
  <c r="T48" i="1"/>
  <c r="U48" i="1"/>
  <c r="X48" i="1"/>
  <c r="Y48" i="1"/>
  <c r="Z48" i="1"/>
  <c r="AA48" i="1"/>
  <c r="AB48" i="1"/>
  <c r="AC48" i="1"/>
  <c r="A49" i="1"/>
  <c r="H49" i="1"/>
  <c r="I49" i="1"/>
  <c r="J49" i="1"/>
  <c r="L49" i="1"/>
  <c r="Q49" i="1"/>
  <c r="T49" i="1"/>
  <c r="U49" i="1"/>
  <c r="X49" i="1"/>
  <c r="Y49" i="1"/>
  <c r="Z49" i="1"/>
  <c r="AA49" i="1"/>
  <c r="AB49" i="1"/>
  <c r="AC49" i="1"/>
  <c r="A50" i="1"/>
  <c r="H50" i="1"/>
  <c r="I50" i="1"/>
  <c r="J50" i="1"/>
  <c r="L50" i="1"/>
  <c r="Q50" i="1"/>
  <c r="T50" i="1"/>
  <c r="U50" i="1"/>
  <c r="X50" i="1"/>
  <c r="Y50" i="1"/>
  <c r="Z50" i="1"/>
  <c r="AA50" i="1"/>
  <c r="AB50" i="1"/>
  <c r="AC50" i="1"/>
  <c r="A51" i="1"/>
  <c r="H51" i="1"/>
  <c r="I51" i="1"/>
  <c r="J51" i="1"/>
  <c r="L51" i="1"/>
  <c r="Q51" i="1"/>
  <c r="T51" i="1"/>
  <c r="U51" i="1"/>
  <c r="X51" i="1"/>
  <c r="Y51" i="1"/>
  <c r="Z51" i="1"/>
  <c r="AA51" i="1"/>
  <c r="AB51" i="1"/>
  <c r="AC51" i="1"/>
  <c r="A52" i="1"/>
  <c r="H52" i="1"/>
  <c r="I52" i="1"/>
  <c r="J52" i="1"/>
  <c r="L52" i="1"/>
  <c r="Q52" i="1"/>
  <c r="T52" i="1"/>
  <c r="U52" i="1"/>
  <c r="X52" i="1"/>
  <c r="Y52" i="1"/>
  <c r="Z52" i="1"/>
  <c r="AA52" i="1"/>
  <c r="AB52" i="1"/>
  <c r="AC52" i="1"/>
  <c r="A53" i="1"/>
  <c r="H53" i="1"/>
  <c r="I53" i="1"/>
  <c r="J53" i="1"/>
  <c r="L53" i="1"/>
  <c r="Q53" i="1"/>
  <c r="T53" i="1"/>
  <c r="U53" i="1"/>
  <c r="X53" i="1"/>
  <c r="Y53" i="1"/>
  <c r="Z53" i="1"/>
  <c r="AA53" i="1"/>
  <c r="AB53" i="1"/>
  <c r="AC53" i="1"/>
  <c r="A54" i="1"/>
  <c r="H54" i="1"/>
  <c r="I54" i="1"/>
  <c r="J54" i="1"/>
  <c r="L54" i="1"/>
  <c r="Q54" i="1"/>
  <c r="T54" i="1"/>
  <c r="U54" i="1"/>
  <c r="X54" i="1"/>
  <c r="Y54" i="1"/>
  <c r="Z54" i="1"/>
  <c r="AA54" i="1"/>
  <c r="AB54" i="1"/>
  <c r="AC54" i="1"/>
  <c r="A55" i="1"/>
  <c r="H55" i="1"/>
  <c r="I55" i="1"/>
  <c r="J55" i="1"/>
  <c r="L55" i="1"/>
  <c r="Q55" i="1"/>
  <c r="T55" i="1"/>
  <c r="U55" i="1"/>
  <c r="X55" i="1"/>
  <c r="Y55" i="1"/>
  <c r="Z55" i="1"/>
  <c r="AA55" i="1"/>
  <c r="AB55" i="1"/>
  <c r="AC55" i="1"/>
  <c r="A56" i="1"/>
  <c r="H56" i="1"/>
  <c r="I56" i="1"/>
  <c r="J56" i="1"/>
  <c r="L56" i="1"/>
  <c r="Q56" i="1"/>
  <c r="T56" i="1"/>
  <c r="U56" i="1"/>
  <c r="X56" i="1"/>
  <c r="Y56" i="1"/>
  <c r="Z56" i="1"/>
  <c r="AA56" i="1"/>
  <c r="AB56" i="1"/>
  <c r="AC56" i="1"/>
  <c r="AI56" i="1"/>
  <c r="A57" i="1"/>
  <c r="H57" i="1"/>
  <c r="I57" i="1"/>
  <c r="J57" i="1"/>
  <c r="L57" i="1"/>
  <c r="Q57" i="1"/>
  <c r="T57" i="1"/>
  <c r="U57" i="1"/>
  <c r="X57" i="1"/>
  <c r="Y57" i="1"/>
  <c r="Z57" i="1"/>
  <c r="AA57" i="1"/>
  <c r="AB57" i="1"/>
  <c r="AC57" i="1"/>
  <c r="AI57" i="1"/>
  <c r="A58" i="1"/>
  <c r="H58" i="1"/>
  <c r="I58" i="1"/>
  <c r="J58" i="1"/>
  <c r="L58" i="1"/>
  <c r="Q58" i="1"/>
  <c r="T58" i="1"/>
  <c r="U58" i="1"/>
  <c r="X58" i="1"/>
  <c r="Y58" i="1"/>
  <c r="Z58" i="1"/>
  <c r="AA58" i="1"/>
  <c r="AB58" i="1"/>
  <c r="AC58" i="1"/>
  <c r="AI58" i="1"/>
  <c r="A59" i="1"/>
  <c r="H59" i="1"/>
  <c r="I59" i="1"/>
  <c r="J59" i="1"/>
  <c r="L59" i="1"/>
  <c r="Q59" i="1"/>
  <c r="T59" i="1"/>
  <c r="U59" i="1"/>
  <c r="X59" i="1"/>
  <c r="Y59" i="1"/>
  <c r="Z59" i="1"/>
  <c r="AA59" i="1"/>
  <c r="AB59" i="1"/>
  <c r="AC59" i="1"/>
  <c r="AI59" i="1"/>
  <c r="A60" i="1"/>
  <c r="H60" i="1"/>
  <c r="I60" i="1"/>
  <c r="J60" i="1"/>
  <c r="L60" i="1"/>
  <c r="Q60" i="1"/>
  <c r="T60" i="1"/>
  <c r="U60" i="1"/>
  <c r="X60" i="1"/>
  <c r="Y60" i="1"/>
  <c r="Z60" i="1"/>
  <c r="AA60" i="1"/>
  <c r="AB60" i="1"/>
  <c r="AC60" i="1"/>
  <c r="AI60" i="1"/>
  <c r="A61" i="1"/>
  <c r="H61" i="1"/>
  <c r="I61" i="1"/>
  <c r="J61" i="1"/>
  <c r="L61" i="1"/>
  <c r="Q61" i="1"/>
  <c r="T61" i="1"/>
  <c r="U61" i="1"/>
  <c r="X61" i="1"/>
  <c r="Y61" i="1"/>
  <c r="Z61" i="1"/>
  <c r="AA61" i="1"/>
  <c r="AB61" i="1"/>
  <c r="AC61" i="1"/>
  <c r="AI61" i="1"/>
  <c r="A62" i="1"/>
  <c r="H62" i="1"/>
  <c r="I62" i="1"/>
  <c r="J62" i="1"/>
  <c r="L62" i="1"/>
  <c r="Q62" i="1"/>
  <c r="T62" i="1"/>
  <c r="U62" i="1"/>
  <c r="X62" i="1"/>
  <c r="Y62" i="1"/>
  <c r="Z62" i="1"/>
  <c r="AA62" i="1"/>
  <c r="AB62" i="1"/>
  <c r="AC62" i="1"/>
  <c r="AI62" i="1"/>
  <c r="A63" i="1"/>
  <c r="H63" i="1"/>
  <c r="I63" i="1"/>
  <c r="J63" i="1"/>
  <c r="L63" i="1"/>
  <c r="Q63" i="1"/>
  <c r="T63" i="1"/>
  <c r="U63" i="1"/>
  <c r="X63" i="1"/>
  <c r="Y63" i="1"/>
  <c r="Z63" i="1"/>
  <c r="AA63" i="1"/>
  <c r="AB63" i="1"/>
  <c r="AC63" i="1"/>
  <c r="AI63" i="1"/>
  <c r="A64" i="1"/>
  <c r="H64" i="1"/>
  <c r="I64" i="1"/>
  <c r="J64" i="1"/>
  <c r="L64" i="1"/>
  <c r="Q64" i="1"/>
  <c r="T64" i="1"/>
  <c r="U64" i="1"/>
  <c r="X64" i="1"/>
  <c r="Y64" i="1"/>
  <c r="Z64" i="1"/>
  <c r="AA64" i="1"/>
  <c r="AB64" i="1"/>
  <c r="AC64" i="1"/>
  <c r="AI64" i="1"/>
  <c r="A65" i="1"/>
  <c r="H65" i="1"/>
  <c r="I65" i="1"/>
  <c r="J65" i="1"/>
  <c r="L65" i="1"/>
  <c r="Q65" i="1"/>
  <c r="T65" i="1"/>
  <c r="U65" i="1"/>
  <c r="X65" i="1"/>
  <c r="Y65" i="1"/>
  <c r="Z65" i="1"/>
  <c r="AA65" i="1"/>
  <c r="AB65" i="1"/>
  <c r="AC65" i="1"/>
  <c r="AI65" i="1"/>
  <c r="A66" i="1"/>
  <c r="H66" i="1"/>
  <c r="I66" i="1"/>
  <c r="J66" i="1"/>
  <c r="L66" i="1"/>
  <c r="Q66" i="1"/>
  <c r="T66" i="1"/>
  <c r="U66" i="1"/>
  <c r="X66" i="1"/>
  <c r="Y66" i="1"/>
  <c r="Z66" i="1"/>
  <c r="AA66" i="1"/>
  <c r="AB66" i="1"/>
  <c r="AC66" i="1"/>
  <c r="AI66" i="1"/>
  <c r="AR66" i="1"/>
  <c r="AS66" i="1"/>
  <c r="AT66" i="1"/>
  <c r="A67" i="1"/>
  <c r="H67" i="1"/>
  <c r="I67" i="1"/>
  <c r="J67" i="1"/>
  <c r="L67" i="1"/>
  <c r="Q67" i="1"/>
  <c r="T67" i="1"/>
  <c r="U67" i="1"/>
  <c r="X67" i="1"/>
  <c r="Y67" i="1"/>
  <c r="Z67" i="1"/>
  <c r="AA67" i="1"/>
  <c r="AB67" i="1"/>
  <c r="AC67" i="1"/>
  <c r="AI67" i="1"/>
  <c r="A68" i="1"/>
  <c r="H68" i="1"/>
  <c r="I68" i="1"/>
  <c r="J68" i="1"/>
  <c r="L68" i="1"/>
  <c r="Q68" i="1"/>
  <c r="S68" i="1"/>
  <c r="T68" i="1"/>
  <c r="U68" i="1"/>
  <c r="X68" i="1"/>
  <c r="Y68" i="1"/>
  <c r="Z68" i="1"/>
  <c r="AA68" i="1"/>
  <c r="AB68" i="1"/>
  <c r="AC68" i="1"/>
  <c r="AI68" i="1"/>
  <c r="AK68" i="1"/>
  <c r="AL68" i="1"/>
  <c r="AM68" i="1"/>
  <c r="AP68" i="1"/>
  <c r="AQ68" i="1"/>
  <c r="AR68" i="1"/>
  <c r="AS68" i="1"/>
  <c r="AT68" i="1"/>
  <c r="AU68" i="1"/>
  <c r="AV68" i="1"/>
  <c r="AW68" i="1"/>
  <c r="AX68" i="1"/>
  <c r="AY68" i="1"/>
  <c r="AZ68" i="1"/>
  <c r="A69" i="1"/>
  <c r="H69" i="1"/>
  <c r="I69" i="1"/>
  <c r="J69" i="1"/>
  <c r="L69" i="1"/>
  <c r="Q69" i="1"/>
  <c r="S69" i="1"/>
  <c r="T69" i="1"/>
  <c r="U69" i="1"/>
  <c r="X69" i="1"/>
  <c r="Y69" i="1"/>
  <c r="Z69" i="1"/>
  <c r="AA69" i="1"/>
  <c r="AB69" i="1"/>
  <c r="AC69" i="1"/>
  <c r="AI69" i="1"/>
  <c r="AK69" i="1"/>
  <c r="AL69" i="1"/>
  <c r="AM69" i="1"/>
  <c r="AP69" i="1"/>
  <c r="AQ69" i="1"/>
  <c r="AR69" i="1"/>
  <c r="AS69" i="1"/>
  <c r="AT69" i="1"/>
  <c r="AU69" i="1"/>
  <c r="AV69" i="1"/>
  <c r="AW69" i="1"/>
  <c r="AX69" i="1"/>
  <c r="AY69" i="1"/>
  <c r="AZ69" i="1"/>
  <c r="A70" i="1"/>
  <c r="H70" i="1"/>
  <c r="I70" i="1"/>
  <c r="J70" i="1"/>
  <c r="L70" i="1"/>
  <c r="Q70" i="1"/>
  <c r="S70" i="1"/>
  <c r="T70" i="1"/>
  <c r="U70" i="1"/>
  <c r="X70" i="1"/>
  <c r="Y70" i="1"/>
  <c r="Z70" i="1"/>
  <c r="AA70" i="1"/>
  <c r="AB70" i="1"/>
  <c r="AC70" i="1"/>
  <c r="AI70" i="1"/>
  <c r="AK70" i="1"/>
  <c r="AL70" i="1"/>
  <c r="AM70" i="1"/>
  <c r="AP70" i="1"/>
  <c r="AQ70" i="1"/>
  <c r="AR70" i="1"/>
  <c r="AS70" i="1"/>
  <c r="AT70" i="1"/>
  <c r="AU70" i="1"/>
  <c r="AV70" i="1"/>
  <c r="AW70" i="1"/>
  <c r="AX70" i="1"/>
  <c r="AY70" i="1"/>
  <c r="AZ70" i="1"/>
  <c r="A71" i="1"/>
  <c r="H71" i="1"/>
  <c r="I71" i="1"/>
  <c r="J71" i="1"/>
  <c r="L71" i="1"/>
  <c r="Q71" i="1"/>
  <c r="S71" i="1"/>
  <c r="T71" i="1"/>
  <c r="U71" i="1"/>
  <c r="X71" i="1"/>
  <c r="Y71" i="1"/>
  <c r="Z71" i="1"/>
  <c r="AA71" i="1"/>
  <c r="AB71" i="1"/>
  <c r="AC71" i="1"/>
  <c r="AI71" i="1"/>
  <c r="AK71" i="1"/>
  <c r="AL71" i="1"/>
  <c r="AM71" i="1"/>
  <c r="AP71" i="1"/>
  <c r="AQ71" i="1"/>
  <c r="AR71" i="1"/>
  <c r="AS71" i="1"/>
  <c r="AT71" i="1"/>
  <c r="AU71" i="1"/>
  <c r="AV71" i="1"/>
  <c r="AW71" i="1"/>
  <c r="AX71" i="1"/>
  <c r="AY71" i="1"/>
  <c r="AZ71" i="1"/>
  <c r="A72" i="1"/>
  <c r="H72" i="1"/>
  <c r="I72" i="1"/>
  <c r="J72" i="1"/>
  <c r="L72" i="1"/>
  <c r="Q72" i="1"/>
  <c r="S72" i="1"/>
  <c r="T72" i="1"/>
  <c r="U72" i="1"/>
  <c r="X72" i="1"/>
  <c r="Y72" i="1"/>
  <c r="Z72" i="1"/>
  <c r="AA72" i="1"/>
  <c r="AB72" i="1"/>
  <c r="AC72" i="1"/>
  <c r="AI72" i="1"/>
  <c r="AK72" i="1"/>
  <c r="AL72" i="1"/>
  <c r="AM72" i="1"/>
  <c r="AP72" i="1"/>
  <c r="AQ72" i="1"/>
  <c r="AR72" i="1"/>
  <c r="AS72" i="1"/>
  <c r="AT72" i="1"/>
  <c r="AU72" i="1"/>
  <c r="AV72" i="1"/>
  <c r="AW72" i="1"/>
  <c r="AX72" i="1"/>
  <c r="AY72" i="1"/>
  <c r="AZ72" i="1"/>
  <c r="A73" i="1"/>
  <c r="H73" i="1"/>
  <c r="I73" i="1"/>
  <c r="J73" i="1"/>
  <c r="L73" i="1"/>
  <c r="Q73" i="1"/>
  <c r="S73" i="1"/>
  <c r="T73" i="1"/>
  <c r="U73" i="1"/>
  <c r="X73" i="1"/>
  <c r="Y73" i="1"/>
  <c r="Z73" i="1"/>
  <c r="AA73" i="1"/>
  <c r="AB73" i="1"/>
  <c r="AC73" i="1"/>
  <c r="AI73" i="1"/>
  <c r="AK73" i="1"/>
  <c r="AL73" i="1"/>
  <c r="AM73" i="1"/>
  <c r="AP73" i="1"/>
  <c r="AQ73" i="1"/>
  <c r="AR73" i="1"/>
  <c r="AS73" i="1"/>
  <c r="AT73" i="1"/>
  <c r="AU73" i="1"/>
  <c r="AV73" i="1"/>
  <c r="AW73" i="1"/>
  <c r="AX73" i="1"/>
  <c r="AY73" i="1"/>
  <c r="AZ73" i="1"/>
  <c r="A74" i="1"/>
  <c r="H74" i="1"/>
  <c r="I74" i="1"/>
  <c r="J74" i="1"/>
  <c r="L74" i="1"/>
  <c r="Q74" i="1"/>
  <c r="T74" i="1"/>
  <c r="U74" i="1"/>
  <c r="X74" i="1"/>
  <c r="Y74" i="1"/>
  <c r="Z74" i="1"/>
  <c r="AA74" i="1"/>
  <c r="AB74" i="1"/>
  <c r="AC74" i="1"/>
  <c r="AI74" i="1"/>
  <c r="AK74" i="1"/>
  <c r="AL74" i="1"/>
  <c r="AM74" i="1"/>
  <c r="AP74" i="1"/>
  <c r="AQ74" i="1"/>
  <c r="AR74" i="1"/>
  <c r="AS74" i="1"/>
  <c r="AT74" i="1"/>
  <c r="AU74" i="1"/>
  <c r="AV74" i="1"/>
  <c r="AW74" i="1"/>
  <c r="AX74" i="1"/>
  <c r="AY74" i="1"/>
  <c r="AZ74" i="1"/>
  <c r="A75" i="1"/>
  <c r="H75" i="1"/>
  <c r="I75" i="1"/>
  <c r="J75" i="1"/>
  <c r="L75" i="1"/>
  <c r="Q75" i="1"/>
  <c r="T75" i="1"/>
  <c r="U75" i="1"/>
  <c r="X75" i="1"/>
  <c r="Y75" i="1"/>
  <c r="Z75" i="1"/>
  <c r="AA75" i="1"/>
  <c r="AB75" i="1"/>
  <c r="AC75" i="1"/>
  <c r="AI75" i="1"/>
  <c r="AK75" i="1"/>
  <c r="AL75" i="1"/>
  <c r="AM75" i="1"/>
  <c r="AP75" i="1"/>
  <c r="AQ75" i="1"/>
  <c r="AR75" i="1"/>
  <c r="AS75" i="1"/>
  <c r="AT75" i="1"/>
  <c r="AU75" i="1"/>
  <c r="AV75" i="1"/>
  <c r="AW75" i="1"/>
  <c r="AX75" i="1"/>
  <c r="AY75" i="1"/>
  <c r="AZ75" i="1"/>
  <c r="A76" i="1"/>
  <c r="H76" i="1"/>
  <c r="I76" i="1"/>
  <c r="J76" i="1"/>
  <c r="L76" i="1"/>
  <c r="Q76" i="1"/>
  <c r="T76" i="1"/>
  <c r="U76" i="1"/>
  <c r="X76" i="1"/>
  <c r="Y76" i="1"/>
  <c r="Z76" i="1"/>
  <c r="AA76" i="1"/>
  <c r="AB76" i="1"/>
  <c r="AC76" i="1"/>
  <c r="AI76" i="1"/>
  <c r="AK76" i="1"/>
  <c r="AL76" i="1"/>
  <c r="AM76" i="1"/>
  <c r="AP76" i="1"/>
  <c r="AQ76" i="1"/>
  <c r="AR76" i="1"/>
  <c r="AS76" i="1"/>
  <c r="AT76" i="1"/>
  <c r="AU76" i="1"/>
  <c r="AV76" i="1"/>
  <c r="AW76" i="1"/>
  <c r="AX76" i="1"/>
  <c r="AY76" i="1"/>
  <c r="AZ76" i="1"/>
  <c r="A77" i="1"/>
  <c r="H77" i="1"/>
  <c r="I77" i="1"/>
  <c r="J77" i="1"/>
  <c r="L77" i="1"/>
  <c r="Q77" i="1"/>
  <c r="T77" i="1"/>
  <c r="U77" i="1"/>
  <c r="X77" i="1"/>
  <c r="Y77" i="1"/>
  <c r="Z77" i="1"/>
  <c r="AA77" i="1"/>
  <c r="AB77" i="1"/>
  <c r="AC77" i="1"/>
  <c r="AI77" i="1"/>
  <c r="AK77" i="1"/>
  <c r="AL77" i="1"/>
  <c r="AM77" i="1"/>
  <c r="AP77" i="1"/>
  <c r="AQ77" i="1"/>
  <c r="AR77" i="1"/>
  <c r="AS77" i="1"/>
  <c r="AT77" i="1"/>
  <c r="AU77" i="1"/>
  <c r="AV77" i="1"/>
  <c r="AW77" i="1"/>
  <c r="AX77" i="1"/>
  <c r="AY77" i="1"/>
  <c r="AZ77" i="1"/>
  <c r="A78" i="1"/>
  <c r="H78" i="1"/>
  <c r="I78" i="1"/>
  <c r="J78" i="1"/>
  <c r="L78" i="1"/>
  <c r="Q78" i="1"/>
  <c r="T78" i="1"/>
  <c r="U78" i="1"/>
  <c r="X78" i="1"/>
  <c r="Y78" i="1"/>
  <c r="Z78" i="1"/>
  <c r="AA78" i="1"/>
  <c r="AB78" i="1"/>
  <c r="AC78" i="1"/>
  <c r="AI78" i="1"/>
  <c r="AK78" i="1"/>
  <c r="AL78" i="1"/>
  <c r="AM78" i="1"/>
  <c r="AP78" i="1"/>
  <c r="AQ78" i="1"/>
  <c r="AR78" i="1"/>
  <c r="AS78" i="1"/>
  <c r="AT78" i="1"/>
  <c r="AU78" i="1"/>
  <c r="AV78" i="1"/>
  <c r="AW78" i="1"/>
  <c r="AX78" i="1"/>
  <c r="AY78" i="1"/>
  <c r="AZ78" i="1"/>
  <c r="A79" i="1"/>
  <c r="H79" i="1"/>
  <c r="I79" i="1"/>
  <c r="J79" i="1"/>
  <c r="L79" i="1"/>
  <c r="Q79" i="1"/>
  <c r="T79" i="1"/>
  <c r="U79" i="1"/>
  <c r="X79" i="1"/>
  <c r="Y79" i="1"/>
  <c r="Z79" i="1"/>
  <c r="AA79" i="1"/>
  <c r="AB79" i="1"/>
  <c r="AC79" i="1"/>
  <c r="AI79" i="1"/>
  <c r="AK79" i="1"/>
  <c r="AL79" i="1"/>
  <c r="AM79" i="1"/>
  <c r="AP79" i="1"/>
  <c r="AQ79" i="1"/>
  <c r="AR79" i="1"/>
  <c r="AS79" i="1"/>
  <c r="AT79" i="1"/>
  <c r="AU79" i="1"/>
  <c r="AV79" i="1"/>
  <c r="AW79" i="1"/>
  <c r="AX79" i="1"/>
  <c r="AY79" i="1"/>
  <c r="AZ79" i="1"/>
  <c r="A80" i="1"/>
  <c r="H80" i="1"/>
  <c r="I80" i="1"/>
  <c r="J80" i="1"/>
  <c r="L80" i="1"/>
  <c r="Q80" i="1"/>
  <c r="T80" i="1"/>
  <c r="U80" i="1"/>
  <c r="X80" i="1"/>
  <c r="Y80" i="1"/>
  <c r="Z80" i="1"/>
  <c r="AA80" i="1"/>
  <c r="AB80" i="1"/>
  <c r="AC80" i="1"/>
  <c r="AI80" i="1"/>
  <c r="AK80" i="1"/>
  <c r="AL80" i="1"/>
  <c r="AM80" i="1"/>
  <c r="AP80" i="1"/>
  <c r="AQ80" i="1"/>
  <c r="AR80" i="1"/>
  <c r="AS80" i="1"/>
  <c r="AT80" i="1"/>
  <c r="AU80" i="1"/>
  <c r="AV80" i="1"/>
  <c r="AW80" i="1"/>
  <c r="AX80" i="1"/>
  <c r="AY80" i="1"/>
  <c r="AZ80" i="1"/>
  <c r="A81" i="1"/>
  <c r="H81" i="1"/>
  <c r="I81" i="1"/>
  <c r="J81" i="1"/>
  <c r="L81" i="1"/>
  <c r="Q81" i="1"/>
  <c r="T81" i="1"/>
  <c r="U81" i="1"/>
  <c r="X81" i="1"/>
  <c r="Y81" i="1"/>
  <c r="Z81" i="1"/>
  <c r="AA81" i="1"/>
  <c r="AB81" i="1"/>
  <c r="AC81" i="1"/>
  <c r="AI81" i="1"/>
  <c r="AK81" i="1"/>
  <c r="AL81" i="1"/>
  <c r="AM81" i="1"/>
  <c r="AP81" i="1"/>
  <c r="AQ81" i="1"/>
  <c r="AR81" i="1"/>
  <c r="AS81" i="1"/>
  <c r="AT81" i="1"/>
  <c r="AU81" i="1"/>
  <c r="AV81" i="1"/>
  <c r="AW81" i="1"/>
  <c r="AX81" i="1"/>
  <c r="AY81" i="1"/>
  <c r="AZ81" i="1"/>
  <c r="A82" i="1"/>
  <c r="H82" i="1"/>
  <c r="I82" i="1"/>
  <c r="J82" i="1"/>
  <c r="L82" i="1"/>
  <c r="Q82" i="1"/>
  <c r="T82" i="1"/>
  <c r="U82" i="1"/>
  <c r="X82" i="1"/>
  <c r="Y82" i="1"/>
  <c r="Z82" i="1"/>
  <c r="AA82" i="1"/>
  <c r="AB82" i="1"/>
  <c r="AC82" i="1"/>
  <c r="AI82" i="1"/>
  <c r="AK82" i="1"/>
  <c r="AL82" i="1"/>
  <c r="AM82" i="1"/>
  <c r="AP82" i="1"/>
  <c r="AQ82" i="1"/>
  <c r="AR82" i="1"/>
  <c r="AS82" i="1"/>
  <c r="AT82" i="1"/>
  <c r="AU82" i="1"/>
  <c r="AV82" i="1"/>
  <c r="AW82" i="1"/>
  <c r="AX82" i="1"/>
  <c r="AY82" i="1"/>
  <c r="AZ82" i="1"/>
  <c r="A83" i="1"/>
  <c r="H83" i="1"/>
  <c r="I83" i="1"/>
  <c r="J83" i="1"/>
  <c r="L83" i="1"/>
  <c r="Q83" i="1"/>
  <c r="T83" i="1"/>
  <c r="U83" i="1"/>
  <c r="X83" i="1"/>
  <c r="Y83" i="1"/>
  <c r="Z83" i="1"/>
  <c r="AA83" i="1"/>
  <c r="AB83" i="1"/>
  <c r="AC83" i="1"/>
  <c r="AI83" i="1"/>
  <c r="AK83" i="1"/>
  <c r="AL83" i="1"/>
  <c r="AM83" i="1"/>
  <c r="AP83" i="1"/>
  <c r="AQ83" i="1"/>
  <c r="AR83" i="1"/>
  <c r="AS83" i="1"/>
  <c r="AT83" i="1"/>
  <c r="AU83" i="1"/>
  <c r="AV83" i="1"/>
  <c r="AW83" i="1"/>
  <c r="AX83" i="1"/>
  <c r="AY83" i="1"/>
  <c r="AZ83" i="1"/>
  <c r="A84" i="1"/>
  <c r="H84" i="1"/>
  <c r="I84" i="1"/>
  <c r="J84" i="1"/>
  <c r="L84" i="1"/>
  <c r="Q84" i="1"/>
  <c r="T84" i="1"/>
  <c r="U84" i="1"/>
  <c r="X84" i="1"/>
  <c r="Y84" i="1"/>
  <c r="Z84" i="1"/>
  <c r="AA84" i="1"/>
  <c r="AB84" i="1"/>
  <c r="AC84" i="1"/>
  <c r="AI84" i="1"/>
  <c r="AK84" i="1"/>
  <c r="AL84" i="1"/>
  <c r="AM84" i="1"/>
  <c r="AP84" i="1"/>
  <c r="AQ84" i="1"/>
  <c r="AR84" i="1"/>
  <c r="AS84" i="1"/>
  <c r="AT84" i="1"/>
  <c r="AU84" i="1"/>
  <c r="AV84" i="1"/>
  <c r="AW84" i="1"/>
  <c r="AX84" i="1"/>
  <c r="AY84" i="1"/>
  <c r="AZ84" i="1"/>
  <c r="A85" i="1"/>
  <c r="H85" i="1"/>
  <c r="I85" i="1"/>
  <c r="J85" i="1"/>
  <c r="L85" i="1"/>
  <c r="Q85" i="1"/>
  <c r="T85" i="1"/>
  <c r="U85" i="1"/>
  <c r="X85" i="1"/>
  <c r="Y85" i="1"/>
  <c r="Z85" i="1"/>
  <c r="AA85" i="1"/>
  <c r="AB85" i="1"/>
  <c r="AC85" i="1"/>
  <c r="AI85" i="1"/>
  <c r="AK85" i="1"/>
  <c r="AL85" i="1"/>
  <c r="AM85" i="1"/>
  <c r="AP85" i="1"/>
  <c r="AQ85" i="1"/>
  <c r="AR85" i="1"/>
  <c r="AS85" i="1"/>
  <c r="AT85" i="1"/>
  <c r="AU85" i="1"/>
  <c r="AV85" i="1"/>
  <c r="AW85" i="1"/>
  <c r="AX85" i="1"/>
  <c r="AY85" i="1"/>
  <c r="AZ85" i="1"/>
  <c r="A86" i="1"/>
  <c r="H86" i="1"/>
  <c r="I86" i="1"/>
  <c r="J86" i="1"/>
  <c r="L86" i="1"/>
  <c r="Q86" i="1"/>
  <c r="T86" i="1"/>
  <c r="U86" i="1"/>
  <c r="X86" i="1"/>
  <c r="Y86" i="1"/>
  <c r="Z86" i="1"/>
  <c r="AA86" i="1"/>
  <c r="AB86" i="1"/>
  <c r="AC86" i="1"/>
  <c r="AI86" i="1"/>
  <c r="AK86" i="1"/>
  <c r="AL86" i="1"/>
  <c r="AM86" i="1"/>
  <c r="AP86" i="1"/>
  <c r="AQ86" i="1"/>
  <c r="AR86" i="1"/>
  <c r="AS86" i="1"/>
  <c r="AT86" i="1"/>
  <c r="AU86" i="1"/>
  <c r="AV86" i="1"/>
  <c r="AW86" i="1"/>
  <c r="AX86" i="1"/>
  <c r="AY86" i="1"/>
  <c r="AZ86" i="1"/>
  <c r="A87" i="1"/>
  <c r="H87" i="1"/>
  <c r="I87" i="1"/>
  <c r="J87" i="1"/>
  <c r="L87" i="1"/>
  <c r="Q87" i="1"/>
  <c r="T87" i="1"/>
  <c r="U87" i="1"/>
  <c r="X87" i="1"/>
  <c r="Y87" i="1"/>
  <c r="Z87" i="1"/>
  <c r="AA87" i="1"/>
  <c r="AB87" i="1"/>
  <c r="AC87" i="1"/>
  <c r="AI87" i="1"/>
  <c r="AK87" i="1"/>
  <c r="AL87" i="1"/>
  <c r="AM87" i="1"/>
  <c r="AP87" i="1"/>
  <c r="AQ87" i="1"/>
  <c r="AR87" i="1"/>
  <c r="AS87" i="1"/>
  <c r="AT87" i="1"/>
  <c r="AU87" i="1"/>
  <c r="AV87" i="1"/>
  <c r="AW87" i="1"/>
  <c r="AX87" i="1"/>
  <c r="AY87" i="1"/>
  <c r="AZ87" i="1"/>
  <c r="A88" i="1"/>
  <c r="H88" i="1"/>
  <c r="I88" i="1"/>
  <c r="J88" i="1"/>
  <c r="L88" i="1"/>
  <c r="Q88" i="1"/>
  <c r="T88" i="1"/>
  <c r="U88" i="1"/>
  <c r="X88" i="1"/>
  <c r="Y88" i="1"/>
  <c r="Z88" i="1"/>
  <c r="AA88" i="1"/>
  <c r="AB88" i="1"/>
  <c r="AC88" i="1"/>
  <c r="AI88" i="1"/>
  <c r="AK88" i="1"/>
  <c r="AL88" i="1"/>
  <c r="AM88" i="1"/>
  <c r="AP88" i="1"/>
  <c r="AQ88" i="1"/>
  <c r="AR88" i="1"/>
  <c r="AS88" i="1"/>
  <c r="AT88" i="1"/>
  <c r="AU88" i="1"/>
  <c r="AV88" i="1"/>
  <c r="AW88" i="1"/>
  <c r="AX88" i="1"/>
  <c r="AY88" i="1"/>
  <c r="AZ88" i="1"/>
  <c r="A89" i="1"/>
  <c r="H89" i="1"/>
  <c r="I89" i="1"/>
  <c r="J89" i="1"/>
  <c r="L89" i="1"/>
  <c r="Q89" i="1"/>
  <c r="T89" i="1"/>
  <c r="U89" i="1"/>
  <c r="X89" i="1"/>
  <c r="Y89" i="1"/>
  <c r="Z89" i="1"/>
  <c r="AA89" i="1"/>
  <c r="AB89" i="1"/>
  <c r="AC89" i="1"/>
  <c r="AI89" i="1"/>
  <c r="AK89" i="1"/>
  <c r="AL89" i="1"/>
  <c r="AM89" i="1"/>
  <c r="AP89" i="1"/>
  <c r="AQ89" i="1"/>
  <c r="AR89" i="1"/>
  <c r="AS89" i="1"/>
  <c r="AT89" i="1"/>
  <c r="AU89" i="1"/>
  <c r="AV89" i="1"/>
  <c r="AW89" i="1"/>
  <c r="AX89" i="1"/>
  <c r="AY89" i="1"/>
  <c r="AZ89" i="1"/>
  <c r="A90" i="1"/>
  <c r="H90" i="1"/>
  <c r="I90" i="1"/>
  <c r="J90" i="1"/>
  <c r="L90" i="1"/>
  <c r="Q90" i="1"/>
  <c r="T90" i="1"/>
  <c r="U90" i="1"/>
  <c r="X90" i="1"/>
  <c r="Y90" i="1"/>
  <c r="Z90" i="1"/>
  <c r="AA90" i="1"/>
  <c r="AB90" i="1"/>
  <c r="AC90" i="1"/>
  <c r="AI90" i="1"/>
  <c r="AK90" i="1"/>
  <c r="AL90" i="1"/>
  <c r="AM90" i="1"/>
  <c r="AP90" i="1"/>
  <c r="AQ90" i="1"/>
  <c r="AR90" i="1"/>
  <c r="AS90" i="1"/>
  <c r="AT90" i="1"/>
  <c r="AU90" i="1"/>
  <c r="AV90" i="1"/>
  <c r="AW90" i="1"/>
  <c r="AX90" i="1"/>
  <c r="AY90" i="1"/>
  <c r="AZ90" i="1"/>
  <c r="A91" i="1"/>
  <c r="H91" i="1"/>
  <c r="I91" i="1"/>
  <c r="J91" i="1"/>
  <c r="L91" i="1"/>
  <c r="Q91" i="1"/>
  <c r="T91" i="1"/>
  <c r="U91" i="1"/>
  <c r="X91" i="1"/>
  <c r="Y91" i="1"/>
  <c r="Z91" i="1"/>
  <c r="AA91" i="1"/>
  <c r="AB91" i="1"/>
  <c r="AC91" i="1"/>
  <c r="AI91" i="1"/>
  <c r="AK91" i="1"/>
  <c r="AL91" i="1"/>
  <c r="AM91" i="1"/>
  <c r="AP91" i="1"/>
  <c r="AQ91" i="1"/>
  <c r="AR91" i="1"/>
  <c r="AS91" i="1"/>
  <c r="AT91" i="1"/>
  <c r="AU91" i="1"/>
  <c r="AV91" i="1"/>
  <c r="AW91" i="1"/>
  <c r="AX91" i="1"/>
  <c r="AY91" i="1"/>
  <c r="AZ91" i="1"/>
  <c r="A92" i="1"/>
  <c r="H92" i="1"/>
  <c r="I92" i="1"/>
  <c r="J92" i="1"/>
  <c r="L92" i="1"/>
  <c r="Q92" i="1"/>
  <c r="T92" i="1"/>
  <c r="U92" i="1"/>
  <c r="X92" i="1"/>
  <c r="Y92" i="1"/>
  <c r="Z92" i="1"/>
  <c r="AA92" i="1"/>
  <c r="AB92" i="1"/>
  <c r="AC92" i="1"/>
  <c r="AI92" i="1"/>
  <c r="AK92" i="1"/>
  <c r="AL92" i="1"/>
  <c r="AM92" i="1"/>
  <c r="AP92" i="1"/>
  <c r="AQ92" i="1"/>
  <c r="AR92" i="1"/>
  <c r="AS92" i="1"/>
  <c r="AT92" i="1"/>
  <c r="AU92" i="1"/>
  <c r="AV92" i="1"/>
  <c r="AW92" i="1"/>
  <c r="AX92" i="1"/>
  <c r="AY92" i="1"/>
  <c r="AZ92" i="1"/>
  <c r="A93" i="1"/>
  <c r="H93" i="1"/>
  <c r="I93" i="1"/>
  <c r="J93" i="1"/>
  <c r="L93" i="1"/>
  <c r="Q93" i="1"/>
  <c r="T93" i="1"/>
  <c r="U93" i="1"/>
  <c r="X93" i="1"/>
  <c r="Y93" i="1"/>
  <c r="Z93" i="1"/>
  <c r="AA93" i="1"/>
  <c r="AB93" i="1"/>
  <c r="AC93" i="1"/>
  <c r="AI93" i="1"/>
  <c r="AK93" i="1"/>
  <c r="AL93" i="1"/>
  <c r="AM93" i="1"/>
  <c r="AP93" i="1"/>
  <c r="AQ93" i="1"/>
  <c r="AR93" i="1"/>
  <c r="AS93" i="1"/>
  <c r="AT93" i="1"/>
  <c r="AU93" i="1"/>
  <c r="AV93" i="1"/>
  <c r="AW93" i="1"/>
  <c r="AX93" i="1"/>
  <c r="AY93" i="1"/>
  <c r="AZ93" i="1"/>
  <c r="A94" i="1"/>
  <c r="H94" i="1"/>
  <c r="I94" i="1"/>
  <c r="J94" i="1"/>
  <c r="L94" i="1"/>
  <c r="Q94" i="1"/>
  <c r="T94" i="1"/>
  <c r="U94" i="1"/>
  <c r="X94" i="1"/>
  <c r="Y94" i="1"/>
  <c r="Z94" i="1"/>
  <c r="AA94" i="1"/>
  <c r="AB94" i="1"/>
  <c r="AC94" i="1"/>
  <c r="AI94" i="1"/>
  <c r="AK94" i="1"/>
  <c r="AL94" i="1"/>
  <c r="AM94" i="1"/>
  <c r="AP94" i="1"/>
  <c r="AQ94" i="1"/>
  <c r="AR94" i="1"/>
  <c r="AS94" i="1"/>
  <c r="AT94" i="1"/>
  <c r="AU94" i="1"/>
  <c r="AV94" i="1"/>
  <c r="AW94" i="1"/>
  <c r="AX94" i="1"/>
  <c r="AY94" i="1"/>
  <c r="AZ94" i="1"/>
  <c r="A95" i="1"/>
  <c r="H95" i="1"/>
  <c r="I95" i="1"/>
  <c r="J95" i="1"/>
  <c r="L95" i="1"/>
  <c r="Q95" i="1"/>
  <c r="T95" i="1"/>
  <c r="U95" i="1"/>
  <c r="X95" i="1"/>
  <c r="Y95" i="1"/>
  <c r="Z95" i="1"/>
  <c r="AA95" i="1"/>
  <c r="AB95" i="1"/>
  <c r="AC95" i="1"/>
  <c r="AI95" i="1"/>
  <c r="AK95" i="1"/>
  <c r="AL95" i="1"/>
  <c r="AM95" i="1"/>
  <c r="AP95" i="1"/>
  <c r="AQ95" i="1"/>
  <c r="AR95" i="1"/>
  <c r="AS95" i="1"/>
  <c r="AT95" i="1"/>
  <c r="AU95" i="1"/>
  <c r="AV95" i="1"/>
  <c r="AW95" i="1"/>
  <c r="AX95" i="1"/>
  <c r="AY95" i="1"/>
  <c r="AZ95" i="1"/>
  <c r="A96" i="1"/>
  <c r="H96" i="1"/>
  <c r="I96" i="1"/>
  <c r="J96" i="1"/>
  <c r="L96" i="1"/>
  <c r="Q96" i="1"/>
  <c r="T96" i="1"/>
  <c r="U96" i="1"/>
  <c r="X96" i="1"/>
  <c r="Y96" i="1"/>
  <c r="Z96" i="1"/>
  <c r="AA96" i="1"/>
  <c r="AB96" i="1"/>
  <c r="AC96" i="1"/>
  <c r="AI96" i="1"/>
  <c r="AK96" i="1"/>
  <c r="AL96" i="1"/>
  <c r="AM96" i="1"/>
  <c r="AP96" i="1"/>
  <c r="AQ96" i="1"/>
  <c r="AR96" i="1"/>
  <c r="AS96" i="1"/>
  <c r="AT96" i="1"/>
  <c r="AU96" i="1"/>
  <c r="AV96" i="1"/>
  <c r="AW96" i="1"/>
  <c r="AX96" i="1"/>
  <c r="AY96" i="1"/>
  <c r="AZ96" i="1"/>
  <c r="A97" i="1"/>
  <c r="H97" i="1"/>
  <c r="I97" i="1"/>
  <c r="J97" i="1"/>
  <c r="L97" i="1"/>
  <c r="Q97" i="1"/>
  <c r="T97" i="1"/>
  <c r="U97" i="1"/>
  <c r="X97" i="1"/>
  <c r="Y97" i="1"/>
  <c r="Z97" i="1"/>
  <c r="AA97" i="1"/>
  <c r="AB97" i="1"/>
  <c r="AC97" i="1"/>
  <c r="AK97" i="1"/>
  <c r="AL97" i="1"/>
  <c r="AM97" i="1"/>
  <c r="AP97" i="1"/>
  <c r="AQ97" i="1"/>
  <c r="AR97" i="1"/>
  <c r="AS97" i="1"/>
  <c r="AT97" i="1"/>
  <c r="AU97" i="1"/>
  <c r="AV97" i="1"/>
  <c r="AW97" i="1"/>
  <c r="AX97" i="1"/>
  <c r="AY97" i="1"/>
  <c r="AZ97" i="1"/>
  <c r="A98" i="1"/>
  <c r="H98" i="1"/>
  <c r="I98" i="1"/>
  <c r="J98" i="1"/>
  <c r="L98" i="1"/>
  <c r="Q98" i="1"/>
  <c r="T98" i="1"/>
  <c r="U98" i="1"/>
  <c r="X98" i="1"/>
  <c r="Y98" i="1"/>
  <c r="Z98" i="1"/>
  <c r="AA98" i="1"/>
  <c r="AB98" i="1"/>
  <c r="AC98" i="1"/>
  <c r="AK98" i="1"/>
  <c r="AL98" i="1"/>
  <c r="AM98" i="1"/>
  <c r="AP98" i="1"/>
  <c r="AQ98" i="1"/>
  <c r="AR98" i="1"/>
  <c r="AS98" i="1"/>
  <c r="AT98" i="1"/>
  <c r="AU98" i="1"/>
  <c r="AV98" i="1"/>
  <c r="AW98" i="1"/>
  <c r="AX98" i="1"/>
  <c r="AY98" i="1"/>
  <c r="AZ98" i="1"/>
  <c r="A99" i="1"/>
  <c r="H99" i="1"/>
  <c r="I99" i="1"/>
  <c r="J99" i="1"/>
  <c r="L99" i="1"/>
  <c r="Q99" i="1"/>
  <c r="T99" i="1"/>
  <c r="U99" i="1"/>
  <c r="X99" i="1"/>
  <c r="Y99" i="1"/>
  <c r="Z99" i="1"/>
  <c r="AA99" i="1"/>
  <c r="AB99" i="1"/>
  <c r="AC99" i="1"/>
  <c r="AK99" i="1"/>
  <c r="AL99" i="1"/>
  <c r="AM99" i="1"/>
  <c r="AP99" i="1"/>
  <c r="AQ99" i="1"/>
  <c r="AR99" i="1"/>
  <c r="AS99" i="1"/>
  <c r="AT99" i="1"/>
  <c r="AU99" i="1"/>
  <c r="AV99" i="1"/>
  <c r="AW99" i="1"/>
  <c r="AX99" i="1"/>
  <c r="AY99" i="1"/>
  <c r="AZ99" i="1"/>
  <c r="A100" i="1"/>
  <c r="H100" i="1"/>
  <c r="I100" i="1"/>
  <c r="J100" i="1"/>
  <c r="L100" i="1"/>
  <c r="Q100" i="1"/>
  <c r="T100" i="1"/>
  <c r="U100" i="1"/>
  <c r="X100" i="1"/>
  <c r="Y100" i="1"/>
  <c r="Z100" i="1"/>
  <c r="AA100" i="1"/>
  <c r="AB100" i="1"/>
  <c r="AC100" i="1"/>
  <c r="AK100" i="1"/>
  <c r="AL100" i="1"/>
  <c r="AM100" i="1"/>
  <c r="AP100" i="1"/>
  <c r="AQ100" i="1"/>
  <c r="AR100" i="1"/>
  <c r="AS100" i="1"/>
  <c r="AT100" i="1"/>
  <c r="AU100" i="1"/>
  <c r="AV100" i="1"/>
  <c r="AW100" i="1"/>
  <c r="AX100" i="1"/>
  <c r="AY100" i="1"/>
  <c r="AZ100" i="1"/>
  <c r="A101" i="1"/>
  <c r="H101" i="1"/>
  <c r="I101" i="1"/>
  <c r="J101" i="1"/>
  <c r="L101" i="1"/>
  <c r="Q101" i="1"/>
  <c r="T101" i="1"/>
  <c r="U101" i="1"/>
  <c r="X101" i="1"/>
  <c r="Y101" i="1"/>
  <c r="Z101" i="1"/>
  <c r="AA101" i="1"/>
  <c r="AC101" i="1"/>
  <c r="AK101" i="1"/>
  <c r="AL101" i="1"/>
  <c r="AM101" i="1"/>
  <c r="AP101" i="1"/>
  <c r="AQ101" i="1"/>
  <c r="AR101" i="1"/>
  <c r="AS101" i="1"/>
  <c r="AT101" i="1"/>
  <c r="AV101" i="1"/>
  <c r="AW101" i="1"/>
  <c r="AX101" i="1"/>
  <c r="AY101" i="1"/>
  <c r="AZ101" i="1"/>
  <c r="A102" i="1"/>
  <c r="E102" i="1"/>
  <c r="F102" i="1"/>
  <c r="G102" i="1"/>
  <c r="U102" i="1"/>
  <c r="Z102" i="1"/>
  <c r="AQ102" i="1"/>
  <c r="A103" i="1"/>
  <c r="E103" i="1"/>
  <c r="F103" i="1"/>
  <c r="G103" i="1"/>
  <c r="U103" i="1"/>
  <c r="Z103" i="1"/>
  <c r="AQ103" i="1"/>
  <c r="A104" i="1"/>
  <c r="Z104" i="1"/>
  <c r="A105" i="1"/>
  <c r="Z105" i="1"/>
  <c r="A106" i="1"/>
  <c r="A107" i="1"/>
  <c r="A108" i="1"/>
  <c r="A109" i="1"/>
  <c r="A110" i="1"/>
  <c r="A111" i="1"/>
  <c r="A112" i="1"/>
  <c r="A113" i="1"/>
  <c r="A114" i="1"/>
  <c r="D1" i="2"/>
  <c r="F1" i="2"/>
  <c r="I1" i="2"/>
  <c r="D2" i="2"/>
  <c r="F2" i="2"/>
  <c r="I2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H58" i="2"/>
  <c r="I58" i="2"/>
  <c r="A59" i="2"/>
  <c r="B59" i="2"/>
  <c r="C59" i="2"/>
  <c r="D59" i="2"/>
  <c r="E59" i="2"/>
  <c r="F59" i="2"/>
  <c r="H59" i="2"/>
  <c r="I59" i="2"/>
  <c r="A60" i="2"/>
  <c r="B60" i="2"/>
  <c r="C60" i="2"/>
  <c r="D60" i="2"/>
  <c r="E60" i="2"/>
  <c r="F60" i="2"/>
  <c r="H60" i="2"/>
  <c r="I60" i="2"/>
  <c r="A61" i="2"/>
  <c r="B61" i="2"/>
  <c r="C61" i="2"/>
  <c r="D61" i="2"/>
  <c r="E61" i="2"/>
  <c r="F61" i="2"/>
  <c r="H61" i="2"/>
  <c r="I61" i="2"/>
  <c r="A62" i="2"/>
  <c r="B62" i="2"/>
  <c r="C62" i="2"/>
  <c r="D62" i="2"/>
  <c r="E62" i="2"/>
  <c r="F62" i="2"/>
  <c r="H62" i="2"/>
  <c r="I62" i="2"/>
  <c r="A63" i="2"/>
  <c r="B63" i="2"/>
  <c r="C63" i="2"/>
  <c r="D63" i="2"/>
  <c r="E63" i="2"/>
  <c r="F63" i="2"/>
  <c r="H63" i="2"/>
  <c r="I63" i="2"/>
  <c r="A64" i="2"/>
  <c r="B64" i="2"/>
  <c r="C64" i="2"/>
  <c r="D64" i="2"/>
  <c r="E64" i="2"/>
  <c r="F64" i="2"/>
  <c r="H64" i="2"/>
  <c r="I64" i="2"/>
  <c r="A65" i="2"/>
  <c r="B65" i="2"/>
  <c r="C65" i="2"/>
  <c r="D65" i="2"/>
  <c r="E65" i="2"/>
  <c r="F65" i="2"/>
  <c r="H65" i="2"/>
  <c r="I65" i="2"/>
  <c r="A66" i="2"/>
  <c r="B66" i="2"/>
  <c r="C66" i="2"/>
  <c r="D66" i="2"/>
  <c r="E66" i="2"/>
  <c r="F66" i="2"/>
  <c r="H66" i="2"/>
  <c r="I66" i="2"/>
  <c r="A67" i="2"/>
  <c r="B67" i="2"/>
  <c r="C67" i="2"/>
  <c r="D67" i="2"/>
  <c r="E67" i="2"/>
  <c r="F67" i="2"/>
  <c r="H67" i="2"/>
  <c r="I67" i="2"/>
  <c r="A68" i="2"/>
  <c r="B68" i="2"/>
  <c r="C68" i="2"/>
  <c r="D68" i="2"/>
  <c r="E68" i="2"/>
  <c r="F68" i="2"/>
  <c r="H68" i="2"/>
  <c r="I68" i="2"/>
  <c r="A69" i="2"/>
  <c r="B69" i="2"/>
  <c r="C69" i="2"/>
  <c r="D69" i="2"/>
  <c r="E69" i="2"/>
  <c r="F69" i="2"/>
  <c r="H69" i="2"/>
  <c r="I69" i="2"/>
  <c r="A70" i="2"/>
  <c r="B70" i="2"/>
  <c r="C70" i="2"/>
  <c r="D70" i="2"/>
  <c r="E70" i="2"/>
  <c r="F70" i="2"/>
  <c r="H70" i="2"/>
  <c r="I70" i="2"/>
  <c r="A71" i="2"/>
  <c r="B71" i="2"/>
  <c r="C71" i="2"/>
  <c r="D71" i="2"/>
  <c r="E71" i="2"/>
  <c r="F71" i="2"/>
  <c r="H71" i="2"/>
  <c r="I71" i="2"/>
  <c r="A72" i="2"/>
  <c r="B72" i="2"/>
  <c r="C72" i="2"/>
  <c r="D72" i="2"/>
  <c r="E72" i="2"/>
  <c r="F72" i="2"/>
  <c r="H72" i="2"/>
  <c r="I72" i="2"/>
  <c r="A73" i="2"/>
  <c r="B73" i="2"/>
  <c r="C73" i="2"/>
  <c r="D73" i="2"/>
  <c r="E73" i="2"/>
  <c r="F73" i="2"/>
  <c r="H73" i="2"/>
  <c r="I73" i="2"/>
  <c r="A74" i="2"/>
  <c r="B74" i="2"/>
  <c r="C74" i="2"/>
  <c r="D74" i="2"/>
  <c r="E74" i="2"/>
  <c r="F74" i="2"/>
  <c r="H74" i="2"/>
  <c r="I74" i="2"/>
  <c r="A75" i="2"/>
  <c r="B75" i="2"/>
  <c r="C75" i="2"/>
  <c r="D75" i="2"/>
  <c r="E75" i="2"/>
  <c r="F75" i="2"/>
  <c r="H75" i="2"/>
  <c r="I75" i="2"/>
  <c r="A76" i="2"/>
  <c r="B76" i="2"/>
  <c r="C76" i="2"/>
  <c r="D76" i="2"/>
  <c r="E76" i="2"/>
  <c r="F76" i="2"/>
  <c r="H76" i="2"/>
  <c r="I76" i="2"/>
  <c r="A77" i="2"/>
  <c r="B77" i="2"/>
  <c r="C77" i="2"/>
  <c r="D77" i="2"/>
  <c r="E77" i="2"/>
  <c r="F77" i="2"/>
  <c r="H77" i="2"/>
  <c r="I77" i="2"/>
  <c r="A78" i="2"/>
  <c r="B78" i="2"/>
  <c r="C78" i="2"/>
  <c r="D78" i="2"/>
  <c r="E78" i="2"/>
  <c r="F78" i="2"/>
  <c r="H78" i="2"/>
  <c r="I78" i="2"/>
  <c r="A79" i="2"/>
  <c r="B79" i="2"/>
  <c r="C79" i="2"/>
  <c r="D79" i="2"/>
  <c r="E79" i="2"/>
  <c r="F79" i="2"/>
  <c r="H79" i="2"/>
  <c r="I79" i="2"/>
  <c r="A80" i="2"/>
  <c r="B80" i="2"/>
  <c r="C80" i="2"/>
  <c r="D80" i="2"/>
  <c r="E80" i="2"/>
  <c r="F80" i="2"/>
  <c r="H80" i="2"/>
  <c r="I80" i="2"/>
  <c r="A81" i="2"/>
  <c r="B81" i="2"/>
  <c r="C81" i="2"/>
  <c r="D81" i="2"/>
  <c r="E81" i="2"/>
  <c r="F81" i="2"/>
  <c r="H81" i="2"/>
  <c r="I81" i="2"/>
  <c r="A82" i="2"/>
  <c r="B82" i="2"/>
  <c r="C82" i="2"/>
  <c r="D82" i="2"/>
  <c r="E82" i="2"/>
  <c r="F82" i="2"/>
  <c r="H82" i="2"/>
  <c r="I82" i="2"/>
  <c r="A83" i="2"/>
  <c r="B83" i="2"/>
  <c r="C83" i="2"/>
  <c r="D83" i="2"/>
  <c r="E83" i="2"/>
  <c r="F83" i="2"/>
  <c r="H83" i="2"/>
  <c r="I83" i="2"/>
  <c r="A84" i="2"/>
  <c r="B84" i="2"/>
  <c r="C84" i="2"/>
  <c r="D84" i="2"/>
  <c r="E84" i="2"/>
  <c r="F84" i="2"/>
  <c r="H84" i="2"/>
  <c r="I84" i="2"/>
  <c r="A85" i="2"/>
  <c r="B85" i="2"/>
  <c r="C85" i="2"/>
  <c r="D85" i="2"/>
  <c r="E85" i="2"/>
  <c r="F85" i="2"/>
  <c r="H85" i="2"/>
  <c r="I85" i="2"/>
  <c r="A86" i="2"/>
  <c r="B86" i="2"/>
  <c r="C86" i="2"/>
  <c r="D86" i="2"/>
  <c r="E86" i="2"/>
  <c r="F86" i="2"/>
  <c r="H86" i="2"/>
  <c r="I86" i="2"/>
  <c r="A87" i="2"/>
  <c r="B87" i="2"/>
  <c r="C87" i="2"/>
  <c r="D87" i="2"/>
  <c r="E87" i="2"/>
  <c r="F87" i="2"/>
  <c r="H87" i="2"/>
  <c r="I87" i="2"/>
  <c r="A88" i="2"/>
  <c r="B88" i="2"/>
  <c r="C88" i="2"/>
  <c r="D88" i="2"/>
  <c r="E88" i="2"/>
  <c r="F88" i="2"/>
  <c r="H88" i="2"/>
  <c r="I88" i="2"/>
  <c r="A89" i="2"/>
  <c r="B89" i="2"/>
  <c r="C89" i="2"/>
  <c r="D89" i="2"/>
  <c r="E89" i="2"/>
  <c r="F89" i="2"/>
  <c r="H89" i="2"/>
  <c r="I89" i="2"/>
  <c r="A90" i="2"/>
  <c r="B90" i="2"/>
  <c r="C90" i="2"/>
  <c r="D90" i="2"/>
  <c r="E90" i="2"/>
  <c r="F90" i="2"/>
  <c r="H90" i="2"/>
  <c r="I90" i="2"/>
  <c r="A91" i="2"/>
  <c r="B91" i="2"/>
  <c r="C91" i="2"/>
  <c r="D91" i="2"/>
  <c r="E91" i="2"/>
  <c r="F91" i="2"/>
  <c r="H91" i="2"/>
  <c r="I91" i="2"/>
  <c r="A92" i="2"/>
  <c r="A93" i="2"/>
  <c r="A94" i="2"/>
  <c r="A95" i="2"/>
  <c r="A96" i="2"/>
  <c r="A97" i="2"/>
  <c r="A98" i="2"/>
  <c r="A99" i="2"/>
  <c r="A100" i="2"/>
  <c r="B103" i="2"/>
  <c r="C103" i="2"/>
  <c r="E103" i="2"/>
  <c r="H103" i="2"/>
  <c r="I103" i="2"/>
  <c r="B104" i="2"/>
  <c r="C104" i="2"/>
  <c r="E104" i="2"/>
  <c r="H104" i="2"/>
  <c r="I104" i="2"/>
  <c r="B105" i="2"/>
  <c r="C105" i="2"/>
  <c r="E105" i="2"/>
  <c r="H105" i="2"/>
  <c r="I105" i="2"/>
  <c r="C107" i="2"/>
  <c r="D107" i="2"/>
  <c r="E107" i="2"/>
  <c r="F107" i="2"/>
  <c r="H107" i="2"/>
  <c r="I107" i="2"/>
  <c r="C108" i="2"/>
  <c r="D108" i="2"/>
  <c r="E108" i="2"/>
  <c r="F108" i="2"/>
  <c r="H108" i="2"/>
  <c r="I108" i="2"/>
  <c r="C110" i="2"/>
  <c r="E110" i="2"/>
  <c r="I110" i="2"/>
  <c r="C111" i="2"/>
  <c r="E111" i="2"/>
  <c r="I111" i="2"/>
  <c r="C112" i="2"/>
  <c r="E112" i="2"/>
  <c r="I112" i="2"/>
  <c r="C113" i="2"/>
  <c r="E113" i="2"/>
  <c r="I113" i="2"/>
  <c r="C114" i="2"/>
  <c r="E114" i="2"/>
  <c r="I114" i="2"/>
  <c r="C115" i="2"/>
  <c r="E115" i="2"/>
  <c r="I115" i="2"/>
</calcChain>
</file>

<file path=xl/sharedStrings.xml><?xml version="1.0" encoding="utf-8"?>
<sst xmlns="http://schemas.openxmlformats.org/spreadsheetml/2006/main" count="355" uniqueCount="155">
  <si>
    <t>Est.Thrpt</t>
  </si>
  <si>
    <t>Retained</t>
  </si>
  <si>
    <t>Used</t>
  </si>
  <si>
    <t>surcharge</t>
  </si>
  <si>
    <t>Total to be</t>
  </si>
  <si>
    <t>retained</t>
  </si>
  <si>
    <t>over/under</t>
  </si>
  <si>
    <t>fuel/dt-mile</t>
  </si>
  <si>
    <t>throughput</t>
  </si>
  <si>
    <t>Mdt</t>
  </si>
  <si>
    <t>mi</t>
  </si>
  <si>
    <t>actual</t>
  </si>
  <si>
    <t>column</t>
  </si>
  <si>
    <t>units</t>
  </si>
  <si>
    <t>formula</t>
  </si>
  <si>
    <t>*</t>
  </si>
  <si>
    <t>=3-4-5</t>
  </si>
  <si>
    <t>=2-6</t>
  </si>
  <si>
    <t>=7/1</t>
  </si>
  <si>
    <t>=8/9</t>
  </si>
  <si>
    <t>used</t>
  </si>
  <si>
    <t>prior.act</t>
  </si>
  <si>
    <t>est</t>
  </si>
  <si>
    <t>dy</t>
  </si>
  <si>
    <t>month</t>
  </si>
  <si>
    <t>posted</t>
  </si>
  <si>
    <t>fuel</t>
  </si>
  <si>
    <t>loss</t>
  </si>
  <si>
    <t>fuel+loss</t>
  </si>
  <si>
    <t>current</t>
  </si>
  <si>
    <t>applied</t>
  </si>
  <si>
    <t>Mdt/d</t>
  </si>
  <si>
    <t>surch</t>
  </si>
  <si>
    <t>total</t>
  </si>
  <si>
    <t>Act.Used</t>
  </si>
  <si>
    <t>Act.Fuel</t>
  </si>
  <si>
    <t>Appendix C, Schedule 2, One Page per Month</t>
  </si>
  <si>
    <t>Est.Used</t>
  </si>
  <si>
    <t>Appendix C, Schedule 1</t>
  </si>
  <si>
    <t>Est.surch</t>
  </si>
  <si>
    <t>dt/dt</t>
  </si>
  <si>
    <t>Est</t>
  </si>
  <si>
    <t>2be.retain</t>
  </si>
  <si>
    <t>cml.o/&lt;u&gt;</t>
  </si>
  <si>
    <t>Fuel</t>
  </si>
  <si>
    <t>Line.Pack</t>
  </si>
  <si>
    <t>OBA.Imb</t>
  </si>
  <si>
    <t>Ship.Imb</t>
  </si>
  <si>
    <t>Form 11</t>
  </si>
  <si>
    <t>IT+FT</t>
  </si>
  <si>
    <t>calc</t>
  </si>
  <si>
    <t>avg mi</t>
  </si>
  <si>
    <t>distance</t>
  </si>
  <si>
    <t>thrpt</t>
  </si>
  <si>
    <t>act.fuel</t>
  </si>
  <si>
    <t>act.used</t>
  </si>
  <si>
    <t>ending</t>
  </si>
  <si>
    <t>-sold</t>
  </si>
  <si>
    <t>+purch</t>
  </si>
  <si>
    <t>mth.o/&lt;u&gt;</t>
  </si>
  <si>
    <t>6-month</t>
  </si>
  <si>
    <t>Adj.Est</t>
  </si>
  <si>
    <t>Adjusted</t>
  </si>
  <si>
    <t>n=</t>
  </si>
  <si>
    <t>sum(x)</t>
  </si>
  <si>
    <t>sum(x^2)</t>
  </si>
  <si>
    <t>sum(y)</t>
  </si>
  <si>
    <t>sum(y^2)</t>
  </si>
  <si>
    <t>sum(x*y)</t>
  </si>
  <si>
    <t>intercept</t>
  </si>
  <si>
    <t>slope</t>
  </si>
  <si>
    <t>rsq</t>
  </si>
  <si>
    <t>F</t>
  </si>
  <si>
    <t>F* .05</t>
  </si>
  <si>
    <t>F* .01</t>
  </si>
  <si>
    <t>F* .001</t>
  </si>
  <si>
    <t>X</t>
  </si>
  <si>
    <t>Y</t>
  </si>
  <si>
    <t>regr.fuel</t>
  </si>
  <si>
    <t>TCBC</t>
  </si>
  <si>
    <t>TCBC.loss</t>
  </si>
  <si>
    <t>TJs</t>
  </si>
  <si>
    <t>Sum</t>
  </si>
  <si>
    <t>losses</t>
  </si>
  <si>
    <t>dt/dt.mi</t>
  </si>
  <si>
    <t>e9 dt.mi</t>
  </si>
  <si>
    <t>e9 dt.mi/d</t>
  </si>
  <si>
    <t>Kept.Cap</t>
  </si>
  <si>
    <t>MMcf</t>
  </si>
  <si>
    <t>act.thrpt</t>
  </si>
  <si>
    <t>2mo.prior</t>
  </si>
  <si>
    <t>Y2</t>
  </si>
  <si>
    <t>regr.used</t>
  </si>
  <si>
    <t>rolling</t>
  </si>
  <si>
    <t>max.0041</t>
  </si>
  <si>
    <t>fuel.0022</t>
  </si>
  <si>
    <t>semi-ann.</t>
  </si>
  <si>
    <t>open</t>
  </si>
  <si>
    <t>close</t>
  </si>
  <si>
    <t>change</t>
  </si>
  <si>
    <t>leak</t>
  </si>
  <si>
    <t>start</t>
  </si>
  <si>
    <t>end</t>
  </si>
  <si>
    <t>#</t>
  </si>
  <si>
    <t>obs.limit</t>
  </si>
  <si>
    <t>T</t>
  </si>
  <si>
    <t>P</t>
  </si>
  <si>
    <t>W</t>
  </si>
  <si>
    <t>#days</t>
  </si>
  <si>
    <t>PGT est</t>
  </si>
  <si>
    <t>Mdt/day</t>
  </si>
  <si>
    <t>Month</t>
  </si>
  <si>
    <t>miles</t>
  </si>
  <si>
    <t>%/mile</t>
  </si>
  <si>
    <t>estimate</t>
  </si>
  <si>
    <t>0.0041%</t>
  </si>
  <si>
    <t>for Feb-94 through Apr-95 estimated mileage is derived.</t>
  </si>
  <si>
    <t>exceeds</t>
  </si>
  <si>
    <t>retention</t>
  </si>
  <si>
    <t>PGT filed</t>
  </si>
  <si>
    <t>Mdt/mo</t>
  </si>
  <si>
    <t>system avg</t>
  </si>
  <si>
    <t>Total Use</t>
  </si>
  <si>
    <t>#d</t>
  </si>
  <si>
    <t>PGT post</t>
  </si>
  <si>
    <t>Fuel Only</t>
  </si>
  <si>
    <t>used.90%</t>
  </si>
  <si>
    <t>fuel.100%</t>
  </si>
  <si>
    <t>monthly</t>
  </si>
  <si>
    <t>cumulative</t>
  </si>
  <si>
    <t>fuel imbal</t>
  </si>
  <si>
    <t>example: Nov-94, 1.8374%/(0.0037%/mile) = 496.6 miles</t>
  </si>
  <si>
    <t>Count</t>
  </si>
  <si>
    <t>b</t>
  </si>
  <si>
    <t>c</t>
  </si>
  <si>
    <t>d</t>
  </si>
  <si>
    <t>f</t>
  </si>
  <si>
    <t>g</t>
  </si>
  <si>
    <t>h</t>
  </si>
  <si>
    <t>I</t>
  </si>
  <si>
    <t>e</t>
  </si>
  <si>
    <t>i</t>
  </si>
  <si>
    <t>j</t>
  </si>
  <si>
    <t>k</t>
  </si>
  <si>
    <t>l</t>
  </si>
  <si>
    <t>n</t>
  </si>
  <si>
    <t>o</t>
  </si>
  <si>
    <t>p</t>
  </si>
  <si>
    <t>q</t>
  </si>
  <si>
    <t>m</t>
  </si>
  <si>
    <t>Count&gt;=</t>
  </si>
  <si>
    <t>Count&gt;=0.0041%</t>
  </si>
  <si>
    <t>max.0050</t>
  </si>
  <si>
    <t>Tot Uses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</si>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</sst>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"/>
    <numFmt numFmtId="165" formatCode="0.0"/>
    <numFmt numFmtId="166" formatCode="0.0000"/>
    <numFmt numFmtId="167" formatCode="0.000"/>
    <numFmt numFmtId="168" formatCode="0.00000000"/>
    <numFmt numFmtId="169" formatCode="0.0000%"/>
    <numFmt numFmtId="170" formatCode="#,##0.0"/>
  </numFmts>
  <fonts count="3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14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b/>
      <i/>
      <sz val="10"/>
      <color indexed="14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7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quotePrefix="1" applyNumberFormat="1" applyAlignment="1">
      <alignment horizontal="right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quotePrefix="1" applyNumberFormat="1" applyBorder="1" applyAlignment="1">
      <alignment horizontal="right"/>
    </xf>
    <xf numFmtId="1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164" fontId="0" fillId="0" borderId="0" xfId="0" applyNumberFormat="1" applyBorder="1"/>
    <xf numFmtId="2" fontId="0" fillId="0" borderId="2" xfId="0" applyNumberFormat="1" applyBorder="1" applyAlignment="1">
      <alignment horizontal="right"/>
    </xf>
    <xf numFmtId="164" fontId="0" fillId="0" borderId="2" xfId="0" applyNumberFormat="1" applyBorder="1"/>
    <xf numFmtId="166" fontId="0" fillId="0" borderId="0" xfId="0" applyNumberFormat="1"/>
    <xf numFmtId="164" fontId="0" fillId="0" borderId="2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7" fontId="0" fillId="0" borderId="0" xfId="0" applyNumberFormat="1"/>
    <xf numFmtId="0" fontId="5" fillId="0" borderId="0" xfId="0" applyFont="1"/>
    <xf numFmtId="165" fontId="6" fillId="0" borderId="0" xfId="0" applyNumberFormat="1" applyFont="1"/>
    <xf numFmtId="165" fontId="0" fillId="0" borderId="1" xfId="0" applyNumberFormat="1" applyBorder="1"/>
    <xf numFmtId="0" fontId="0" fillId="0" borderId="0" xfId="0" applyAlignment="1">
      <alignment horizontal="right"/>
    </xf>
    <xf numFmtId="2" fontId="0" fillId="0" borderId="0" xfId="0" applyNumberFormat="1"/>
    <xf numFmtId="165" fontId="11" fillId="0" borderId="0" xfId="0" applyNumberFormat="1" applyFont="1"/>
    <xf numFmtId="168" fontId="0" fillId="0" borderId="0" xfId="0" applyNumberFormat="1" applyBorder="1"/>
    <xf numFmtId="168" fontId="0" fillId="0" borderId="1" xfId="0" applyNumberFormat="1" applyBorder="1"/>
    <xf numFmtId="1" fontId="0" fillId="0" borderId="0" xfId="0" applyNumberFormat="1" applyAlignment="1">
      <alignment horizontal="right"/>
    </xf>
    <xf numFmtId="2" fontId="6" fillId="0" borderId="0" xfId="0" applyNumberFormat="1" applyFont="1"/>
    <xf numFmtId="0" fontId="6" fillId="0" borderId="0" xfId="0" applyFont="1"/>
    <xf numFmtId="165" fontId="0" fillId="0" borderId="0" xfId="0" applyNumberFormat="1" applyAlignment="1">
      <alignment horizontal="right"/>
    </xf>
    <xf numFmtId="164" fontId="14" fillId="0" borderId="0" xfId="0" applyNumberFormat="1" applyFont="1"/>
    <xf numFmtId="0" fontId="0" fillId="0" borderId="0" xfId="0" applyNumberFormat="1"/>
    <xf numFmtId="169" fontId="0" fillId="0" borderId="0" xfId="0" applyNumberFormat="1"/>
    <xf numFmtId="1" fontId="6" fillId="0" borderId="0" xfId="0" applyNumberFormat="1" applyFont="1"/>
    <xf numFmtId="0" fontId="5" fillId="0" borderId="0" xfId="0" applyFont="1" applyBorder="1"/>
    <xf numFmtId="0" fontId="0" fillId="0" borderId="0" xfId="0" applyBorder="1" applyAlignment="1">
      <alignment horizontal="right"/>
    </xf>
    <xf numFmtId="0" fontId="5" fillId="0" borderId="2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1" fontId="6" fillId="0" borderId="2" xfId="0" applyNumberFormat="1" applyFont="1" applyBorder="1"/>
    <xf numFmtId="166" fontId="0" fillId="0" borderId="1" xfId="0" applyNumberFormat="1" applyBorder="1" applyAlignment="1">
      <alignment horizontal="right"/>
    </xf>
    <xf numFmtId="165" fontId="5" fillId="0" borderId="0" xfId="0" applyNumberFormat="1" applyFont="1"/>
    <xf numFmtId="17" fontId="0" fillId="0" borderId="0" xfId="0" applyNumberFormat="1" applyAlignment="1">
      <alignment horizontal="right"/>
    </xf>
    <xf numFmtId="165" fontId="21" fillId="0" borderId="0" xfId="0" applyNumberFormat="1" applyFont="1"/>
    <xf numFmtId="164" fontId="22" fillId="0" borderId="2" xfId="0" applyNumberFormat="1" applyFont="1" applyBorder="1"/>
    <xf numFmtId="168" fontId="21" fillId="0" borderId="1" xfId="0" applyNumberFormat="1" applyFont="1" applyBorder="1"/>
    <xf numFmtId="164" fontId="21" fillId="0" borderId="2" xfId="0" applyNumberFormat="1" applyFont="1" applyBorder="1" applyAlignment="1">
      <alignment horizontal="right"/>
    </xf>
    <xf numFmtId="168" fontId="21" fillId="0" borderId="0" xfId="0" applyNumberFormat="1" applyFont="1" applyBorder="1"/>
    <xf numFmtId="168" fontId="23" fillId="0" borderId="1" xfId="0" applyNumberFormat="1" applyFont="1" applyBorder="1"/>
    <xf numFmtId="168" fontId="23" fillId="0" borderId="0" xfId="0" applyNumberFormat="1" applyFont="1" applyBorder="1"/>
    <xf numFmtId="164" fontId="14" fillId="0" borderId="2" xfId="0" applyNumberFormat="1" applyFont="1" applyBorder="1"/>
    <xf numFmtId="0" fontId="24" fillId="0" borderId="0" xfId="0" applyFont="1"/>
    <xf numFmtId="0" fontId="25" fillId="0" borderId="0" xfId="0" applyFont="1"/>
    <xf numFmtId="167" fontId="11" fillId="0" borderId="0" xfId="0" applyNumberFormat="1" applyFont="1"/>
    <xf numFmtId="1" fontId="25" fillId="0" borderId="0" xfId="0" applyNumberFormat="1" applyFont="1"/>
    <xf numFmtId="165" fontId="0" fillId="0" borderId="3" xfId="0" applyNumberFormat="1" applyBorder="1"/>
    <xf numFmtId="165" fontId="0" fillId="0" borderId="4" xfId="0" applyNumberFormat="1" applyBorder="1"/>
    <xf numFmtId="0" fontId="0" fillId="0" borderId="4" xfId="0" applyBorder="1"/>
    <xf numFmtId="165" fontId="0" fillId="0" borderId="2" xfId="0" applyNumberFormat="1" applyBorder="1"/>
    <xf numFmtId="165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3" fontId="0" fillId="0" borderId="2" xfId="0" applyNumberFormat="1" applyBorder="1"/>
    <xf numFmtId="3" fontId="0" fillId="0" borderId="0" xfId="0" applyNumberFormat="1" applyBorder="1"/>
    <xf numFmtId="0" fontId="0" fillId="0" borderId="1" xfId="0" applyBorder="1" applyAlignment="1">
      <alignment horizontal="center"/>
    </xf>
    <xf numFmtId="167" fontId="0" fillId="0" borderId="0" xfId="0" applyNumberFormat="1" applyBorder="1"/>
    <xf numFmtId="169" fontId="5" fillId="0" borderId="0" xfId="0" applyNumberFormat="1" applyFont="1"/>
    <xf numFmtId="169" fontId="0" fillId="0" borderId="2" xfId="0" applyNumberFormat="1" applyBorder="1"/>
    <xf numFmtId="170" fontId="0" fillId="0" borderId="0" xfId="0" applyNumberFormat="1"/>
    <xf numFmtId="170" fontId="0" fillId="0" borderId="0" xfId="0" applyNumberFormat="1" applyBorder="1"/>
    <xf numFmtId="170" fontId="5" fillId="0" borderId="0" xfId="0" applyNumberFormat="1" applyFont="1" applyBorder="1"/>
    <xf numFmtId="0" fontId="0" fillId="0" borderId="5" xfId="0" applyBorder="1"/>
    <xf numFmtId="170" fontId="0" fillId="0" borderId="2" xfId="0" applyNumberFormat="1" applyBorder="1"/>
    <xf numFmtId="165" fontId="24" fillId="0" borderId="8" xfId="0" applyNumberFormat="1" applyFont="1" applyBorder="1"/>
    <xf numFmtId="165" fontId="24" fillId="0" borderId="9" xfId="0" applyNumberFormat="1" applyFont="1" applyBorder="1"/>
    <xf numFmtId="165" fontId="25" fillId="0" borderId="9" xfId="0" applyNumberFormat="1" applyFont="1" applyBorder="1"/>
    <xf numFmtId="165" fontId="24" fillId="0" borderId="10" xfId="0" applyNumberFormat="1" applyFont="1" applyBorder="1"/>
    <xf numFmtId="169" fontId="6" fillId="0" borderId="2" xfId="0" applyNumberFormat="1" applyFont="1" applyBorder="1"/>
    <xf numFmtId="170" fontId="6" fillId="0" borderId="0" xfId="0" applyNumberFormat="1" applyFont="1" applyBorder="1"/>
    <xf numFmtId="9" fontId="0" fillId="0" borderId="0" xfId="0" applyNumberFormat="1"/>
    <xf numFmtId="165" fontId="14" fillId="0" borderId="0" xfId="0" applyNumberFormat="1" applyFont="1"/>
    <xf numFmtId="168" fontId="0" fillId="0" borderId="0" xfId="0" applyNumberFormat="1"/>
    <xf numFmtId="167" fontId="5" fillId="0" borderId="0" xfId="0" applyNumberFormat="1" applyFont="1"/>
    <xf numFmtId="10" fontId="0" fillId="0" borderId="0" xfId="0" applyNumberFormat="1"/>
    <xf numFmtId="3" fontId="0" fillId="0" borderId="11" xfId="0" applyNumberForma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4" xfId="0" applyBorder="1"/>
    <xf numFmtId="0" fontId="0" fillId="0" borderId="16" xfId="0" applyBorder="1"/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2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PGT Cumulative Fuel Imbalance +Over/&lt;under&gt;</a:t>
            </a:r>
          </a:p>
        </c:rich>
      </c:tx>
      <c:layout>
        <c:manualLayout>
          <c:xMode val="edge"/>
          <c:yMode val="edge"/>
          <c:x val="0.2135231316725978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29893238434144E-2"/>
          <c:y val="0.14005235602094243"/>
          <c:w val="0.77846975088967962"/>
          <c:h val="0.7526178010471205"/>
        </c:manualLayout>
      </c:layout>
      <c:lineChart>
        <c:grouping val="standard"/>
        <c:varyColors val="0"/>
        <c:ser>
          <c:idx val="0"/>
          <c:order val="0"/>
          <c:tx>
            <c:strRef>
              <c:f>filings!$AB$7</c:f>
              <c:strCache>
                <c:ptCount val="1"/>
                <c:pt idx="0">
                  <c:v>cml.o/&lt;u&gt;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filings!$B$18:$B$111</c:f>
              <c:numCache>
                <c:formatCode>mmm\-yy</c:formatCode>
                <c:ptCount val="94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</c:numCache>
            </c:numRef>
          </c:cat>
          <c:val>
            <c:numRef>
              <c:f>filings!$AB$18:$AB$111</c:f>
              <c:numCache>
                <c:formatCode>0.0</c:formatCode>
                <c:ptCount val="94"/>
                <c:pt idx="0">
                  <c:v>63.152999999998428</c:v>
                </c:pt>
                <c:pt idx="1">
                  <c:v>-110.61800000000153</c:v>
                </c:pt>
                <c:pt idx="2">
                  <c:v>-556.96500000000151</c:v>
                </c:pt>
                <c:pt idx="3">
                  <c:v>-303.39700000000153</c:v>
                </c:pt>
                <c:pt idx="4">
                  <c:v>106.19899999999859</c:v>
                </c:pt>
                <c:pt idx="5">
                  <c:v>187.64599999999871</c:v>
                </c:pt>
                <c:pt idx="6">
                  <c:v>221.23099999999863</c:v>
                </c:pt>
                <c:pt idx="7">
                  <c:v>295.44899999999859</c:v>
                </c:pt>
                <c:pt idx="8">
                  <c:v>31.268999999998528</c:v>
                </c:pt>
                <c:pt idx="9">
                  <c:v>-598.95200000000148</c:v>
                </c:pt>
                <c:pt idx="10">
                  <c:v>-567.59600000000148</c:v>
                </c:pt>
                <c:pt idx="11">
                  <c:v>-1026.6460000000013</c:v>
                </c:pt>
                <c:pt idx="12">
                  <c:v>-1210.5870000000014</c:v>
                </c:pt>
                <c:pt idx="13">
                  <c:v>-1519.3100000000015</c:v>
                </c:pt>
                <c:pt idx="14">
                  <c:v>-1940.1730000000016</c:v>
                </c:pt>
                <c:pt idx="15">
                  <c:v>-1457.3840000000014</c:v>
                </c:pt>
                <c:pt idx="16">
                  <c:v>-1595.0720000000015</c:v>
                </c:pt>
                <c:pt idx="17">
                  <c:v>-1494.5230000000015</c:v>
                </c:pt>
                <c:pt idx="18">
                  <c:v>-1294.5520000000015</c:v>
                </c:pt>
                <c:pt idx="19">
                  <c:v>-957.19300000000158</c:v>
                </c:pt>
                <c:pt idx="20">
                  <c:v>-813.33700000000135</c:v>
                </c:pt>
                <c:pt idx="21">
                  <c:v>-629.07800000000134</c:v>
                </c:pt>
                <c:pt idx="22">
                  <c:v>-515.62800000000129</c:v>
                </c:pt>
                <c:pt idx="23">
                  <c:v>-760.40600000000131</c:v>
                </c:pt>
                <c:pt idx="24">
                  <c:v>-834.57300000000123</c:v>
                </c:pt>
                <c:pt idx="25">
                  <c:v>-1056.7050000000013</c:v>
                </c:pt>
                <c:pt idx="26">
                  <c:v>-1160.6560000000013</c:v>
                </c:pt>
                <c:pt idx="27">
                  <c:v>-1026.0160000000014</c:v>
                </c:pt>
                <c:pt idx="28">
                  <c:v>-863.28500000000145</c:v>
                </c:pt>
                <c:pt idx="29">
                  <c:v>-810.67500000000132</c:v>
                </c:pt>
                <c:pt idx="30">
                  <c:v>-1062.4610000000014</c:v>
                </c:pt>
                <c:pt idx="31">
                  <c:v>-1279.9050000000013</c:v>
                </c:pt>
                <c:pt idx="32">
                  <c:v>-1785.4170000000013</c:v>
                </c:pt>
                <c:pt idx="33">
                  <c:v>-2166.3760000000011</c:v>
                </c:pt>
                <c:pt idx="34">
                  <c:v>-2607.1950000000006</c:v>
                </c:pt>
                <c:pt idx="35">
                  <c:v>-2936.0170000000007</c:v>
                </c:pt>
                <c:pt idx="36">
                  <c:v>-3433.0080000000007</c:v>
                </c:pt>
                <c:pt idx="37">
                  <c:v>-3672.4310000000009</c:v>
                </c:pt>
                <c:pt idx="38">
                  <c:v>-3182.4240000000009</c:v>
                </c:pt>
                <c:pt idx="39">
                  <c:v>-2606.9950000000008</c:v>
                </c:pt>
                <c:pt idx="40">
                  <c:v>-2045.6910000000007</c:v>
                </c:pt>
                <c:pt idx="41">
                  <c:v>-1786.5480000000009</c:v>
                </c:pt>
                <c:pt idx="42">
                  <c:v>-1337.266000000001</c:v>
                </c:pt>
                <c:pt idx="43">
                  <c:v>-1129.129000000001</c:v>
                </c:pt>
                <c:pt idx="44">
                  <c:v>-1241.565000000001</c:v>
                </c:pt>
                <c:pt idx="45">
                  <c:v>-1376.9100000000008</c:v>
                </c:pt>
                <c:pt idx="46">
                  <c:v>-1479.3100000000006</c:v>
                </c:pt>
                <c:pt idx="47">
                  <c:v>-1683.1340000000005</c:v>
                </c:pt>
                <c:pt idx="48">
                  <c:v>-1687.4020000000007</c:v>
                </c:pt>
                <c:pt idx="49">
                  <c:v>-1708.0490000000009</c:v>
                </c:pt>
                <c:pt idx="50">
                  <c:v>-1469.4040000000007</c:v>
                </c:pt>
                <c:pt idx="51">
                  <c:v>-1335.9010000000005</c:v>
                </c:pt>
                <c:pt idx="52">
                  <c:v>-1353.4740000000004</c:v>
                </c:pt>
                <c:pt idx="53">
                  <c:v>-1560.1040000000003</c:v>
                </c:pt>
                <c:pt idx="54">
                  <c:v>-1792.3540000000003</c:v>
                </c:pt>
                <c:pt idx="55">
                  <c:v>-1641.1570000000002</c:v>
                </c:pt>
                <c:pt idx="56">
                  <c:v>-1874.18</c:v>
                </c:pt>
                <c:pt idx="57">
                  <c:v>-1855.5650000000001</c:v>
                </c:pt>
                <c:pt idx="58">
                  <c:v>-2088.77</c:v>
                </c:pt>
                <c:pt idx="59">
                  <c:v>-1670.3489999999999</c:v>
                </c:pt>
                <c:pt idx="60">
                  <c:v>-1482.3480000000002</c:v>
                </c:pt>
                <c:pt idx="61">
                  <c:v>-1255.4510000000002</c:v>
                </c:pt>
                <c:pt idx="62">
                  <c:v>-707.46500000000037</c:v>
                </c:pt>
                <c:pt idx="63">
                  <c:v>-170.32700000000023</c:v>
                </c:pt>
                <c:pt idx="64">
                  <c:v>247.00899999999979</c:v>
                </c:pt>
                <c:pt idx="65">
                  <c:v>-14.803000000000111</c:v>
                </c:pt>
                <c:pt idx="66">
                  <c:v>-74.205000000000155</c:v>
                </c:pt>
                <c:pt idx="67">
                  <c:v>238.91499999999996</c:v>
                </c:pt>
                <c:pt idx="68">
                  <c:v>109.51499999999987</c:v>
                </c:pt>
                <c:pt idx="69">
                  <c:v>-191.45600000000013</c:v>
                </c:pt>
                <c:pt idx="70">
                  <c:v>-538.06200000000013</c:v>
                </c:pt>
                <c:pt idx="71">
                  <c:v>-1086.5899999999999</c:v>
                </c:pt>
                <c:pt idx="72">
                  <c:v>-1204.5569999999998</c:v>
                </c:pt>
                <c:pt idx="73">
                  <c:v>-1396.8859999999997</c:v>
                </c:pt>
                <c:pt idx="74">
                  <c:v>-1129.58</c:v>
                </c:pt>
                <c:pt idx="75">
                  <c:v>-746.58100000000013</c:v>
                </c:pt>
                <c:pt idx="76">
                  <c:v>-999.25099999999998</c:v>
                </c:pt>
                <c:pt idx="77">
                  <c:v>-1114.8579999999999</c:v>
                </c:pt>
                <c:pt idx="78">
                  <c:v>-1409.79</c:v>
                </c:pt>
                <c:pt idx="79">
                  <c:v>-1821.3109999999999</c:v>
                </c:pt>
                <c:pt idx="80">
                  <c:v>-2149.38</c:v>
                </c:pt>
                <c:pt idx="81">
                  <c:v>-2332.2139999999999</c:v>
                </c:pt>
                <c:pt idx="82">
                  <c:v>-2373.7440000000001</c:v>
                </c:pt>
                <c:pt idx="83">
                  <c:v>-2168.5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7-47A6-81D5-64FB379174DE}"/>
            </c:ext>
          </c:extLst>
        </c:ser>
        <c:ser>
          <c:idx val="1"/>
          <c:order val="1"/>
          <c:tx>
            <c:strRef>
              <c:f>filings!$AC$7</c:f>
              <c:strCache>
                <c:ptCount val="1"/>
                <c:pt idx="0">
                  <c:v>semi-ann.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filings!$AC$18:$AC$111</c:f>
              <c:numCache>
                <c:formatCode>0.0</c:formatCode>
                <c:ptCount val="94"/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295.44899999999859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-1519.3100000000015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-957.19300000000158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-1056.7050000000013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-1279.9050000000013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-3672.4310000000009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-1129.129000000001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-1708.0490000000009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-1641.1570000000002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-1255.4510000000002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238.91499999999996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-1396.8859999999997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-1821.3109999999999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7-47A6-81D5-64FB379174DE}"/>
            </c:ext>
          </c:extLst>
        </c:ser>
        <c:ser>
          <c:idx val="2"/>
          <c:order val="2"/>
          <c:tx>
            <c:strRef>
              <c:f>filings!$S$7</c:f>
              <c:strCache>
                <c:ptCount val="1"/>
                <c:pt idx="0">
                  <c:v>surcharge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filings!$S$18:$S$111</c:f>
              <c:numCache>
                <c:formatCode>0.0</c:formatCode>
                <c:ptCount val="94"/>
                <c:pt idx="8">
                  <c:v>-143.53399999999999</c:v>
                </c:pt>
                <c:pt idx="9">
                  <c:v>-142.25200000000001</c:v>
                </c:pt>
                <c:pt idx="10">
                  <c:v>-130.946</c:v>
                </c:pt>
                <c:pt idx="11">
                  <c:v>-127.283</c:v>
                </c:pt>
                <c:pt idx="12">
                  <c:v>-136.298</c:v>
                </c:pt>
                <c:pt idx="13">
                  <c:v>-150.56100000000001</c:v>
                </c:pt>
                <c:pt idx="14">
                  <c:v>293.84800000000001</c:v>
                </c:pt>
                <c:pt idx="15">
                  <c:v>263.291</c:v>
                </c:pt>
                <c:pt idx="16">
                  <c:v>298.93900000000002</c:v>
                </c:pt>
                <c:pt idx="17">
                  <c:v>276.18299999999999</c:v>
                </c:pt>
                <c:pt idx="18">
                  <c:v>277.03300000000002</c:v>
                </c:pt>
                <c:pt idx="19">
                  <c:v>279.89400000000001</c:v>
                </c:pt>
                <c:pt idx="20">
                  <c:v>245.94800000000001</c:v>
                </c:pt>
                <c:pt idx="21">
                  <c:v>260.81900000000002</c:v>
                </c:pt>
                <c:pt idx="22">
                  <c:v>249.74299999999999</c:v>
                </c:pt>
                <c:pt idx="23">
                  <c:v>253.16300000000001</c:v>
                </c:pt>
                <c:pt idx="24">
                  <c:v>248.471</c:v>
                </c:pt>
                <c:pt idx="25">
                  <c:v>259.11099999999999</c:v>
                </c:pt>
                <c:pt idx="26">
                  <c:v>69.688999999999993</c:v>
                </c:pt>
                <c:pt idx="27">
                  <c:v>62.805999999999997</c:v>
                </c:pt>
                <c:pt idx="28">
                  <c:v>98.995999999999995</c:v>
                </c:pt>
                <c:pt idx="29">
                  <c:v>65.483000000000004</c:v>
                </c:pt>
                <c:pt idx="30">
                  <c:v>75.296999999999997</c:v>
                </c:pt>
                <c:pt idx="31">
                  <c:v>72.992999999999995</c:v>
                </c:pt>
                <c:pt idx="32">
                  <c:v>150.88399999999999</c:v>
                </c:pt>
                <c:pt idx="33">
                  <c:v>154.38900000000001</c:v>
                </c:pt>
                <c:pt idx="34">
                  <c:v>150.251</c:v>
                </c:pt>
                <c:pt idx="35">
                  <c:v>156.732</c:v>
                </c:pt>
                <c:pt idx="36">
                  <c:v>154.11799999999999</c:v>
                </c:pt>
                <c:pt idx="37">
                  <c:v>156.935</c:v>
                </c:pt>
                <c:pt idx="38">
                  <c:v>594.12</c:v>
                </c:pt>
                <c:pt idx="39">
                  <c:v>547.84699999999998</c:v>
                </c:pt>
                <c:pt idx="40">
                  <c:v>636.94100000000003</c:v>
                </c:pt>
                <c:pt idx="41">
                  <c:v>601.71199999999999</c:v>
                </c:pt>
                <c:pt idx="42">
                  <c:v>601.05899999999997</c:v>
                </c:pt>
                <c:pt idx="43">
                  <c:v>608.03200000000004</c:v>
                </c:pt>
                <c:pt idx="44">
                  <c:v>276.11700000000002</c:v>
                </c:pt>
                <c:pt idx="45">
                  <c:v>286.52199999999999</c:v>
                </c:pt>
                <c:pt idx="46">
                  <c:v>274.58</c:v>
                </c:pt>
                <c:pt idx="47">
                  <c:v>286.32299999999998</c:v>
                </c:pt>
                <c:pt idx="48">
                  <c:v>283.46199999999999</c:v>
                </c:pt>
                <c:pt idx="49">
                  <c:v>281.86500000000001</c:v>
                </c:pt>
                <c:pt idx="50">
                  <c:v>279.88581249999999</c:v>
                </c:pt>
                <c:pt idx="51">
                  <c:v>263.33664583333331</c:v>
                </c:pt>
                <c:pt idx="52">
                  <c:v>299.42297777777776</c:v>
                </c:pt>
                <c:pt idx="53">
                  <c:v>285.16990697674419</c:v>
                </c:pt>
                <c:pt idx="54">
                  <c:v>280.58815909090907</c:v>
                </c:pt>
                <c:pt idx="55">
                  <c:v>277.22943181818187</c:v>
                </c:pt>
                <c:pt idx="56">
                  <c:v>286.18200000000002</c:v>
                </c:pt>
                <c:pt idx="57">
                  <c:v>283.93700000000001</c:v>
                </c:pt>
                <c:pt idx="58">
                  <c:v>280.99</c:v>
                </c:pt>
                <c:pt idx="59">
                  <c:v>279.98899999999998</c:v>
                </c:pt>
                <c:pt idx="60">
                  <c:v>278.13499999999999</c:v>
                </c:pt>
                <c:pt idx="61">
                  <c:v>287.25</c:v>
                </c:pt>
                <c:pt idx="62">
                  <c:v>351.81700000000001</c:v>
                </c:pt>
                <c:pt idx="63">
                  <c:v>314.58800000000002</c:v>
                </c:pt>
                <c:pt idx="64">
                  <c:v>324.47899999999998</c:v>
                </c:pt>
                <c:pt idx="65">
                  <c:v>339.02300000000002</c:v>
                </c:pt>
                <c:pt idx="66">
                  <c:v>330.11399999999998</c:v>
                </c:pt>
                <c:pt idx="67">
                  <c:v>304.19400000000002</c:v>
                </c:pt>
                <c:pt idx="68">
                  <c:v>-36.521000000000001</c:v>
                </c:pt>
                <c:pt idx="69">
                  <c:v>-37.789000000000001</c:v>
                </c:pt>
                <c:pt idx="70">
                  <c:v>-38.6</c:v>
                </c:pt>
                <c:pt idx="71">
                  <c:v>-39.872</c:v>
                </c:pt>
                <c:pt idx="72">
                  <c:v>-38.561999999999998</c:v>
                </c:pt>
                <c:pt idx="73">
                  <c:v>-41.179000000000002</c:v>
                </c:pt>
                <c:pt idx="74">
                  <c:v>203.49600000000001</c:v>
                </c:pt>
                <c:pt idx="75">
                  <c:v>191.904</c:v>
                </c:pt>
                <c:pt idx="76">
                  <c:v>198.39500000000001</c:v>
                </c:pt>
                <c:pt idx="77">
                  <c:v>177.18600000000001</c:v>
                </c:pt>
                <c:pt idx="78">
                  <c:v>194.00700000000001</c:v>
                </c:pt>
                <c:pt idx="79">
                  <c:v>193.066</c:v>
                </c:pt>
                <c:pt idx="80">
                  <c:v>244.166</c:v>
                </c:pt>
                <c:pt idx="81">
                  <c:v>231.00399999999999</c:v>
                </c:pt>
                <c:pt idx="82">
                  <c:v>229.31299999999999</c:v>
                </c:pt>
                <c:pt idx="83">
                  <c:v>239.98500000000001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7-47A6-81D5-64FB3791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99552"/>
        <c:axId val="1"/>
      </c:lineChart>
      <c:dateAx>
        <c:axId val="188499552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20000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Monthly Fuel  in  Mdt/mo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76963350785340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99552"/>
        <c:crosses val="autoZero"/>
        <c:crossBetween val="between"/>
        <c:majorUnit val="5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01067615658358"/>
          <c:y val="0.4672774869109948"/>
          <c:w val="0.10943060498220639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291814946619201E-2"/>
          <c:y val="3.4031413612565453E-2"/>
          <c:w val="0.76957295373665469"/>
          <c:h val="0.85863874345549751"/>
        </c:manualLayout>
      </c:layout>
      <c:lineChart>
        <c:grouping val="standard"/>
        <c:varyColors val="0"/>
        <c:ser>
          <c:idx val="0"/>
          <c:order val="0"/>
          <c:tx>
            <c:strRef>
              <c:f>filings!$R$7</c:f>
              <c:strCache>
                <c:ptCount val="1"/>
                <c:pt idx="0">
                  <c:v>Retained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filings!$B$18:$B$117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</c:numCache>
            </c:numRef>
          </c:cat>
          <c:val>
            <c:numRef>
              <c:f>filings!$R$18:$R$117</c:f>
              <c:numCache>
                <c:formatCode>0.0</c:formatCode>
                <c:ptCount val="100"/>
                <c:pt idx="0">
                  <c:v>1204.482</c:v>
                </c:pt>
                <c:pt idx="1">
                  <c:v>585.1</c:v>
                </c:pt>
                <c:pt idx="2">
                  <c:v>315</c:v>
                </c:pt>
                <c:pt idx="3">
                  <c:v>900.9</c:v>
                </c:pt>
                <c:pt idx="4">
                  <c:v>994.76300000000003</c:v>
                </c:pt>
                <c:pt idx="5">
                  <c:v>803.83500000000004</c:v>
                </c:pt>
                <c:pt idx="6">
                  <c:v>747.41099999999994</c:v>
                </c:pt>
                <c:pt idx="7">
                  <c:v>621.63900000000001</c:v>
                </c:pt>
                <c:pt idx="8">
                  <c:v>574.13400000000001</c:v>
                </c:pt>
                <c:pt idx="9">
                  <c:v>640.13300000000004</c:v>
                </c:pt>
                <c:pt idx="10">
                  <c:v>818.41300000000001</c:v>
                </c:pt>
                <c:pt idx="11">
                  <c:v>954.62099999999998</c:v>
                </c:pt>
                <c:pt idx="12">
                  <c:v>1260.7529999999999</c:v>
                </c:pt>
                <c:pt idx="13">
                  <c:v>1392.6869999999999</c:v>
                </c:pt>
                <c:pt idx="14">
                  <c:v>1469.242</c:v>
                </c:pt>
                <c:pt idx="15">
                  <c:v>1448.1020000000001</c:v>
                </c:pt>
                <c:pt idx="16">
                  <c:v>1644.1669999999999</c:v>
                </c:pt>
                <c:pt idx="17">
                  <c:v>1657.096</c:v>
                </c:pt>
                <c:pt idx="18">
                  <c:v>1662.2</c:v>
                </c:pt>
                <c:pt idx="19">
                  <c:v>1679.365</c:v>
                </c:pt>
                <c:pt idx="20">
                  <c:v>1651.3630000000001</c:v>
                </c:pt>
                <c:pt idx="21">
                  <c:v>1751.213</c:v>
                </c:pt>
                <c:pt idx="22">
                  <c:v>1676.848</c:v>
                </c:pt>
                <c:pt idx="23">
                  <c:v>1446.6469999999999</c:v>
                </c:pt>
                <c:pt idx="24">
                  <c:v>1455.3320000000001</c:v>
                </c:pt>
                <c:pt idx="25">
                  <c:v>1591.681</c:v>
                </c:pt>
                <c:pt idx="26">
                  <c:v>1498.32</c:v>
                </c:pt>
                <c:pt idx="27">
                  <c:v>1350.338</c:v>
                </c:pt>
                <c:pt idx="28">
                  <c:v>1483.4069999999999</c:v>
                </c:pt>
                <c:pt idx="29">
                  <c:v>1145.944</c:v>
                </c:pt>
                <c:pt idx="30">
                  <c:v>1317.703</c:v>
                </c:pt>
                <c:pt idx="31">
                  <c:v>1386.8689999999999</c:v>
                </c:pt>
                <c:pt idx="32">
                  <c:v>1508.835</c:v>
                </c:pt>
                <c:pt idx="33">
                  <c:v>1659.683</c:v>
                </c:pt>
                <c:pt idx="34">
                  <c:v>1652.7560000000001</c:v>
                </c:pt>
                <c:pt idx="35">
                  <c:v>1763.2360000000001</c:v>
                </c:pt>
                <c:pt idx="36">
                  <c:v>1733.829</c:v>
                </c:pt>
                <c:pt idx="37">
                  <c:v>1765.5239999999999</c:v>
                </c:pt>
                <c:pt idx="38">
                  <c:v>2116.5520000000001</c:v>
                </c:pt>
                <c:pt idx="39">
                  <c:v>1951.7059999999999</c:v>
                </c:pt>
                <c:pt idx="40">
                  <c:v>2070.0569999999998</c:v>
                </c:pt>
                <c:pt idx="41">
                  <c:v>1842.7439999999999</c:v>
                </c:pt>
                <c:pt idx="42">
                  <c:v>1840.7429999999999</c:v>
                </c:pt>
                <c:pt idx="43">
                  <c:v>1672.0889999999999</c:v>
                </c:pt>
                <c:pt idx="44">
                  <c:v>1735.4960000000001</c:v>
                </c:pt>
                <c:pt idx="45">
                  <c:v>1882.5360000000001</c:v>
                </c:pt>
                <c:pt idx="46">
                  <c:v>1804.075</c:v>
                </c:pt>
                <c:pt idx="47">
                  <c:v>2003.6569999999999</c:v>
                </c:pt>
                <c:pt idx="48">
                  <c:v>1994.1849999999999</c:v>
                </c:pt>
                <c:pt idx="49">
                  <c:v>1993.232</c:v>
                </c:pt>
                <c:pt idx="50">
                  <c:v>1919.2170000000001</c:v>
                </c:pt>
                <c:pt idx="51">
                  <c:v>1805.7370000000001</c:v>
                </c:pt>
                <c:pt idx="52">
                  <c:v>1924.8620000000001</c:v>
                </c:pt>
                <c:pt idx="53">
                  <c:v>1751.758</c:v>
                </c:pt>
                <c:pt idx="54">
                  <c:v>1763.6969999999999</c:v>
                </c:pt>
                <c:pt idx="55">
                  <c:v>1742.585</c:v>
                </c:pt>
                <c:pt idx="56">
                  <c:v>1798.7570000000001</c:v>
                </c:pt>
                <c:pt idx="57">
                  <c:v>1947.4449999999999</c:v>
                </c:pt>
                <c:pt idx="58">
                  <c:v>1927.23</c:v>
                </c:pt>
                <c:pt idx="59">
                  <c:v>1920.366</c:v>
                </c:pt>
                <c:pt idx="60">
                  <c:v>1907.6469999999999</c:v>
                </c:pt>
                <c:pt idx="61">
                  <c:v>1970.1659999999999</c:v>
                </c:pt>
                <c:pt idx="62">
                  <c:v>1876.355</c:v>
                </c:pt>
                <c:pt idx="63">
                  <c:v>1467.979</c:v>
                </c:pt>
                <c:pt idx="64">
                  <c:v>1297.914</c:v>
                </c:pt>
                <c:pt idx="65">
                  <c:v>1318.643</c:v>
                </c:pt>
                <c:pt idx="66">
                  <c:v>1283.991</c:v>
                </c:pt>
                <c:pt idx="67">
                  <c:v>1284.6010000000001</c:v>
                </c:pt>
                <c:pt idx="68">
                  <c:v>1096.7180000000001</c:v>
                </c:pt>
                <c:pt idx="69">
                  <c:v>1134.819</c:v>
                </c:pt>
                <c:pt idx="70">
                  <c:v>1544.0039999999999</c:v>
                </c:pt>
                <c:pt idx="71">
                  <c:v>1594.875</c:v>
                </c:pt>
                <c:pt idx="72">
                  <c:v>1542.4690000000001</c:v>
                </c:pt>
                <c:pt idx="73">
                  <c:v>1647.16</c:v>
                </c:pt>
                <c:pt idx="74">
                  <c:v>1872.09</c:v>
                </c:pt>
                <c:pt idx="75">
                  <c:v>1765.4449999999999</c:v>
                </c:pt>
                <c:pt idx="76">
                  <c:v>1348.7080000000001</c:v>
                </c:pt>
                <c:pt idx="77">
                  <c:v>1133.626</c:v>
                </c:pt>
                <c:pt idx="78">
                  <c:v>1241.2470000000001</c:v>
                </c:pt>
                <c:pt idx="79">
                  <c:v>1312.4780000000001</c:v>
                </c:pt>
                <c:pt idx="80">
                  <c:v>1750.2940000000001</c:v>
                </c:pt>
                <c:pt idx="81">
                  <c:v>1808.9590000000001</c:v>
                </c:pt>
                <c:pt idx="82">
                  <c:v>1795.7180000000001</c:v>
                </c:pt>
                <c:pt idx="83">
                  <c:v>1879.2840000000001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F-4E37-A8D6-85E8C495F279}"/>
            </c:ext>
          </c:extLst>
        </c:ser>
        <c:ser>
          <c:idx val="1"/>
          <c:order val="1"/>
          <c:tx>
            <c:strRef>
              <c:f>filings!$Q$7</c:f>
              <c:strCache>
                <c:ptCount val="1"/>
                <c:pt idx="0">
                  <c:v>Used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filings!$Q$18:$Q$117</c:f>
              <c:numCache>
                <c:formatCode>0.0</c:formatCode>
                <c:ptCount val="100"/>
                <c:pt idx="0">
                  <c:v>661.28399999999999</c:v>
                </c:pt>
                <c:pt idx="1">
                  <c:v>758.87099999999998</c:v>
                </c:pt>
                <c:pt idx="2">
                  <c:v>761.34699999999998</c:v>
                </c:pt>
                <c:pt idx="3">
                  <c:v>647.33199999999999</c:v>
                </c:pt>
                <c:pt idx="4">
                  <c:v>585.16699999999992</c:v>
                </c:pt>
                <c:pt idx="5">
                  <c:v>722.38799999999992</c:v>
                </c:pt>
                <c:pt idx="6">
                  <c:v>713.82600000000002</c:v>
                </c:pt>
                <c:pt idx="7">
                  <c:v>547.42100000000005</c:v>
                </c:pt>
                <c:pt idx="8">
                  <c:v>838.31400000000008</c:v>
                </c:pt>
                <c:pt idx="9">
                  <c:v>1270.354</c:v>
                </c:pt>
                <c:pt idx="10">
                  <c:v>787.05700000000002</c:v>
                </c:pt>
                <c:pt idx="11">
                  <c:v>1413.6709999999998</c:v>
                </c:pt>
                <c:pt idx="12">
                  <c:v>1444.694</c:v>
                </c:pt>
                <c:pt idx="13">
                  <c:v>1701.41</c:v>
                </c:pt>
                <c:pt idx="14">
                  <c:v>1890.105</c:v>
                </c:pt>
                <c:pt idx="15">
                  <c:v>965.31299999999987</c:v>
                </c:pt>
                <c:pt idx="16">
                  <c:v>1781.855</c:v>
                </c:pt>
                <c:pt idx="17">
                  <c:v>1556.547</c:v>
                </c:pt>
                <c:pt idx="18">
                  <c:v>1462.229</c:v>
                </c:pt>
                <c:pt idx="19">
                  <c:v>1342.0060000000001</c:v>
                </c:pt>
                <c:pt idx="20">
                  <c:v>1507.5069999999998</c:v>
                </c:pt>
                <c:pt idx="21">
                  <c:v>1566.954</c:v>
                </c:pt>
                <c:pt idx="22">
                  <c:v>1563.3979999999999</c:v>
                </c:pt>
                <c:pt idx="23">
                  <c:v>1691.425</c:v>
                </c:pt>
                <c:pt idx="24">
                  <c:v>1529.499</c:v>
                </c:pt>
                <c:pt idx="25">
                  <c:v>1813.8130000000001</c:v>
                </c:pt>
                <c:pt idx="26">
                  <c:v>1602.271</c:v>
                </c:pt>
                <c:pt idx="27">
                  <c:v>1215.6980000000001</c:v>
                </c:pt>
                <c:pt idx="28">
                  <c:v>1320.6759999999999</c:v>
                </c:pt>
                <c:pt idx="29">
                  <c:v>1093.3339999999998</c:v>
                </c:pt>
                <c:pt idx="30">
                  <c:v>1569.489</c:v>
                </c:pt>
                <c:pt idx="31">
                  <c:v>1604.3129999999999</c:v>
                </c:pt>
                <c:pt idx="32">
                  <c:v>2014.347</c:v>
                </c:pt>
                <c:pt idx="33">
                  <c:v>2040.6419999999998</c:v>
                </c:pt>
                <c:pt idx="34">
                  <c:v>2093.5749999999998</c:v>
                </c:pt>
                <c:pt idx="35">
                  <c:v>2092.058</c:v>
                </c:pt>
                <c:pt idx="36">
                  <c:v>2230.8199999999997</c:v>
                </c:pt>
                <c:pt idx="37">
                  <c:v>2004.9469999999999</c:v>
                </c:pt>
                <c:pt idx="38">
                  <c:v>1626.5450000000001</c:v>
                </c:pt>
                <c:pt idx="39">
                  <c:v>1376.277</c:v>
                </c:pt>
                <c:pt idx="40">
                  <c:v>1508.7529999999999</c:v>
                </c:pt>
                <c:pt idx="41">
                  <c:v>1583.6010000000001</c:v>
                </c:pt>
                <c:pt idx="42">
                  <c:v>1391.461</c:v>
                </c:pt>
                <c:pt idx="43">
                  <c:v>1463.952</c:v>
                </c:pt>
                <c:pt idx="44">
                  <c:v>1847.932</c:v>
                </c:pt>
                <c:pt idx="45">
                  <c:v>2017.8809999999999</c:v>
                </c:pt>
                <c:pt idx="46">
                  <c:v>1906.4749999999999</c:v>
                </c:pt>
                <c:pt idx="47">
                  <c:v>2207.4809999999998</c:v>
                </c:pt>
                <c:pt idx="48">
                  <c:v>1998.4530000000002</c:v>
                </c:pt>
                <c:pt idx="49">
                  <c:v>2013.8790000000001</c:v>
                </c:pt>
                <c:pt idx="50">
                  <c:v>1680.5719999999999</c:v>
                </c:pt>
                <c:pt idx="51">
                  <c:v>1672.2339999999999</c:v>
                </c:pt>
                <c:pt idx="52">
                  <c:v>1942.4349999999999</c:v>
                </c:pt>
                <c:pt idx="53">
                  <c:v>1958.3879999999999</c:v>
                </c:pt>
                <c:pt idx="54">
                  <c:v>1995.9469999999999</c:v>
                </c:pt>
                <c:pt idx="55">
                  <c:v>1591.3879999999999</c:v>
                </c:pt>
                <c:pt idx="56">
                  <c:v>2031.78</c:v>
                </c:pt>
                <c:pt idx="57">
                  <c:v>1928.83</c:v>
                </c:pt>
                <c:pt idx="58">
                  <c:v>2160.4349999999999</c:v>
                </c:pt>
                <c:pt idx="59">
                  <c:v>1501.9449999999999</c:v>
                </c:pt>
                <c:pt idx="60">
                  <c:v>1719.6460000000002</c:v>
                </c:pt>
                <c:pt idx="61">
                  <c:v>1743.269</c:v>
                </c:pt>
                <c:pt idx="62">
                  <c:v>1328.3690000000001</c:v>
                </c:pt>
                <c:pt idx="63">
                  <c:v>930.84099999999989</c:v>
                </c:pt>
                <c:pt idx="64">
                  <c:v>880.57799999999997</c:v>
                </c:pt>
                <c:pt idx="65">
                  <c:v>1580.4549999999999</c:v>
                </c:pt>
                <c:pt idx="66">
                  <c:v>1343.393</c:v>
                </c:pt>
                <c:pt idx="67">
                  <c:v>971.48099999999999</c:v>
                </c:pt>
                <c:pt idx="68">
                  <c:v>1226.1180000000002</c:v>
                </c:pt>
                <c:pt idx="69">
                  <c:v>1435.79</c:v>
                </c:pt>
                <c:pt idx="70">
                  <c:v>1890.61</c:v>
                </c:pt>
                <c:pt idx="71">
                  <c:v>2143.4029999999998</c:v>
                </c:pt>
                <c:pt idx="72">
                  <c:v>1660.4359999999999</c:v>
                </c:pt>
                <c:pt idx="73">
                  <c:v>1839.489</c:v>
                </c:pt>
                <c:pt idx="74">
                  <c:v>1604.7840000000001</c:v>
                </c:pt>
                <c:pt idx="75">
                  <c:v>1382.4460000000001</c:v>
                </c:pt>
                <c:pt idx="76">
                  <c:v>1601.3779999999999</c:v>
                </c:pt>
                <c:pt idx="77">
                  <c:v>1249.2329999999999</c:v>
                </c:pt>
                <c:pt idx="78">
                  <c:v>1536.1790000000001</c:v>
                </c:pt>
                <c:pt idx="79">
                  <c:v>1723.999</c:v>
                </c:pt>
                <c:pt idx="80">
                  <c:v>2078.3630000000003</c:v>
                </c:pt>
                <c:pt idx="81">
                  <c:v>1991.7929999999999</c:v>
                </c:pt>
                <c:pt idx="82">
                  <c:v>1837.248</c:v>
                </c:pt>
                <c:pt idx="83">
                  <c:v>1674.04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F-4E37-A8D6-85E8C495F279}"/>
            </c:ext>
          </c:extLst>
        </c:ser>
        <c:ser>
          <c:idx val="2"/>
          <c:order val="2"/>
          <c:tx>
            <c:strRef>
              <c:f>filings!$D$7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filings!$D$18:$D$117</c:f>
              <c:numCache>
                <c:formatCode>0.0</c:formatCode>
                <c:ptCount val="100"/>
                <c:pt idx="3">
                  <c:v>901.8</c:v>
                </c:pt>
                <c:pt idx="4">
                  <c:v>729.9</c:v>
                </c:pt>
                <c:pt idx="5">
                  <c:v>896.9</c:v>
                </c:pt>
                <c:pt idx="6">
                  <c:v>1177</c:v>
                </c:pt>
                <c:pt idx="7">
                  <c:v>717.5</c:v>
                </c:pt>
                <c:pt idx="8">
                  <c:v>767.6</c:v>
                </c:pt>
                <c:pt idx="9">
                  <c:v>935.9</c:v>
                </c:pt>
                <c:pt idx="10">
                  <c:v>871.7</c:v>
                </c:pt>
                <c:pt idx="11">
                  <c:v>701.5</c:v>
                </c:pt>
                <c:pt idx="12">
                  <c:v>1000</c:v>
                </c:pt>
                <c:pt idx="13">
                  <c:v>1250.7</c:v>
                </c:pt>
                <c:pt idx="14">
                  <c:v>1316.6</c:v>
                </c:pt>
                <c:pt idx="15">
                  <c:v>1420</c:v>
                </c:pt>
                <c:pt idx="16">
                  <c:v>1275</c:v>
                </c:pt>
                <c:pt idx="17">
                  <c:v>1490</c:v>
                </c:pt>
                <c:pt idx="18">
                  <c:v>1825</c:v>
                </c:pt>
                <c:pt idx="19">
                  <c:v>1485</c:v>
                </c:pt>
                <c:pt idx="20">
                  <c:v>1580</c:v>
                </c:pt>
                <c:pt idx="21">
                  <c:v>1800</c:v>
                </c:pt>
                <c:pt idx="22">
                  <c:v>1575</c:v>
                </c:pt>
                <c:pt idx="23">
                  <c:v>1485</c:v>
                </c:pt>
                <c:pt idx="24">
                  <c:v>1425</c:v>
                </c:pt>
                <c:pt idx="25">
                  <c:v>1175</c:v>
                </c:pt>
                <c:pt idx="26">
                  <c:v>1250</c:v>
                </c:pt>
                <c:pt idx="27">
                  <c:v>1100</c:v>
                </c:pt>
                <c:pt idx="28">
                  <c:v>1350</c:v>
                </c:pt>
                <c:pt idx="29">
                  <c:v>1375</c:v>
                </c:pt>
                <c:pt idx="30">
                  <c:v>1525</c:v>
                </c:pt>
                <c:pt idx="31">
                  <c:v>1482</c:v>
                </c:pt>
                <c:pt idx="32">
                  <c:v>1370</c:v>
                </c:pt>
                <c:pt idx="33">
                  <c:v>1540</c:v>
                </c:pt>
                <c:pt idx="34">
                  <c:v>1300</c:v>
                </c:pt>
                <c:pt idx="35">
                  <c:v>1375</c:v>
                </c:pt>
                <c:pt idx="36">
                  <c:v>1295</c:v>
                </c:pt>
                <c:pt idx="37">
                  <c:v>1400</c:v>
                </c:pt>
                <c:pt idx="38">
                  <c:v>1650</c:v>
                </c:pt>
                <c:pt idx="39">
                  <c:v>1700</c:v>
                </c:pt>
                <c:pt idx="40">
                  <c:v>1850</c:v>
                </c:pt>
                <c:pt idx="41">
                  <c:v>1825</c:v>
                </c:pt>
                <c:pt idx="42">
                  <c:v>1750</c:v>
                </c:pt>
                <c:pt idx="43">
                  <c:v>1460</c:v>
                </c:pt>
                <c:pt idx="44">
                  <c:v>1640</c:v>
                </c:pt>
                <c:pt idx="45">
                  <c:v>1540</c:v>
                </c:pt>
                <c:pt idx="46">
                  <c:v>1550</c:v>
                </c:pt>
                <c:pt idx="47">
                  <c:v>1720</c:v>
                </c:pt>
                <c:pt idx="48">
                  <c:v>1473.5</c:v>
                </c:pt>
                <c:pt idx="49">
                  <c:v>1825</c:v>
                </c:pt>
                <c:pt idx="50">
                  <c:v>1560</c:v>
                </c:pt>
                <c:pt idx="51">
                  <c:v>1810</c:v>
                </c:pt>
                <c:pt idx="52">
                  <c:v>1700</c:v>
                </c:pt>
                <c:pt idx="53">
                  <c:v>1575</c:v>
                </c:pt>
                <c:pt idx="54">
                  <c:v>1600</c:v>
                </c:pt>
                <c:pt idx="55">
                  <c:v>1530</c:v>
                </c:pt>
                <c:pt idx="56">
                  <c:v>1500</c:v>
                </c:pt>
                <c:pt idx="57">
                  <c:v>1650</c:v>
                </c:pt>
                <c:pt idx="58">
                  <c:v>1500</c:v>
                </c:pt>
                <c:pt idx="59">
                  <c:v>1695</c:v>
                </c:pt>
                <c:pt idx="60">
                  <c:v>1600</c:v>
                </c:pt>
                <c:pt idx="61">
                  <c:v>1950</c:v>
                </c:pt>
                <c:pt idx="62">
                  <c:v>1875</c:v>
                </c:pt>
                <c:pt idx="63">
                  <c:v>1455</c:v>
                </c:pt>
                <c:pt idx="64">
                  <c:v>1470</c:v>
                </c:pt>
                <c:pt idx="65">
                  <c:v>1635</c:v>
                </c:pt>
                <c:pt idx="66">
                  <c:v>1300</c:v>
                </c:pt>
                <c:pt idx="67">
                  <c:v>1000</c:v>
                </c:pt>
                <c:pt idx="68">
                  <c:v>925</c:v>
                </c:pt>
                <c:pt idx="69">
                  <c:v>1100</c:v>
                </c:pt>
                <c:pt idx="70">
                  <c:v>1410</c:v>
                </c:pt>
                <c:pt idx="71">
                  <c:v>1210</c:v>
                </c:pt>
                <c:pt idx="72">
                  <c:v>1300</c:v>
                </c:pt>
                <c:pt idx="73">
                  <c:v>1225</c:v>
                </c:pt>
                <c:pt idx="74" formatCode="0">
                  <c:v>1800</c:v>
                </c:pt>
                <c:pt idx="75">
                  <c:v>1635</c:v>
                </c:pt>
                <c:pt idx="76">
                  <c:v>1350</c:v>
                </c:pt>
                <c:pt idx="77" formatCode="0">
                  <c:v>1450</c:v>
                </c:pt>
                <c:pt idx="78">
                  <c:v>800</c:v>
                </c:pt>
                <c:pt idx="79">
                  <c:v>1025</c:v>
                </c:pt>
                <c:pt idx="80">
                  <c:v>1178.5</c:v>
                </c:pt>
                <c:pt idx="81">
                  <c:v>1165</c:v>
                </c:pt>
                <c:pt idx="82" formatCode="General">
                  <c:v>1250</c:v>
                </c:pt>
                <c:pt idx="83" formatCode="General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F-4E37-A8D6-85E8C495F279}"/>
            </c:ext>
          </c:extLst>
        </c:ser>
        <c:ser>
          <c:idx val="3"/>
          <c:order val="3"/>
          <c:tx>
            <c:strRef>
              <c:f>filings!$I$7</c:f>
              <c:strCache>
                <c:ptCount val="1"/>
                <c:pt idx="0">
                  <c:v>2be.retain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filings!$I$18:$I$117</c:f>
              <c:numCache>
                <c:formatCode>0.0</c:formatCode>
                <c:ptCount val="100"/>
                <c:pt idx="3">
                  <c:v>981.69999999999993</c:v>
                </c:pt>
                <c:pt idx="4">
                  <c:v>1085.9000000000001</c:v>
                </c:pt>
                <c:pt idx="5">
                  <c:v>783.9</c:v>
                </c:pt>
                <c:pt idx="6">
                  <c:v>767.404</c:v>
                </c:pt>
                <c:pt idx="7">
                  <c:v>636.05599999999993</c:v>
                </c:pt>
                <c:pt idx="8">
                  <c:v>733.47500000000002</c:v>
                </c:pt>
                <c:pt idx="9">
                  <c:v>861.67199999999991</c:v>
                </c:pt>
                <c:pt idx="10">
                  <c:v>1135.8800000000001</c:v>
                </c:pt>
                <c:pt idx="11">
                  <c:v>1331.721</c:v>
                </c:pt>
                <c:pt idx="12">
                  <c:v>1289.1690000000001</c:v>
                </c:pt>
                <c:pt idx="13">
                  <c:v>1586.2890000000002</c:v>
                </c:pt>
                <c:pt idx="14">
                  <c:v>1763.8609999999999</c:v>
                </c:pt>
                <c:pt idx="15">
                  <c:v>1986.9050000000002</c:v>
                </c:pt>
                <c:pt idx="16">
                  <c:v>1927.681</c:v>
                </c:pt>
                <c:pt idx="17">
                  <c:v>1278.1199999999999</c:v>
                </c:pt>
                <c:pt idx="18">
                  <c:v>1658.5210000000002</c:v>
                </c:pt>
                <c:pt idx="19">
                  <c:v>1632.001</c:v>
                </c:pt>
                <c:pt idx="20">
                  <c:v>1615.2909999999999</c:v>
                </c:pt>
                <c:pt idx="21">
                  <c:v>1730.7260000000001</c:v>
                </c:pt>
                <c:pt idx="22">
                  <c:v>1665.7180000000001</c:v>
                </c:pt>
                <c:pt idx="23">
                  <c:v>1560.616</c:v>
                </c:pt>
                <c:pt idx="24">
                  <c:v>1523.7839999999999</c:v>
                </c:pt>
                <c:pt idx="25">
                  <c:v>1625.403</c:v>
                </c:pt>
                <c:pt idx="26">
                  <c:v>1537.5819999999999</c:v>
                </c:pt>
                <c:pt idx="27">
                  <c:v>1501.202</c:v>
                </c:pt>
                <c:pt idx="28">
                  <c:v>1516.742</c:v>
                </c:pt>
                <c:pt idx="29">
                  <c:v>1304.3130000000001</c:v>
                </c:pt>
                <c:pt idx="30">
                  <c:v>1433.1990000000001</c:v>
                </c:pt>
                <c:pt idx="31">
                  <c:v>1514.076</c:v>
                </c:pt>
                <c:pt idx="32">
                  <c:v>1700.0720000000001</c:v>
                </c:pt>
                <c:pt idx="33">
                  <c:v>1838.4970000000003</c:v>
                </c:pt>
                <c:pt idx="34">
                  <c:v>1935.5119999999999</c:v>
                </c:pt>
                <c:pt idx="35">
                  <c:v>1883.866</c:v>
                </c:pt>
                <c:pt idx="36">
                  <c:v>1853.5459999999998</c:v>
                </c:pt>
                <c:pt idx="37">
                  <c:v>1853.2659999999998</c:v>
                </c:pt>
                <c:pt idx="38">
                  <c:v>2262.7800000000002</c:v>
                </c:pt>
                <c:pt idx="39">
                  <c:v>2090.5340000000001</c:v>
                </c:pt>
                <c:pt idx="40">
                  <c:v>1879.2909999999999</c:v>
                </c:pt>
                <c:pt idx="41">
                  <c:v>1761.8520000000001</c:v>
                </c:pt>
                <c:pt idx="42">
                  <c:v>1760.125</c:v>
                </c:pt>
                <c:pt idx="43">
                  <c:v>1677.5920000000001</c:v>
                </c:pt>
                <c:pt idx="44">
                  <c:v>1726.2280000000001</c:v>
                </c:pt>
                <c:pt idx="45">
                  <c:v>1891.8630000000001</c:v>
                </c:pt>
                <c:pt idx="46">
                  <c:v>1871.1289999999999</c:v>
                </c:pt>
                <c:pt idx="47">
                  <c:v>1937.8489999999999</c:v>
                </c:pt>
                <c:pt idx="48">
                  <c:v>1970.8300000000002</c:v>
                </c:pt>
                <c:pt idx="49">
                  <c:v>2021.164</c:v>
                </c:pt>
                <c:pt idx="50">
                  <c:v>1960.0419999999999</c:v>
                </c:pt>
                <c:pt idx="51">
                  <c:v>1985.1270000000002</c:v>
                </c:pt>
                <c:pt idx="52">
                  <c:v>1909.0939999999998</c:v>
                </c:pt>
                <c:pt idx="53">
                  <c:v>1701.7829999999999</c:v>
                </c:pt>
                <c:pt idx="54">
                  <c:v>1866.462</c:v>
                </c:pt>
                <c:pt idx="55">
                  <c:v>1985.6999999999998</c:v>
                </c:pt>
                <c:pt idx="56">
                  <c:v>1970.886</c:v>
                </c:pt>
                <c:pt idx="57">
                  <c:v>1761.3029999999999</c:v>
                </c:pt>
                <c:pt idx="58">
                  <c:v>1971.6589999999999</c:v>
                </c:pt>
                <c:pt idx="59">
                  <c:v>1923.5729999999999</c:v>
                </c:pt>
                <c:pt idx="60">
                  <c:v>1896.15</c:v>
                </c:pt>
                <c:pt idx="61">
                  <c:v>1815.954</c:v>
                </c:pt>
                <c:pt idx="62">
                  <c:v>1934.1950000000002</c:v>
                </c:pt>
                <c:pt idx="63">
                  <c:v>1440.2910000000002</c:v>
                </c:pt>
                <c:pt idx="64">
                  <c:v>1197.6389999999999</c:v>
                </c:pt>
                <c:pt idx="65">
                  <c:v>1448.202</c:v>
                </c:pt>
                <c:pt idx="66">
                  <c:v>1207.664</c:v>
                </c:pt>
                <c:pt idx="67">
                  <c:v>1392.665</c:v>
                </c:pt>
                <c:pt idx="68">
                  <c:v>1222.259</c:v>
                </c:pt>
                <c:pt idx="69">
                  <c:v>1047.4059999999999</c:v>
                </c:pt>
                <c:pt idx="70">
                  <c:v>1447.424</c:v>
                </c:pt>
                <c:pt idx="71">
                  <c:v>1470.6379999999999</c:v>
                </c:pt>
                <c:pt idx="72">
                  <c:v>1519.3240000000001</c:v>
                </c:pt>
                <c:pt idx="73">
                  <c:v>1742.8829999999998</c:v>
                </c:pt>
                <c:pt idx="74">
                  <c:v>1872.9669999999999</c:v>
                </c:pt>
                <c:pt idx="75">
                  <c:v>1786.454</c:v>
                </c:pt>
                <c:pt idx="76">
                  <c:v>1229.4330000000002</c:v>
                </c:pt>
                <c:pt idx="77">
                  <c:v>1224.6099999999999</c:v>
                </c:pt>
                <c:pt idx="78">
                  <c:v>1177.6699999999998</c:v>
                </c:pt>
                <c:pt idx="79">
                  <c:v>1300.7629999999999</c:v>
                </c:pt>
                <c:pt idx="80">
                  <c:v>1657.5729999999999</c:v>
                </c:pt>
                <c:pt idx="81">
                  <c:v>1747.845</c:v>
                </c:pt>
                <c:pt idx="82">
                  <c:v>1751.8579999999997</c:v>
                </c:pt>
                <c:pt idx="83">
                  <c:v>1676.9829999999997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F-4E37-A8D6-85E8C495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73152"/>
        <c:axId val="1"/>
      </c:lineChart>
      <c:dateAx>
        <c:axId val="153573152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Monthly Fuel  in  Mdt/mo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246073298429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73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77580071174365"/>
          <c:y val="0.39790575916230364"/>
          <c:w val="0.12366548042704625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836298932384338E-2"/>
          <c:y val="3.4031413612565453E-2"/>
          <c:w val="0.78291814946619209"/>
          <c:h val="0.85863874345549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daily!$N$7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daily!$N$18:$N$114</c:f>
              <c:numCache>
                <c:formatCode>0.0</c:formatCode>
                <c:ptCount val="97"/>
                <c:pt idx="0">
                  <c:v>26.102566666666668</c:v>
                </c:pt>
                <c:pt idx="1">
                  <c:v>29.328967741935482</c:v>
                </c:pt>
                <c:pt idx="2">
                  <c:v>29.713806451612903</c:v>
                </c:pt>
                <c:pt idx="3">
                  <c:v>31.8445</c:v>
                </c:pt>
                <c:pt idx="4">
                  <c:v>25.274225806451611</c:v>
                </c:pt>
                <c:pt idx="5">
                  <c:v>27.060799999999997</c:v>
                </c:pt>
                <c:pt idx="6">
                  <c:v>24.374225806451612</c:v>
                </c:pt>
                <c:pt idx="7">
                  <c:v>28.431066666666666</c:v>
                </c:pt>
                <c:pt idx="8">
                  <c:v>38.932612903225809</c:v>
                </c:pt>
                <c:pt idx="9">
                  <c:v>41.596387096774194</c:v>
                </c:pt>
                <c:pt idx="10">
                  <c:v>37.655099999999997</c:v>
                </c:pt>
                <c:pt idx="11">
                  <c:v>39.028677419354835</c:v>
                </c:pt>
                <c:pt idx="12">
                  <c:v>41.614666666666672</c:v>
                </c:pt>
                <c:pt idx="13">
                  <c:v>49.89725806451613</c:v>
                </c:pt>
                <c:pt idx="14">
                  <c:v>48.348580645161292</c:v>
                </c:pt>
                <c:pt idx="15">
                  <c:v>42.732928571428566</c:v>
                </c:pt>
                <c:pt idx="16">
                  <c:v>51.499129032258061</c:v>
                </c:pt>
                <c:pt idx="17">
                  <c:v>45.113799999999998</c:v>
                </c:pt>
                <c:pt idx="18">
                  <c:v>39.246838709677419</c:v>
                </c:pt>
                <c:pt idx="19">
                  <c:v>40.066966666666666</c:v>
                </c:pt>
                <c:pt idx="20">
                  <c:v>42.607129032258065</c:v>
                </c:pt>
                <c:pt idx="21">
                  <c:v>47.647129032258064</c:v>
                </c:pt>
                <c:pt idx="22">
                  <c:v>47.328566666666667</c:v>
                </c:pt>
                <c:pt idx="23">
                  <c:v>46.576322580645162</c:v>
                </c:pt>
                <c:pt idx="24">
                  <c:v>46.967200000000005</c:v>
                </c:pt>
                <c:pt idx="25">
                  <c:v>53.079032258064515</c:v>
                </c:pt>
                <c:pt idx="26">
                  <c:v>46.769774193548386</c:v>
                </c:pt>
                <c:pt idx="27">
                  <c:v>38.990724137931032</c:v>
                </c:pt>
                <c:pt idx="28">
                  <c:v>34.634387096774191</c:v>
                </c:pt>
                <c:pt idx="29">
                  <c:v>35.823799999999999</c:v>
                </c:pt>
                <c:pt idx="30">
                  <c:v>43.540129032258065</c:v>
                </c:pt>
                <c:pt idx="31">
                  <c:v>50.595266666666667</c:v>
                </c:pt>
                <c:pt idx="32">
                  <c:v>52.680774193548388</c:v>
                </c:pt>
                <c:pt idx="33">
                  <c:v>51.980258064516129</c:v>
                </c:pt>
                <c:pt idx="34">
                  <c:v>56.388833333333331</c:v>
                </c:pt>
                <c:pt idx="35">
                  <c:v>55.451967741935484</c:v>
                </c:pt>
                <c:pt idx="36">
                  <c:v>65.191766666666666</c:v>
                </c:pt>
                <c:pt idx="37">
                  <c:v>59.907064516129033</c:v>
                </c:pt>
                <c:pt idx="38">
                  <c:v>50.62216129032258</c:v>
                </c:pt>
                <c:pt idx="39">
                  <c:v>46.586857142857141</c:v>
                </c:pt>
                <c:pt idx="40">
                  <c:v>48.727032258064519</c:v>
                </c:pt>
                <c:pt idx="41">
                  <c:v>48.681699999999999</c:v>
                </c:pt>
                <c:pt idx="42">
                  <c:v>46.932064516129032</c:v>
                </c:pt>
                <c:pt idx="43">
                  <c:v>54.199466666666666</c:v>
                </c:pt>
                <c:pt idx="44">
                  <c:v>59.030774193548389</c:v>
                </c:pt>
                <c:pt idx="45">
                  <c:v>61.103741935483868</c:v>
                </c:pt>
                <c:pt idx="46">
                  <c:v>66.394199999999998</c:v>
                </c:pt>
                <c:pt idx="47">
                  <c:v>66.880451612903215</c:v>
                </c:pt>
                <c:pt idx="48">
                  <c:v>68.586333333333343</c:v>
                </c:pt>
                <c:pt idx="49">
                  <c:v>62.230322580645165</c:v>
                </c:pt>
                <c:pt idx="50">
                  <c:v>57.434935483870966</c:v>
                </c:pt>
                <c:pt idx="51">
                  <c:v>60.090714285714284</c:v>
                </c:pt>
                <c:pt idx="52">
                  <c:v>64.092741935483872</c:v>
                </c:pt>
                <c:pt idx="53">
                  <c:v>64.737833333333327</c:v>
                </c:pt>
                <c:pt idx="54">
                  <c:v>57.619774193548388</c:v>
                </c:pt>
                <c:pt idx="55">
                  <c:v>54.679133333333333</c:v>
                </c:pt>
                <c:pt idx="56">
                  <c:v>62.194483870967744</c:v>
                </c:pt>
                <c:pt idx="57">
                  <c:v>62.550225806451614</c:v>
                </c:pt>
                <c:pt idx="58">
                  <c:v>64.647733333333335</c:v>
                </c:pt>
                <c:pt idx="59">
                  <c:v>59.845290322580645</c:v>
                </c:pt>
                <c:pt idx="60">
                  <c:v>59.755000000000003</c:v>
                </c:pt>
                <c:pt idx="61">
                  <c:v>58.43</c:v>
                </c:pt>
                <c:pt idx="62">
                  <c:v>47.922000000000004</c:v>
                </c:pt>
                <c:pt idx="63">
                  <c:v>45.404964285714286</c:v>
                </c:pt>
                <c:pt idx="64">
                  <c:v>38.247903225806446</c:v>
                </c:pt>
                <c:pt idx="65">
                  <c:v>50.576999999999998</c:v>
                </c:pt>
                <c:pt idx="66">
                  <c:v>45.71</c:v>
                </c:pt>
                <c:pt idx="67">
                  <c:v>35.313533333333332</c:v>
                </c:pt>
                <c:pt idx="68">
                  <c:v>42.772870967741937</c:v>
                </c:pt>
                <c:pt idx="69">
                  <c:v>48.598258064516131</c:v>
                </c:pt>
                <c:pt idx="70">
                  <c:v>60.2988</c:v>
                </c:pt>
                <c:pt idx="71">
                  <c:v>61.913483870967738</c:v>
                </c:pt>
                <c:pt idx="72">
                  <c:v>55.316733333333332</c:v>
                </c:pt>
                <c:pt idx="73">
                  <c:v>62.382967741935488</c:v>
                </c:pt>
                <c:pt idx="74">
                  <c:v>57.518225806451618</c:v>
                </c:pt>
                <c:pt idx="75">
                  <c:v>51.166689655172419</c:v>
                </c:pt>
                <c:pt idx="76">
                  <c:v>47.385967741935481</c:v>
                </c:pt>
                <c:pt idx="77">
                  <c:v>41.184899999999999</c:v>
                </c:pt>
                <c:pt idx="78">
                  <c:v>49.649096774193552</c:v>
                </c:pt>
                <c:pt idx="79">
                  <c:v>56.182166666666667</c:v>
                </c:pt>
                <c:pt idx="80">
                  <c:v>62.428870967741936</c:v>
                </c:pt>
                <c:pt idx="81">
                  <c:v>57.181870967741936</c:v>
                </c:pt>
                <c:pt idx="82">
                  <c:v>57.021766666666664</c:v>
                </c:pt>
                <c:pt idx="83">
                  <c:v>56.361258064516129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C-46AB-9ED0-D891F2E8797D}"/>
            </c:ext>
          </c:extLst>
        </c:ser>
        <c:ser>
          <c:idx val="1"/>
          <c:order val="1"/>
          <c:tx>
            <c:strRef>
              <c:f>daily!$P$7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daily!$P$18:$P$114</c:f>
              <c:numCache>
                <c:formatCode>0.0</c:formatCode>
                <c:ptCount val="97"/>
                <c:pt idx="0">
                  <c:v>22.0428</c:v>
                </c:pt>
                <c:pt idx="1">
                  <c:v>24.479709677419354</c:v>
                </c:pt>
                <c:pt idx="2">
                  <c:v>24.55958064516129</c:v>
                </c:pt>
                <c:pt idx="3">
                  <c:v>23.119</c:v>
                </c:pt>
                <c:pt idx="4">
                  <c:v>18.876354838709673</c:v>
                </c:pt>
                <c:pt idx="5">
                  <c:v>24.079599999999996</c:v>
                </c:pt>
                <c:pt idx="6">
                  <c:v>23.026645161290322</c:v>
                </c:pt>
                <c:pt idx="7">
                  <c:v>18.247366666666668</c:v>
                </c:pt>
                <c:pt idx="8">
                  <c:v>27.042387096774195</c:v>
                </c:pt>
                <c:pt idx="9">
                  <c:v>40.97916129032258</c:v>
                </c:pt>
                <c:pt idx="10">
                  <c:v>26.235233333333333</c:v>
                </c:pt>
                <c:pt idx="11">
                  <c:v>45.602290322580636</c:v>
                </c:pt>
                <c:pt idx="12">
                  <c:v>48.156466666666667</c:v>
                </c:pt>
                <c:pt idx="13">
                  <c:v>54.884193548387103</c:v>
                </c:pt>
                <c:pt idx="14">
                  <c:v>60.971129032258062</c:v>
                </c:pt>
                <c:pt idx="15">
                  <c:v>34.475464285714281</c:v>
                </c:pt>
                <c:pt idx="16">
                  <c:v>57.479193548387094</c:v>
                </c:pt>
                <c:pt idx="17">
                  <c:v>51.884900000000002</c:v>
                </c:pt>
                <c:pt idx="18">
                  <c:v>47.168677419354843</c:v>
                </c:pt>
                <c:pt idx="19">
                  <c:v>44.733533333333334</c:v>
                </c:pt>
                <c:pt idx="20">
                  <c:v>48.629258064516122</c:v>
                </c:pt>
                <c:pt idx="21">
                  <c:v>50.546903225806453</c:v>
                </c:pt>
                <c:pt idx="22">
                  <c:v>52.113266666666661</c:v>
                </c:pt>
                <c:pt idx="23">
                  <c:v>54.562096774193549</c:v>
                </c:pt>
                <c:pt idx="24">
                  <c:v>50.9833</c:v>
                </c:pt>
                <c:pt idx="25">
                  <c:v>58.510096774193549</c:v>
                </c:pt>
                <c:pt idx="26">
                  <c:v>51.68616129032258</c:v>
                </c:pt>
                <c:pt idx="27">
                  <c:v>41.920620689655173</c:v>
                </c:pt>
                <c:pt idx="28">
                  <c:v>42.602451612903224</c:v>
                </c:pt>
                <c:pt idx="29">
                  <c:v>36.444466666666663</c:v>
                </c:pt>
                <c:pt idx="30">
                  <c:v>50.628677419354837</c:v>
                </c:pt>
                <c:pt idx="31">
                  <c:v>53.477099999999993</c:v>
                </c:pt>
                <c:pt idx="32">
                  <c:v>64.97893548387097</c:v>
                </c:pt>
                <c:pt idx="33">
                  <c:v>65.827161290322579</c:v>
                </c:pt>
                <c:pt idx="34">
                  <c:v>69.785833333333329</c:v>
                </c:pt>
                <c:pt idx="35">
                  <c:v>67.485741935483873</c:v>
                </c:pt>
                <c:pt idx="36">
                  <c:v>74.36066666666666</c:v>
                </c:pt>
                <c:pt idx="37">
                  <c:v>64.675709677419349</c:v>
                </c:pt>
                <c:pt idx="38">
                  <c:v>52.469193548387096</c:v>
                </c:pt>
                <c:pt idx="39">
                  <c:v>49.152750000000005</c:v>
                </c:pt>
                <c:pt idx="40">
                  <c:v>48.669451612903224</c:v>
                </c:pt>
                <c:pt idx="41">
                  <c:v>52.786700000000003</c:v>
                </c:pt>
                <c:pt idx="42">
                  <c:v>44.885838709677422</c:v>
                </c:pt>
                <c:pt idx="43">
                  <c:v>48.798400000000001</c:v>
                </c:pt>
                <c:pt idx="44">
                  <c:v>59.610709677419358</c:v>
                </c:pt>
                <c:pt idx="45">
                  <c:v>65.09293548387096</c:v>
                </c:pt>
                <c:pt idx="46">
                  <c:v>63.549166666666665</c:v>
                </c:pt>
                <c:pt idx="47">
                  <c:v>71.209064516129018</c:v>
                </c:pt>
                <c:pt idx="48">
                  <c:v>66.615100000000012</c:v>
                </c:pt>
                <c:pt idx="49">
                  <c:v>64.963838709677418</c:v>
                </c:pt>
                <c:pt idx="50">
                  <c:v>54.211999999999996</c:v>
                </c:pt>
                <c:pt idx="51">
                  <c:v>59.722642857142851</c:v>
                </c:pt>
                <c:pt idx="52">
                  <c:v>62.659193548387094</c:v>
                </c:pt>
                <c:pt idx="53">
                  <c:v>65.279600000000002</c:v>
                </c:pt>
                <c:pt idx="54">
                  <c:v>64.385387096774195</c:v>
                </c:pt>
                <c:pt idx="55">
                  <c:v>53.046266666666661</c:v>
                </c:pt>
                <c:pt idx="56">
                  <c:v>65.54129032258065</c:v>
                </c:pt>
                <c:pt idx="57">
                  <c:v>62.22032258064516</c:v>
                </c:pt>
                <c:pt idx="58">
                  <c:v>72.014499999999998</c:v>
                </c:pt>
                <c:pt idx="59">
                  <c:v>48.449838709677415</c:v>
                </c:pt>
                <c:pt idx="60">
                  <c:v>57.321533333333342</c:v>
                </c:pt>
                <c:pt idx="61">
                  <c:v>56.234483870967743</c:v>
                </c:pt>
                <c:pt idx="62">
                  <c:v>42.850612903225809</c:v>
                </c:pt>
                <c:pt idx="63">
                  <c:v>33.244321428571425</c:v>
                </c:pt>
                <c:pt idx="64">
                  <c:v>28.405741935483871</c:v>
                </c:pt>
                <c:pt idx="65">
                  <c:v>52.68183333333333</c:v>
                </c:pt>
                <c:pt idx="66">
                  <c:v>43.335258064516132</c:v>
                </c:pt>
                <c:pt idx="67">
                  <c:v>32.3827</c:v>
                </c:pt>
                <c:pt idx="68">
                  <c:v>39.552193548387102</c:v>
                </c:pt>
                <c:pt idx="69">
                  <c:v>46.3158064516129</c:v>
                </c:pt>
                <c:pt idx="70">
                  <c:v>63.020333333333333</c:v>
                </c:pt>
                <c:pt idx="71">
                  <c:v>69.142032258064503</c:v>
                </c:pt>
                <c:pt idx="72">
                  <c:v>55.347866666666661</c:v>
                </c:pt>
                <c:pt idx="73">
                  <c:v>59.338354838709677</c:v>
                </c:pt>
                <c:pt idx="74">
                  <c:v>51.767225806451613</c:v>
                </c:pt>
                <c:pt idx="75">
                  <c:v>47.670551724137937</c:v>
                </c:pt>
                <c:pt idx="76">
                  <c:v>51.657354838709672</c:v>
                </c:pt>
                <c:pt idx="77">
                  <c:v>41.641100000000002</c:v>
                </c:pt>
                <c:pt idx="78">
                  <c:v>49.554161290322583</c:v>
                </c:pt>
                <c:pt idx="79">
                  <c:v>57.466633333333334</c:v>
                </c:pt>
                <c:pt idx="80">
                  <c:v>67.043967741935489</c:v>
                </c:pt>
                <c:pt idx="81">
                  <c:v>64.251387096774195</c:v>
                </c:pt>
                <c:pt idx="82">
                  <c:v>61.241599999999998</c:v>
                </c:pt>
                <c:pt idx="83">
                  <c:v>54.001290322580644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C-46AB-9ED0-D891F2E8797D}"/>
            </c:ext>
          </c:extLst>
        </c:ser>
        <c:ser>
          <c:idx val="2"/>
          <c:order val="2"/>
          <c:tx>
            <c:strRef>
              <c:f>daily!$D$7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3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daily!$D$18:$D$114</c:f>
              <c:numCache>
                <c:formatCode>General</c:formatCode>
                <c:ptCount val="97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24.761290322580646</c:v>
                </c:pt>
                <c:pt idx="9" formatCode="0.0">
                  <c:v>30.190322580645162</c:v>
                </c:pt>
                <c:pt idx="10" formatCode="0.0">
                  <c:v>29.056666666666668</c:v>
                </c:pt>
                <c:pt idx="11" formatCode="0.0">
                  <c:v>22.629032258064516</c:v>
                </c:pt>
                <c:pt idx="12" formatCode="0.0">
                  <c:v>33.333333333333336</c:v>
                </c:pt>
                <c:pt idx="13" formatCode="0.0">
                  <c:v>40.345161290322579</c:v>
                </c:pt>
                <c:pt idx="14" formatCode="0.0">
                  <c:v>42.470967741935482</c:v>
                </c:pt>
                <c:pt idx="15" formatCode="0.0">
                  <c:v>50.714285714285715</c:v>
                </c:pt>
                <c:pt idx="16" formatCode="0.0">
                  <c:v>41.12903225806452</c:v>
                </c:pt>
                <c:pt idx="17" formatCode="0.0">
                  <c:v>49.666666666666664</c:v>
                </c:pt>
                <c:pt idx="18" formatCode="0.0">
                  <c:v>58.87096774193548</c:v>
                </c:pt>
                <c:pt idx="19" formatCode="0.0">
                  <c:v>49.5</c:v>
                </c:pt>
                <c:pt idx="20" formatCode="0.0">
                  <c:v>50.967741935483872</c:v>
                </c:pt>
                <c:pt idx="21" formatCode="0.0">
                  <c:v>58.064516129032256</c:v>
                </c:pt>
                <c:pt idx="22" formatCode="0.0">
                  <c:v>52.5</c:v>
                </c:pt>
                <c:pt idx="23" formatCode="0.0">
                  <c:v>47.903225806451616</c:v>
                </c:pt>
                <c:pt idx="24" formatCode="0.0">
                  <c:v>47.5</c:v>
                </c:pt>
                <c:pt idx="25" formatCode="0.0">
                  <c:v>37.903225806451616</c:v>
                </c:pt>
                <c:pt idx="26" formatCode="0.0">
                  <c:v>40.322580645161288</c:v>
                </c:pt>
                <c:pt idx="27" formatCode="0.0">
                  <c:v>37.931034482758619</c:v>
                </c:pt>
                <c:pt idx="28" formatCode="0.0">
                  <c:v>43.548387096774192</c:v>
                </c:pt>
                <c:pt idx="29" formatCode="0.0">
                  <c:v>45.833333333333336</c:v>
                </c:pt>
                <c:pt idx="30" formatCode="0.0">
                  <c:v>49.193548387096776</c:v>
                </c:pt>
                <c:pt idx="31" formatCode="0.0">
                  <c:v>49.4</c:v>
                </c:pt>
                <c:pt idx="32" formatCode="0.0">
                  <c:v>44.193548387096776</c:v>
                </c:pt>
                <c:pt idx="33" formatCode="0.0">
                  <c:v>49.677419354838712</c:v>
                </c:pt>
                <c:pt idx="34" formatCode="0.0">
                  <c:v>43.333333333333336</c:v>
                </c:pt>
                <c:pt idx="35" formatCode="0.0">
                  <c:v>44.354838709677416</c:v>
                </c:pt>
                <c:pt idx="36" formatCode="0.0">
                  <c:v>43.166666666666664</c:v>
                </c:pt>
                <c:pt idx="37" formatCode="0.0">
                  <c:v>45.161290322580648</c:v>
                </c:pt>
                <c:pt idx="38" formatCode="0.0">
                  <c:v>53.225806451612904</c:v>
                </c:pt>
                <c:pt idx="39" formatCode="0.0">
                  <c:v>60.714285714285715</c:v>
                </c:pt>
                <c:pt idx="40" formatCode="0.0">
                  <c:v>59.677419354838712</c:v>
                </c:pt>
                <c:pt idx="41" formatCode="0.0">
                  <c:v>60.833333333333336</c:v>
                </c:pt>
                <c:pt idx="42" formatCode="0.0">
                  <c:v>56.451612903225808</c:v>
                </c:pt>
                <c:pt idx="43" formatCode="0.0">
                  <c:v>48.666666666666664</c:v>
                </c:pt>
                <c:pt idx="44" formatCode="0.0">
                  <c:v>52.903225806451616</c:v>
                </c:pt>
                <c:pt idx="45" formatCode="0.0">
                  <c:v>49.677419354838712</c:v>
                </c:pt>
                <c:pt idx="46" formatCode="0.0">
                  <c:v>51.666666666666664</c:v>
                </c:pt>
                <c:pt idx="47" formatCode="0.0">
                  <c:v>55.483870967741936</c:v>
                </c:pt>
                <c:pt idx="48" formatCode="0.0">
                  <c:v>49.116666666666667</c:v>
                </c:pt>
                <c:pt idx="49" formatCode="0.0">
                  <c:v>58.87096774193548</c:v>
                </c:pt>
                <c:pt idx="50" formatCode="0.0">
                  <c:v>50.322580645161288</c:v>
                </c:pt>
                <c:pt idx="51" formatCode="0.0">
                  <c:v>64.642857142857139</c:v>
                </c:pt>
                <c:pt idx="52" formatCode="0.0">
                  <c:v>54.838709677419352</c:v>
                </c:pt>
                <c:pt idx="53" formatCode="0.0">
                  <c:v>52.5</c:v>
                </c:pt>
                <c:pt idx="54" formatCode="0.0">
                  <c:v>51.612903225806448</c:v>
                </c:pt>
                <c:pt idx="55" formatCode="0.0">
                  <c:v>51</c:v>
                </c:pt>
                <c:pt idx="56" formatCode="0.0">
                  <c:v>48.387096774193552</c:v>
                </c:pt>
                <c:pt idx="57" formatCode="0.0">
                  <c:v>53.225806451612904</c:v>
                </c:pt>
                <c:pt idx="58" formatCode="0.0">
                  <c:v>50</c:v>
                </c:pt>
                <c:pt idx="59" formatCode="0.0">
                  <c:v>54.677419354838712</c:v>
                </c:pt>
                <c:pt idx="60" formatCode="0.0">
                  <c:v>53.333333333333336</c:v>
                </c:pt>
                <c:pt idx="61" formatCode="0.0">
                  <c:v>62.903225806451616</c:v>
                </c:pt>
                <c:pt idx="62" formatCode="0.0">
                  <c:v>60.483870967741936</c:v>
                </c:pt>
                <c:pt idx="63" formatCode="0.0">
                  <c:v>51.964285714285715</c:v>
                </c:pt>
                <c:pt idx="64" formatCode="0.0">
                  <c:v>47.41935483870968</c:v>
                </c:pt>
                <c:pt idx="65" formatCode="0.0">
                  <c:v>54.5</c:v>
                </c:pt>
                <c:pt idx="66" formatCode="0.0">
                  <c:v>41.935483870967744</c:v>
                </c:pt>
                <c:pt idx="67" formatCode="0.0">
                  <c:v>33.333333333333336</c:v>
                </c:pt>
                <c:pt idx="68" formatCode="0.0">
                  <c:v>29.838709677419356</c:v>
                </c:pt>
                <c:pt idx="69" formatCode="0.0">
                  <c:v>35.483870967741936</c:v>
                </c:pt>
                <c:pt idx="70" formatCode="0.0">
                  <c:v>47</c:v>
                </c:pt>
                <c:pt idx="71" formatCode="0.0">
                  <c:v>39.032258064516128</c:v>
                </c:pt>
                <c:pt idx="72" formatCode="0.0">
                  <c:v>43.333333333333336</c:v>
                </c:pt>
                <c:pt idx="73" formatCode="0.0">
                  <c:v>39.516129032258064</c:v>
                </c:pt>
                <c:pt idx="74" formatCode="0.0">
                  <c:v>58.064516129032256</c:v>
                </c:pt>
                <c:pt idx="75" formatCode="0.0">
                  <c:v>56.379310344827587</c:v>
                </c:pt>
                <c:pt idx="76" formatCode="0.0">
                  <c:v>43.548387096774192</c:v>
                </c:pt>
                <c:pt idx="77" formatCode="0.0">
                  <c:v>48.333333333333336</c:v>
                </c:pt>
                <c:pt idx="78" formatCode="0.0">
                  <c:v>25.806451612903224</c:v>
                </c:pt>
                <c:pt idx="79" formatCode="0.0">
                  <c:v>34.166666666666664</c:v>
                </c:pt>
                <c:pt idx="80" formatCode="0.0">
                  <c:v>38.016129032258064</c:v>
                </c:pt>
                <c:pt idx="81" formatCode="0.0">
                  <c:v>37.58064516129032</c:v>
                </c:pt>
                <c:pt idx="82" formatCode="0.0">
                  <c:v>41.666666666666664</c:v>
                </c:pt>
                <c:pt idx="83" formatCode="0.0">
                  <c:v>42.741935483870968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C-46AB-9ED0-D891F2E8797D}"/>
            </c:ext>
          </c:extLst>
        </c:ser>
        <c:ser>
          <c:idx val="3"/>
          <c:order val="3"/>
          <c:tx>
            <c:strRef>
              <c:f>daily!$X$7</c:f>
              <c:strCache>
                <c:ptCount val="1"/>
                <c:pt idx="0">
                  <c:v>Adj.Est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daily!$X$18:$X$114</c:f>
              <c:numCache>
                <c:formatCode>General</c:formatCode>
                <c:ptCount val="97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29.553697692903228</c:v>
                </c:pt>
                <c:pt idx="9" formatCode="0.0">
                  <c:v>35.318163974193553</c:v>
                </c:pt>
                <c:pt idx="10" formatCode="0.0">
                  <c:v>34.350197386666665</c:v>
                </c:pt>
                <c:pt idx="11" formatCode="0.0">
                  <c:v>27.738363612903225</c:v>
                </c:pt>
                <c:pt idx="12" formatCode="0.0">
                  <c:v>38.045221484684689</c:v>
                </c:pt>
                <c:pt idx="13" formatCode="0.0">
                  <c:v>45.975892284917173</c:v>
                </c:pt>
                <c:pt idx="14" formatCode="0.0">
                  <c:v>30.883160859354838</c:v>
                </c:pt>
                <c:pt idx="15" formatCode="0.0">
                  <c:v>37.564011688311687</c:v>
                </c:pt>
                <c:pt idx="16" formatCode="0.0">
                  <c:v>29.621366967741938</c:v>
                </c:pt>
                <c:pt idx="17" formatCode="0.0">
                  <c:v>41.676992969696968</c:v>
                </c:pt>
                <c:pt idx="18" formatCode="0.0">
                  <c:v>49.715612903225804</c:v>
                </c:pt>
                <c:pt idx="19" formatCode="0.0">
                  <c:v>40.211413333333333</c:v>
                </c:pt>
                <c:pt idx="20" formatCode="0.0">
                  <c:v>43.03254193548387</c:v>
                </c:pt>
                <c:pt idx="21" formatCode="0.0">
                  <c:v>49.563354838709678</c:v>
                </c:pt>
                <c:pt idx="22" formatCode="0.0">
                  <c:v>44.058233333333334</c:v>
                </c:pt>
                <c:pt idx="23" formatCode="0.0">
                  <c:v>38.981116129032259</c:v>
                </c:pt>
                <c:pt idx="24" formatCode="0.0">
                  <c:v>38.712433333333337</c:v>
                </c:pt>
                <c:pt idx="25" formatCode="0.0">
                  <c:v>29.193645161290327</c:v>
                </c:pt>
                <c:pt idx="26" formatCode="0.0">
                  <c:v>37.965806451612899</c:v>
                </c:pt>
                <c:pt idx="27" formatCode="0.0">
                  <c:v>35.488827586206895</c:v>
                </c:pt>
                <c:pt idx="28" formatCode="0.0">
                  <c:v>41.221806451612906</c:v>
                </c:pt>
                <c:pt idx="29" formatCode="0.0">
                  <c:v>43.289666666666669</c:v>
                </c:pt>
                <c:pt idx="30" formatCode="0.0">
                  <c:v>46.502129032258068</c:v>
                </c:pt>
                <c:pt idx="31" formatCode="0.0">
                  <c:v>46.693157333333332</c:v>
                </c:pt>
                <c:pt idx="32" formatCode="0.0">
                  <c:v>38.666787096774193</c:v>
                </c:pt>
                <c:pt idx="33" formatCode="0.0">
                  <c:v>44.072154838709679</c:v>
                </c:pt>
                <c:pt idx="34" formatCode="0.0">
                  <c:v>37.381066666666669</c:v>
                </c:pt>
                <c:pt idx="35" formatCode="0.0">
                  <c:v>38.862967741935478</c:v>
                </c:pt>
                <c:pt idx="36" formatCode="0.0">
                  <c:v>37.627279999999999</c:v>
                </c:pt>
                <c:pt idx="37" formatCode="0.0">
                  <c:v>39.800258064516129</c:v>
                </c:pt>
                <c:pt idx="38" formatCode="0.0">
                  <c:v>32.117161290322585</c:v>
                </c:pt>
                <c:pt idx="39" formatCode="0.0">
                  <c:v>39.112000000000002</c:v>
                </c:pt>
                <c:pt idx="40" formatCode="0.0">
                  <c:v>40.39380645161291</c:v>
                </c:pt>
                <c:pt idx="41" formatCode="0.0">
                  <c:v>41.052533333333336</c:v>
                </c:pt>
                <c:pt idx="42" formatCode="0.0">
                  <c:v>37.436387096774197</c:v>
                </c:pt>
                <c:pt idx="43" formatCode="0.0">
                  <c:v>28.099626666666666</c:v>
                </c:pt>
                <c:pt idx="44" formatCode="0.0">
                  <c:v>43.904206451612907</c:v>
                </c:pt>
                <c:pt idx="45" formatCode="0.0">
                  <c:v>40.220464516129034</c:v>
                </c:pt>
                <c:pt idx="46" formatCode="0.0">
                  <c:v>42.014600000000002</c:v>
                </c:pt>
                <c:pt idx="47" formatCode="0.0">
                  <c:v>46.358038709677416</c:v>
                </c:pt>
                <c:pt idx="48" formatCode="0.0">
                  <c:v>39.364682000000002</c:v>
                </c:pt>
                <c:pt idx="49" formatCode="0.0">
                  <c:v>49.145709677419354</c:v>
                </c:pt>
                <c:pt idx="50" formatCode="0.0">
                  <c:v>40.921987096774188</c:v>
                </c:pt>
                <c:pt idx="51" formatCode="0.0">
                  <c:v>54.072557142857136</c:v>
                </c:pt>
                <c:pt idx="52" formatCode="0.0">
                  <c:v>45.098774193548387</c:v>
                </c:pt>
                <c:pt idx="53" formatCode="0.0">
                  <c:v>43.087566666666667</c:v>
                </c:pt>
                <c:pt idx="54" formatCode="0.0">
                  <c:v>41.845374193548381</c:v>
                </c:pt>
                <c:pt idx="55" formatCode="0.0">
                  <c:v>40.319026666666666</c:v>
                </c:pt>
                <c:pt idx="56" formatCode="0.0">
                  <c:v>38.095290322580652</c:v>
                </c:pt>
                <c:pt idx="57" formatCode="0.0">
                  <c:v>44.748129032258063</c:v>
                </c:pt>
                <c:pt idx="58" formatCode="0.0">
                  <c:v>40.238733333333329</c:v>
                </c:pt>
                <c:pt idx="59" formatCode="0.0">
                  <c:v>45.419466838709681</c:v>
                </c:pt>
                <c:pt idx="60" formatCode="0.0">
                  <c:v>43.917866666666669</c:v>
                </c:pt>
                <c:pt idx="61" formatCode="0.0">
                  <c:v>54.167225806451619</c:v>
                </c:pt>
                <c:pt idx="62" formatCode="0.0">
                  <c:v>48.500806451612902</c:v>
                </c:pt>
                <c:pt idx="63" formatCode="0.0">
                  <c:v>40.689664285714287</c:v>
                </c:pt>
                <c:pt idx="64" formatCode="0.0">
                  <c:v>37.535496774193547</c:v>
                </c:pt>
                <c:pt idx="65" formatCode="0.0">
                  <c:v>41.920940000000002</c:v>
                </c:pt>
                <c:pt idx="66" formatCode="0.0">
                  <c:v>31.624387096774196</c:v>
                </c:pt>
                <c:pt idx="67" formatCode="0.0">
                  <c:v>22.257333333333335</c:v>
                </c:pt>
                <c:pt idx="68" formatCode="0.0">
                  <c:v>31.187774193548389</c:v>
                </c:pt>
                <c:pt idx="69" formatCode="0.0">
                  <c:v>36.642967741935486</c:v>
                </c:pt>
                <c:pt idx="70" formatCode="0.0">
                  <c:v>48.23777333333333</c:v>
                </c:pt>
                <c:pt idx="71" formatCode="0.0">
                  <c:v>40.245619354838709</c:v>
                </c:pt>
                <c:pt idx="72" formatCode="0.0">
                  <c:v>44.612533333333339</c:v>
                </c:pt>
                <c:pt idx="73" formatCode="0.0">
                  <c:v>40.928935483870966</c:v>
                </c:pt>
                <c:pt idx="74" formatCode="0.0">
                  <c:v>51.371612903225802</c:v>
                </c:pt>
                <c:pt idx="75" formatCode="0.0">
                  <c:v>49.553413793103452</c:v>
                </c:pt>
                <c:pt idx="76" formatCode="0.0">
                  <c:v>37.564193548387095</c:v>
                </c:pt>
                <c:pt idx="77" formatCode="0.0">
                  <c:v>41.857686666666666</c:v>
                </c:pt>
                <c:pt idx="78" formatCode="0.0">
                  <c:v>19.868387096774192</c:v>
                </c:pt>
                <c:pt idx="79" formatCode="0.0">
                  <c:v>27.751166666666663</c:v>
                </c:pt>
                <c:pt idx="80" formatCode="0.0">
                  <c:v>30.349131612903225</c:v>
                </c:pt>
                <c:pt idx="81" formatCode="0.0">
                  <c:v>30.31758709677419</c:v>
                </c:pt>
                <c:pt idx="82" formatCode="0.0">
                  <c:v>34.048666666666662</c:v>
                </c:pt>
                <c:pt idx="83" formatCode="0.0">
                  <c:v>35.764709677419354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C-46AB-9ED0-D891F2E8797D}"/>
            </c:ext>
          </c:extLst>
        </c:ser>
        <c:ser>
          <c:idx val="5"/>
          <c:order val="4"/>
          <c:tx>
            <c:strRef>
              <c:f>regr!$D$7</c:f>
              <c:strCache>
                <c:ptCount val="1"/>
                <c:pt idx="0">
                  <c:v>regr.fuel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regr!$B$1:$B$2</c:f>
              <c:numCache>
                <c:formatCode>General</c:formatCode>
                <c:ptCount val="2"/>
                <c:pt idx="0">
                  <c:v>0</c:v>
                </c:pt>
                <c:pt idx="1">
                  <c:v>1.45</c:v>
                </c:pt>
              </c:numCache>
            </c:numRef>
          </c:xVal>
          <c:yVal>
            <c:numRef>
              <c:f>regr!$D$1:$D$2</c:f>
              <c:numCache>
                <c:formatCode>0.0</c:formatCode>
                <c:ptCount val="2"/>
                <c:pt idx="0">
                  <c:v>-73.626719302339922</c:v>
                </c:pt>
                <c:pt idx="1">
                  <c:v>73.169918351230962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C-46AB-9ED0-D891F2E8797D}"/>
            </c:ext>
          </c:extLst>
        </c:ser>
        <c:ser>
          <c:idx val="4"/>
          <c:order val="5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C-46AB-9ED0-D891F2E8797D}"/>
            </c:ext>
          </c:extLst>
        </c:ser>
        <c:ser>
          <c:idx val="6"/>
          <c:order val="6"/>
          <c:tx>
            <c:strRef>
              <c:f>daily!$Z$3</c:f>
              <c:strCache>
                <c:ptCount val="1"/>
                <c:pt idx="0">
                  <c:v>max.0050</c:v>
                </c:pt>
              </c:strCache>
            </c:strRef>
          </c:tx>
          <c:spPr>
            <a:ln w="3175">
              <a:solidFill>
                <a:srgbClr val="008080"/>
              </a:solidFill>
              <a:prstDash val="lgDashDotDot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daily!$Z$1:$Z$2</c:f>
              <c:numCache>
                <c:formatCode>0.0</c:formatCode>
                <c:ptCount val="2"/>
                <c:pt idx="0">
                  <c:v>82.189212662337667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C-46AB-9ED0-D891F2E8797D}"/>
            </c:ext>
          </c:extLst>
        </c:ser>
        <c:ser>
          <c:idx val="7"/>
          <c:order val="7"/>
          <c:tx>
            <c:strRef>
              <c:f>daily!$AA$3</c:f>
              <c:strCache>
                <c:ptCount val="1"/>
                <c:pt idx="0">
                  <c:v>fuel.0022</c:v>
                </c:pt>
              </c:strCache>
            </c:strRef>
          </c:tx>
          <c:spPr>
            <a:ln w="3175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daily!$AA$1:$AA$2</c:f>
              <c:numCache>
                <c:formatCode>0.0</c:formatCode>
                <c:ptCount val="2"/>
                <c:pt idx="0">
                  <c:v>36.163253571428569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C-46AB-9ED0-D891F2E8797D}"/>
            </c:ext>
          </c:extLst>
        </c:ser>
        <c:ser>
          <c:idx val="8"/>
          <c:order val="8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C-46AB-9ED0-D891F2E8797D}"/>
            </c:ext>
          </c:extLst>
        </c:ser>
        <c:ser>
          <c:idx val="9"/>
          <c:order val="9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3175">
              <a:solidFill>
                <a:srgbClr val="993300"/>
              </a:solidFill>
              <a:prstDash val="lgDash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C-46AB-9ED0-D891F2E8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1920"/>
        <c:axId val="1"/>
      </c:scatterChart>
      <c:valAx>
        <c:axId val="188681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60498220640569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Used  in  Mdt/day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19371727748691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819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77580071174365"/>
          <c:y val="0.29973821989528798"/>
          <c:w val="0.12366548042704625"/>
          <c:h val="0.328534031413612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512455516014"/>
          <c:y val="3.4031413612565453E-2"/>
          <c:w val="0.7437722419928825"/>
          <c:h val="0.85863874345549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daily!$U$7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daily!$U$18:$U$114</c:f>
              <c:numCache>
                <c:formatCode>0.000000</c:formatCode>
                <c:ptCount val="97"/>
                <c:pt idx="0">
                  <c:v>2.6655572270901516E-5</c:v>
                </c:pt>
                <c:pt idx="1">
                  <c:v>2.9524460775935738E-5</c:v>
                </c:pt>
                <c:pt idx="2">
                  <c:v>2.9242158730158732E-5</c:v>
                </c:pt>
                <c:pt idx="3">
                  <c:v>3.0681569541569546E-5</c:v>
                </c:pt>
                <c:pt idx="4">
                  <c:v>2.5991651277741531E-5</c:v>
                </c:pt>
                <c:pt idx="5">
                  <c:v>2.6258403776894503E-5</c:v>
                </c:pt>
                <c:pt idx="6">
                  <c:v>2.5273945660419773E-5</c:v>
                </c:pt>
                <c:pt idx="7">
                  <c:v>2.7441392834104686E-5</c:v>
                </c:pt>
                <c:pt idx="8">
                  <c:v>3.363426656494826E-5</c:v>
                </c:pt>
                <c:pt idx="9">
                  <c:v>3.625931486113042E-5</c:v>
                </c:pt>
                <c:pt idx="10">
                  <c:v>3.450742473543309E-5</c:v>
                </c:pt>
                <c:pt idx="11">
                  <c:v>3.802207368159719E-5</c:v>
                </c:pt>
                <c:pt idx="12">
                  <c:v>3.6638643731167015E-5</c:v>
                </c:pt>
                <c:pt idx="13">
                  <c:v>4.1094772192172397E-5</c:v>
                </c:pt>
                <c:pt idx="14">
                  <c:v>4.0804877617165868E-5</c:v>
                </c:pt>
                <c:pt idx="15">
                  <c:v>3.6355842337072936E-5</c:v>
                </c:pt>
                <c:pt idx="16">
                  <c:v>4.2723647901946697E-5</c:v>
                </c:pt>
                <c:pt idx="17">
                  <c:v>3.9203445062929365E-5</c:v>
                </c:pt>
                <c:pt idx="18">
                  <c:v>3.513373601251354E-5</c:v>
                </c:pt>
                <c:pt idx="19">
                  <c:v>3.43561000735397E-5</c:v>
                </c:pt>
                <c:pt idx="20">
                  <c:v>3.7592332515624968E-5</c:v>
                </c:pt>
                <c:pt idx="21">
                  <c:v>3.9642160605249048E-5</c:v>
                </c:pt>
                <c:pt idx="22">
                  <c:v>3.9796856363844539E-5</c:v>
                </c:pt>
                <c:pt idx="23">
                  <c:v>3.9923104945435904E-5</c:v>
                </c:pt>
                <c:pt idx="24">
                  <c:v>3.9695173335019093E-5</c:v>
                </c:pt>
                <c:pt idx="25">
                  <c:v>4.4452594458311691E-5</c:v>
                </c:pt>
                <c:pt idx="26">
                  <c:v>4.1609341796145024E-5</c:v>
                </c:pt>
                <c:pt idx="27">
                  <c:v>3.6006861245110487E-5</c:v>
                </c:pt>
                <c:pt idx="28">
                  <c:v>3.1122704692643354E-5</c:v>
                </c:pt>
                <c:pt idx="29">
                  <c:v>3.2824457390588013E-5</c:v>
                </c:pt>
                <c:pt idx="30">
                  <c:v>3.585105293074388E-5</c:v>
                </c:pt>
                <c:pt idx="31">
                  <c:v>4.1589078708948001E-5</c:v>
                </c:pt>
                <c:pt idx="32">
                  <c:v>4.32944357732953E-5</c:v>
                </c:pt>
                <c:pt idx="33">
                  <c:v>4.1748745995470225E-5</c:v>
                </c:pt>
                <c:pt idx="34">
                  <c:v>4.503584316136199E-5</c:v>
                </c:pt>
                <c:pt idx="35">
                  <c:v>4.3871322386793375E-5</c:v>
                </c:pt>
                <c:pt idx="36">
                  <c:v>5.0759841368439451E-5</c:v>
                </c:pt>
                <c:pt idx="37">
                  <c:v>4.7334590183990706E-5</c:v>
                </c:pt>
                <c:pt idx="38">
                  <c:v>4.2261829144759972E-5</c:v>
                </c:pt>
                <c:pt idx="39">
                  <c:v>3.809622145958458E-5</c:v>
                </c:pt>
                <c:pt idx="40">
                  <c:v>3.7944837267766059E-5</c:v>
                </c:pt>
                <c:pt idx="41">
                  <c:v>3.8834531003763957E-5</c:v>
                </c:pt>
                <c:pt idx="42">
                  <c:v>3.8728820916336501E-5</c:v>
                </c:pt>
                <c:pt idx="43">
                  <c:v>4.278677510587056E-5</c:v>
                </c:pt>
                <c:pt idx="44">
                  <c:v>4.6394792036397659E-5</c:v>
                </c:pt>
                <c:pt idx="45">
                  <c:v>4.6285402244631702E-5</c:v>
                </c:pt>
                <c:pt idx="46">
                  <c:v>5.0787243324141177E-5</c:v>
                </c:pt>
                <c:pt idx="47">
                  <c:v>5.0702992578070988E-5</c:v>
                </c:pt>
                <c:pt idx="48">
                  <c:v>4.9526157302356612E-5</c:v>
                </c:pt>
                <c:pt idx="49">
                  <c:v>4.6456569029596158E-5</c:v>
                </c:pt>
                <c:pt idx="50">
                  <c:v>4.453023498645542E-5</c:v>
                </c:pt>
                <c:pt idx="51">
                  <c:v>4.4725184232255302E-5</c:v>
                </c:pt>
                <c:pt idx="52">
                  <c:v>4.6449758476192052E-5</c:v>
                </c:pt>
                <c:pt idx="53">
                  <c:v>4.7673140353861653E-5</c:v>
                </c:pt>
                <c:pt idx="54">
                  <c:v>4.45617200686966E-5</c:v>
                </c:pt>
                <c:pt idx="55">
                  <c:v>4.1419188160118438E-5</c:v>
                </c:pt>
                <c:pt idx="56">
                  <c:v>4.7162165873433702E-5</c:v>
                </c:pt>
                <c:pt idx="57">
                  <c:v>4.7793255265232151E-5</c:v>
                </c:pt>
                <c:pt idx="58">
                  <c:v>4.8303905605454465E-5</c:v>
                </c:pt>
                <c:pt idx="59">
                  <c:v>4.6371260478471292E-5</c:v>
                </c:pt>
                <c:pt idx="60">
                  <c:v>4.5106458375160607E-5</c:v>
                </c:pt>
                <c:pt idx="61">
                  <c:v>4.4130210347757495E-5</c:v>
                </c:pt>
                <c:pt idx="62">
                  <c:v>3.8003435384029145E-5</c:v>
                </c:pt>
                <c:pt idx="63">
                  <c:v>3.6373979464283888E-5</c:v>
                </c:pt>
                <c:pt idx="64">
                  <c:v>3.288712503293746E-5</c:v>
                </c:pt>
                <c:pt idx="65">
                  <c:v>4.0273106519353605E-5</c:v>
                </c:pt>
                <c:pt idx="66">
                  <c:v>3.8625932736288648E-5</c:v>
                </c:pt>
                <c:pt idx="67">
                  <c:v>3.1338468520575659E-5</c:v>
                </c:pt>
                <c:pt idx="68">
                  <c:v>3.6270736871283226E-5</c:v>
                </c:pt>
                <c:pt idx="69">
                  <c:v>3.9826950377108609E-5</c:v>
                </c:pt>
                <c:pt idx="70">
                  <c:v>4.6864230921681561E-5</c:v>
                </c:pt>
                <c:pt idx="71">
                  <c:v>4.8137139274237803E-5</c:v>
                </c:pt>
                <c:pt idx="72">
                  <c:v>4.3034952404229844E-5</c:v>
                </c:pt>
                <c:pt idx="73">
                  <c:v>4.696257801306491E-5</c:v>
                </c:pt>
                <c:pt idx="74">
                  <c:v>4.3812525038860316E-5</c:v>
                </c:pt>
                <c:pt idx="75">
                  <c:v>3.8662413159288462E-5</c:v>
                </c:pt>
                <c:pt idx="76">
                  <c:v>3.7031596164625694E-5</c:v>
                </c:pt>
                <c:pt idx="77">
                  <c:v>3.4877026461990109E-5</c:v>
                </c:pt>
                <c:pt idx="78">
                  <c:v>3.9679374048839588E-5</c:v>
                </c:pt>
                <c:pt idx="79">
                  <c:v>4.3662301387147061E-5</c:v>
                </c:pt>
                <c:pt idx="80">
                  <c:v>4.754497530129224E-5</c:v>
                </c:pt>
                <c:pt idx="81">
                  <c:v>4.6056315261982164E-5</c:v>
                </c:pt>
                <c:pt idx="82">
                  <c:v>4.4773561884438425E-5</c:v>
                </c:pt>
                <c:pt idx="83">
                  <c:v>4.3696616903033278E-5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1-4A68-B4C0-26FEFA6043F1}"/>
            </c:ext>
          </c:extLst>
        </c:ser>
        <c:ser>
          <c:idx val="1"/>
          <c:order val="1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daily!$V$18:$V$114</c:f>
              <c:numCache>
                <c:formatCode>0.000000</c:formatCode>
                <c:ptCount val="97"/>
                <c:pt idx="0">
                  <c:v>2.250979591226768E-5</c:v>
                </c:pt>
                <c:pt idx="1">
                  <c:v>2.4642879849598359E-5</c:v>
                </c:pt>
                <c:pt idx="2">
                  <c:v>2.4169746031746032E-5</c:v>
                </c:pt>
                <c:pt idx="3">
                  <c:v>2.2274716394716397E-5</c:v>
                </c:pt>
                <c:pt idx="4">
                  <c:v>1.9412172547631947E-5</c:v>
                </c:pt>
                <c:pt idx="5">
                  <c:v>2.3365601149489628E-5</c:v>
                </c:pt>
                <c:pt idx="6">
                  <c:v>2.3876622099487436E-5</c:v>
                </c:pt>
                <c:pt idx="7">
                  <c:v>1.7612183276789267E-5</c:v>
                </c:pt>
                <c:pt idx="8">
                  <c:v>2.3362183741077872E-5</c:v>
                </c:pt>
                <c:pt idx="9">
                  <c:v>3.5721282920893004E-5</c:v>
                </c:pt>
                <c:pt idx="10">
                  <c:v>2.4042170640006941E-5</c:v>
                </c:pt>
                <c:pt idx="11">
                  <c:v>4.4426143988032934E-5</c:v>
                </c:pt>
                <c:pt idx="12">
                  <c:v>4.2398215986795191E-5</c:v>
                </c:pt>
                <c:pt idx="13">
                  <c:v>4.5201951335799081E-5</c:v>
                </c:pt>
                <c:pt idx="14">
                  <c:v>5.1457962677353359E-5</c:v>
                </c:pt>
                <c:pt idx="15">
                  <c:v>2.9330649360335111E-5</c:v>
                </c:pt>
                <c:pt idx="16">
                  <c:v>4.7684705993977505E-5</c:v>
                </c:pt>
                <c:pt idx="17">
                  <c:v>4.5087463852426186E-5</c:v>
                </c:pt>
                <c:pt idx="18">
                  <c:v>4.2225359162555657E-5</c:v>
                </c:pt>
                <c:pt idx="19">
                  <c:v>3.8357526803285767E-5</c:v>
                </c:pt>
                <c:pt idx="20">
                  <c:v>4.2905665804550534E-5</c:v>
                </c:pt>
                <c:pt idx="21">
                  <c:v>4.2054757473819577E-5</c:v>
                </c:pt>
                <c:pt idx="22">
                  <c:v>4.3820135158344691E-5</c:v>
                </c:pt>
                <c:pt idx="23">
                  <c:v>4.6768147308915043E-5</c:v>
                </c:pt>
                <c:pt idx="24">
                  <c:v>4.3089452441092485E-5</c:v>
                </c:pt>
                <c:pt idx="25">
                  <c:v>4.9000998943883862E-5</c:v>
                </c:pt>
                <c:pt idx="26">
                  <c:v>4.5983269928987138E-5</c:v>
                </c:pt>
                <c:pt idx="27">
                  <c:v>3.8712540119584886E-5</c:v>
                </c:pt>
                <c:pt idx="28">
                  <c:v>3.8282863704971066E-5</c:v>
                </c:pt>
                <c:pt idx="29">
                  <c:v>3.3393158828005554E-5</c:v>
                </c:pt>
                <c:pt idx="30">
                  <c:v>4.1687781692839739E-5</c:v>
                </c:pt>
                <c:pt idx="31">
                  <c:v>4.3957932580510489E-5</c:v>
                </c:pt>
                <c:pt idx="32">
                  <c:v>5.3401385837417618E-5</c:v>
                </c:pt>
                <c:pt idx="33">
                  <c:v>5.2870099892569856E-5</c:v>
                </c:pt>
                <c:pt idx="34">
                  <c:v>5.5735571372906827E-5</c:v>
                </c:pt>
                <c:pt idx="35">
                  <c:v>5.3391950935666017E-5</c:v>
                </c:pt>
                <c:pt idx="36">
                  <c:v>5.7898962354419034E-5</c:v>
                </c:pt>
                <c:pt idx="37">
                  <c:v>5.110245740074901E-5</c:v>
                </c:pt>
                <c:pt idx="38">
                  <c:v>4.3803821025894949E-5</c:v>
                </c:pt>
                <c:pt idx="39">
                  <c:v>4.0194470376173465E-5</c:v>
                </c:pt>
                <c:pt idx="40">
                  <c:v>3.7899997922762516E-5</c:v>
                </c:pt>
                <c:pt idx="41">
                  <c:v>4.2109185540693669E-5</c:v>
                </c:pt>
                <c:pt idx="42">
                  <c:v>3.7040254397273278E-5</c:v>
                </c:pt>
                <c:pt idx="43">
                  <c:v>3.852300206508146E-5</c:v>
                </c:pt>
                <c:pt idx="44">
                  <c:v>4.6850587958716118E-5</c:v>
                </c:pt>
                <c:pt idx="45">
                  <c:v>4.9307171815040982E-5</c:v>
                </c:pt>
                <c:pt idx="46">
                  <c:v>4.8610977924975404E-5</c:v>
                </c:pt>
                <c:pt idx="47">
                  <c:v>5.3984573706976779E-5</c:v>
                </c:pt>
                <c:pt idx="48">
                  <c:v>4.8102730689479681E-5</c:v>
                </c:pt>
                <c:pt idx="49">
                  <c:v>4.8497210560536854E-5</c:v>
                </c:pt>
                <c:pt idx="50">
                  <c:v>4.2031440947011202E-5</c:v>
                </c:pt>
                <c:pt idx="51">
                  <c:v>4.4451230716322463E-5</c:v>
                </c:pt>
                <c:pt idx="52">
                  <c:v>4.5410826854080959E-5</c:v>
                </c:pt>
                <c:pt idx="53">
                  <c:v>4.8072098999976019E-5</c:v>
                </c:pt>
                <c:pt idx="54">
                  <c:v>4.9794079141711981E-5</c:v>
                </c:pt>
                <c:pt idx="55">
                  <c:v>4.0182299285257238E-5</c:v>
                </c:pt>
                <c:pt idx="56">
                  <c:v>4.9700053981721818E-5</c:v>
                </c:pt>
                <c:pt idx="57">
                  <c:v>4.7541183448056304E-5</c:v>
                </c:pt>
                <c:pt idx="58">
                  <c:v>5.3808253296181566E-5</c:v>
                </c:pt>
                <c:pt idx="59">
                  <c:v>3.7541468657537154E-5</c:v>
                </c:pt>
                <c:pt idx="60">
                  <c:v>4.3269539909637379E-5</c:v>
                </c:pt>
                <c:pt idx="61">
                  <c:v>4.2472010987906605E-5</c:v>
                </c:pt>
                <c:pt idx="62">
                  <c:v>3.3981688966107166E-5</c:v>
                </c:pt>
                <c:pt idx="63">
                  <c:v>2.6632071712197516E-5</c:v>
                </c:pt>
                <c:pt idx="64">
                  <c:v>2.442442873718906E-5</c:v>
                </c:pt>
                <c:pt idx="65">
                  <c:v>4.1949128763433314E-5</c:v>
                </c:pt>
                <c:pt idx="66">
                  <c:v>3.6619224745344788E-5</c:v>
                </c:pt>
                <c:pt idx="67">
                  <c:v>2.873754418687204E-5</c:v>
                </c:pt>
                <c:pt idx="68">
                  <c:v>3.3539651943343689E-5</c:v>
                </c:pt>
                <c:pt idx="69">
                  <c:v>3.7956449442598339E-5</c:v>
                </c:pt>
                <c:pt idx="70">
                  <c:v>4.897940678910159E-5</c:v>
                </c:pt>
                <c:pt idx="71">
                  <c:v>5.375726624343601E-5</c:v>
                </c:pt>
                <c:pt idx="72">
                  <c:v>4.3059173312397198E-5</c:v>
                </c:pt>
                <c:pt idx="73">
                  <c:v>4.4670560237014011E-5</c:v>
                </c:pt>
                <c:pt idx="74">
                  <c:v>3.9431899107414709E-5</c:v>
                </c:pt>
                <c:pt idx="75">
                  <c:v>3.6020672408372963E-5</c:v>
                </c:pt>
                <c:pt idx="76">
                  <c:v>4.0369636718993284E-5</c:v>
                </c:pt>
                <c:pt idx="77">
                  <c:v>3.5263354933637722E-5</c:v>
                </c:pt>
                <c:pt idx="78">
                  <c:v>3.9603501962139687E-5</c:v>
                </c:pt>
                <c:pt idx="79">
                  <c:v>4.4660532214635213E-5</c:v>
                </c:pt>
                <c:pt idx="80">
                  <c:v>5.105976995864695E-5</c:v>
                </c:pt>
                <c:pt idx="81">
                  <c:v>5.1750355314852347E-5</c:v>
                </c:pt>
                <c:pt idx="82">
                  <c:v>4.808698024968285E-5</c:v>
                </c:pt>
                <c:pt idx="83">
                  <c:v>4.1866945070569425E-5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1-4A68-B4C0-26FEFA6043F1}"/>
            </c:ext>
          </c:extLst>
        </c:ser>
        <c:ser>
          <c:idx val="2"/>
          <c:order val="2"/>
          <c:tx>
            <c:strRef>
              <c:f>daily!$J$7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3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daily!$J$18:$J$114</c:f>
              <c:numCache>
                <c:formatCode>0.00</c:formatCode>
                <c:ptCount val="97"/>
                <c:pt idx="3" formatCode="0.000000">
                  <c:v>2.8062640961098989E-5</c:v>
                </c:pt>
                <c:pt idx="4" formatCode="0.000000">
                  <c:v>2.1880084126248533E-5</c:v>
                </c:pt>
                <c:pt idx="5" formatCode="0.000000">
                  <c:v>2.9213314195140167E-5</c:v>
                </c:pt>
                <c:pt idx="6" formatCode="0.000000">
                  <c:v>3.7457023873012993E-5</c:v>
                </c:pt>
                <c:pt idx="7" formatCode="0.000000">
                  <c:v>2.2268130261641067E-5</c:v>
                </c:pt>
                <c:pt idx="8" formatCode="0.000000">
                  <c:v>2.0667099776131046E-5</c:v>
                </c:pt>
                <c:pt idx="9" formatCode="0.000000">
                  <c:v>2.3550121982032619E-5</c:v>
                </c:pt>
                <c:pt idx="10" formatCode="0.000000">
                  <c:v>2.1956360095831593E-5</c:v>
                </c:pt>
                <c:pt idx="11" formatCode="0.000000">
                  <c:v>1.7715846310601137E-5</c:v>
                </c:pt>
                <c:pt idx="12" formatCode="0.000000">
                  <c:v>2.8297219511692752E-5</c:v>
                </c:pt>
                <c:pt idx="13" formatCode="0.000000">
                  <c:v>2.8660691714133207E-5</c:v>
                </c:pt>
                <c:pt idx="14" formatCode="0.000000">
                  <c:v>2.9321142937430137E-5</c:v>
                </c:pt>
                <c:pt idx="15" formatCode="0.000000">
                  <c:v>3.0852154480806336E-5</c:v>
                </c:pt>
                <c:pt idx="16" formatCode="0.000000">
                  <c:v>2.8592442494935716E-5</c:v>
                </c:pt>
                <c:pt idx="17" formatCode="0.000000">
                  <c:v>4.9730858656221829E-5</c:v>
                </c:pt>
                <c:pt idx="18" formatCode="0.000000">
                  <c:v>5.1441779180877755E-5</c:v>
                </c:pt>
                <c:pt idx="19" formatCode="0.000000">
                  <c:v>4.2632966048656138E-5</c:v>
                </c:pt>
                <c:pt idx="20" formatCode="0.000000">
                  <c:v>4.4960957952967429E-5</c:v>
                </c:pt>
                <c:pt idx="21" formatCode="0.000000">
                  <c:v>4.7811304717382071E-5</c:v>
                </c:pt>
                <c:pt idx="22" formatCode="0.000000">
                  <c:v>4.353354155725697E-5</c:v>
                </c:pt>
                <c:pt idx="23" formatCode="0.000000">
                  <c:v>3.758332869341621E-5</c:v>
                </c:pt>
                <c:pt idx="24" formatCode="0.000000">
                  <c:v>3.7837550781976048E-5</c:v>
                </c:pt>
                <c:pt idx="25" formatCode="0.000000">
                  <c:v>3.0463301444090121E-5</c:v>
                </c:pt>
                <c:pt idx="26" formatCode="0.000000">
                  <c:v>3.4218450588557355E-5</c:v>
                </c:pt>
                <c:pt idx="27" formatCode="0.000000">
                  <c:v>3.1062916525471594E-5</c:v>
                </c:pt>
                <c:pt idx="28" formatCode="0.000000">
                  <c:v>3.7435527702290498E-5</c:v>
                </c:pt>
                <c:pt idx="29" formatCode="0.000000">
                  <c:v>3.6037216616432976E-5</c:v>
                </c:pt>
                <c:pt idx="30" formatCode="0.000000">
                  <c:v>3.6555840544622103E-5</c:v>
                </c:pt>
                <c:pt idx="31" formatCode="0.000000">
                  <c:v>3.6500089649342996E-5</c:v>
                </c:pt>
                <c:pt idx="32" formatCode="0.000000">
                  <c:v>3.1985132749974322E-5</c:v>
                </c:pt>
                <c:pt idx="33" formatCode="0.000000">
                  <c:v>3.545054418887313E-5</c:v>
                </c:pt>
                <c:pt idx="34" formatCode="0.000000">
                  <c:v>2.9120559114735005E-5</c:v>
                </c:pt>
                <c:pt idx="35" formatCode="0.000000">
                  <c:v>3.230581269677176E-5</c:v>
                </c:pt>
                <c:pt idx="36" formatCode="0.000000">
                  <c:v>3.1170719261338194E-5</c:v>
                </c:pt>
                <c:pt idx="37" formatCode="0.000000">
                  <c:v>3.3695966111485512E-5</c:v>
                </c:pt>
                <c:pt idx="38" formatCode="0.000000">
                  <c:v>4.034427111350188E-5</c:v>
                </c:pt>
                <c:pt idx="39" formatCode="0.000000">
                  <c:v>4.4968786371812509E-5</c:v>
                </c:pt>
                <c:pt idx="40" formatCode="0.000000">
                  <c:v>4.9515550559391896E-5</c:v>
                </c:pt>
                <c:pt idx="41" formatCode="0.000000">
                  <c:v>4.9205964032462461E-5</c:v>
                </c:pt>
                <c:pt idx="42" formatCode="0.000000">
                  <c:v>4.7500135714673477E-5</c:v>
                </c:pt>
                <c:pt idx="43" formatCode="0.000000">
                  <c:v>3.7859928636627662E-5</c:v>
                </c:pt>
                <c:pt idx="44" formatCode="0.000000">
                  <c:v>4.1151437289224348E-5</c:v>
                </c:pt>
                <c:pt idx="45" formatCode="0.000000">
                  <c:v>3.6771026341426142E-5</c:v>
                </c:pt>
                <c:pt idx="46" formatCode="0.000000">
                  <c:v>3.7470386307595612E-5</c:v>
                </c:pt>
                <c:pt idx="47" formatCode="0.000000">
                  <c:v>4.25590878498753E-5</c:v>
                </c:pt>
                <c:pt idx="48" formatCode="0.000000">
                  <c:v>3.5256071294068891E-5</c:v>
                </c:pt>
                <c:pt idx="49" formatCode="0.000000">
                  <c:v>4.237386519306229E-5</c:v>
                </c:pt>
                <c:pt idx="50" formatCode="0.000000">
                  <c:v>3.7471896077941544E-5</c:v>
                </c:pt>
                <c:pt idx="51" formatCode="0.000000">
                  <c:v>4.2808624163931017E-5</c:v>
                </c:pt>
                <c:pt idx="52" formatCode="0.000000">
                  <c:v>3.9412064728520424E-5</c:v>
                </c:pt>
                <c:pt idx="53" formatCode="0.000000">
                  <c:v>3.9044101241974271E-5</c:v>
                </c:pt>
                <c:pt idx="54" formatCode="0.000000">
                  <c:v>3.6988917195685238E-5</c:v>
                </c:pt>
                <c:pt idx="55" formatCode="0.000000">
                  <c:v>3.3423920167075912E-5</c:v>
                </c:pt>
                <c:pt idx="56" formatCode="0.000000">
                  <c:v>3.2910614770283917E-5</c:v>
                </c:pt>
                <c:pt idx="57" formatCode="0.000000">
                  <c:v>4.394843383763052E-5</c:v>
                </c:pt>
                <c:pt idx="58" formatCode="0.000000">
                  <c:v>3.5856002294784144E-5</c:v>
                </c:pt>
                <c:pt idx="59" formatCode="0.000000">
                  <c:v>4.134196355155906E-5</c:v>
                </c:pt>
                <c:pt idx="60" formatCode="0.000000">
                  <c:v>3.9651070578905625E-5</c:v>
                </c:pt>
                <c:pt idx="61" formatCode="0.000000">
                  <c:v>5.0403225806451613E-5</c:v>
                </c:pt>
                <c:pt idx="62" formatCode="0.000000">
                  <c:v>4.542701393095094E-5</c:v>
                </c:pt>
                <c:pt idx="63" formatCode="0.000000">
                  <c:v>4.1480645216469102E-5</c:v>
                </c:pt>
                <c:pt idx="64" formatCode="0.000000">
                  <c:v>4.3178907544265716E-5</c:v>
                </c:pt>
                <c:pt idx="65" formatCode="0.000000">
                  <c:v>3.89933747036742E-5</c:v>
                </c:pt>
                <c:pt idx="66" formatCode="0.000000">
                  <c:v>3.6603221083455344E-5</c:v>
                </c:pt>
                <c:pt idx="67" formatCode="0.000000">
                  <c:v>2.7085590465872156E-5</c:v>
                </c:pt>
                <c:pt idx="68" formatCode="0.000000">
                  <c:v>2.2118074651490878E-5</c:v>
                </c:pt>
                <c:pt idx="69" formatCode="0.000000">
                  <c:v>3.0613380830457535E-5</c:v>
                </c:pt>
                <c:pt idx="70" formatCode="0.000000">
                  <c:v>3.7971411028405857E-5</c:v>
                </c:pt>
                <c:pt idx="71" formatCode="0.000000">
                  <c:v>3.2168702245428591E-5</c:v>
                </c:pt>
                <c:pt idx="72" formatCode="0.000000">
                  <c:v>3.3875338753387541E-5</c:v>
                </c:pt>
                <c:pt idx="73" formatCode="0.000000">
                  <c:v>2.7969952279836515E-5</c:v>
                </c:pt>
                <c:pt idx="74" formatCode="0.000000">
                  <c:v>4.3377674956622319E-5</c:v>
                </c:pt>
                <c:pt idx="75" formatCode="0.000000">
                  <c:v>4.1298099024506067E-5</c:v>
                </c:pt>
                <c:pt idx="76" formatCode="0.000000">
                  <c:v>3.638617864266077E-5</c:v>
                </c:pt>
                <c:pt idx="77" formatCode="0.000000">
                  <c:v>3.7319310195017851E-5</c:v>
                </c:pt>
                <c:pt idx="78" formatCode="0.000000">
                  <c:v>2.17296827466319E-5</c:v>
                </c:pt>
                <c:pt idx="79" formatCode="0.000000">
                  <c:v>2.6628218117579821E-5</c:v>
                </c:pt>
                <c:pt idx="80" formatCode="0.000000">
                  <c:v>2.975046967118221E-5</c:v>
                </c:pt>
                <c:pt idx="81" formatCode="0.000000">
                  <c:v>3.1045307495110028E-5</c:v>
                </c:pt>
                <c:pt idx="82" formatCode="0.000000">
                  <c:v>3.2817012339196635E-5</c:v>
                </c:pt>
                <c:pt idx="83" formatCode="0.000000">
                  <c:v>3.6755527199090125E-5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1-4A68-B4C0-26FEFA6043F1}"/>
            </c:ext>
          </c:extLst>
        </c:ser>
        <c:ser>
          <c:idx val="3"/>
          <c:order val="3"/>
          <c:tx>
            <c:strRef>
              <c:f>daily!$K$7</c:f>
              <c:strCache>
                <c:ptCount val="1"/>
                <c:pt idx="0">
                  <c:v>2be.retain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daily!$K$18:$K$114</c:f>
              <c:numCache>
                <c:formatCode>0.00</c:formatCode>
                <c:ptCount val="97"/>
                <c:pt idx="3" formatCode="0.00000000">
                  <c:v>3.0549007131859477E-5</c:v>
                </c:pt>
                <c:pt idx="4" formatCode="0.00000000">
                  <c:v>3.2551833611033406E-5</c:v>
                </c:pt>
                <c:pt idx="5" formatCode="0.00000000">
                  <c:v>2.553274277798013E-5</c:v>
                </c:pt>
                <c:pt idx="6" formatCode="0.00000000">
                  <c:v>2.4421979565204469E-5</c:v>
                </c:pt>
                <c:pt idx="7" formatCode="0.00000000">
                  <c:v>1.9740456950102256E-5</c:v>
                </c:pt>
                <c:pt idx="8" formatCode="0.00000000">
                  <c:v>1.9748307723160136E-5</c:v>
                </c:pt>
                <c:pt idx="9" formatCode="0.00000000">
                  <c:v>2.1682317243831611E-5</c:v>
                </c:pt>
                <c:pt idx="10" formatCode="0.00000000">
                  <c:v>2.8610520024840184E-5</c:v>
                </c:pt>
                <c:pt idx="11" formatCode="0.00000000">
                  <c:v>3.3631595958089888E-5</c:v>
                </c:pt>
                <c:pt idx="12" formatCode="0.00000000">
                  <c:v>3.6479898180669435E-5</c:v>
                </c:pt>
                <c:pt idx="13" formatCode="0.00000000">
                  <c:v>3.6350955463756829E-5</c:v>
                </c:pt>
                <c:pt idx="14" formatCode="0.00000000">
                  <c:v>3.9281801992069318E-5</c:v>
                </c:pt>
                <c:pt idx="15" formatCode="0.00000000">
                  <c:v>4.3169225351187688E-5</c:v>
                </c:pt>
                <c:pt idx="16" formatCode="0.00000000">
                  <c:v>4.3229104424376605E-5</c:v>
                </c:pt>
                <c:pt idx="17" formatCode="0.00000000">
                  <c:v>4.2659063802476675E-5</c:v>
                </c:pt>
                <c:pt idx="18" formatCode="0.00000000">
                  <c:v>4.6749189615807433E-5</c:v>
                </c:pt>
                <c:pt idx="19" formatCode="0.00000000">
                  <c:v>4.6853227760520446E-5</c:v>
                </c:pt>
                <c:pt idx="20" formatCode="0.00000000">
                  <c:v>4.5965209324561209E-5</c:v>
                </c:pt>
                <c:pt idx="21" formatCode="0.00000000">
                  <c:v>4.5971260093497667E-5</c:v>
                </c:pt>
                <c:pt idx="22" formatCode="0.00000000">
                  <c:v>4.6041018270267279E-5</c:v>
                </c:pt>
                <c:pt idx="23" formatCode="0.00000000">
                  <c:v>3.9497066728757195E-5</c:v>
                </c:pt>
                <c:pt idx="24" formatCode="0.00000000">
                  <c:v>4.0460529460184268E-5</c:v>
                </c:pt>
                <c:pt idx="25" formatCode="0.00000000">
                  <c:v>4.2140546006066735E-5</c:v>
                </c:pt>
                <c:pt idx="26" formatCode="0.00000000">
                  <c:v>4.2090938954284155E-5</c:v>
                </c:pt>
                <c:pt idx="27" formatCode="0.00000000">
                  <c:v>4.2392465830791818E-5</c:v>
                </c:pt>
                <c:pt idx="28" formatCode="0.00000000">
                  <c:v>4.2059286783872222E-5</c:v>
                </c:pt>
                <c:pt idx="29" formatCode="0.00000000">
                  <c:v>3.4184589175730579E-5</c:v>
                </c:pt>
                <c:pt idx="30" formatCode="0.00000000">
                  <c:v>3.4355274828007762E-5</c:v>
                </c:pt>
                <c:pt idx="31" formatCode="0.00000000">
                  <c:v>3.7290087541105696E-5</c:v>
                </c:pt>
                <c:pt idx="32" formatCode="0.00000000">
                  <c:v>3.9691261755119963E-5</c:v>
                </c:pt>
                <c:pt idx="33" formatCode="0.00000000">
                  <c:v>4.2321895545201747E-5</c:v>
                </c:pt>
                <c:pt idx="34" formatCode="0.00000000">
                  <c:v>4.3356301240983828E-5</c:v>
                </c:pt>
                <c:pt idx="35" formatCode="0.00000000">
                  <c:v>4.4261688830412105E-5</c:v>
                </c:pt>
                <c:pt idx="36" formatCode="0.00000000">
                  <c:v>4.46149513544219E-5</c:v>
                </c:pt>
                <c:pt idx="37" formatCode="0.00000000">
                  <c:v>4.4605420236834504E-5</c:v>
                </c:pt>
                <c:pt idx="38" formatCode="0.00000000">
                  <c:v>5.532739987285442E-5</c:v>
                </c:pt>
                <c:pt idx="39" formatCode="0.00000000">
                  <c:v>5.5299280499418052E-5</c:v>
                </c:pt>
                <c:pt idx="40" formatCode="0.00000000">
                  <c:v>5.0299528933140628E-5</c:v>
                </c:pt>
                <c:pt idx="41" formatCode="0.00000000">
                  <c:v>4.7503356790423041E-5</c:v>
                </c:pt>
                <c:pt idx="42" formatCode="0.00000000">
                  <c:v>4.777495792845123E-5</c:v>
                </c:pt>
                <c:pt idx="43" formatCode="0.00000000">
                  <c:v>4.3502406439299647E-5</c:v>
                </c:pt>
                <c:pt idx="44" formatCode="0.00000000">
                  <c:v>4.3315099566404371E-5</c:v>
                </c:pt>
                <c:pt idx="45" formatCode="0.00000000">
                  <c:v>4.5172561173616548E-5</c:v>
                </c:pt>
                <c:pt idx="46" formatCode="0.00000000">
                  <c:v>4.5233500942803263E-5</c:v>
                </c:pt>
                <c:pt idx="47" formatCode="0.00000000">
                  <c:v>4.7949468506274992E-5</c:v>
                </c:pt>
                <c:pt idx="48" formatCode="0.00000000">
                  <c:v>4.7155563616212951E-5</c:v>
                </c:pt>
                <c:pt idx="49" formatCode="0.00000000">
                  <c:v>4.6928510065244146E-5</c:v>
                </c:pt>
                <c:pt idx="50" formatCode="0.00000000">
                  <c:v>4.7081083418205576E-5</c:v>
                </c:pt>
                <c:pt idx="51" formatCode="0.00000000">
                  <c:v>4.6950583237940273E-5</c:v>
                </c:pt>
                <c:pt idx="52" formatCode="0.00000000">
                  <c:v>4.4259609588723511E-5</c:v>
                </c:pt>
                <c:pt idx="53" formatCode="0.00000000">
                  <c:v>4.2187039837378216E-5</c:v>
                </c:pt>
                <c:pt idx="54" formatCode="0.00000000">
                  <c:v>4.3149005229308167E-5</c:v>
                </c:pt>
                <c:pt idx="55" formatCode="0.00000000">
                  <c:v>4.3379005408995184E-5</c:v>
                </c:pt>
                <c:pt idx="56" formatCode="0.00000000">
                  <c:v>4.3242046601430516E-5</c:v>
                </c:pt>
                <c:pt idx="57" formatCode="0.00000000">
                  <c:v>4.6913035371830386E-5</c:v>
                </c:pt>
                <c:pt idx="58" formatCode="0.00000000">
                  <c:v>4.7130539752354537E-5</c:v>
                </c:pt>
                <c:pt idx="59" formatCode="0.00000000">
                  <c:v>4.691698221519947E-5</c:v>
                </c:pt>
                <c:pt idx="60" formatCode="0.00000000">
                  <c:v>4.699023592386994E-5</c:v>
                </c:pt>
                <c:pt idx="61" formatCode="0.00000000">
                  <c:v>4.6938430521091809E-5</c:v>
                </c:pt>
                <c:pt idx="62" formatCode="0.00000000">
                  <c:v>4.6861175045427024E-5</c:v>
                </c:pt>
                <c:pt idx="63" formatCode="0.00000000">
                  <c:v>4.1061305827816839E-5</c:v>
                </c:pt>
                <c:pt idx="64" formatCode="0.00000000">
                  <c:v>3.5178737178508057E-5</c:v>
                </c:pt>
                <c:pt idx="65" formatCode="0.00000000">
                  <c:v>3.4538399530648555E-5</c:v>
                </c:pt>
                <c:pt idx="66" formatCode="0.00000000">
                  <c:v>3.4003378758869239E-5</c:v>
                </c:pt>
                <c:pt idx="67" formatCode="0.00000000">
                  <c:v>3.7721153846153841E-5</c:v>
                </c:pt>
                <c:pt idx="68" formatCode="0.00000000">
                  <c:v>2.9225963032926048E-5</c:v>
                </c:pt>
                <c:pt idx="69" formatCode="0.00000000">
                  <c:v>2.9149671601914728E-5</c:v>
                </c:pt>
                <c:pt idx="70" formatCode="0.00000000">
                  <c:v>3.897924229530448E-5</c:v>
                </c:pt>
                <c:pt idx="71" formatCode="0.00000000">
                  <c:v>3.9097947051911247E-5</c:v>
                </c:pt>
                <c:pt idx="72" formatCode="0.00000000">
                  <c:v>3.9590473212424438E-5</c:v>
                </c:pt>
                <c:pt idx="73" formatCode="0.00000000">
                  <c:v>3.9794574970888411E-5</c:v>
                </c:pt>
                <c:pt idx="74" formatCode="0.00000000">
                  <c:v>4.5136085405822235E-5</c:v>
                </c:pt>
                <c:pt idx="75" formatCode="0.00000000">
                  <c:v>4.5123641709311904E-5</c:v>
                </c:pt>
                <c:pt idx="76" formatCode="0.00000000">
                  <c:v>3.3136569457172127E-5</c:v>
                </c:pt>
                <c:pt idx="77" formatCode="0.00000000">
                  <c:v>3.1518345143393655E-5</c:v>
                </c:pt>
                <c:pt idx="78" formatCode="0.00000000">
                  <c:v>3.1987994350282482E-5</c:v>
                </c:pt>
                <c:pt idx="79" formatCode="0.00000000">
                  <c:v>3.3792195983685346E-5</c:v>
                </c:pt>
                <c:pt idx="80" formatCode="0.00000000">
                  <c:v>4.1844357458014849E-5</c:v>
                </c:pt>
                <c:pt idx="81" formatCode="0.00000000">
                  <c:v>4.6577154917416811E-5</c:v>
                </c:pt>
                <c:pt idx="82" formatCode="0.00000000">
                  <c:v>4.5992596482016269E-5</c:v>
                </c:pt>
                <c:pt idx="83" formatCode="0.00000000">
                  <c:v>4.6519542844461696E-5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91-4A68-B4C0-26FEFA6043F1}"/>
            </c:ext>
          </c:extLst>
        </c:ser>
        <c:ser>
          <c:idx val="4"/>
          <c:order val="4"/>
          <c:tx>
            <c:v>Max.0041</c:v>
          </c:tx>
          <c:spPr>
            <a:ln w="3175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daily!$B$1:$C$1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1.6437842532467533</c:v>
                </c:pt>
              </c:numCache>
            </c:numRef>
          </c:xVal>
          <c:yVal>
            <c:numRef>
              <c:f>daily!$A$1:$A$2</c:f>
              <c:numCache>
                <c:formatCode>General</c:formatCode>
                <c:ptCount val="2"/>
                <c:pt idx="0">
                  <c:v>4.1E-5</c:v>
                </c:pt>
                <c:pt idx="1">
                  <c:v>4.1E-5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91-4A68-B4C0-26FEFA6043F1}"/>
            </c:ext>
          </c:extLst>
        </c:ser>
        <c:ser>
          <c:idx val="5"/>
          <c:order val="5"/>
          <c:tx>
            <c:strRef>
              <c:f>daily!$AC$24</c:f>
              <c:strCache>
                <c:ptCount val="1"/>
                <c:pt idx="0">
                  <c:v>used.90%</c:v>
                </c:pt>
              </c:strCache>
            </c:strRef>
          </c:tx>
          <c:spPr>
            <a:ln w="3175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daily!$AC$25:$AC$31</c:f>
              <c:numCache>
                <c:formatCode>0.000000</c:formatCode>
                <c:ptCount val="7"/>
                <c:pt idx="0">
                  <c:v>1.9412172547631947E-5</c:v>
                </c:pt>
                <c:pt idx="1">
                  <c:v>2.4042170640006941E-5</c:v>
                </c:pt>
                <c:pt idx="2">
                  <c:v>3.3981688966107166E-5</c:v>
                </c:pt>
                <c:pt idx="3">
                  <c:v>3.9431899107414709E-5</c:v>
                </c:pt>
                <c:pt idx="4">
                  <c:v>4.0182299285257238E-5</c:v>
                </c:pt>
                <c:pt idx="5">
                  <c:v>4.4451230716322463E-5</c:v>
                </c:pt>
                <c:pt idx="6">
                  <c:v>4.8072098999976019E-5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91-4A68-B4C0-26FEFA6043F1}"/>
            </c:ext>
          </c:extLst>
        </c:ser>
        <c:ser>
          <c:idx val="6"/>
          <c:order val="6"/>
          <c:tx>
            <c:strRef>
              <c:f>daily!$AC$33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993300"/>
              </a:solidFill>
              <a:prstDash val="lgDashDot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daily!$AC$34:$AC$40</c:f>
              <c:numCache>
                <c:formatCode>0.000000</c:formatCode>
                <c:ptCount val="7"/>
                <c:pt idx="0">
                  <c:v>2.5273945660419773E-5</c:v>
                </c:pt>
                <c:pt idx="1">
                  <c:v>2.6258403776894503E-5</c:v>
                </c:pt>
                <c:pt idx="2">
                  <c:v>3.7031596164625694E-5</c:v>
                </c:pt>
                <c:pt idx="3">
                  <c:v>3.8662413159288462E-5</c:v>
                </c:pt>
                <c:pt idx="4" formatCode="0.000">
                  <c:v>#N/A</c:v>
                </c:pt>
                <c:pt idx="5">
                  <c:v>4.6449758476192052E-5</c:v>
                </c:pt>
                <c:pt idx="6">
                  <c:v>4.9526157302356612E-5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91-4A68-B4C0-26FEFA60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3232"/>
        <c:axId val="1"/>
      </c:scatterChart>
      <c:valAx>
        <c:axId val="1886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2829181494661919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6.0000000000000002E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in  %/mile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53403141361256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%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832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44483985765109"/>
          <c:y val="0.34816753926701577"/>
          <c:w val="0.12099644128113876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 BC System M.V. vs. PGT Losses</a:t>
            </a:r>
          </a:p>
        </c:rich>
      </c:tx>
      <c:layout>
        <c:manualLayout>
          <c:xMode val="edge"/>
          <c:yMode val="edge"/>
          <c:x val="0.22549069082174844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630892673033"/>
          <c:y val="0.17802255115433283"/>
          <c:w val="0.78431544633651629"/>
          <c:h val="0.639562498591491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filings!$P$56:$P$121</c:f>
              <c:numCache>
                <c:formatCode>0.0</c:formatCode>
                <c:ptCount val="66"/>
                <c:pt idx="0">
                  <c:v>57.258000000000003</c:v>
                </c:pt>
                <c:pt idx="1">
                  <c:v>71.844999999999999</c:v>
                </c:pt>
                <c:pt idx="2">
                  <c:v>-1.7849999999999999</c:v>
                </c:pt>
                <c:pt idx="3">
                  <c:v>123.15</c:v>
                </c:pt>
                <c:pt idx="4">
                  <c:v>-63.433</c:v>
                </c:pt>
                <c:pt idx="5">
                  <c:v>-162.03200000000001</c:v>
                </c:pt>
                <c:pt idx="6">
                  <c:v>17.978000000000002</c:v>
                </c:pt>
                <c:pt idx="7">
                  <c:v>123.66500000000001</c:v>
                </c:pt>
                <c:pt idx="8">
                  <c:v>-85.350999999999999</c:v>
                </c:pt>
                <c:pt idx="9">
                  <c:v>134.18700000000001</c:v>
                </c:pt>
                <c:pt idx="10">
                  <c:v>-59.137</c:v>
                </c:pt>
                <c:pt idx="11">
                  <c:v>84.739000000000004</c:v>
                </c:pt>
                <c:pt idx="12">
                  <c:v>-99.911000000000001</c:v>
                </c:pt>
                <c:pt idx="13">
                  <c:v>-10.305999999999999</c:v>
                </c:pt>
                <c:pt idx="14">
                  <c:v>-44.44</c:v>
                </c:pt>
                <c:pt idx="15">
                  <c:v>16.253</c:v>
                </c:pt>
                <c:pt idx="16">
                  <c:v>209.73400000000001</c:v>
                </c:pt>
                <c:pt idx="17">
                  <c:v>-48.985999999999997</c:v>
                </c:pt>
                <c:pt idx="18">
                  <c:v>103.751</c:v>
                </c:pt>
                <c:pt idx="19">
                  <c:v>-10.227</c:v>
                </c:pt>
                <c:pt idx="20">
                  <c:v>221.00299999999999</c:v>
                </c:pt>
                <c:pt idx="21">
                  <c:v>-353.25900000000001</c:v>
                </c:pt>
                <c:pt idx="22">
                  <c:v>-73.004000000000005</c:v>
                </c:pt>
                <c:pt idx="23">
                  <c:v>-68.061000000000007</c:v>
                </c:pt>
                <c:pt idx="24">
                  <c:v>-157.21299999999999</c:v>
                </c:pt>
                <c:pt idx="25">
                  <c:v>-340.49799999999999</c:v>
                </c:pt>
                <c:pt idx="26">
                  <c:v>-305.10700000000003</c:v>
                </c:pt>
                <c:pt idx="27">
                  <c:v>63.145000000000003</c:v>
                </c:pt>
                <c:pt idx="28">
                  <c:v>-73.617000000000004</c:v>
                </c:pt>
                <c:pt idx="29">
                  <c:v>-87.924999999999997</c:v>
                </c:pt>
                <c:pt idx="30">
                  <c:v>-99.840999999999994</c:v>
                </c:pt>
                <c:pt idx="31">
                  <c:v>-70.756</c:v>
                </c:pt>
                <c:pt idx="32">
                  <c:v>81.646000000000001</c:v>
                </c:pt>
                <c:pt idx="33">
                  <c:v>224.08500000000001</c:v>
                </c:pt>
                <c:pt idx="34">
                  <c:v>0.93400000000000005</c:v>
                </c:pt>
                <c:pt idx="35">
                  <c:v>-94.382999999999996</c:v>
                </c:pt>
                <c:pt idx="36">
                  <c:v>-178.28100000000001</c:v>
                </c:pt>
                <c:pt idx="37">
                  <c:v>-101.38800000000001</c:v>
                </c:pt>
                <c:pt idx="38">
                  <c:v>132.41300000000001</c:v>
                </c:pt>
                <c:pt idx="39">
                  <c:v>13.686</c:v>
                </c:pt>
                <c:pt idx="40">
                  <c:v>-2.9430000000000001</c:v>
                </c:pt>
                <c:pt idx="41">
                  <c:v>38.533999999999999</c:v>
                </c:pt>
                <c:pt idx="42">
                  <c:v>143.06800000000001</c:v>
                </c:pt>
                <c:pt idx="43">
                  <c:v>219.155</c:v>
                </c:pt>
                <c:pt idx="44">
                  <c:v>126.595</c:v>
                </c:pt>
                <c:pt idx="45">
                  <c:v>-73.159000000000006</c:v>
                </c:pt>
              </c:numCache>
            </c:numRef>
          </c:xVal>
          <c:yVal>
            <c:numRef>
              <c:f>filings!$AH$56:$AH$121</c:f>
              <c:numCache>
                <c:formatCode>0.0</c:formatCode>
                <c:ptCount val="66"/>
                <c:pt idx="0">
                  <c:v>43.826999999999998</c:v>
                </c:pt>
                <c:pt idx="1">
                  <c:v>98.337000000000003</c:v>
                </c:pt>
                <c:pt idx="2">
                  <c:v>80.628</c:v>
                </c:pt>
                <c:pt idx="3">
                  <c:v>206.28899999999999</c:v>
                </c:pt>
                <c:pt idx="4">
                  <c:v>200.84200000000001</c:v>
                </c:pt>
                <c:pt idx="5">
                  <c:v>-92.587000000000003</c:v>
                </c:pt>
                <c:pt idx="6">
                  <c:v>41.628</c:v>
                </c:pt>
                <c:pt idx="7">
                  <c:v>87.236000000000004</c:v>
                </c:pt>
                <c:pt idx="8">
                  <c:v>210.07499999999999</c:v>
                </c:pt>
                <c:pt idx="9">
                  <c:v>-165.90600000000001</c:v>
                </c:pt>
                <c:pt idx="10">
                  <c:v>250.95500000000001</c:v>
                </c:pt>
                <c:pt idx="11">
                  <c:v>250.898</c:v>
                </c:pt>
                <c:pt idx="12">
                  <c:v>294.755</c:v>
                </c:pt>
                <c:pt idx="13">
                  <c:v>214.08500000000001</c:v>
                </c:pt>
                <c:pt idx="14">
                  <c:v>237.196</c:v>
                </c:pt>
                <c:pt idx="15">
                  <c:v>137.315</c:v>
                </c:pt>
                <c:pt idx="16">
                  <c:v>-9.6590000000000007</c:v>
                </c:pt>
                <c:pt idx="17">
                  <c:v>176.625</c:v>
                </c:pt>
                <c:pt idx="18">
                  <c:v>298.387</c:v>
                </c:pt>
                <c:pt idx="19">
                  <c:v>213.47300000000001</c:v>
                </c:pt>
                <c:pt idx="20">
                  <c:v>-34.921999999999997</c:v>
                </c:pt>
                <c:pt idx="21">
                  <c:v>225.15299999999999</c:v>
                </c:pt>
                <c:pt idx="22">
                  <c:v>266.86799999999999</c:v>
                </c:pt>
                <c:pt idx="23">
                  <c:v>261.50299999999999</c:v>
                </c:pt>
                <c:pt idx="24">
                  <c:v>237.51</c:v>
                </c:pt>
                <c:pt idx="25">
                  <c:v>226.61799999999999</c:v>
                </c:pt>
                <c:pt idx="26">
                  <c:v>186.77099999999999</c:v>
                </c:pt>
                <c:pt idx="27">
                  <c:v>270.84399999999999</c:v>
                </c:pt>
                <c:pt idx="28">
                  <c:v>260.34800000000001</c:v>
                </c:pt>
                <c:pt idx="29">
                  <c:v>219.47399999999999</c:v>
                </c:pt>
                <c:pt idx="30">
                  <c:v>225.62100000000001</c:v>
                </c:pt>
                <c:pt idx="31">
                  <c:v>204.88800000000001</c:v>
                </c:pt>
                <c:pt idx="32">
                  <c:v>170.767</c:v>
                </c:pt>
                <c:pt idx="33">
                  <c:v>187.97300000000001</c:v>
                </c:pt>
                <c:pt idx="34">
                  <c:v>246.006</c:v>
                </c:pt>
                <c:pt idx="35">
                  <c:v>324.41399999999999</c:v>
                </c:pt>
                <c:pt idx="36">
                  <c:v>387.28100000000001</c:v>
                </c:pt>
                <c:pt idx="37">
                  <c:v>314.41300000000001</c:v>
                </c:pt>
                <c:pt idx="38">
                  <c:v>-9.7230000000000008</c:v>
                </c:pt>
                <c:pt idx="39">
                  <c:v>172.62700000000001</c:v>
                </c:pt>
                <c:pt idx="40">
                  <c:v>137.14500000000001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D-4216-A754-BDFA1BB4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2576"/>
        <c:axId val="1"/>
      </c:scatterChart>
      <c:valAx>
        <c:axId val="188682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PGT Monthly &lt;Gain&gt;/Loss in Mdt</a:t>
                </a:r>
              </a:p>
            </c:rich>
          </c:tx>
          <c:layout>
            <c:manualLayout>
              <c:xMode val="edge"/>
              <c:yMode val="edge"/>
              <c:x val="0.34313800777222592"/>
              <c:y val="0.896706183592194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TC BC &lt;Gain&gt;/Loss in TJ</a:t>
                </a:r>
              </a:p>
            </c:rich>
          </c:tx>
          <c:layout>
            <c:manualLayout>
              <c:xMode val="edge"/>
              <c:yMode val="edge"/>
              <c:x val="3.1045819750820439E-2"/>
              <c:y val="0.28351739628282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82576"/>
        <c:crossesAt val="-10000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Fuel vs. Throughput 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 fuel-solid diamonds)</a:t>
            </a:r>
          </a:p>
        </c:rich>
      </c:tx>
      <c:layout>
        <c:manualLayout>
          <c:xMode val="edge"/>
          <c:yMode val="edge"/>
          <c:x val="0.2562277580071173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725978647686826E-2"/>
          <c:y val="0.13612565445026181"/>
          <c:w val="0.78291814946619209"/>
          <c:h val="0.75523560209424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daily!$N$7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daily!$N$18:$N$114</c:f>
              <c:numCache>
                <c:formatCode>0.0</c:formatCode>
                <c:ptCount val="97"/>
                <c:pt idx="0">
                  <c:v>26.102566666666668</c:v>
                </c:pt>
                <c:pt idx="1">
                  <c:v>29.328967741935482</c:v>
                </c:pt>
                <c:pt idx="2">
                  <c:v>29.713806451612903</c:v>
                </c:pt>
                <c:pt idx="3">
                  <c:v>31.8445</c:v>
                </c:pt>
                <c:pt idx="4">
                  <c:v>25.274225806451611</c:v>
                </c:pt>
                <c:pt idx="5">
                  <c:v>27.060799999999997</c:v>
                </c:pt>
                <c:pt idx="6">
                  <c:v>24.374225806451612</c:v>
                </c:pt>
                <c:pt idx="7">
                  <c:v>28.431066666666666</c:v>
                </c:pt>
                <c:pt idx="8">
                  <c:v>38.932612903225809</c:v>
                </c:pt>
                <c:pt idx="9">
                  <c:v>41.596387096774194</c:v>
                </c:pt>
                <c:pt idx="10">
                  <c:v>37.655099999999997</c:v>
                </c:pt>
                <c:pt idx="11">
                  <c:v>39.028677419354835</c:v>
                </c:pt>
                <c:pt idx="12">
                  <c:v>41.614666666666672</c:v>
                </c:pt>
                <c:pt idx="13">
                  <c:v>49.89725806451613</c:v>
                </c:pt>
                <c:pt idx="14">
                  <c:v>48.348580645161292</c:v>
                </c:pt>
                <c:pt idx="15">
                  <c:v>42.732928571428566</c:v>
                </c:pt>
                <c:pt idx="16">
                  <c:v>51.499129032258061</c:v>
                </c:pt>
                <c:pt idx="17">
                  <c:v>45.113799999999998</c:v>
                </c:pt>
                <c:pt idx="18">
                  <c:v>39.246838709677419</c:v>
                </c:pt>
                <c:pt idx="19">
                  <c:v>40.066966666666666</c:v>
                </c:pt>
                <c:pt idx="20">
                  <c:v>42.607129032258065</c:v>
                </c:pt>
                <c:pt idx="21">
                  <c:v>47.647129032258064</c:v>
                </c:pt>
                <c:pt idx="22">
                  <c:v>47.328566666666667</c:v>
                </c:pt>
                <c:pt idx="23">
                  <c:v>46.576322580645162</c:v>
                </c:pt>
                <c:pt idx="24">
                  <c:v>46.967200000000005</c:v>
                </c:pt>
                <c:pt idx="25">
                  <c:v>53.079032258064515</c:v>
                </c:pt>
                <c:pt idx="26">
                  <c:v>46.769774193548386</c:v>
                </c:pt>
                <c:pt idx="27">
                  <c:v>38.990724137931032</c:v>
                </c:pt>
                <c:pt idx="28">
                  <c:v>34.634387096774191</c:v>
                </c:pt>
                <c:pt idx="29">
                  <c:v>35.823799999999999</c:v>
                </c:pt>
                <c:pt idx="30">
                  <c:v>43.540129032258065</c:v>
                </c:pt>
                <c:pt idx="31">
                  <c:v>50.595266666666667</c:v>
                </c:pt>
                <c:pt idx="32">
                  <c:v>52.680774193548388</c:v>
                </c:pt>
                <c:pt idx="33">
                  <c:v>51.980258064516129</c:v>
                </c:pt>
                <c:pt idx="34">
                  <c:v>56.388833333333331</c:v>
                </c:pt>
                <c:pt idx="35">
                  <c:v>55.451967741935484</c:v>
                </c:pt>
                <c:pt idx="36">
                  <c:v>65.191766666666666</c:v>
                </c:pt>
                <c:pt idx="37">
                  <c:v>59.907064516129033</c:v>
                </c:pt>
                <c:pt idx="38">
                  <c:v>50.62216129032258</c:v>
                </c:pt>
                <c:pt idx="39">
                  <c:v>46.586857142857141</c:v>
                </c:pt>
                <c:pt idx="40">
                  <c:v>48.727032258064519</c:v>
                </c:pt>
                <c:pt idx="41">
                  <c:v>48.681699999999999</c:v>
                </c:pt>
                <c:pt idx="42">
                  <c:v>46.932064516129032</c:v>
                </c:pt>
                <c:pt idx="43">
                  <c:v>54.199466666666666</c:v>
                </c:pt>
                <c:pt idx="44">
                  <c:v>59.030774193548389</c:v>
                </c:pt>
                <c:pt idx="45">
                  <c:v>61.103741935483868</c:v>
                </c:pt>
                <c:pt idx="46">
                  <c:v>66.394199999999998</c:v>
                </c:pt>
                <c:pt idx="47">
                  <c:v>66.880451612903215</c:v>
                </c:pt>
                <c:pt idx="48">
                  <c:v>68.586333333333343</c:v>
                </c:pt>
                <c:pt idx="49">
                  <c:v>62.230322580645165</c:v>
                </c:pt>
                <c:pt idx="50">
                  <c:v>57.434935483870966</c:v>
                </c:pt>
                <c:pt idx="51">
                  <c:v>60.090714285714284</c:v>
                </c:pt>
                <c:pt idx="52">
                  <c:v>64.092741935483872</c:v>
                </c:pt>
                <c:pt idx="53">
                  <c:v>64.737833333333327</c:v>
                </c:pt>
                <c:pt idx="54">
                  <c:v>57.619774193548388</c:v>
                </c:pt>
                <c:pt idx="55">
                  <c:v>54.679133333333333</c:v>
                </c:pt>
                <c:pt idx="56">
                  <c:v>62.194483870967744</c:v>
                </c:pt>
                <c:pt idx="57">
                  <c:v>62.550225806451614</c:v>
                </c:pt>
                <c:pt idx="58">
                  <c:v>64.647733333333335</c:v>
                </c:pt>
                <c:pt idx="59">
                  <c:v>59.845290322580645</c:v>
                </c:pt>
                <c:pt idx="60">
                  <c:v>59.755000000000003</c:v>
                </c:pt>
                <c:pt idx="61">
                  <c:v>58.43</c:v>
                </c:pt>
                <c:pt idx="62">
                  <c:v>47.922000000000004</c:v>
                </c:pt>
                <c:pt idx="63">
                  <c:v>45.404964285714286</c:v>
                </c:pt>
                <c:pt idx="64">
                  <c:v>38.247903225806446</c:v>
                </c:pt>
                <c:pt idx="65">
                  <c:v>50.576999999999998</c:v>
                </c:pt>
                <c:pt idx="66">
                  <c:v>45.71</c:v>
                </c:pt>
                <c:pt idx="67">
                  <c:v>35.313533333333332</c:v>
                </c:pt>
                <c:pt idx="68">
                  <c:v>42.772870967741937</c:v>
                </c:pt>
                <c:pt idx="69">
                  <c:v>48.598258064516131</c:v>
                </c:pt>
                <c:pt idx="70">
                  <c:v>60.2988</c:v>
                </c:pt>
                <c:pt idx="71">
                  <c:v>61.913483870967738</c:v>
                </c:pt>
                <c:pt idx="72">
                  <c:v>55.316733333333332</c:v>
                </c:pt>
                <c:pt idx="73">
                  <c:v>62.382967741935488</c:v>
                </c:pt>
                <c:pt idx="74">
                  <c:v>57.518225806451618</c:v>
                </c:pt>
                <c:pt idx="75">
                  <c:v>51.166689655172419</c:v>
                </c:pt>
                <c:pt idx="76">
                  <c:v>47.385967741935481</c:v>
                </c:pt>
                <c:pt idx="77">
                  <c:v>41.184899999999999</c:v>
                </c:pt>
                <c:pt idx="78">
                  <c:v>49.649096774193552</c:v>
                </c:pt>
                <c:pt idx="79">
                  <c:v>56.182166666666667</c:v>
                </c:pt>
                <c:pt idx="80">
                  <c:v>62.428870967741936</c:v>
                </c:pt>
                <c:pt idx="81">
                  <c:v>57.181870967741936</c:v>
                </c:pt>
                <c:pt idx="82">
                  <c:v>57.021766666666664</c:v>
                </c:pt>
                <c:pt idx="83">
                  <c:v>56.361258064516129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E-4E11-88BE-59094F9192EA}"/>
            </c:ext>
          </c:extLst>
        </c:ser>
        <c:ser>
          <c:idx val="5"/>
          <c:order val="1"/>
          <c:tx>
            <c:strRef>
              <c:f>regr!$D$7</c:f>
              <c:strCache>
                <c:ptCount val="1"/>
                <c:pt idx="0">
                  <c:v>regr.fuel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regr!$B$1:$B$2</c:f>
              <c:numCache>
                <c:formatCode>General</c:formatCode>
                <c:ptCount val="2"/>
                <c:pt idx="0">
                  <c:v>0</c:v>
                </c:pt>
                <c:pt idx="1">
                  <c:v>1.45</c:v>
                </c:pt>
              </c:numCache>
            </c:numRef>
          </c:xVal>
          <c:yVal>
            <c:numRef>
              <c:f>regr!$D$1:$D$2</c:f>
              <c:numCache>
                <c:formatCode>0.0</c:formatCode>
                <c:ptCount val="2"/>
                <c:pt idx="0">
                  <c:v>-73.626719302339922</c:v>
                </c:pt>
                <c:pt idx="1">
                  <c:v>73.169918351230962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E-4E11-88BE-59094F9192EA}"/>
            </c:ext>
          </c:extLst>
        </c:ser>
        <c:ser>
          <c:idx val="4"/>
          <c:order val="2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E-4E11-88BE-59094F9192EA}"/>
            </c:ext>
          </c:extLst>
        </c:ser>
        <c:ser>
          <c:idx val="1"/>
          <c:order val="3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4E-4E11-88BE-59094F9192EA}"/>
            </c:ext>
          </c:extLst>
        </c:ser>
        <c:ser>
          <c:idx val="2"/>
          <c:order val="4"/>
          <c:tx>
            <c:strRef>
              <c:f>daily!$AB$7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triangle"/>
            <c:size val="4"/>
            <c:spPr>
              <a:solidFill>
                <a:srgbClr val="00FFFF"/>
              </a:solidFill>
              <a:ln w="6350">
                <a:noFill/>
              </a:ln>
            </c:spPr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daily!$AB$18:$AB$22</c:f>
              <c:numCache>
                <c:formatCode>0.0</c:formatCode>
                <c:ptCount val="5"/>
                <c:pt idx="0">
                  <c:v>18.247366666666668</c:v>
                </c:pt>
                <c:pt idx="1">
                  <c:v>33.244321428571425</c:v>
                </c:pt>
                <c:pt idx="2">
                  <c:v>47.670551724137937</c:v>
                </c:pt>
                <c:pt idx="3">
                  <c:v>62.659193548387094</c:v>
                </c:pt>
                <c:pt idx="4">
                  <c:v>66.615100000000012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4E-4E11-88BE-59094F9192EA}"/>
            </c:ext>
          </c:extLst>
        </c:ser>
        <c:ser>
          <c:idx val="3"/>
          <c:order val="5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x"/>
            <c:size val="2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4E-4E11-88BE-59094F919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1080"/>
        <c:axId val="1"/>
      </c:scatterChart>
      <c:valAx>
        <c:axId val="1533110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693950177935941"/>
              <c:y val="0.943717277486911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 in  Mdt/day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95287958115183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110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66548042704617"/>
          <c:y val="0.44764397905759168"/>
          <c:w val="0.12366548042704625"/>
          <c:h val="0.197643979057591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Fuel+Loss vs. Throughput 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(actual-solid diamonds, estimated-hollow squares)</a:t>
            </a:r>
          </a:p>
        </c:rich>
      </c:tx>
      <c:layout>
        <c:manualLayout>
          <c:xMode val="edge"/>
          <c:yMode val="edge"/>
          <c:x val="0.2206405693950177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725978647686826E-2"/>
          <c:y val="0.13743455497382201"/>
          <c:w val="0.7846975088967969"/>
          <c:h val="0.753926701570680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daily!$P$7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daily!$P$18:$P$114</c:f>
              <c:numCache>
                <c:formatCode>0.0</c:formatCode>
                <c:ptCount val="97"/>
                <c:pt idx="0">
                  <c:v>22.0428</c:v>
                </c:pt>
                <c:pt idx="1">
                  <c:v>24.479709677419354</c:v>
                </c:pt>
                <c:pt idx="2">
                  <c:v>24.55958064516129</c:v>
                </c:pt>
                <c:pt idx="3">
                  <c:v>23.119</c:v>
                </c:pt>
                <c:pt idx="4">
                  <c:v>18.876354838709673</c:v>
                </c:pt>
                <c:pt idx="5">
                  <c:v>24.079599999999996</c:v>
                </c:pt>
                <c:pt idx="6">
                  <c:v>23.026645161290322</c:v>
                </c:pt>
                <c:pt idx="7">
                  <c:v>18.247366666666668</c:v>
                </c:pt>
                <c:pt idx="8">
                  <c:v>27.042387096774195</c:v>
                </c:pt>
                <c:pt idx="9">
                  <c:v>40.97916129032258</c:v>
                </c:pt>
                <c:pt idx="10">
                  <c:v>26.235233333333333</c:v>
                </c:pt>
                <c:pt idx="11">
                  <c:v>45.602290322580636</c:v>
                </c:pt>
                <c:pt idx="12">
                  <c:v>48.156466666666667</c:v>
                </c:pt>
                <c:pt idx="13">
                  <c:v>54.884193548387103</c:v>
                </c:pt>
                <c:pt idx="14">
                  <c:v>60.971129032258062</c:v>
                </c:pt>
                <c:pt idx="15">
                  <c:v>34.475464285714281</c:v>
                </c:pt>
                <c:pt idx="16">
                  <c:v>57.479193548387094</c:v>
                </c:pt>
                <c:pt idx="17">
                  <c:v>51.884900000000002</c:v>
                </c:pt>
                <c:pt idx="18">
                  <c:v>47.168677419354843</c:v>
                </c:pt>
                <c:pt idx="19">
                  <c:v>44.733533333333334</c:v>
                </c:pt>
                <c:pt idx="20">
                  <c:v>48.629258064516122</c:v>
                </c:pt>
                <c:pt idx="21">
                  <c:v>50.546903225806453</c:v>
                </c:pt>
                <c:pt idx="22">
                  <c:v>52.113266666666661</c:v>
                </c:pt>
                <c:pt idx="23">
                  <c:v>54.562096774193549</c:v>
                </c:pt>
                <c:pt idx="24">
                  <c:v>50.9833</c:v>
                </c:pt>
                <c:pt idx="25">
                  <c:v>58.510096774193549</c:v>
                </c:pt>
                <c:pt idx="26">
                  <c:v>51.68616129032258</c:v>
                </c:pt>
                <c:pt idx="27">
                  <c:v>41.920620689655173</c:v>
                </c:pt>
                <c:pt idx="28">
                  <c:v>42.602451612903224</c:v>
                </c:pt>
                <c:pt idx="29">
                  <c:v>36.444466666666663</c:v>
                </c:pt>
                <c:pt idx="30">
                  <c:v>50.628677419354837</c:v>
                </c:pt>
                <c:pt idx="31">
                  <c:v>53.477099999999993</c:v>
                </c:pt>
                <c:pt idx="32">
                  <c:v>64.97893548387097</c:v>
                </c:pt>
                <c:pt idx="33">
                  <c:v>65.827161290322579</c:v>
                </c:pt>
                <c:pt idx="34">
                  <c:v>69.785833333333329</c:v>
                </c:pt>
                <c:pt idx="35">
                  <c:v>67.485741935483873</c:v>
                </c:pt>
                <c:pt idx="36">
                  <c:v>74.36066666666666</c:v>
                </c:pt>
                <c:pt idx="37">
                  <c:v>64.675709677419349</c:v>
                </c:pt>
                <c:pt idx="38">
                  <c:v>52.469193548387096</c:v>
                </c:pt>
                <c:pt idx="39">
                  <c:v>49.152750000000005</c:v>
                </c:pt>
                <c:pt idx="40">
                  <c:v>48.669451612903224</c:v>
                </c:pt>
                <c:pt idx="41">
                  <c:v>52.786700000000003</c:v>
                </c:pt>
                <c:pt idx="42">
                  <c:v>44.885838709677422</c:v>
                </c:pt>
                <c:pt idx="43">
                  <c:v>48.798400000000001</c:v>
                </c:pt>
                <c:pt idx="44">
                  <c:v>59.610709677419358</c:v>
                </c:pt>
                <c:pt idx="45">
                  <c:v>65.09293548387096</c:v>
                </c:pt>
                <c:pt idx="46">
                  <c:v>63.549166666666665</c:v>
                </c:pt>
                <c:pt idx="47">
                  <c:v>71.209064516129018</c:v>
                </c:pt>
                <c:pt idx="48">
                  <c:v>66.615100000000012</c:v>
                </c:pt>
                <c:pt idx="49">
                  <c:v>64.963838709677418</c:v>
                </c:pt>
                <c:pt idx="50">
                  <c:v>54.211999999999996</c:v>
                </c:pt>
                <c:pt idx="51">
                  <c:v>59.722642857142851</c:v>
                </c:pt>
                <c:pt idx="52">
                  <c:v>62.659193548387094</c:v>
                </c:pt>
                <c:pt idx="53">
                  <c:v>65.279600000000002</c:v>
                </c:pt>
                <c:pt idx="54">
                  <c:v>64.385387096774195</c:v>
                </c:pt>
                <c:pt idx="55">
                  <c:v>53.046266666666661</c:v>
                </c:pt>
                <c:pt idx="56">
                  <c:v>65.54129032258065</c:v>
                </c:pt>
                <c:pt idx="57">
                  <c:v>62.22032258064516</c:v>
                </c:pt>
                <c:pt idx="58">
                  <c:v>72.014499999999998</c:v>
                </c:pt>
                <c:pt idx="59">
                  <c:v>48.449838709677415</c:v>
                </c:pt>
                <c:pt idx="60">
                  <c:v>57.321533333333342</c:v>
                </c:pt>
                <c:pt idx="61">
                  <c:v>56.234483870967743</c:v>
                </c:pt>
                <c:pt idx="62">
                  <c:v>42.850612903225809</c:v>
                </c:pt>
                <c:pt idx="63">
                  <c:v>33.244321428571425</c:v>
                </c:pt>
                <c:pt idx="64">
                  <c:v>28.405741935483871</c:v>
                </c:pt>
                <c:pt idx="65">
                  <c:v>52.68183333333333</c:v>
                </c:pt>
                <c:pt idx="66">
                  <c:v>43.335258064516132</c:v>
                </c:pt>
                <c:pt idx="67">
                  <c:v>32.3827</c:v>
                </c:pt>
                <c:pt idx="68">
                  <c:v>39.552193548387102</c:v>
                </c:pt>
                <c:pt idx="69">
                  <c:v>46.3158064516129</c:v>
                </c:pt>
                <c:pt idx="70">
                  <c:v>63.020333333333333</c:v>
                </c:pt>
                <c:pt idx="71">
                  <c:v>69.142032258064503</c:v>
                </c:pt>
                <c:pt idx="72">
                  <c:v>55.347866666666661</c:v>
                </c:pt>
                <c:pt idx="73">
                  <c:v>59.338354838709677</c:v>
                </c:pt>
                <c:pt idx="74">
                  <c:v>51.767225806451613</c:v>
                </c:pt>
                <c:pt idx="75">
                  <c:v>47.670551724137937</c:v>
                </c:pt>
                <c:pt idx="76">
                  <c:v>51.657354838709672</c:v>
                </c:pt>
                <c:pt idx="77">
                  <c:v>41.641100000000002</c:v>
                </c:pt>
                <c:pt idx="78">
                  <c:v>49.554161290322583</c:v>
                </c:pt>
                <c:pt idx="79">
                  <c:v>57.466633333333334</c:v>
                </c:pt>
                <c:pt idx="80">
                  <c:v>67.043967741935489</c:v>
                </c:pt>
                <c:pt idx="81">
                  <c:v>64.251387096774195</c:v>
                </c:pt>
                <c:pt idx="82">
                  <c:v>61.241599999999998</c:v>
                </c:pt>
                <c:pt idx="83">
                  <c:v>54.001290322580644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8-48DA-A4E2-7D4E3F3F88BB}"/>
            </c:ext>
          </c:extLst>
        </c:ser>
        <c:ser>
          <c:idx val="1"/>
          <c:order val="1"/>
          <c:tx>
            <c:strRef>
              <c:f>daily!$D$7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daily!$D$18:$D$114</c:f>
              <c:numCache>
                <c:formatCode>General</c:formatCode>
                <c:ptCount val="97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24.761290322580646</c:v>
                </c:pt>
                <c:pt idx="9" formatCode="0.0">
                  <c:v>30.190322580645162</c:v>
                </c:pt>
                <c:pt idx="10" formatCode="0.0">
                  <c:v>29.056666666666668</c:v>
                </c:pt>
                <c:pt idx="11" formatCode="0.0">
                  <c:v>22.629032258064516</c:v>
                </c:pt>
                <c:pt idx="12" formatCode="0.0">
                  <c:v>33.333333333333336</c:v>
                </c:pt>
                <c:pt idx="13" formatCode="0.0">
                  <c:v>40.345161290322579</c:v>
                </c:pt>
                <c:pt idx="14" formatCode="0.0">
                  <c:v>42.470967741935482</c:v>
                </c:pt>
                <c:pt idx="15" formatCode="0.0">
                  <c:v>50.714285714285715</c:v>
                </c:pt>
                <c:pt idx="16" formatCode="0.0">
                  <c:v>41.12903225806452</c:v>
                </c:pt>
                <c:pt idx="17" formatCode="0.0">
                  <c:v>49.666666666666664</c:v>
                </c:pt>
                <c:pt idx="18" formatCode="0.0">
                  <c:v>58.87096774193548</c:v>
                </c:pt>
                <c:pt idx="19" formatCode="0.0">
                  <c:v>49.5</c:v>
                </c:pt>
                <c:pt idx="20" formatCode="0.0">
                  <c:v>50.967741935483872</c:v>
                </c:pt>
                <c:pt idx="21" formatCode="0.0">
                  <c:v>58.064516129032256</c:v>
                </c:pt>
                <c:pt idx="22" formatCode="0.0">
                  <c:v>52.5</c:v>
                </c:pt>
                <c:pt idx="23" formatCode="0.0">
                  <c:v>47.903225806451616</c:v>
                </c:pt>
                <c:pt idx="24" formatCode="0.0">
                  <c:v>47.5</c:v>
                </c:pt>
                <c:pt idx="25" formatCode="0.0">
                  <c:v>37.903225806451616</c:v>
                </c:pt>
                <c:pt idx="26" formatCode="0.0">
                  <c:v>40.322580645161288</c:v>
                </c:pt>
                <c:pt idx="27" formatCode="0.0">
                  <c:v>37.931034482758619</c:v>
                </c:pt>
                <c:pt idx="28" formatCode="0.0">
                  <c:v>43.548387096774192</c:v>
                </c:pt>
                <c:pt idx="29" formatCode="0.0">
                  <c:v>45.833333333333336</c:v>
                </c:pt>
                <c:pt idx="30" formatCode="0.0">
                  <c:v>49.193548387096776</c:v>
                </c:pt>
                <c:pt idx="31" formatCode="0.0">
                  <c:v>49.4</c:v>
                </c:pt>
                <c:pt idx="32" formatCode="0.0">
                  <c:v>44.193548387096776</c:v>
                </c:pt>
                <c:pt idx="33" formatCode="0.0">
                  <c:v>49.677419354838712</c:v>
                </c:pt>
                <c:pt idx="34" formatCode="0.0">
                  <c:v>43.333333333333336</c:v>
                </c:pt>
                <c:pt idx="35" formatCode="0.0">
                  <c:v>44.354838709677416</c:v>
                </c:pt>
                <c:pt idx="36" formatCode="0.0">
                  <c:v>43.166666666666664</c:v>
                </c:pt>
                <c:pt idx="37" formatCode="0.0">
                  <c:v>45.161290322580648</c:v>
                </c:pt>
                <c:pt idx="38" formatCode="0.0">
                  <c:v>53.225806451612904</c:v>
                </c:pt>
                <c:pt idx="39" formatCode="0.0">
                  <c:v>60.714285714285715</c:v>
                </c:pt>
                <c:pt idx="40" formatCode="0.0">
                  <c:v>59.677419354838712</c:v>
                </c:pt>
                <c:pt idx="41" formatCode="0.0">
                  <c:v>60.833333333333336</c:v>
                </c:pt>
                <c:pt idx="42" formatCode="0.0">
                  <c:v>56.451612903225808</c:v>
                </c:pt>
                <c:pt idx="43" formatCode="0.0">
                  <c:v>48.666666666666664</c:v>
                </c:pt>
                <c:pt idx="44" formatCode="0.0">
                  <c:v>52.903225806451616</c:v>
                </c:pt>
                <c:pt idx="45" formatCode="0.0">
                  <c:v>49.677419354838712</c:v>
                </c:pt>
                <c:pt idx="46" formatCode="0.0">
                  <c:v>51.666666666666664</c:v>
                </c:pt>
                <c:pt idx="47" formatCode="0.0">
                  <c:v>55.483870967741936</c:v>
                </c:pt>
                <c:pt idx="48" formatCode="0.0">
                  <c:v>49.116666666666667</c:v>
                </c:pt>
                <c:pt idx="49" formatCode="0.0">
                  <c:v>58.87096774193548</c:v>
                </c:pt>
                <c:pt idx="50" formatCode="0.0">
                  <c:v>50.322580645161288</c:v>
                </c:pt>
                <c:pt idx="51" formatCode="0.0">
                  <c:v>64.642857142857139</c:v>
                </c:pt>
                <c:pt idx="52" formatCode="0.0">
                  <c:v>54.838709677419352</c:v>
                </c:pt>
                <c:pt idx="53" formatCode="0.0">
                  <c:v>52.5</c:v>
                </c:pt>
                <c:pt idx="54" formatCode="0.0">
                  <c:v>51.612903225806448</c:v>
                </c:pt>
                <c:pt idx="55" formatCode="0.0">
                  <c:v>51</c:v>
                </c:pt>
                <c:pt idx="56" formatCode="0.0">
                  <c:v>48.387096774193552</c:v>
                </c:pt>
                <c:pt idx="57" formatCode="0.0">
                  <c:v>53.225806451612904</c:v>
                </c:pt>
                <c:pt idx="58" formatCode="0.0">
                  <c:v>50</c:v>
                </c:pt>
                <c:pt idx="59" formatCode="0.0">
                  <c:v>54.677419354838712</c:v>
                </c:pt>
                <c:pt idx="60" formatCode="0.0">
                  <c:v>53.333333333333336</c:v>
                </c:pt>
                <c:pt idx="61" formatCode="0.0">
                  <c:v>62.903225806451616</c:v>
                </c:pt>
                <c:pt idx="62" formatCode="0.0">
                  <c:v>60.483870967741936</c:v>
                </c:pt>
                <c:pt idx="63" formatCode="0.0">
                  <c:v>51.964285714285715</c:v>
                </c:pt>
                <c:pt idx="64" formatCode="0.0">
                  <c:v>47.41935483870968</c:v>
                </c:pt>
                <c:pt idx="65" formatCode="0.0">
                  <c:v>54.5</c:v>
                </c:pt>
                <c:pt idx="66" formatCode="0.0">
                  <c:v>41.935483870967744</c:v>
                </c:pt>
                <c:pt idx="67" formatCode="0.0">
                  <c:v>33.333333333333336</c:v>
                </c:pt>
                <c:pt idx="68" formatCode="0.0">
                  <c:v>29.838709677419356</c:v>
                </c:pt>
                <c:pt idx="69" formatCode="0.0">
                  <c:v>35.483870967741936</c:v>
                </c:pt>
                <c:pt idx="70" formatCode="0.0">
                  <c:v>47</c:v>
                </c:pt>
                <c:pt idx="71" formatCode="0.0">
                  <c:v>39.032258064516128</c:v>
                </c:pt>
                <c:pt idx="72" formatCode="0.0">
                  <c:v>43.333333333333336</c:v>
                </c:pt>
                <c:pt idx="73" formatCode="0.0">
                  <c:v>39.516129032258064</c:v>
                </c:pt>
                <c:pt idx="74" formatCode="0.0">
                  <c:v>58.064516129032256</c:v>
                </c:pt>
                <c:pt idx="75" formatCode="0.0">
                  <c:v>56.379310344827587</c:v>
                </c:pt>
                <c:pt idx="76" formatCode="0.0">
                  <c:v>43.548387096774192</c:v>
                </c:pt>
                <c:pt idx="77" formatCode="0.0">
                  <c:v>48.333333333333336</c:v>
                </c:pt>
                <c:pt idx="78" formatCode="0.0">
                  <c:v>25.806451612903224</c:v>
                </c:pt>
                <c:pt idx="79" formatCode="0.0">
                  <c:v>34.166666666666664</c:v>
                </c:pt>
                <c:pt idx="80" formatCode="0.0">
                  <c:v>38.016129032258064</c:v>
                </c:pt>
                <c:pt idx="81" formatCode="0.0">
                  <c:v>37.58064516129032</c:v>
                </c:pt>
                <c:pt idx="82" formatCode="0.0">
                  <c:v>41.666666666666664</c:v>
                </c:pt>
                <c:pt idx="83" formatCode="0.0">
                  <c:v>42.741935483870968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8-48DA-A4E2-7D4E3F3F88BB}"/>
            </c:ext>
          </c:extLst>
        </c:ser>
        <c:ser>
          <c:idx val="4"/>
          <c:order val="2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8-48DA-A4E2-7D4E3F3F88BB}"/>
            </c:ext>
          </c:extLst>
        </c:ser>
        <c:ser>
          <c:idx val="6"/>
          <c:order val="3"/>
          <c:tx>
            <c:strRef>
              <c:f>daily!$Z$3</c:f>
              <c:strCache>
                <c:ptCount val="1"/>
                <c:pt idx="0">
                  <c:v>max.0050</c:v>
                </c:pt>
              </c:strCache>
            </c:strRef>
          </c:tx>
          <c:spPr>
            <a:ln w="3175">
              <a:solidFill>
                <a:srgbClr val="008080"/>
              </a:solidFill>
              <a:prstDash val="lgDashDotDot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daily!$Z$1:$Z$2</c:f>
              <c:numCache>
                <c:formatCode>0.0</c:formatCode>
                <c:ptCount val="2"/>
                <c:pt idx="0">
                  <c:v>82.189212662337667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8-48DA-A4E2-7D4E3F3F88BB}"/>
            </c:ext>
          </c:extLst>
        </c:ser>
        <c:ser>
          <c:idx val="7"/>
          <c:order val="4"/>
          <c:tx>
            <c:strRef>
              <c:f>daily!$AB$7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none"/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daily!$AB$18:$AB$22</c:f>
              <c:numCache>
                <c:formatCode>0.0</c:formatCode>
                <c:ptCount val="5"/>
                <c:pt idx="0">
                  <c:v>18.247366666666668</c:v>
                </c:pt>
                <c:pt idx="1">
                  <c:v>33.244321428571425</c:v>
                </c:pt>
                <c:pt idx="2">
                  <c:v>47.670551724137937</c:v>
                </c:pt>
                <c:pt idx="3">
                  <c:v>62.659193548387094</c:v>
                </c:pt>
                <c:pt idx="4">
                  <c:v>66.615100000000012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F8-48DA-A4E2-7D4E3F3F88BB}"/>
            </c:ext>
          </c:extLst>
        </c:ser>
        <c:ser>
          <c:idx val="2"/>
          <c:order val="5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F8-48DA-A4E2-7D4E3F3F88BB}"/>
            </c:ext>
          </c:extLst>
        </c:ser>
        <c:ser>
          <c:idx val="3"/>
          <c:order val="6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circle"/>
            <c:size val="2"/>
            <c:spPr>
              <a:solidFill>
                <a:srgbClr val="993300"/>
              </a:solidFill>
              <a:ln w="6350">
                <a:noFill/>
              </a:ln>
            </c:spPr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F8-48DA-A4E2-7D4E3F3F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40520"/>
        <c:axId val="1"/>
      </c:scatterChart>
      <c:valAx>
        <c:axId val="1878405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782918149466187"/>
              <c:y val="0.943717277486911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Used=Fuel+Loss  in  Mdt/day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39005235602094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405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44483985765109"/>
          <c:y val="0.41884816753926701"/>
          <c:w val="0.12366548042704625"/>
          <c:h val="0.23036649214659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Average Fuel+Loss vs. Throughput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(actual-solid diamonds, estimated-hollow squares)</a:t>
            </a:r>
          </a:p>
        </c:rich>
      </c:tx>
      <c:layout>
        <c:manualLayout>
          <c:xMode val="edge"/>
          <c:yMode val="edge"/>
          <c:x val="0.1681494661921707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4092526690388"/>
          <c:y val="0.14267015706806285"/>
          <c:w val="0.74555160142348742"/>
          <c:h val="0.74738219895287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daily!$V$18:$V$114</c:f>
              <c:numCache>
                <c:formatCode>0.000000</c:formatCode>
                <c:ptCount val="97"/>
                <c:pt idx="0">
                  <c:v>2.250979591226768E-5</c:v>
                </c:pt>
                <c:pt idx="1">
                  <c:v>2.4642879849598359E-5</c:v>
                </c:pt>
                <c:pt idx="2">
                  <c:v>2.4169746031746032E-5</c:v>
                </c:pt>
                <c:pt idx="3">
                  <c:v>2.2274716394716397E-5</c:v>
                </c:pt>
                <c:pt idx="4">
                  <c:v>1.9412172547631947E-5</c:v>
                </c:pt>
                <c:pt idx="5">
                  <c:v>2.3365601149489628E-5</c:v>
                </c:pt>
                <c:pt idx="6">
                  <c:v>2.3876622099487436E-5</c:v>
                </c:pt>
                <c:pt idx="7">
                  <c:v>1.7612183276789267E-5</c:v>
                </c:pt>
                <c:pt idx="8">
                  <c:v>2.3362183741077872E-5</c:v>
                </c:pt>
                <c:pt idx="9">
                  <c:v>3.5721282920893004E-5</c:v>
                </c:pt>
                <c:pt idx="10">
                  <c:v>2.4042170640006941E-5</c:v>
                </c:pt>
                <c:pt idx="11">
                  <c:v>4.4426143988032934E-5</c:v>
                </c:pt>
                <c:pt idx="12">
                  <c:v>4.2398215986795191E-5</c:v>
                </c:pt>
                <c:pt idx="13">
                  <c:v>4.5201951335799081E-5</c:v>
                </c:pt>
                <c:pt idx="14">
                  <c:v>5.1457962677353359E-5</c:v>
                </c:pt>
                <c:pt idx="15">
                  <c:v>2.9330649360335111E-5</c:v>
                </c:pt>
                <c:pt idx="16">
                  <c:v>4.7684705993977505E-5</c:v>
                </c:pt>
                <c:pt idx="17">
                  <c:v>4.5087463852426186E-5</c:v>
                </c:pt>
                <c:pt idx="18">
                  <c:v>4.2225359162555657E-5</c:v>
                </c:pt>
                <c:pt idx="19">
                  <c:v>3.8357526803285767E-5</c:v>
                </c:pt>
                <c:pt idx="20">
                  <c:v>4.2905665804550534E-5</c:v>
                </c:pt>
                <c:pt idx="21">
                  <c:v>4.2054757473819577E-5</c:v>
                </c:pt>
                <c:pt idx="22">
                  <c:v>4.3820135158344691E-5</c:v>
                </c:pt>
                <c:pt idx="23">
                  <c:v>4.6768147308915043E-5</c:v>
                </c:pt>
                <c:pt idx="24">
                  <c:v>4.3089452441092485E-5</c:v>
                </c:pt>
                <c:pt idx="25">
                  <c:v>4.9000998943883862E-5</c:v>
                </c:pt>
                <c:pt idx="26">
                  <c:v>4.5983269928987138E-5</c:v>
                </c:pt>
                <c:pt idx="27">
                  <c:v>3.8712540119584886E-5</c:v>
                </c:pt>
                <c:pt idx="28">
                  <c:v>3.8282863704971066E-5</c:v>
                </c:pt>
                <c:pt idx="29">
                  <c:v>3.3393158828005554E-5</c:v>
                </c:pt>
                <c:pt idx="30">
                  <c:v>4.1687781692839739E-5</c:v>
                </c:pt>
                <c:pt idx="31">
                  <c:v>4.3957932580510489E-5</c:v>
                </c:pt>
                <c:pt idx="32">
                  <c:v>5.3401385837417618E-5</c:v>
                </c:pt>
                <c:pt idx="33">
                  <c:v>5.2870099892569856E-5</c:v>
                </c:pt>
                <c:pt idx="34">
                  <c:v>5.5735571372906827E-5</c:v>
                </c:pt>
                <c:pt idx="35">
                  <c:v>5.3391950935666017E-5</c:v>
                </c:pt>
                <c:pt idx="36">
                  <c:v>5.7898962354419034E-5</c:v>
                </c:pt>
                <c:pt idx="37">
                  <c:v>5.110245740074901E-5</c:v>
                </c:pt>
                <c:pt idx="38">
                  <c:v>4.3803821025894949E-5</c:v>
                </c:pt>
                <c:pt idx="39">
                  <c:v>4.0194470376173465E-5</c:v>
                </c:pt>
                <c:pt idx="40">
                  <c:v>3.7899997922762516E-5</c:v>
                </c:pt>
                <c:pt idx="41">
                  <c:v>4.2109185540693669E-5</c:v>
                </c:pt>
                <c:pt idx="42">
                  <c:v>3.7040254397273278E-5</c:v>
                </c:pt>
                <c:pt idx="43">
                  <c:v>3.852300206508146E-5</c:v>
                </c:pt>
                <c:pt idx="44">
                  <c:v>4.6850587958716118E-5</c:v>
                </c:pt>
                <c:pt idx="45">
                  <c:v>4.9307171815040982E-5</c:v>
                </c:pt>
                <c:pt idx="46">
                  <c:v>4.8610977924975404E-5</c:v>
                </c:pt>
                <c:pt idx="47">
                  <c:v>5.3984573706976779E-5</c:v>
                </c:pt>
                <c:pt idx="48">
                  <c:v>4.8102730689479681E-5</c:v>
                </c:pt>
                <c:pt idx="49">
                  <c:v>4.8497210560536854E-5</c:v>
                </c:pt>
                <c:pt idx="50">
                  <c:v>4.2031440947011202E-5</c:v>
                </c:pt>
                <c:pt idx="51">
                  <c:v>4.4451230716322463E-5</c:v>
                </c:pt>
                <c:pt idx="52">
                  <c:v>4.5410826854080959E-5</c:v>
                </c:pt>
                <c:pt idx="53">
                  <c:v>4.8072098999976019E-5</c:v>
                </c:pt>
                <c:pt idx="54">
                  <c:v>4.9794079141711981E-5</c:v>
                </c:pt>
                <c:pt idx="55">
                  <c:v>4.0182299285257238E-5</c:v>
                </c:pt>
                <c:pt idx="56">
                  <c:v>4.9700053981721818E-5</c:v>
                </c:pt>
                <c:pt idx="57">
                  <c:v>4.7541183448056304E-5</c:v>
                </c:pt>
                <c:pt idx="58">
                  <c:v>5.3808253296181566E-5</c:v>
                </c:pt>
                <c:pt idx="59">
                  <c:v>3.7541468657537154E-5</c:v>
                </c:pt>
                <c:pt idx="60">
                  <c:v>4.3269539909637379E-5</c:v>
                </c:pt>
                <c:pt idx="61">
                  <c:v>4.2472010987906605E-5</c:v>
                </c:pt>
                <c:pt idx="62">
                  <c:v>3.3981688966107166E-5</c:v>
                </c:pt>
                <c:pt idx="63">
                  <c:v>2.6632071712197516E-5</c:v>
                </c:pt>
                <c:pt idx="64">
                  <c:v>2.442442873718906E-5</c:v>
                </c:pt>
                <c:pt idx="65">
                  <c:v>4.1949128763433314E-5</c:v>
                </c:pt>
                <c:pt idx="66">
                  <c:v>3.6619224745344788E-5</c:v>
                </c:pt>
                <c:pt idx="67">
                  <c:v>2.873754418687204E-5</c:v>
                </c:pt>
                <c:pt idx="68">
                  <c:v>3.3539651943343689E-5</c:v>
                </c:pt>
                <c:pt idx="69">
                  <c:v>3.7956449442598339E-5</c:v>
                </c:pt>
                <c:pt idx="70">
                  <c:v>4.897940678910159E-5</c:v>
                </c:pt>
                <c:pt idx="71">
                  <c:v>5.375726624343601E-5</c:v>
                </c:pt>
                <c:pt idx="72">
                  <c:v>4.3059173312397198E-5</c:v>
                </c:pt>
                <c:pt idx="73">
                  <c:v>4.4670560237014011E-5</c:v>
                </c:pt>
                <c:pt idx="74">
                  <c:v>3.9431899107414709E-5</c:v>
                </c:pt>
                <c:pt idx="75">
                  <c:v>3.6020672408372963E-5</c:v>
                </c:pt>
                <c:pt idx="76">
                  <c:v>4.0369636718993284E-5</c:v>
                </c:pt>
                <c:pt idx="77">
                  <c:v>3.5263354933637722E-5</c:v>
                </c:pt>
                <c:pt idx="78">
                  <c:v>3.9603501962139687E-5</c:v>
                </c:pt>
                <c:pt idx="79">
                  <c:v>4.4660532214635213E-5</c:v>
                </c:pt>
                <c:pt idx="80">
                  <c:v>5.105976995864695E-5</c:v>
                </c:pt>
                <c:pt idx="81">
                  <c:v>5.1750355314852347E-5</c:v>
                </c:pt>
                <c:pt idx="82">
                  <c:v>4.808698024968285E-5</c:v>
                </c:pt>
                <c:pt idx="83">
                  <c:v>4.1866945070569425E-5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6-425F-84FF-DBF197F22C2C}"/>
            </c:ext>
          </c:extLst>
        </c:ser>
        <c:ser>
          <c:idx val="1"/>
          <c:order val="1"/>
          <c:tx>
            <c:strRef>
              <c:f>daily!$J$7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daily!$J$18:$J$114</c:f>
              <c:numCache>
                <c:formatCode>0.00</c:formatCode>
                <c:ptCount val="97"/>
                <c:pt idx="3" formatCode="0.000000">
                  <c:v>2.8062640961098989E-5</c:v>
                </c:pt>
                <c:pt idx="4" formatCode="0.000000">
                  <c:v>2.1880084126248533E-5</c:v>
                </c:pt>
                <c:pt idx="5" formatCode="0.000000">
                  <c:v>2.9213314195140167E-5</c:v>
                </c:pt>
                <c:pt idx="6" formatCode="0.000000">
                  <c:v>3.7457023873012993E-5</c:v>
                </c:pt>
                <c:pt idx="7" formatCode="0.000000">
                  <c:v>2.2268130261641067E-5</c:v>
                </c:pt>
                <c:pt idx="8" formatCode="0.000000">
                  <c:v>2.0667099776131046E-5</c:v>
                </c:pt>
                <c:pt idx="9" formatCode="0.000000">
                  <c:v>2.3550121982032619E-5</c:v>
                </c:pt>
                <c:pt idx="10" formatCode="0.000000">
                  <c:v>2.1956360095831593E-5</c:v>
                </c:pt>
                <c:pt idx="11" formatCode="0.000000">
                  <c:v>1.7715846310601137E-5</c:v>
                </c:pt>
                <c:pt idx="12" formatCode="0.000000">
                  <c:v>2.8297219511692752E-5</c:v>
                </c:pt>
                <c:pt idx="13" formatCode="0.000000">
                  <c:v>2.8660691714133207E-5</c:v>
                </c:pt>
                <c:pt idx="14" formatCode="0.000000">
                  <c:v>2.9321142937430137E-5</c:v>
                </c:pt>
                <c:pt idx="15" formatCode="0.000000">
                  <c:v>3.0852154480806336E-5</c:v>
                </c:pt>
                <c:pt idx="16" formatCode="0.000000">
                  <c:v>2.8592442494935716E-5</c:v>
                </c:pt>
                <c:pt idx="17" formatCode="0.000000">
                  <c:v>4.9730858656221829E-5</c:v>
                </c:pt>
                <c:pt idx="18" formatCode="0.000000">
                  <c:v>5.1441779180877755E-5</c:v>
                </c:pt>
                <c:pt idx="19" formatCode="0.000000">
                  <c:v>4.2632966048656138E-5</c:v>
                </c:pt>
                <c:pt idx="20" formatCode="0.000000">
                  <c:v>4.4960957952967429E-5</c:v>
                </c:pt>
                <c:pt idx="21" formatCode="0.000000">
                  <c:v>4.7811304717382071E-5</c:v>
                </c:pt>
                <c:pt idx="22" formatCode="0.000000">
                  <c:v>4.353354155725697E-5</c:v>
                </c:pt>
                <c:pt idx="23" formatCode="0.000000">
                  <c:v>3.758332869341621E-5</c:v>
                </c:pt>
                <c:pt idx="24" formatCode="0.000000">
                  <c:v>3.7837550781976048E-5</c:v>
                </c:pt>
                <c:pt idx="25" formatCode="0.000000">
                  <c:v>3.0463301444090121E-5</c:v>
                </c:pt>
                <c:pt idx="26" formatCode="0.000000">
                  <c:v>3.4218450588557355E-5</c:v>
                </c:pt>
                <c:pt idx="27" formatCode="0.000000">
                  <c:v>3.1062916525471594E-5</c:v>
                </c:pt>
                <c:pt idx="28" formatCode="0.000000">
                  <c:v>3.7435527702290498E-5</c:v>
                </c:pt>
                <c:pt idx="29" formatCode="0.000000">
                  <c:v>3.6037216616432976E-5</c:v>
                </c:pt>
                <c:pt idx="30" formatCode="0.000000">
                  <c:v>3.6555840544622103E-5</c:v>
                </c:pt>
                <c:pt idx="31" formatCode="0.000000">
                  <c:v>3.6500089649342996E-5</c:v>
                </c:pt>
                <c:pt idx="32" formatCode="0.000000">
                  <c:v>3.1985132749974322E-5</c:v>
                </c:pt>
                <c:pt idx="33" formatCode="0.000000">
                  <c:v>3.545054418887313E-5</c:v>
                </c:pt>
                <c:pt idx="34" formatCode="0.000000">
                  <c:v>2.9120559114735005E-5</c:v>
                </c:pt>
                <c:pt idx="35" formatCode="0.000000">
                  <c:v>3.230581269677176E-5</c:v>
                </c:pt>
                <c:pt idx="36" formatCode="0.000000">
                  <c:v>3.1170719261338194E-5</c:v>
                </c:pt>
                <c:pt idx="37" formatCode="0.000000">
                  <c:v>3.3695966111485512E-5</c:v>
                </c:pt>
                <c:pt idx="38" formatCode="0.000000">
                  <c:v>4.034427111350188E-5</c:v>
                </c:pt>
                <c:pt idx="39" formatCode="0.000000">
                  <c:v>4.4968786371812509E-5</c:v>
                </c:pt>
                <c:pt idx="40" formatCode="0.000000">
                  <c:v>4.9515550559391896E-5</c:v>
                </c:pt>
                <c:pt idx="41" formatCode="0.000000">
                  <c:v>4.9205964032462461E-5</c:v>
                </c:pt>
                <c:pt idx="42" formatCode="0.000000">
                  <c:v>4.7500135714673477E-5</c:v>
                </c:pt>
                <c:pt idx="43" formatCode="0.000000">
                  <c:v>3.7859928636627662E-5</c:v>
                </c:pt>
                <c:pt idx="44" formatCode="0.000000">
                  <c:v>4.1151437289224348E-5</c:v>
                </c:pt>
                <c:pt idx="45" formatCode="0.000000">
                  <c:v>3.6771026341426142E-5</c:v>
                </c:pt>
                <c:pt idx="46" formatCode="0.000000">
                  <c:v>3.7470386307595612E-5</c:v>
                </c:pt>
                <c:pt idx="47" formatCode="0.000000">
                  <c:v>4.25590878498753E-5</c:v>
                </c:pt>
                <c:pt idx="48" formatCode="0.000000">
                  <c:v>3.5256071294068891E-5</c:v>
                </c:pt>
                <c:pt idx="49" formatCode="0.000000">
                  <c:v>4.237386519306229E-5</c:v>
                </c:pt>
                <c:pt idx="50" formatCode="0.000000">
                  <c:v>3.7471896077941544E-5</c:v>
                </c:pt>
                <c:pt idx="51" formatCode="0.000000">
                  <c:v>4.2808624163931017E-5</c:v>
                </c:pt>
                <c:pt idx="52" formatCode="0.000000">
                  <c:v>3.9412064728520424E-5</c:v>
                </c:pt>
                <c:pt idx="53" formatCode="0.000000">
                  <c:v>3.9044101241974271E-5</c:v>
                </c:pt>
                <c:pt idx="54" formatCode="0.000000">
                  <c:v>3.6988917195685238E-5</c:v>
                </c:pt>
                <c:pt idx="55" formatCode="0.000000">
                  <c:v>3.3423920167075912E-5</c:v>
                </c:pt>
                <c:pt idx="56" formatCode="0.000000">
                  <c:v>3.2910614770283917E-5</c:v>
                </c:pt>
                <c:pt idx="57" formatCode="0.000000">
                  <c:v>4.394843383763052E-5</c:v>
                </c:pt>
                <c:pt idx="58" formatCode="0.000000">
                  <c:v>3.5856002294784144E-5</c:v>
                </c:pt>
                <c:pt idx="59" formatCode="0.000000">
                  <c:v>4.134196355155906E-5</c:v>
                </c:pt>
                <c:pt idx="60" formatCode="0.000000">
                  <c:v>3.9651070578905625E-5</c:v>
                </c:pt>
                <c:pt idx="61" formatCode="0.000000">
                  <c:v>5.0403225806451613E-5</c:v>
                </c:pt>
                <c:pt idx="62" formatCode="0.000000">
                  <c:v>4.542701393095094E-5</c:v>
                </c:pt>
                <c:pt idx="63" formatCode="0.000000">
                  <c:v>4.1480645216469102E-5</c:v>
                </c:pt>
                <c:pt idx="64" formatCode="0.000000">
                  <c:v>4.3178907544265716E-5</c:v>
                </c:pt>
                <c:pt idx="65" formatCode="0.000000">
                  <c:v>3.89933747036742E-5</c:v>
                </c:pt>
                <c:pt idx="66" formatCode="0.000000">
                  <c:v>3.6603221083455344E-5</c:v>
                </c:pt>
                <c:pt idx="67" formatCode="0.000000">
                  <c:v>2.7085590465872156E-5</c:v>
                </c:pt>
                <c:pt idx="68" formatCode="0.000000">
                  <c:v>2.2118074651490878E-5</c:v>
                </c:pt>
                <c:pt idx="69" formatCode="0.000000">
                  <c:v>3.0613380830457535E-5</c:v>
                </c:pt>
                <c:pt idx="70" formatCode="0.000000">
                  <c:v>3.7971411028405857E-5</c:v>
                </c:pt>
                <c:pt idx="71" formatCode="0.000000">
                  <c:v>3.2168702245428591E-5</c:v>
                </c:pt>
                <c:pt idx="72" formatCode="0.000000">
                  <c:v>3.3875338753387541E-5</c:v>
                </c:pt>
                <c:pt idx="73" formatCode="0.000000">
                  <c:v>2.7969952279836515E-5</c:v>
                </c:pt>
                <c:pt idx="74" formatCode="0.000000">
                  <c:v>4.3377674956622319E-5</c:v>
                </c:pt>
                <c:pt idx="75" formatCode="0.000000">
                  <c:v>4.1298099024506067E-5</c:v>
                </c:pt>
                <c:pt idx="76" formatCode="0.000000">
                  <c:v>3.638617864266077E-5</c:v>
                </c:pt>
                <c:pt idx="77" formatCode="0.000000">
                  <c:v>3.7319310195017851E-5</c:v>
                </c:pt>
                <c:pt idx="78" formatCode="0.000000">
                  <c:v>2.17296827466319E-5</c:v>
                </c:pt>
                <c:pt idx="79" formatCode="0.000000">
                  <c:v>2.6628218117579821E-5</c:v>
                </c:pt>
                <c:pt idx="80" formatCode="0.000000">
                  <c:v>2.975046967118221E-5</c:v>
                </c:pt>
                <c:pt idx="81" formatCode="0.000000">
                  <c:v>3.1045307495110028E-5</c:v>
                </c:pt>
                <c:pt idx="82" formatCode="0.000000">
                  <c:v>3.2817012339196635E-5</c:v>
                </c:pt>
                <c:pt idx="83" formatCode="0.000000">
                  <c:v>3.6755527199090125E-5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6-425F-84FF-DBF197F22C2C}"/>
            </c:ext>
          </c:extLst>
        </c:ser>
        <c:ser>
          <c:idx val="4"/>
          <c:order val="2"/>
          <c:tx>
            <c:v>Max.0041</c:v>
          </c:tx>
          <c:spPr>
            <a:ln w="3175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daily!$B$1:$C$1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1.6437842532467533</c:v>
                </c:pt>
              </c:numCache>
            </c:numRef>
          </c:xVal>
          <c:yVal>
            <c:numRef>
              <c:f>daily!$A$1:$A$2</c:f>
              <c:numCache>
                <c:formatCode>General</c:formatCode>
                <c:ptCount val="2"/>
                <c:pt idx="0">
                  <c:v>4.1E-5</c:v>
                </c:pt>
                <c:pt idx="1">
                  <c:v>4.1E-5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6-425F-84FF-DBF197F22C2C}"/>
            </c:ext>
          </c:extLst>
        </c:ser>
        <c:ser>
          <c:idx val="2"/>
          <c:order val="3"/>
          <c:tx>
            <c:strRef>
              <c:f>daily!$AC$7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none"/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daily!$AC$18:$AC$22</c:f>
              <c:numCache>
                <c:formatCode>0.000000</c:formatCode>
                <c:ptCount val="5"/>
                <c:pt idx="0">
                  <c:v>1.7612183276789267E-5</c:v>
                </c:pt>
                <c:pt idx="1">
                  <c:v>2.6632071712197516E-5</c:v>
                </c:pt>
                <c:pt idx="2">
                  <c:v>3.6020672408372963E-5</c:v>
                </c:pt>
                <c:pt idx="3">
                  <c:v>4.5410826854080959E-5</c:v>
                </c:pt>
                <c:pt idx="4">
                  <c:v>4.8102730689479681E-5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36-425F-84FF-DBF197F22C2C}"/>
            </c:ext>
          </c:extLst>
        </c:ser>
        <c:ser>
          <c:idx val="3"/>
          <c:order val="4"/>
          <c:tx>
            <c:strRef>
              <c:f>daily!$AC$24</c:f>
              <c:strCache>
                <c:ptCount val="1"/>
                <c:pt idx="0">
                  <c:v>used.90%</c:v>
                </c:pt>
              </c:strCache>
            </c:strRef>
          </c:tx>
          <c:spPr>
            <a:ln w="3175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daily!$AC$25:$AC$31</c:f>
              <c:numCache>
                <c:formatCode>0.000000</c:formatCode>
                <c:ptCount val="7"/>
                <c:pt idx="0">
                  <c:v>1.9412172547631947E-5</c:v>
                </c:pt>
                <c:pt idx="1">
                  <c:v>2.4042170640006941E-5</c:v>
                </c:pt>
                <c:pt idx="2">
                  <c:v>3.3981688966107166E-5</c:v>
                </c:pt>
                <c:pt idx="3">
                  <c:v>3.9431899107414709E-5</c:v>
                </c:pt>
                <c:pt idx="4">
                  <c:v>4.0182299285257238E-5</c:v>
                </c:pt>
                <c:pt idx="5">
                  <c:v>4.4451230716322463E-5</c:v>
                </c:pt>
                <c:pt idx="6">
                  <c:v>4.8072098999976019E-5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36-425F-84FF-DBF197F22C2C}"/>
            </c:ext>
          </c:extLst>
        </c:ser>
        <c:ser>
          <c:idx val="5"/>
          <c:order val="5"/>
          <c:tx>
            <c:strRef>
              <c:f>daily!$AC$33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800000"/>
              </a:solidFill>
              <a:prstDash val="lg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daily!$AC$34:$AC$40</c:f>
              <c:numCache>
                <c:formatCode>0.000000</c:formatCode>
                <c:ptCount val="7"/>
                <c:pt idx="0">
                  <c:v>2.5273945660419773E-5</c:v>
                </c:pt>
                <c:pt idx="1">
                  <c:v>2.6258403776894503E-5</c:v>
                </c:pt>
                <c:pt idx="2">
                  <c:v>3.7031596164625694E-5</c:v>
                </c:pt>
                <c:pt idx="3">
                  <c:v>3.8662413159288462E-5</c:v>
                </c:pt>
                <c:pt idx="4" formatCode="0.000">
                  <c:v>#N/A</c:v>
                </c:pt>
                <c:pt idx="5">
                  <c:v>4.6449758476192052E-5</c:v>
                </c:pt>
                <c:pt idx="6">
                  <c:v>4.9526157302356612E-5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36-425F-84FF-DBF197F2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6672"/>
        <c:axId val="1"/>
      </c:scatterChart>
      <c:valAx>
        <c:axId val="1886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3007117437722416"/>
              <c:y val="0.9424083769633507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6.0000000000000002E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Used=Fuel+Loss in  %/mile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48167539267015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%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766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44483985765109"/>
          <c:y val="0.45287958115183247"/>
          <c:w val="0.12366548042704625"/>
          <c:h val="0.197643979057591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Fuel vs. Throughput 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 fuel-solid diamonds)</a:t>
            </a:r>
          </a:p>
        </c:rich>
      </c:tx>
      <c:layout>
        <c:manualLayout>
          <c:xMode val="edge"/>
          <c:yMode val="edge"/>
          <c:x val="0.2562277580071173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725978647686826E-2"/>
          <c:y val="0.13612565445026181"/>
          <c:w val="0.78024911032028466"/>
          <c:h val="0.75523560209424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daily!$N$7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daily!$N$18:$N$114</c:f>
              <c:numCache>
                <c:formatCode>0.0</c:formatCode>
                <c:ptCount val="97"/>
                <c:pt idx="0">
                  <c:v>26.102566666666668</c:v>
                </c:pt>
                <c:pt idx="1">
                  <c:v>29.328967741935482</c:v>
                </c:pt>
                <c:pt idx="2">
                  <c:v>29.713806451612903</c:v>
                </c:pt>
                <c:pt idx="3">
                  <c:v>31.8445</c:v>
                </c:pt>
                <c:pt idx="4">
                  <c:v>25.274225806451611</c:v>
                </c:pt>
                <c:pt idx="5">
                  <c:v>27.060799999999997</c:v>
                </c:pt>
                <c:pt idx="6">
                  <c:v>24.374225806451612</c:v>
                </c:pt>
                <c:pt idx="7">
                  <c:v>28.431066666666666</c:v>
                </c:pt>
                <c:pt idx="8">
                  <c:v>38.932612903225809</c:v>
                </c:pt>
                <c:pt idx="9">
                  <c:v>41.596387096774194</c:v>
                </c:pt>
                <c:pt idx="10">
                  <c:v>37.655099999999997</c:v>
                </c:pt>
                <c:pt idx="11">
                  <c:v>39.028677419354835</c:v>
                </c:pt>
                <c:pt idx="12">
                  <c:v>41.614666666666672</c:v>
                </c:pt>
                <c:pt idx="13">
                  <c:v>49.89725806451613</c:v>
                </c:pt>
                <c:pt idx="14">
                  <c:v>48.348580645161292</c:v>
                </c:pt>
                <c:pt idx="15">
                  <c:v>42.732928571428566</c:v>
                </c:pt>
                <c:pt idx="16">
                  <c:v>51.499129032258061</c:v>
                </c:pt>
                <c:pt idx="17">
                  <c:v>45.113799999999998</c:v>
                </c:pt>
                <c:pt idx="18">
                  <c:v>39.246838709677419</c:v>
                </c:pt>
                <c:pt idx="19">
                  <c:v>40.066966666666666</c:v>
                </c:pt>
                <c:pt idx="20">
                  <c:v>42.607129032258065</c:v>
                </c:pt>
                <c:pt idx="21">
                  <c:v>47.647129032258064</c:v>
                </c:pt>
                <c:pt idx="22">
                  <c:v>47.328566666666667</c:v>
                </c:pt>
                <c:pt idx="23">
                  <c:v>46.576322580645162</c:v>
                </c:pt>
                <c:pt idx="24">
                  <c:v>46.967200000000005</c:v>
                </c:pt>
                <c:pt idx="25">
                  <c:v>53.079032258064515</c:v>
                </c:pt>
                <c:pt idx="26">
                  <c:v>46.769774193548386</c:v>
                </c:pt>
                <c:pt idx="27">
                  <c:v>38.990724137931032</c:v>
                </c:pt>
                <c:pt idx="28">
                  <c:v>34.634387096774191</c:v>
                </c:pt>
                <c:pt idx="29">
                  <c:v>35.823799999999999</c:v>
                </c:pt>
                <c:pt idx="30">
                  <c:v>43.540129032258065</c:v>
                </c:pt>
                <c:pt idx="31">
                  <c:v>50.595266666666667</c:v>
                </c:pt>
                <c:pt idx="32">
                  <c:v>52.680774193548388</c:v>
                </c:pt>
                <c:pt idx="33">
                  <c:v>51.980258064516129</c:v>
                </c:pt>
                <c:pt idx="34">
                  <c:v>56.388833333333331</c:v>
                </c:pt>
                <c:pt idx="35">
                  <c:v>55.451967741935484</c:v>
                </c:pt>
                <c:pt idx="36">
                  <c:v>65.191766666666666</c:v>
                </c:pt>
                <c:pt idx="37">
                  <c:v>59.907064516129033</c:v>
                </c:pt>
                <c:pt idx="38">
                  <c:v>50.62216129032258</c:v>
                </c:pt>
                <c:pt idx="39">
                  <c:v>46.586857142857141</c:v>
                </c:pt>
                <c:pt idx="40">
                  <c:v>48.727032258064519</c:v>
                </c:pt>
                <c:pt idx="41">
                  <c:v>48.681699999999999</c:v>
                </c:pt>
                <c:pt idx="42">
                  <c:v>46.932064516129032</c:v>
                </c:pt>
                <c:pt idx="43">
                  <c:v>54.199466666666666</c:v>
                </c:pt>
                <c:pt idx="44">
                  <c:v>59.030774193548389</c:v>
                </c:pt>
                <c:pt idx="45">
                  <c:v>61.103741935483868</c:v>
                </c:pt>
                <c:pt idx="46">
                  <c:v>66.394199999999998</c:v>
                </c:pt>
                <c:pt idx="47">
                  <c:v>66.880451612903215</c:v>
                </c:pt>
                <c:pt idx="48">
                  <c:v>68.586333333333343</c:v>
                </c:pt>
                <c:pt idx="49">
                  <c:v>62.230322580645165</c:v>
                </c:pt>
                <c:pt idx="50">
                  <c:v>57.434935483870966</c:v>
                </c:pt>
                <c:pt idx="51">
                  <c:v>60.090714285714284</c:v>
                </c:pt>
                <c:pt idx="52">
                  <c:v>64.092741935483872</c:v>
                </c:pt>
                <c:pt idx="53">
                  <c:v>64.737833333333327</c:v>
                </c:pt>
                <c:pt idx="54">
                  <c:v>57.619774193548388</c:v>
                </c:pt>
                <c:pt idx="55">
                  <c:v>54.679133333333333</c:v>
                </c:pt>
                <c:pt idx="56">
                  <c:v>62.194483870967744</c:v>
                </c:pt>
                <c:pt idx="57">
                  <c:v>62.550225806451614</c:v>
                </c:pt>
                <c:pt idx="58">
                  <c:v>64.647733333333335</c:v>
                </c:pt>
                <c:pt idx="59">
                  <c:v>59.845290322580645</c:v>
                </c:pt>
                <c:pt idx="60">
                  <c:v>59.755000000000003</c:v>
                </c:pt>
                <c:pt idx="61">
                  <c:v>58.43</c:v>
                </c:pt>
                <c:pt idx="62">
                  <c:v>47.922000000000004</c:v>
                </c:pt>
                <c:pt idx="63">
                  <c:v>45.404964285714286</c:v>
                </c:pt>
                <c:pt idx="64">
                  <c:v>38.247903225806446</c:v>
                </c:pt>
                <c:pt idx="65">
                  <c:v>50.576999999999998</c:v>
                </c:pt>
                <c:pt idx="66">
                  <c:v>45.71</c:v>
                </c:pt>
                <c:pt idx="67">
                  <c:v>35.313533333333332</c:v>
                </c:pt>
                <c:pt idx="68">
                  <c:v>42.772870967741937</c:v>
                </c:pt>
                <c:pt idx="69">
                  <c:v>48.598258064516131</c:v>
                </c:pt>
                <c:pt idx="70">
                  <c:v>60.2988</c:v>
                </c:pt>
                <c:pt idx="71">
                  <c:v>61.913483870967738</c:v>
                </c:pt>
                <c:pt idx="72">
                  <c:v>55.316733333333332</c:v>
                </c:pt>
                <c:pt idx="73">
                  <c:v>62.382967741935488</c:v>
                </c:pt>
                <c:pt idx="74">
                  <c:v>57.518225806451618</c:v>
                </c:pt>
                <c:pt idx="75">
                  <c:v>51.166689655172419</c:v>
                </c:pt>
                <c:pt idx="76">
                  <c:v>47.385967741935481</c:v>
                </c:pt>
                <c:pt idx="77">
                  <c:v>41.184899999999999</c:v>
                </c:pt>
                <c:pt idx="78">
                  <c:v>49.649096774193552</c:v>
                </c:pt>
                <c:pt idx="79">
                  <c:v>56.182166666666667</c:v>
                </c:pt>
                <c:pt idx="80">
                  <c:v>62.428870967741936</c:v>
                </c:pt>
                <c:pt idx="81">
                  <c:v>57.181870967741936</c:v>
                </c:pt>
                <c:pt idx="82">
                  <c:v>57.021766666666664</c:v>
                </c:pt>
                <c:pt idx="83">
                  <c:v>56.361258064516129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A-47AB-8010-1910C42BCC8A}"/>
            </c:ext>
          </c:extLst>
        </c:ser>
        <c:ser>
          <c:idx val="5"/>
          <c:order val="1"/>
          <c:tx>
            <c:strRef>
              <c:f>regr!$D$7</c:f>
              <c:strCache>
                <c:ptCount val="1"/>
                <c:pt idx="0">
                  <c:v>regr.fuel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regr!$B$1:$B$2</c:f>
              <c:numCache>
                <c:formatCode>General</c:formatCode>
                <c:ptCount val="2"/>
                <c:pt idx="0">
                  <c:v>0</c:v>
                </c:pt>
                <c:pt idx="1">
                  <c:v>1.45</c:v>
                </c:pt>
              </c:numCache>
            </c:numRef>
          </c:xVal>
          <c:yVal>
            <c:numRef>
              <c:f>regr!$D$1:$D$2</c:f>
              <c:numCache>
                <c:formatCode>0.0</c:formatCode>
                <c:ptCount val="2"/>
                <c:pt idx="0">
                  <c:v>-73.626719302339922</c:v>
                </c:pt>
                <c:pt idx="1">
                  <c:v>73.169918351230962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A-47AB-8010-1910C42BCC8A}"/>
            </c:ext>
          </c:extLst>
        </c:ser>
        <c:ser>
          <c:idx val="4"/>
          <c:order val="2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A-47AB-8010-1910C42BCC8A}"/>
            </c:ext>
          </c:extLst>
        </c:ser>
        <c:ser>
          <c:idx val="1"/>
          <c:order val="3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A-47AB-8010-1910C42BCC8A}"/>
            </c:ext>
          </c:extLst>
        </c:ser>
        <c:ser>
          <c:idx val="2"/>
          <c:order val="4"/>
          <c:tx>
            <c:strRef>
              <c:f>daily!$AB$7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triangle"/>
            <c:size val="4"/>
            <c:spPr>
              <a:solidFill>
                <a:srgbClr val="00FFFF"/>
              </a:solidFill>
              <a:ln w="6350">
                <a:noFill/>
              </a:ln>
            </c:spPr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daily!$AB$18:$AB$22</c:f>
              <c:numCache>
                <c:formatCode>0.0</c:formatCode>
                <c:ptCount val="5"/>
                <c:pt idx="0">
                  <c:v>18.247366666666668</c:v>
                </c:pt>
                <c:pt idx="1">
                  <c:v>33.244321428571425</c:v>
                </c:pt>
                <c:pt idx="2">
                  <c:v>47.670551724137937</c:v>
                </c:pt>
                <c:pt idx="3">
                  <c:v>62.659193548387094</c:v>
                </c:pt>
                <c:pt idx="4">
                  <c:v>66.615100000000012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A-47AB-8010-1910C42BCC8A}"/>
            </c:ext>
          </c:extLst>
        </c:ser>
        <c:ser>
          <c:idx val="3"/>
          <c:order val="5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x"/>
            <c:size val="2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A-47AB-8010-1910C42BCC8A}"/>
            </c:ext>
          </c:extLst>
        </c:ser>
        <c:ser>
          <c:idx val="6"/>
          <c:order val="6"/>
          <c:tx>
            <c:v>New.Ests</c:v>
          </c:tx>
          <c:spPr>
            <a:ln w="19050">
              <a:noFill/>
            </a:ln>
          </c:spPr>
          <c:marker>
            <c:symbol val="x"/>
            <c:size val="9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'ex9'!$H$89:$H$94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'ex9'!$I$89:$I$94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A-47AB-8010-1910C42BCC8A}"/>
            </c:ext>
          </c:extLst>
        </c:ser>
        <c:ser>
          <c:idx val="7"/>
          <c:order val="7"/>
          <c:tx>
            <c:v>New.Fuels</c:v>
          </c:tx>
          <c:spPr>
            <a:ln w="19050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'ex8'!$L$89:$L$94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'ex8'!$M$89:$M$94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CA-47AB-8010-1910C42B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0912"/>
        <c:axId val="1"/>
      </c:scatterChart>
      <c:valAx>
        <c:axId val="1882409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516014234875444"/>
              <c:y val="0.943717277486911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0.1"/>
      </c:val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 in  Mdt/day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95287958115183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409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99644128113862"/>
          <c:y val="0.41492146596858637"/>
          <c:w val="0.12544483985765123"/>
          <c:h val="0.263089005235602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836298932384338E-2"/>
          <c:y val="3.4031413612565453E-2"/>
          <c:w val="0.78914590747330959"/>
          <c:h val="0.85863874345549751"/>
        </c:manualLayout>
      </c:layout>
      <c:lineChart>
        <c:grouping val="standard"/>
        <c:varyColors val="0"/>
        <c:ser>
          <c:idx val="0"/>
          <c:order val="0"/>
          <c:tx>
            <c:strRef>
              <c:f>daily!$T$7</c:f>
              <c:strCache>
                <c:ptCount val="1"/>
                <c:pt idx="0">
                  <c:v>act.thrpt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  <c:pt idx="98">
                  <c:v>37257</c:v>
                </c:pt>
              </c:numCache>
            </c:numRef>
          </c:cat>
          <c:val>
            <c:numRef>
              <c:f>daily!$T$18:$T$117</c:f>
              <c:numCache>
                <c:formatCode>0.000</c:formatCode>
                <c:ptCount val="100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D-44C1-BCBA-BD11A0EDB17E}"/>
            </c:ext>
          </c:extLst>
        </c:ser>
        <c:ser>
          <c:idx val="1"/>
          <c:order val="1"/>
          <c:tx>
            <c:strRef>
              <c:f>daily!$C$7</c:f>
              <c:strCache>
                <c:ptCount val="1"/>
                <c:pt idx="0">
                  <c:v>Est.Thrpt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daily!$C$18:$C$117</c:f>
              <c:numCache>
                <c:formatCode>0.00</c:formatCode>
                <c:ptCount val="100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D-44C1-BCBA-BD11A0ED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78400"/>
        <c:axId val="1"/>
      </c:lineChart>
      <c:dateAx>
        <c:axId val="153578400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  <c:min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throughput in e9 dt.mi/d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6256544502617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78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89323843416367"/>
          <c:y val="0.43062827225130895"/>
          <c:w val="0.11654804270462631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836298932384338E-2"/>
          <c:y val="3.4031413612565453E-2"/>
          <c:w val="0.79181494661921703"/>
          <c:h val="0.8678010471204189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daily!$T$7</c:f>
              <c:strCache>
                <c:ptCount val="1"/>
                <c:pt idx="0">
                  <c:v>act.thrpt</c:v>
                </c:pt>
              </c:strCache>
            </c:strRef>
          </c:tx>
          <c:spPr>
            <a:ln w="3175">
              <a:solidFill>
                <a:srgbClr val="00008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7A5A-481F-B64F-5B5645070F6F}"/>
              </c:ext>
            </c:extLst>
          </c:dPt>
          <c:dPt>
            <c:idx val="14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7A5A-481F-B64F-5B5645070F6F}"/>
              </c:ext>
            </c:extLst>
          </c:dPt>
          <c:dPt>
            <c:idx val="26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B-7A5A-481F-B64F-5B5645070F6F}"/>
              </c:ext>
            </c:extLst>
          </c:dPt>
          <c:dPt>
            <c:idx val="38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7A5A-481F-B64F-5B5645070F6F}"/>
              </c:ext>
            </c:extLst>
          </c:dPt>
          <c:dPt>
            <c:idx val="50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7-7A5A-481F-B64F-5B5645070F6F}"/>
              </c:ext>
            </c:extLst>
          </c:dPt>
          <c:dPt>
            <c:idx val="62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9-7A5A-481F-B64F-5B5645070F6F}"/>
              </c:ext>
            </c:extLst>
          </c:dPt>
          <c:dPt>
            <c:idx val="74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5-7A5A-481F-B64F-5B5645070F6F}"/>
              </c:ext>
            </c:extLst>
          </c:dPt>
          <c:xVal>
            <c:numRef>
              <c:f>daily!$Z$18:$Z$117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</c:v>
                </c:pt>
              </c:numCache>
            </c:numRef>
          </c:xVal>
          <c:yVal>
            <c:numRef>
              <c:f>daily!$T$18:$T$117</c:f>
              <c:numCache>
                <c:formatCode>0.000</c:formatCode>
                <c:ptCount val="100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A5A-481F-B64F-5B5645070F6F}"/>
            </c:ext>
          </c:extLst>
        </c:ser>
        <c:ser>
          <c:idx val="1"/>
          <c:order val="1"/>
          <c:tx>
            <c:strRef>
              <c:f>daily!$C$7</c:f>
              <c:strCache>
                <c:ptCount val="1"/>
                <c:pt idx="0">
                  <c:v>Est.Thrpt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dPt>
            <c:idx val="14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6-7A5A-481F-B64F-5B5645070F6F}"/>
              </c:ext>
            </c:extLst>
          </c:dPt>
          <c:dPt>
            <c:idx val="26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A-7A5A-481F-B64F-5B5645070F6F}"/>
              </c:ext>
            </c:extLst>
          </c:dPt>
          <c:dPt>
            <c:idx val="38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0-7A5A-481F-B64F-5B5645070F6F}"/>
              </c:ext>
            </c:extLst>
          </c:dPt>
          <c:dPt>
            <c:idx val="5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7A5A-481F-B64F-5B5645070F6F}"/>
              </c:ext>
            </c:extLst>
          </c:dPt>
          <c:dPt>
            <c:idx val="62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8-7A5A-481F-B64F-5B5645070F6F}"/>
              </c:ext>
            </c:extLst>
          </c:dPt>
          <c:dPt>
            <c:idx val="74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4-7A5A-481F-B64F-5B5645070F6F}"/>
              </c:ext>
            </c:extLst>
          </c:dPt>
          <c:xVal>
            <c:numRef>
              <c:f>daily!$Z$18:$Z$117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</c:v>
                </c:pt>
              </c:numCache>
            </c:numRef>
          </c:xVal>
          <c:yVal>
            <c:numRef>
              <c:f>daily!$C$18:$C$117</c:f>
              <c:numCache>
                <c:formatCode>0.00</c:formatCode>
                <c:ptCount val="100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A5A-481F-B64F-5B564507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7656"/>
        <c:axId val="1"/>
      </c:scatterChart>
      <c:valAx>
        <c:axId val="18867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Month: 1=Jan, 12=Dec</a:t>
                </a:r>
              </a:p>
            </c:rich>
          </c:tx>
          <c:layout>
            <c:manualLayout>
              <c:xMode val="edge"/>
              <c:yMode val="edge"/>
              <c:x val="0.39857651245551595"/>
              <c:y val="0.954188481675392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throughput in e9 dt.mi/d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66492146596858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776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89323843416367"/>
          <c:y val="0.43455497382198954"/>
          <c:w val="0.11654804270462631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50533807829168E-2"/>
          <c:y val="3.4031413612565453E-2"/>
          <c:w val="0.7704626334519572"/>
          <c:h val="0.85863874345549751"/>
        </c:manualLayout>
      </c:layout>
      <c:lineChart>
        <c:grouping val="standard"/>
        <c:varyColors val="0"/>
        <c:ser>
          <c:idx val="0"/>
          <c:order val="0"/>
          <c:tx>
            <c:strRef>
              <c:f>daily!$L$7</c:f>
              <c:strCache>
                <c:ptCount val="1"/>
                <c:pt idx="0">
                  <c:v>Retained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  <c:pt idx="98">
                  <c:v>37257</c:v>
                </c:pt>
              </c:numCache>
            </c:numRef>
          </c:cat>
          <c:val>
            <c:numRef>
              <c:f>daily!$L$18:$L$117</c:f>
              <c:numCache>
                <c:formatCode>0.000000</c:formatCode>
                <c:ptCount val="100"/>
                <c:pt idx="0">
                  <c:v>4.1E-5</c:v>
                </c:pt>
                <c:pt idx="1">
                  <c:v>1.9000000000000001E-5</c:v>
                </c:pt>
                <c:pt idx="2">
                  <c:v>1.0000000000000001E-5</c:v>
                </c:pt>
                <c:pt idx="3">
                  <c:v>3.1000000000000001E-5</c:v>
                </c:pt>
                <c:pt idx="4">
                  <c:v>3.3000000000000003E-5</c:v>
                </c:pt>
                <c:pt idx="5">
                  <c:v>2.5999999999999998E-5</c:v>
                </c:pt>
                <c:pt idx="6">
                  <c:v>2.5000000000000001E-5</c:v>
                </c:pt>
                <c:pt idx="7">
                  <c:v>2.0000000000000002E-5</c:v>
                </c:pt>
                <c:pt idx="8">
                  <c:v>1.6000000000000003E-5</c:v>
                </c:pt>
                <c:pt idx="9">
                  <c:v>1.8E-5</c:v>
                </c:pt>
                <c:pt idx="10">
                  <c:v>2.5000000000000001E-5</c:v>
                </c:pt>
                <c:pt idx="11">
                  <c:v>2.9999999999999997E-5</c:v>
                </c:pt>
                <c:pt idx="12">
                  <c:v>3.6999999999999998E-5</c:v>
                </c:pt>
                <c:pt idx="13">
                  <c:v>3.6999999999999998E-5</c:v>
                </c:pt>
                <c:pt idx="14">
                  <c:v>4.0000000000000003E-5</c:v>
                </c:pt>
                <c:pt idx="15">
                  <c:v>4.3999999999999999E-5</c:v>
                </c:pt>
                <c:pt idx="16">
                  <c:v>4.3999999999999999E-5</c:v>
                </c:pt>
                <c:pt idx="17">
                  <c:v>4.8000000000000001E-5</c:v>
                </c:pt>
                <c:pt idx="18">
                  <c:v>4.8000000000000001E-5</c:v>
                </c:pt>
                <c:pt idx="19">
                  <c:v>4.8000000000000001E-5</c:v>
                </c:pt>
                <c:pt idx="20">
                  <c:v>4.6999999999999997E-5</c:v>
                </c:pt>
                <c:pt idx="21">
                  <c:v>4.6999999999999997E-5</c:v>
                </c:pt>
                <c:pt idx="22">
                  <c:v>4.6999999999999997E-5</c:v>
                </c:pt>
                <c:pt idx="23">
                  <c:v>4.0000000000000003E-5</c:v>
                </c:pt>
                <c:pt idx="24">
                  <c:v>4.1E-5</c:v>
                </c:pt>
                <c:pt idx="25">
                  <c:v>4.3000000000000002E-5</c:v>
                </c:pt>
                <c:pt idx="26">
                  <c:v>4.3000000000000002E-5</c:v>
                </c:pt>
                <c:pt idx="27">
                  <c:v>4.3000000000000002E-5</c:v>
                </c:pt>
                <c:pt idx="28">
                  <c:v>4.3000000000000002E-5</c:v>
                </c:pt>
                <c:pt idx="29">
                  <c:v>3.4999999999999997E-5</c:v>
                </c:pt>
                <c:pt idx="30">
                  <c:v>3.4999999999999997E-5</c:v>
                </c:pt>
                <c:pt idx="31">
                  <c:v>3.8000000000000002E-5</c:v>
                </c:pt>
                <c:pt idx="32">
                  <c:v>4.0000000000000003E-5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4.5000000000000003E-5</c:v>
                </c:pt>
                <c:pt idx="37">
                  <c:v>4.5000000000000003E-5</c:v>
                </c:pt>
                <c:pt idx="38">
                  <c:v>5.7000000000000003E-5</c:v>
                </c:pt>
                <c:pt idx="39">
                  <c:v>5.7000000000000003E-5</c:v>
                </c:pt>
                <c:pt idx="40">
                  <c:v>5.1999999999999997E-5</c:v>
                </c:pt>
                <c:pt idx="41">
                  <c:v>4.8999999999999998E-5</c:v>
                </c:pt>
                <c:pt idx="42">
                  <c:v>4.8999999999999998E-5</c:v>
                </c:pt>
                <c:pt idx="43">
                  <c:v>4.3999999999999999E-5</c:v>
                </c:pt>
                <c:pt idx="44">
                  <c:v>4.3999999999999999E-5</c:v>
                </c:pt>
                <c:pt idx="45">
                  <c:v>4.6E-5</c:v>
                </c:pt>
                <c:pt idx="46">
                  <c:v>4.6E-5</c:v>
                </c:pt>
                <c:pt idx="47">
                  <c:v>4.8999999999999998E-5</c:v>
                </c:pt>
                <c:pt idx="48">
                  <c:v>4.8000000000000001E-5</c:v>
                </c:pt>
                <c:pt idx="49">
                  <c:v>4.8000000000000001E-5</c:v>
                </c:pt>
                <c:pt idx="50">
                  <c:v>4.8000000000000001E-5</c:v>
                </c:pt>
                <c:pt idx="51">
                  <c:v>4.8000000000000001E-5</c:v>
                </c:pt>
                <c:pt idx="52">
                  <c:v>4.5000000000000003E-5</c:v>
                </c:pt>
                <c:pt idx="53">
                  <c:v>4.3000000000000002E-5</c:v>
                </c:pt>
                <c:pt idx="54">
                  <c:v>4.3999999999999999E-5</c:v>
                </c:pt>
                <c:pt idx="55">
                  <c:v>4.3999999999999999E-5</c:v>
                </c:pt>
                <c:pt idx="56">
                  <c:v>4.3999999999999999E-5</c:v>
                </c:pt>
                <c:pt idx="57">
                  <c:v>4.8000000000000001E-5</c:v>
                </c:pt>
                <c:pt idx="58">
                  <c:v>4.8000000000000001E-5</c:v>
                </c:pt>
                <c:pt idx="59">
                  <c:v>4.8000000000000001E-5</c:v>
                </c:pt>
                <c:pt idx="60">
                  <c:v>4.8000000000000001E-5</c:v>
                </c:pt>
                <c:pt idx="61">
                  <c:v>4.8000000000000001E-5</c:v>
                </c:pt>
                <c:pt idx="62">
                  <c:v>4.8000000000000001E-5</c:v>
                </c:pt>
                <c:pt idx="63">
                  <c:v>4.1999999999999998E-5</c:v>
                </c:pt>
                <c:pt idx="64">
                  <c:v>3.6000000000000001E-5</c:v>
                </c:pt>
                <c:pt idx="65">
                  <c:v>3.4999999999999997E-5</c:v>
                </c:pt>
                <c:pt idx="66">
                  <c:v>3.4999999999999997E-5</c:v>
                </c:pt>
                <c:pt idx="67">
                  <c:v>3.8000000000000002E-5</c:v>
                </c:pt>
                <c:pt idx="68">
                  <c:v>3.0000000000000001E-5</c:v>
                </c:pt>
                <c:pt idx="69">
                  <c:v>3.0000000000000001E-5</c:v>
                </c:pt>
                <c:pt idx="70">
                  <c:v>4.0000000000000003E-5</c:v>
                </c:pt>
                <c:pt idx="71">
                  <c:v>4.0000000000000003E-5</c:v>
                </c:pt>
                <c:pt idx="72">
                  <c:v>4.0000000000000003E-5</c:v>
                </c:pt>
                <c:pt idx="73">
                  <c:v>4.0000000000000003E-5</c:v>
                </c:pt>
                <c:pt idx="74">
                  <c:v>4.6E-5</c:v>
                </c:pt>
                <c:pt idx="75">
                  <c:v>4.6E-5</c:v>
                </c:pt>
                <c:pt idx="76">
                  <c:v>3.4E-5</c:v>
                </c:pt>
                <c:pt idx="77">
                  <c:v>3.1999999999999999E-5</c:v>
                </c:pt>
                <c:pt idx="78">
                  <c:v>3.1999999999999999E-5</c:v>
                </c:pt>
                <c:pt idx="79">
                  <c:v>3.4E-5</c:v>
                </c:pt>
                <c:pt idx="80">
                  <c:v>4.3000000000000002E-5</c:v>
                </c:pt>
                <c:pt idx="81">
                  <c:v>4.6999999999999997E-5</c:v>
                </c:pt>
                <c:pt idx="82">
                  <c:v>4.6999999999999997E-5</c:v>
                </c:pt>
                <c:pt idx="83">
                  <c:v>4.6999999999999997E-5</c:v>
                </c:pt>
                <c:pt idx="84">
                  <c:v>4.6999999999999997E-5</c:v>
                </c:pt>
                <c:pt idx="85">
                  <c:v>4.6999999999999997E-5</c:v>
                </c:pt>
                <c:pt idx="86">
                  <c:v>5.1E-5</c:v>
                </c:pt>
                <c:pt idx="87">
                  <c:v>5.8E-5</c:v>
                </c:pt>
                <c:pt idx="88">
                  <c:v>5.5999999999999999E-5</c:v>
                </c:pt>
                <c:pt idx="89">
                  <c:v>5.1E-5</c:v>
                </c:pt>
                <c:pt idx="90">
                  <c:v>4.3000000000000002E-5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B-4B93-9DDC-36C95ED0284A}"/>
            </c:ext>
          </c:extLst>
        </c:ser>
        <c:ser>
          <c:idx val="1"/>
          <c:order val="1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daily!$V$18:$V$117</c:f>
              <c:numCache>
                <c:formatCode>0.000000</c:formatCode>
                <c:ptCount val="100"/>
                <c:pt idx="0">
                  <c:v>2.250979591226768E-5</c:v>
                </c:pt>
                <c:pt idx="1">
                  <c:v>2.4642879849598359E-5</c:v>
                </c:pt>
                <c:pt idx="2">
                  <c:v>2.4169746031746032E-5</c:v>
                </c:pt>
                <c:pt idx="3">
                  <c:v>2.2274716394716397E-5</c:v>
                </c:pt>
                <c:pt idx="4">
                  <c:v>1.9412172547631947E-5</c:v>
                </c:pt>
                <c:pt idx="5">
                  <c:v>2.3365601149489628E-5</c:v>
                </c:pt>
                <c:pt idx="6">
                  <c:v>2.3876622099487436E-5</c:v>
                </c:pt>
                <c:pt idx="7">
                  <c:v>1.7612183276789267E-5</c:v>
                </c:pt>
                <c:pt idx="8">
                  <c:v>2.3362183741077872E-5</c:v>
                </c:pt>
                <c:pt idx="9">
                  <c:v>3.5721282920893004E-5</c:v>
                </c:pt>
                <c:pt idx="10">
                  <c:v>2.4042170640006941E-5</c:v>
                </c:pt>
                <c:pt idx="11">
                  <c:v>4.4426143988032934E-5</c:v>
                </c:pt>
                <c:pt idx="12">
                  <c:v>4.2398215986795191E-5</c:v>
                </c:pt>
                <c:pt idx="13">
                  <c:v>4.5201951335799081E-5</c:v>
                </c:pt>
                <c:pt idx="14">
                  <c:v>5.1457962677353359E-5</c:v>
                </c:pt>
                <c:pt idx="15">
                  <c:v>2.9330649360335111E-5</c:v>
                </c:pt>
                <c:pt idx="16">
                  <c:v>4.7684705993977505E-5</c:v>
                </c:pt>
                <c:pt idx="17">
                  <c:v>4.5087463852426186E-5</c:v>
                </c:pt>
                <c:pt idx="18">
                  <c:v>4.2225359162555657E-5</c:v>
                </c:pt>
                <c:pt idx="19">
                  <c:v>3.8357526803285767E-5</c:v>
                </c:pt>
                <c:pt idx="20">
                  <c:v>4.2905665804550534E-5</c:v>
                </c:pt>
                <c:pt idx="21">
                  <c:v>4.2054757473819577E-5</c:v>
                </c:pt>
                <c:pt idx="22">
                  <c:v>4.3820135158344691E-5</c:v>
                </c:pt>
                <c:pt idx="23">
                  <c:v>4.6768147308915043E-5</c:v>
                </c:pt>
                <c:pt idx="24">
                  <c:v>4.3089452441092485E-5</c:v>
                </c:pt>
                <c:pt idx="25">
                  <c:v>4.9000998943883862E-5</c:v>
                </c:pt>
                <c:pt idx="26">
                  <c:v>4.5983269928987138E-5</c:v>
                </c:pt>
                <c:pt idx="27">
                  <c:v>3.8712540119584886E-5</c:v>
                </c:pt>
                <c:pt idx="28">
                  <c:v>3.8282863704971066E-5</c:v>
                </c:pt>
                <c:pt idx="29">
                  <c:v>3.3393158828005554E-5</c:v>
                </c:pt>
                <c:pt idx="30">
                  <c:v>4.1687781692839739E-5</c:v>
                </c:pt>
                <c:pt idx="31">
                  <c:v>4.3957932580510489E-5</c:v>
                </c:pt>
                <c:pt idx="32">
                  <c:v>5.3401385837417618E-5</c:v>
                </c:pt>
                <c:pt idx="33">
                  <c:v>5.2870099892569856E-5</c:v>
                </c:pt>
                <c:pt idx="34">
                  <c:v>5.5735571372906827E-5</c:v>
                </c:pt>
                <c:pt idx="35">
                  <c:v>5.3391950935666017E-5</c:v>
                </c:pt>
                <c:pt idx="36">
                  <c:v>5.7898962354419034E-5</c:v>
                </c:pt>
                <c:pt idx="37">
                  <c:v>5.110245740074901E-5</c:v>
                </c:pt>
                <c:pt idx="38">
                  <c:v>4.3803821025894949E-5</c:v>
                </c:pt>
                <c:pt idx="39">
                  <c:v>4.0194470376173465E-5</c:v>
                </c:pt>
                <c:pt idx="40">
                  <c:v>3.7899997922762516E-5</c:v>
                </c:pt>
                <c:pt idx="41">
                  <c:v>4.2109185540693669E-5</c:v>
                </c:pt>
                <c:pt idx="42">
                  <c:v>3.7040254397273278E-5</c:v>
                </c:pt>
                <c:pt idx="43">
                  <c:v>3.852300206508146E-5</c:v>
                </c:pt>
                <c:pt idx="44">
                  <c:v>4.6850587958716118E-5</c:v>
                </c:pt>
                <c:pt idx="45">
                  <c:v>4.9307171815040982E-5</c:v>
                </c:pt>
                <c:pt idx="46">
                  <c:v>4.8610977924975404E-5</c:v>
                </c:pt>
                <c:pt idx="47">
                  <c:v>5.3984573706976779E-5</c:v>
                </c:pt>
                <c:pt idx="48">
                  <c:v>4.8102730689479681E-5</c:v>
                </c:pt>
                <c:pt idx="49">
                  <c:v>4.8497210560536854E-5</c:v>
                </c:pt>
                <c:pt idx="50">
                  <c:v>4.2031440947011202E-5</c:v>
                </c:pt>
                <c:pt idx="51">
                  <c:v>4.4451230716322463E-5</c:v>
                </c:pt>
                <c:pt idx="52">
                  <c:v>4.5410826854080959E-5</c:v>
                </c:pt>
                <c:pt idx="53">
                  <c:v>4.8072098999976019E-5</c:v>
                </c:pt>
                <c:pt idx="54">
                  <c:v>4.9794079141711981E-5</c:v>
                </c:pt>
                <c:pt idx="55">
                  <c:v>4.0182299285257238E-5</c:v>
                </c:pt>
                <c:pt idx="56">
                  <c:v>4.9700053981721818E-5</c:v>
                </c:pt>
                <c:pt idx="57">
                  <c:v>4.7541183448056304E-5</c:v>
                </c:pt>
                <c:pt idx="58">
                  <c:v>5.3808253296181566E-5</c:v>
                </c:pt>
                <c:pt idx="59">
                  <c:v>3.7541468657537154E-5</c:v>
                </c:pt>
                <c:pt idx="60">
                  <c:v>4.3269539909637379E-5</c:v>
                </c:pt>
                <c:pt idx="61">
                  <c:v>4.2472010987906605E-5</c:v>
                </c:pt>
                <c:pt idx="62">
                  <c:v>3.3981688966107166E-5</c:v>
                </c:pt>
                <c:pt idx="63">
                  <c:v>2.6632071712197516E-5</c:v>
                </c:pt>
                <c:pt idx="64">
                  <c:v>2.442442873718906E-5</c:v>
                </c:pt>
                <c:pt idx="65">
                  <c:v>4.1949128763433314E-5</c:v>
                </c:pt>
                <c:pt idx="66">
                  <c:v>3.6619224745344788E-5</c:v>
                </c:pt>
                <c:pt idx="67">
                  <c:v>2.873754418687204E-5</c:v>
                </c:pt>
                <c:pt idx="68">
                  <c:v>3.3539651943343689E-5</c:v>
                </c:pt>
                <c:pt idx="69">
                  <c:v>3.7956449442598339E-5</c:v>
                </c:pt>
                <c:pt idx="70">
                  <c:v>4.897940678910159E-5</c:v>
                </c:pt>
                <c:pt idx="71">
                  <c:v>5.375726624343601E-5</c:v>
                </c:pt>
                <c:pt idx="72">
                  <c:v>4.3059173312397198E-5</c:v>
                </c:pt>
                <c:pt idx="73">
                  <c:v>4.4670560237014011E-5</c:v>
                </c:pt>
                <c:pt idx="74">
                  <c:v>3.9431899107414709E-5</c:v>
                </c:pt>
                <c:pt idx="75">
                  <c:v>3.6020672408372963E-5</c:v>
                </c:pt>
                <c:pt idx="76">
                  <c:v>4.0369636718993284E-5</c:v>
                </c:pt>
                <c:pt idx="77">
                  <c:v>3.5263354933637722E-5</c:v>
                </c:pt>
                <c:pt idx="78">
                  <c:v>3.9603501962139687E-5</c:v>
                </c:pt>
                <c:pt idx="79">
                  <c:v>4.4660532214635213E-5</c:v>
                </c:pt>
                <c:pt idx="80">
                  <c:v>5.105976995864695E-5</c:v>
                </c:pt>
                <c:pt idx="81">
                  <c:v>5.1750355314852347E-5</c:v>
                </c:pt>
                <c:pt idx="82">
                  <c:v>4.808698024968285E-5</c:v>
                </c:pt>
                <c:pt idx="83">
                  <c:v>4.1866945070569425E-5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4B93-9DDC-36C95ED0284A}"/>
            </c:ext>
          </c:extLst>
        </c:ser>
        <c:ser>
          <c:idx val="2"/>
          <c:order val="2"/>
          <c:tx>
            <c:strRef>
              <c:f>daily!$J$7</c:f>
              <c:strCache>
                <c:ptCount val="1"/>
                <c:pt idx="0">
                  <c:v>Est.Used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daily!$J$18:$J$117</c:f>
              <c:numCache>
                <c:formatCode>0.00</c:formatCode>
                <c:ptCount val="100"/>
                <c:pt idx="3" formatCode="0.000000">
                  <c:v>2.8062640961098989E-5</c:v>
                </c:pt>
                <c:pt idx="4" formatCode="0.000000">
                  <c:v>2.1880084126248533E-5</c:v>
                </c:pt>
                <c:pt idx="5" formatCode="0.000000">
                  <c:v>2.9213314195140167E-5</c:v>
                </c:pt>
                <c:pt idx="6" formatCode="0.000000">
                  <c:v>3.7457023873012993E-5</c:v>
                </c:pt>
                <c:pt idx="7" formatCode="0.000000">
                  <c:v>2.2268130261641067E-5</c:v>
                </c:pt>
                <c:pt idx="8" formatCode="0.000000">
                  <c:v>2.0667099776131046E-5</c:v>
                </c:pt>
                <c:pt idx="9" formatCode="0.000000">
                  <c:v>2.3550121982032619E-5</c:v>
                </c:pt>
                <c:pt idx="10" formatCode="0.000000">
                  <c:v>2.1956360095831593E-5</c:v>
                </c:pt>
                <c:pt idx="11" formatCode="0.000000">
                  <c:v>1.7715846310601137E-5</c:v>
                </c:pt>
                <c:pt idx="12" formatCode="0.000000">
                  <c:v>2.8297219511692752E-5</c:v>
                </c:pt>
                <c:pt idx="13" formatCode="0.000000">
                  <c:v>2.8660691714133207E-5</c:v>
                </c:pt>
                <c:pt idx="14" formatCode="0.000000">
                  <c:v>2.9321142937430137E-5</c:v>
                </c:pt>
                <c:pt idx="15" formatCode="0.000000">
                  <c:v>3.0852154480806336E-5</c:v>
                </c:pt>
                <c:pt idx="16" formatCode="0.000000">
                  <c:v>2.8592442494935716E-5</c:v>
                </c:pt>
                <c:pt idx="17" formatCode="0.000000">
                  <c:v>4.9730858656221829E-5</c:v>
                </c:pt>
                <c:pt idx="18" formatCode="0.000000">
                  <c:v>5.1441779180877755E-5</c:v>
                </c:pt>
                <c:pt idx="19" formatCode="0.000000">
                  <c:v>4.2632966048656138E-5</c:v>
                </c:pt>
                <c:pt idx="20" formatCode="0.000000">
                  <c:v>4.4960957952967429E-5</c:v>
                </c:pt>
                <c:pt idx="21" formatCode="0.000000">
                  <c:v>4.7811304717382071E-5</c:v>
                </c:pt>
                <c:pt idx="22" formatCode="0.000000">
                  <c:v>4.353354155725697E-5</c:v>
                </c:pt>
                <c:pt idx="23" formatCode="0.000000">
                  <c:v>3.758332869341621E-5</c:v>
                </c:pt>
                <c:pt idx="24" formatCode="0.000000">
                  <c:v>3.7837550781976048E-5</c:v>
                </c:pt>
                <c:pt idx="25" formatCode="0.000000">
                  <c:v>3.0463301444090121E-5</c:v>
                </c:pt>
                <c:pt idx="26" formatCode="0.000000">
                  <c:v>3.4218450588557355E-5</c:v>
                </c:pt>
                <c:pt idx="27" formatCode="0.000000">
                  <c:v>3.1062916525471594E-5</c:v>
                </c:pt>
                <c:pt idx="28" formatCode="0.000000">
                  <c:v>3.7435527702290498E-5</c:v>
                </c:pt>
                <c:pt idx="29" formatCode="0.000000">
                  <c:v>3.6037216616432976E-5</c:v>
                </c:pt>
                <c:pt idx="30" formatCode="0.000000">
                  <c:v>3.6555840544622103E-5</c:v>
                </c:pt>
                <c:pt idx="31" formatCode="0.000000">
                  <c:v>3.6500089649342996E-5</c:v>
                </c:pt>
                <c:pt idx="32" formatCode="0.000000">
                  <c:v>3.1985132749974322E-5</c:v>
                </c:pt>
                <c:pt idx="33" formatCode="0.000000">
                  <c:v>3.545054418887313E-5</c:v>
                </c:pt>
                <c:pt idx="34" formatCode="0.000000">
                  <c:v>2.9120559114735005E-5</c:v>
                </c:pt>
                <c:pt idx="35" formatCode="0.000000">
                  <c:v>3.230581269677176E-5</c:v>
                </c:pt>
                <c:pt idx="36" formatCode="0.000000">
                  <c:v>3.1170719261338194E-5</c:v>
                </c:pt>
                <c:pt idx="37" formatCode="0.000000">
                  <c:v>3.3695966111485512E-5</c:v>
                </c:pt>
                <c:pt idx="38" formatCode="0.000000">
                  <c:v>4.034427111350188E-5</c:v>
                </c:pt>
                <c:pt idx="39" formatCode="0.000000">
                  <c:v>4.4968786371812509E-5</c:v>
                </c:pt>
                <c:pt idx="40" formatCode="0.000000">
                  <c:v>4.9515550559391896E-5</c:v>
                </c:pt>
                <c:pt idx="41" formatCode="0.000000">
                  <c:v>4.9205964032462461E-5</c:v>
                </c:pt>
                <c:pt idx="42" formatCode="0.000000">
                  <c:v>4.7500135714673477E-5</c:v>
                </c:pt>
                <c:pt idx="43" formatCode="0.000000">
                  <c:v>3.7859928636627662E-5</c:v>
                </c:pt>
                <c:pt idx="44" formatCode="0.000000">
                  <c:v>4.1151437289224348E-5</c:v>
                </c:pt>
                <c:pt idx="45" formatCode="0.000000">
                  <c:v>3.6771026341426142E-5</c:v>
                </c:pt>
                <c:pt idx="46" formatCode="0.000000">
                  <c:v>3.7470386307595612E-5</c:v>
                </c:pt>
                <c:pt idx="47" formatCode="0.000000">
                  <c:v>4.25590878498753E-5</c:v>
                </c:pt>
                <c:pt idx="48" formatCode="0.000000">
                  <c:v>3.5256071294068891E-5</c:v>
                </c:pt>
                <c:pt idx="49" formatCode="0.000000">
                  <c:v>4.237386519306229E-5</c:v>
                </c:pt>
                <c:pt idx="50" formatCode="0.000000">
                  <c:v>3.7471896077941544E-5</c:v>
                </c:pt>
                <c:pt idx="51" formatCode="0.000000">
                  <c:v>4.2808624163931017E-5</c:v>
                </c:pt>
                <c:pt idx="52" formatCode="0.000000">
                  <c:v>3.9412064728520424E-5</c:v>
                </c:pt>
                <c:pt idx="53" formatCode="0.000000">
                  <c:v>3.9044101241974271E-5</c:v>
                </c:pt>
                <c:pt idx="54" formatCode="0.000000">
                  <c:v>3.6988917195685238E-5</c:v>
                </c:pt>
                <c:pt idx="55" formatCode="0.000000">
                  <c:v>3.3423920167075912E-5</c:v>
                </c:pt>
                <c:pt idx="56" formatCode="0.000000">
                  <c:v>3.2910614770283917E-5</c:v>
                </c:pt>
                <c:pt idx="57" formatCode="0.000000">
                  <c:v>4.394843383763052E-5</c:v>
                </c:pt>
                <c:pt idx="58" formatCode="0.000000">
                  <c:v>3.5856002294784144E-5</c:v>
                </c:pt>
                <c:pt idx="59" formatCode="0.000000">
                  <c:v>4.134196355155906E-5</c:v>
                </c:pt>
                <c:pt idx="60" formatCode="0.000000">
                  <c:v>3.9651070578905625E-5</c:v>
                </c:pt>
                <c:pt idx="61" formatCode="0.000000">
                  <c:v>5.0403225806451613E-5</c:v>
                </c:pt>
                <c:pt idx="62" formatCode="0.000000">
                  <c:v>4.542701393095094E-5</c:v>
                </c:pt>
                <c:pt idx="63" formatCode="0.000000">
                  <c:v>4.1480645216469102E-5</c:v>
                </c:pt>
                <c:pt idx="64" formatCode="0.000000">
                  <c:v>4.3178907544265716E-5</c:v>
                </c:pt>
                <c:pt idx="65" formatCode="0.000000">
                  <c:v>3.89933747036742E-5</c:v>
                </c:pt>
                <c:pt idx="66" formatCode="0.000000">
                  <c:v>3.6603221083455344E-5</c:v>
                </c:pt>
                <c:pt idx="67" formatCode="0.000000">
                  <c:v>2.7085590465872156E-5</c:v>
                </c:pt>
                <c:pt idx="68" formatCode="0.000000">
                  <c:v>2.2118074651490878E-5</c:v>
                </c:pt>
                <c:pt idx="69" formatCode="0.000000">
                  <c:v>3.0613380830457535E-5</c:v>
                </c:pt>
                <c:pt idx="70" formatCode="0.000000">
                  <c:v>3.7971411028405857E-5</c:v>
                </c:pt>
                <c:pt idx="71" formatCode="0.000000">
                  <c:v>3.2168702245428591E-5</c:v>
                </c:pt>
                <c:pt idx="72" formatCode="0.000000">
                  <c:v>3.3875338753387541E-5</c:v>
                </c:pt>
                <c:pt idx="73" formatCode="0.000000">
                  <c:v>2.7969952279836515E-5</c:v>
                </c:pt>
                <c:pt idx="74" formatCode="0.000000">
                  <c:v>4.3377674956622319E-5</c:v>
                </c:pt>
                <c:pt idx="75" formatCode="0.000000">
                  <c:v>4.1298099024506067E-5</c:v>
                </c:pt>
                <c:pt idx="76" formatCode="0.000000">
                  <c:v>3.638617864266077E-5</c:v>
                </c:pt>
                <c:pt idx="77" formatCode="0.000000">
                  <c:v>3.7319310195017851E-5</c:v>
                </c:pt>
                <c:pt idx="78" formatCode="0.000000">
                  <c:v>2.17296827466319E-5</c:v>
                </c:pt>
                <c:pt idx="79" formatCode="0.000000">
                  <c:v>2.6628218117579821E-5</c:v>
                </c:pt>
                <c:pt idx="80" formatCode="0.000000">
                  <c:v>2.975046967118221E-5</c:v>
                </c:pt>
                <c:pt idx="81" formatCode="0.000000">
                  <c:v>3.1045307495110028E-5</c:v>
                </c:pt>
                <c:pt idx="82" formatCode="0.000000">
                  <c:v>3.2817012339196635E-5</c:v>
                </c:pt>
                <c:pt idx="83" formatCode="0.000000">
                  <c:v>3.6755527199090125E-5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B-4B93-9DDC-36C95ED0284A}"/>
            </c:ext>
          </c:extLst>
        </c:ser>
        <c:ser>
          <c:idx val="3"/>
          <c:order val="3"/>
          <c:tx>
            <c:strRef>
              <c:f>daily!$W$7</c:f>
              <c:strCache>
                <c:ptCount val="1"/>
                <c:pt idx="0">
                  <c:v>Kept.Cap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daily!$W$18:$W$117</c:f>
              <c:numCache>
                <c:formatCode>0.000000</c:formatCode>
                <c:ptCount val="100"/>
                <c:pt idx="0">
                  <c:v>4.1E-5</c:v>
                </c:pt>
                <c:pt idx="1">
                  <c:v>4.1E-5</c:v>
                </c:pt>
                <c:pt idx="2">
                  <c:v>4.1E-5</c:v>
                </c:pt>
                <c:pt idx="3">
                  <c:v>4.1E-5</c:v>
                </c:pt>
                <c:pt idx="4">
                  <c:v>4.1E-5</c:v>
                </c:pt>
                <c:pt idx="5">
                  <c:v>4.1E-5</c:v>
                </c:pt>
                <c:pt idx="6">
                  <c:v>4.1E-5</c:v>
                </c:pt>
                <c:pt idx="7">
                  <c:v>4.1E-5</c:v>
                </c:pt>
                <c:pt idx="8">
                  <c:v>3.6999999999999998E-5</c:v>
                </c:pt>
                <c:pt idx="9">
                  <c:v>3.6999999999999998E-5</c:v>
                </c:pt>
                <c:pt idx="10">
                  <c:v>3.6999999999999998E-5</c:v>
                </c:pt>
                <c:pt idx="11">
                  <c:v>3.6999999999999998E-5</c:v>
                </c:pt>
                <c:pt idx="12">
                  <c:v>3.6999999999999998E-5</c:v>
                </c:pt>
                <c:pt idx="13">
                  <c:v>3.6999999999999998E-5</c:v>
                </c:pt>
                <c:pt idx="14">
                  <c:v>4.8999999999999998E-5</c:v>
                </c:pt>
                <c:pt idx="15">
                  <c:v>4.8999999999999998E-5</c:v>
                </c:pt>
                <c:pt idx="16">
                  <c:v>4.8999999999999998E-5</c:v>
                </c:pt>
                <c:pt idx="17">
                  <c:v>4.8999999999999998E-5</c:v>
                </c:pt>
                <c:pt idx="18">
                  <c:v>4.8999999999999998E-5</c:v>
                </c:pt>
                <c:pt idx="19">
                  <c:v>4.8999999999999998E-5</c:v>
                </c:pt>
                <c:pt idx="20">
                  <c:v>4.8000000000000001E-5</c:v>
                </c:pt>
                <c:pt idx="21">
                  <c:v>4.8000000000000001E-5</c:v>
                </c:pt>
                <c:pt idx="22">
                  <c:v>4.8000000000000001E-5</c:v>
                </c:pt>
                <c:pt idx="23">
                  <c:v>4.8000000000000001E-5</c:v>
                </c:pt>
                <c:pt idx="24">
                  <c:v>4.8000000000000001E-5</c:v>
                </c:pt>
                <c:pt idx="25">
                  <c:v>4.8000000000000001E-5</c:v>
                </c:pt>
                <c:pt idx="26">
                  <c:v>4.3000000000000002E-5</c:v>
                </c:pt>
                <c:pt idx="27">
                  <c:v>4.3000000000000002E-5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4.5000000000000003E-5</c:v>
                </c:pt>
                <c:pt idx="33">
                  <c:v>4.5000000000000003E-5</c:v>
                </c:pt>
                <c:pt idx="34">
                  <c:v>4.5000000000000003E-5</c:v>
                </c:pt>
                <c:pt idx="35">
                  <c:v>4.5000000000000003E-5</c:v>
                </c:pt>
                <c:pt idx="36">
                  <c:v>4.5000000000000003E-5</c:v>
                </c:pt>
                <c:pt idx="37">
                  <c:v>4.5000000000000003E-5</c:v>
                </c:pt>
                <c:pt idx="38">
                  <c:v>5.7000000000000003E-5</c:v>
                </c:pt>
                <c:pt idx="39">
                  <c:v>5.7000000000000003E-5</c:v>
                </c:pt>
                <c:pt idx="40">
                  <c:v>5.7000000000000003E-5</c:v>
                </c:pt>
                <c:pt idx="41">
                  <c:v>5.7000000000000003E-5</c:v>
                </c:pt>
                <c:pt idx="42">
                  <c:v>5.7000000000000003E-5</c:v>
                </c:pt>
                <c:pt idx="43">
                  <c:v>5.7000000000000003E-5</c:v>
                </c:pt>
                <c:pt idx="44">
                  <c:v>4.8000000000000001E-5</c:v>
                </c:pt>
                <c:pt idx="45">
                  <c:v>4.8000000000000001E-5</c:v>
                </c:pt>
                <c:pt idx="46">
                  <c:v>4.8000000000000001E-5</c:v>
                </c:pt>
                <c:pt idx="47">
                  <c:v>4.8000000000000001E-5</c:v>
                </c:pt>
                <c:pt idx="48">
                  <c:v>4.8000000000000001E-5</c:v>
                </c:pt>
                <c:pt idx="49">
                  <c:v>4.8000000000000001E-5</c:v>
                </c:pt>
                <c:pt idx="50">
                  <c:v>4.8000000000000001E-5</c:v>
                </c:pt>
                <c:pt idx="51">
                  <c:v>4.8000000000000001E-5</c:v>
                </c:pt>
                <c:pt idx="52">
                  <c:v>4.8000000000000001E-5</c:v>
                </c:pt>
                <c:pt idx="53">
                  <c:v>4.8000000000000001E-5</c:v>
                </c:pt>
                <c:pt idx="54">
                  <c:v>4.8000000000000001E-5</c:v>
                </c:pt>
                <c:pt idx="55">
                  <c:v>4.8000000000000001E-5</c:v>
                </c:pt>
                <c:pt idx="56">
                  <c:v>4.8000000000000001E-5</c:v>
                </c:pt>
                <c:pt idx="57">
                  <c:v>4.8000000000000001E-5</c:v>
                </c:pt>
                <c:pt idx="58">
                  <c:v>4.8000000000000001E-5</c:v>
                </c:pt>
                <c:pt idx="59">
                  <c:v>4.8000000000000001E-5</c:v>
                </c:pt>
                <c:pt idx="60">
                  <c:v>4.8000000000000001E-5</c:v>
                </c:pt>
                <c:pt idx="61">
                  <c:v>4.8000000000000001E-5</c:v>
                </c:pt>
                <c:pt idx="62">
                  <c:v>5.0000000000000002E-5</c:v>
                </c:pt>
                <c:pt idx="63">
                  <c:v>5.0000000000000002E-5</c:v>
                </c:pt>
                <c:pt idx="64">
                  <c:v>5.0000000000000002E-5</c:v>
                </c:pt>
                <c:pt idx="65">
                  <c:v>5.0000000000000002E-5</c:v>
                </c:pt>
                <c:pt idx="66">
                  <c:v>5.0000000000000002E-5</c:v>
                </c:pt>
                <c:pt idx="67">
                  <c:v>5.0000000000000002E-5</c:v>
                </c:pt>
                <c:pt idx="68">
                  <c:v>4.0000000000000003E-5</c:v>
                </c:pt>
                <c:pt idx="69">
                  <c:v>4.0000000000000003E-5</c:v>
                </c:pt>
                <c:pt idx="70">
                  <c:v>4.0000000000000003E-5</c:v>
                </c:pt>
                <c:pt idx="71">
                  <c:v>4.0000000000000003E-5</c:v>
                </c:pt>
                <c:pt idx="72">
                  <c:v>4.0000000000000003E-5</c:v>
                </c:pt>
                <c:pt idx="73">
                  <c:v>4.0000000000000003E-5</c:v>
                </c:pt>
                <c:pt idx="74">
                  <c:v>4.6E-5</c:v>
                </c:pt>
                <c:pt idx="75">
                  <c:v>4.6E-5</c:v>
                </c:pt>
                <c:pt idx="76">
                  <c:v>4.6E-5</c:v>
                </c:pt>
                <c:pt idx="77">
                  <c:v>4.6E-5</c:v>
                </c:pt>
                <c:pt idx="78">
                  <c:v>4.6E-5</c:v>
                </c:pt>
                <c:pt idx="79">
                  <c:v>4.6E-5</c:v>
                </c:pt>
                <c:pt idx="80">
                  <c:v>4.7000000000000004E-5</c:v>
                </c:pt>
                <c:pt idx="81">
                  <c:v>4.7000000000000004E-5</c:v>
                </c:pt>
                <c:pt idx="82">
                  <c:v>4.7000000000000004E-5</c:v>
                </c:pt>
                <c:pt idx="83">
                  <c:v>4.7000000000000004E-5</c:v>
                </c:pt>
                <c:pt idx="84">
                  <c:v>4.7000000000000004E-5</c:v>
                </c:pt>
                <c:pt idx="85">
                  <c:v>4.7000000000000004E-5</c:v>
                </c:pt>
                <c:pt idx="86">
                  <c:v>6.2000000000000003E-5</c:v>
                </c:pt>
                <c:pt idx="87">
                  <c:v>6.2000000000000003E-5</c:v>
                </c:pt>
                <c:pt idx="88">
                  <c:v>6.2000000000000003E-5</c:v>
                </c:pt>
                <c:pt idx="89">
                  <c:v>6.2000000000000003E-5</c:v>
                </c:pt>
                <c:pt idx="90">
                  <c:v>6.2000000000000003E-5</c:v>
                </c:pt>
                <c:pt idx="91">
                  <c:v>6.2000000000000003E-5</c:v>
                </c:pt>
                <c:pt idx="92">
                  <c:v>5.0000000000000002E-5</c:v>
                </c:pt>
                <c:pt idx="93">
                  <c:v>5.0000000000000002E-5</c:v>
                </c:pt>
                <c:pt idx="94">
                  <c:v>5.0000000000000002E-5</c:v>
                </c:pt>
                <c:pt idx="95">
                  <c:v>5.0000000000000002E-5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B-4B93-9DDC-36C95ED0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80040"/>
        <c:axId val="1"/>
      </c:lineChart>
      <c:dateAx>
        <c:axId val="153580040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0%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8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2419928825612"/>
          <c:y val="0.39790575916230364"/>
          <c:w val="0.1192170818505338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7580071174371E-2"/>
          <c:y val="3.4031413612565453E-2"/>
          <c:w val="0.78558718861209942"/>
          <c:h val="0.85863874345549751"/>
        </c:manualLayout>
      </c:layout>
      <c:lineChart>
        <c:grouping val="standard"/>
        <c:varyColors val="0"/>
        <c:ser>
          <c:idx val="0"/>
          <c:order val="0"/>
          <c:tx>
            <c:strRef>
              <c:f>daily!$L$7</c:f>
              <c:strCache>
                <c:ptCount val="1"/>
                <c:pt idx="0">
                  <c:v>Retained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  <c:pt idx="98">
                  <c:v>37257</c:v>
                </c:pt>
              </c:numCache>
            </c:numRef>
          </c:cat>
          <c:val>
            <c:numRef>
              <c:f>daily!$Q$18:$Q$117</c:f>
              <c:numCache>
                <c:formatCode>0.0</c:formatCode>
                <c:ptCount val="100"/>
                <c:pt idx="0">
                  <c:v>40.1494</c:v>
                </c:pt>
                <c:pt idx="1">
                  <c:v>18.874193548387098</c:v>
                </c:pt>
                <c:pt idx="2">
                  <c:v>10.161290322580646</c:v>
                </c:pt>
                <c:pt idx="3">
                  <c:v>32.174999999999997</c:v>
                </c:pt>
                <c:pt idx="4">
                  <c:v>32.089129032258064</c:v>
                </c:pt>
                <c:pt idx="5">
                  <c:v>26.794500000000003</c:v>
                </c:pt>
                <c:pt idx="6">
                  <c:v>24.110032258064514</c:v>
                </c:pt>
                <c:pt idx="7">
                  <c:v>20.721299999999999</c:v>
                </c:pt>
                <c:pt idx="8">
                  <c:v>18.520451612903226</c:v>
                </c:pt>
                <c:pt idx="9">
                  <c:v>20.649451612903228</c:v>
                </c:pt>
                <c:pt idx="10">
                  <c:v>27.280433333333335</c:v>
                </c:pt>
                <c:pt idx="11">
                  <c:v>30.794225806451614</c:v>
                </c:pt>
                <c:pt idx="12">
                  <c:v>42.025099999999995</c:v>
                </c:pt>
                <c:pt idx="13">
                  <c:v>44.925387096774188</c:v>
                </c:pt>
                <c:pt idx="14">
                  <c:v>47.394903225806452</c:v>
                </c:pt>
                <c:pt idx="15">
                  <c:v>51.717928571428573</c:v>
                </c:pt>
                <c:pt idx="16">
                  <c:v>53.037645161290321</c:v>
                </c:pt>
                <c:pt idx="17">
                  <c:v>55.236533333333334</c:v>
                </c:pt>
                <c:pt idx="18">
                  <c:v>53.619354838709675</c:v>
                </c:pt>
                <c:pt idx="19">
                  <c:v>55.978833333333334</c:v>
                </c:pt>
                <c:pt idx="20">
                  <c:v>53.269774193548386</c:v>
                </c:pt>
                <c:pt idx="21">
                  <c:v>56.490741935483868</c:v>
                </c:pt>
                <c:pt idx="22">
                  <c:v>55.894933333333334</c:v>
                </c:pt>
                <c:pt idx="23">
                  <c:v>46.666032258064511</c:v>
                </c:pt>
                <c:pt idx="24">
                  <c:v>48.511066666666672</c:v>
                </c:pt>
                <c:pt idx="25">
                  <c:v>51.344548387096772</c:v>
                </c:pt>
                <c:pt idx="26">
                  <c:v>48.332903225806447</c:v>
                </c:pt>
                <c:pt idx="27">
                  <c:v>46.563379310344828</c:v>
                </c:pt>
                <c:pt idx="28">
                  <c:v>47.851838709677416</c:v>
                </c:pt>
                <c:pt idx="29">
                  <c:v>38.198133333333331</c:v>
                </c:pt>
                <c:pt idx="30">
                  <c:v>42.506548387096771</c:v>
                </c:pt>
                <c:pt idx="31">
                  <c:v>46.228966666666665</c:v>
                </c:pt>
                <c:pt idx="32">
                  <c:v>48.672096774193548</c:v>
                </c:pt>
                <c:pt idx="33">
                  <c:v>53.538161290322577</c:v>
                </c:pt>
                <c:pt idx="34">
                  <c:v>55.091866666666668</c:v>
                </c:pt>
                <c:pt idx="35">
                  <c:v>56.878580645161293</c:v>
                </c:pt>
                <c:pt idx="36">
                  <c:v>57.7943</c:v>
                </c:pt>
                <c:pt idx="37">
                  <c:v>56.952387096774189</c:v>
                </c:pt>
                <c:pt idx="38">
                  <c:v>68.275870967741938</c:v>
                </c:pt>
                <c:pt idx="39">
                  <c:v>69.703785714285715</c:v>
                </c:pt>
                <c:pt idx="40">
                  <c:v>66.776032258064504</c:v>
                </c:pt>
                <c:pt idx="41">
                  <c:v>61.424799999999998</c:v>
                </c:pt>
                <c:pt idx="42">
                  <c:v>59.378806451612903</c:v>
                </c:pt>
                <c:pt idx="43">
                  <c:v>55.7363</c:v>
                </c:pt>
                <c:pt idx="44">
                  <c:v>55.983741935483877</c:v>
                </c:pt>
                <c:pt idx="45">
                  <c:v>60.726967741935489</c:v>
                </c:pt>
                <c:pt idx="46">
                  <c:v>60.135833333333338</c:v>
                </c:pt>
                <c:pt idx="47">
                  <c:v>64.634096774193551</c:v>
                </c:pt>
                <c:pt idx="48">
                  <c:v>66.472833333333327</c:v>
                </c:pt>
                <c:pt idx="49">
                  <c:v>64.2978064516129</c:v>
                </c:pt>
                <c:pt idx="50">
                  <c:v>61.910225806451614</c:v>
                </c:pt>
                <c:pt idx="51">
                  <c:v>64.490607142857144</c:v>
                </c:pt>
                <c:pt idx="52">
                  <c:v>62.092322580645167</c:v>
                </c:pt>
                <c:pt idx="53">
                  <c:v>58.391933333333334</c:v>
                </c:pt>
                <c:pt idx="54">
                  <c:v>56.89345161290322</c:v>
                </c:pt>
                <c:pt idx="55">
                  <c:v>58.086166666666671</c:v>
                </c:pt>
                <c:pt idx="56">
                  <c:v>58.024419354838713</c:v>
                </c:pt>
                <c:pt idx="57">
                  <c:v>62.820806451612903</c:v>
                </c:pt>
                <c:pt idx="58">
                  <c:v>64.241</c:v>
                </c:pt>
                <c:pt idx="59">
                  <c:v>61.947290322580642</c:v>
                </c:pt>
                <c:pt idx="60">
                  <c:v>63.588233333333328</c:v>
                </c:pt>
                <c:pt idx="61">
                  <c:v>63.55374193548387</c:v>
                </c:pt>
                <c:pt idx="62">
                  <c:v>60.527580645161294</c:v>
                </c:pt>
                <c:pt idx="63">
                  <c:v>52.427821428571427</c:v>
                </c:pt>
                <c:pt idx="64">
                  <c:v>41.868193548387097</c:v>
                </c:pt>
                <c:pt idx="65">
                  <c:v>43.954766666666664</c:v>
                </c:pt>
                <c:pt idx="66">
                  <c:v>41.419064516129033</c:v>
                </c:pt>
                <c:pt idx="67">
                  <c:v>42.820033333333335</c:v>
                </c:pt>
                <c:pt idx="68">
                  <c:v>35.378</c:v>
                </c:pt>
                <c:pt idx="69">
                  <c:v>36.607064516129029</c:v>
                </c:pt>
                <c:pt idx="70">
                  <c:v>51.466799999999999</c:v>
                </c:pt>
                <c:pt idx="71">
                  <c:v>51.447580645161288</c:v>
                </c:pt>
                <c:pt idx="72">
                  <c:v>51.415633333333332</c:v>
                </c:pt>
                <c:pt idx="73">
                  <c:v>53.134193548387103</c:v>
                </c:pt>
                <c:pt idx="74">
                  <c:v>60.39</c:v>
                </c:pt>
                <c:pt idx="75">
                  <c:v>60.877413793103443</c:v>
                </c:pt>
                <c:pt idx="76">
                  <c:v>43.506709677419359</c:v>
                </c:pt>
                <c:pt idx="77">
                  <c:v>37.787533333333336</c:v>
                </c:pt>
                <c:pt idx="78">
                  <c:v>40.040225806451616</c:v>
                </c:pt>
                <c:pt idx="79">
                  <c:v>43.749266666666671</c:v>
                </c:pt>
                <c:pt idx="80">
                  <c:v>56.46109677419355</c:v>
                </c:pt>
                <c:pt idx="81">
                  <c:v>58.353516129032258</c:v>
                </c:pt>
                <c:pt idx="82">
                  <c:v>59.857266666666668</c:v>
                </c:pt>
                <c:pt idx="83">
                  <c:v>60.622064516129036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A5B-B342-4A90E01CF2A9}"/>
            </c:ext>
          </c:extLst>
        </c:ser>
        <c:ser>
          <c:idx val="1"/>
          <c:order val="1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daily!$P$18:$P$117</c:f>
              <c:numCache>
                <c:formatCode>0.0</c:formatCode>
                <c:ptCount val="100"/>
                <c:pt idx="0">
                  <c:v>22.0428</c:v>
                </c:pt>
                <c:pt idx="1">
                  <c:v>24.479709677419354</c:v>
                </c:pt>
                <c:pt idx="2">
                  <c:v>24.55958064516129</c:v>
                </c:pt>
                <c:pt idx="3">
                  <c:v>23.119</c:v>
                </c:pt>
                <c:pt idx="4">
                  <c:v>18.876354838709673</c:v>
                </c:pt>
                <c:pt idx="5">
                  <c:v>24.079599999999996</c:v>
                </c:pt>
                <c:pt idx="6">
                  <c:v>23.026645161290322</c:v>
                </c:pt>
                <c:pt idx="7">
                  <c:v>18.247366666666668</c:v>
                </c:pt>
                <c:pt idx="8">
                  <c:v>27.042387096774195</c:v>
                </c:pt>
                <c:pt idx="9">
                  <c:v>40.97916129032258</c:v>
                </c:pt>
                <c:pt idx="10">
                  <c:v>26.235233333333333</c:v>
                </c:pt>
                <c:pt idx="11">
                  <c:v>45.602290322580636</c:v>
                </c:pt>
                <c:pt idx="12">
                  <c:v>48.156466666666667</c:v>
                </c:pt>
                <c:pt idx="13">
                  <c:v>54.884193548387103</c:v>
                </c:pt>
                <c:pt idx="14">
                  <c:v>60.971129032258062</c:v>
                </c:pt>
                <c:pt idx="15">
                  <c:v>34.475464285714281</c:v>
                </c:pt>
                <c:pt idx="16">
                  <c:v>57.479193548387094</c:v>
                </c:pt>
                <c:pt idx="17">
                  <c:v>51.884900000000002</c:v>
                </c:pt>
                <c:pt idx="18">
                  <c:v>47.168677419354843</c:v>
                </c:pt>
                <c:pt idx="19">
                  <c:v>44.733533333333334</c:v>
                </c:pt>
                <c:pt idx="20">
                  <c:v>48.629258064516122</c:v>
                </c:pt>
                <c:pt idx="21">
                  <c:v>50.546903225806453</c:v>
                </c:pt>
                <c:pt idx="22">
                  <c:v>52.113266666666661</c:v>
                </c:pt>
                <c:pt idx="23">
                  <c:v>54.562096774193549</c:v>
                </c:pt>
                <c:pt idx="24">
                  <c:v>50.9833</c:v>
                </c:pt>
                <c:pt idx="25">
                  <c:v>58.510096774193549</c:v>
                </c:pt>
                <c:pt idx="26">
                  <c:v>51.68616129032258</c:v>
                </c:pt>
                <c:pt idx="27">
                  <c:v>41.920620689655173</c:v>
                </c:pt>
                <c:pt idx="28">
                  <c:v>42.602451612903224</c:v>
                </c:pt>
                <c:pt idx="29">
                  <c:v>36.444466666666663</c:v>
                </c:pt>
                <c:pt idx="30">
                  <c:v>50.628677419354837</c:v>
                </c:pt>
                <c:pt idx="31">
                  <c:v>53.477099999999993</c:v>
                </c:pt>
                <c:pt idx="32">
                  <c:v>64.97893548387097</c:v>
                </c:pt>
                <c:pt idx="33">
                  <c:v>65.827161290322579</c:v>
                </c:pt>
                <c:pt idx="34">
                  <c:v>69.785833333333329</c:v>
                </c:pt>
                <c:pt idx="35">
                  <c:v>67.485741935483873</c:v>
                </c:pt>
                <c:pt idx="36">
                  <c:v>74.36066666666666</c:v>
                </c:pt>
                <c:pt idx="37">
                  <c:v>64.675709677419349</c:v>
                </c:pt>
                <c:pt idx="38">
                  <c:v>52.469193548387096</c:v>
                </c:pt>
                <c:pt idx="39">
                  <c:v>49.152750000000005</c:v>
                </c:pt>
                <c:pt idx="40">
                  <c:v>48.669451612903224</c:v>
                </c:pt>
                <c:pt idx="41">
                  <c:v>52.786700000000003</c:v>
                </c:pt>
                <c:pt idx="42">
                  <c:v>44.885838709677422</c:v>
                </c:pt>
                <c:pt idx="43">
                  <c:v>48.798400000000001</c:v>
                </c:pt>
                <c:pt idx="44">
                  <c:v>59.610709677419358</c:v>
                </c:pt>
                <c:pt idx="45">
                  <c:v>65.09293548387096</c:v>
                </c:pt>
                <c:pt idx="46">
                  <c:v>63.549166666666665</c:v>
                </c:pt>
                <c:pt idx="47">
                  <c:v>71.209064516129018</c:v>
                </c:pt>
                <c:pt idx="48">
                  <c:v>66.615100000000012</c:v>
                </c:pt>
                <c:pt idx="49">
                  <c:v>64.963838709677418</c:v>
                </c:pt>
                <c:pt idx="50">
                  <c:v>54.211999999999996</c:v>
                </c:pt>
                <c:pt idx="51">
                  <c:v>59.722642857142851</c:v>
                </c:pt>
                <c:pt idx="52">
                  <c:v>62.659193548387094</c:v>
                </c:pt>
                <c:pt idx="53">
                  <c:v>65.279600000000002</c:v>
                </c:pt>
                <c:pt idx="54">
                  <c:v>64.385387096774195</c:v>
                </c:pt>
                <c:pt idx="55">
                  <c:v>53.046266666666661</c:v>
                </c:pt>
                <c:pt idx="56">
                  <c:v>65.54129032258065</c:v>
                </c:pt>
                <c:pt idx="57">
                  <c:v>62.22032258064516</c:v>
                </c:pt>
                <c:pt idx="58">
                  <c:v>72.014499999999998</c:v>
                </c:pt>
                <c:pt idx="59">
                  <c:v>48.449838709677415</c:v>
                </c:pt>
                <c:pt idx="60">
                  <c:v>57.321533333333342</c:v>
                </c:pt>
                <c:pt idx="61">
                  <c:v>56.234483870967743</c:v>
                </c:pt>
                <c:pt idx="62">
                  <c:v>42.850612903225809</c:v>
                </c:pt>
                <c:pt idx="63">
                  <c:v>33.244321428571425</c:v>
                </c:pt>
                <c:pt idx="64">
                  <c:v>28.405741935483871</c:v>
                </c:pt>
                <c:pt idx="65">
                  <c:v>52.68183333333333</c:v>
                </c:pt>
                <c:pt idx="66">
                  <c:v>43.335258064516132</c:v>
                </c:pt>
                <c:pt idx="67">
                  <c:v>32.3827</c:v>
                </c:pt>
                <c:pt idx="68">
                  <c:v>39.552193548387102</c:v>
                </c:pt>
                <c:pt idx="69">
                  <c:v>46.3158064516129</c:v>
                </c:pt>
                <c:pt idx="70">
                  <c:v>63.020333333333333</c:v>
                </c:pt>
                <c:pt idx="71">
                  <c:v>69.142032258064503</c:v>
                </c:pt>
                <c:pt idx="72">
                  <c:v>55.347866666666661</c:v>
                </c:pt>
                <c:pt idx="73">
                  <c:v>59.338354838709677</c:v>
                </c:pt>
                <c:pt idx="74">
                  <c:v>51.767225806451613</c:v>
                </c:pt>
                <c:pt idx="75">
                  <c:v>47.670551724137937</c:v>
                </c:pt>
                <c:pt idx="76">
                  <c:v>51.657354838709672</c:v>
                </c:pt>
                <c:pt idx="77">
                  <c:v>41.641100000000002</c:v>
                </c:pt>
                <c:pt idx="78">
                  <c:v>49.554161290322583</c:v>
                </c:pt>
                <c:pt idx="79">
                  <c:v>57.466633333333334</c:v>
                </c:pt>
                <c:pt idx="80">
                  <c:v>67.043967741935489</c:v>
                </c:pt>
                <c:pt idx="81">
                  <c:v>64.251387096774195</c:v>
                </c:pt>
                <c:pt idx="82">
                  <c:v>61.241599999999998</c:v>
                </c:pt>
                <c:pt idx="83">
                  <c:v>54.001290322580644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2-4A5B-B342-4A90E01CF2A9}"/>
            </c:ext>
          </c:extLst>
        </c:ser>
        <c:ser>
          <c:idx val="2"/>
          <c:order val="2"/>
          <c:tx>
            <c:strRef>
              <c:f>daily!$D$7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daily!$D$18:$D$117</c:f>
              <c:numCache>
                <c:formatCode>General</c:formatCode>
                <c:ptCount val="100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24.761290322580646</c:v>
                </c:pt>
                <c:pt idx="9" formatCode="0.0">
                  <c:v>30.190322580645162</c:v>
                </c:pt>
                <c:pt idx="10" formatCode="0.0">
                  <c:v>29.056666666666668</c:v>
                </c:pt>
                <c:pt idx="11" formatCode="0.0">
                  <c:v>22.629032258064516</c:v>
                </c:pt>
                <c:pt idx="12" formatCode="0.0">
                  <c:v>33.333333333333336</c:v>
                </c:pt>
                <c:pt idx="13" formatCode="0.0">
                  <c:v>40.345161290322579</c:v>
                </c:pt>
                <c:pt idx="14" formatCode="0.0">
                  <c:v>42.470967741935482</c:v>
                </c:pt>
                <c:pt idx="15" formatCode="0.0">
                  <c:v>50.714285714285715</c:v>
                </c:pt>
                <c:pt idx="16" formatCode="0.0">
                  <c:v>41.12903225806452</c:v>
                </c:pt>
                <c:pt idx="17" formatCode="0.0">
                  <c:v>49.666666666666664</c:v>
                </c:pt>
                <c:pt idx="18" formatCode="0.0">
                  <c:v>58.87096774193548</c:v>
                </c:pt>
                <c:pt idx="19" formatCode="0.0">
                  <c:v>49.5</c:v>
                </c:pt>
                <c:pt idx="20" formatCode="0.0">
                  <c:v>50.967741935483872</c:v>
                </c:pt>
                <c:pt idx="21" formatCode="0.0">
                  <c:v>58.064516129032256</c:v>
                </c:pt>
                <c:pt idx="22" formatCode="0.0">
                  <c:v>52.5</c:v>
                </c:pt>
                <c:pt idx="23" formatCode="0.0">
                  <c:v>47.903225806451616</c:v>
                </c:pt>
                <c:pt idx="24" formatCode="0.0">
                  <c:v>47.5</c:v>
                </c:pt>
                <c:pt idx="25" formatCode="0.0">
                  <c:v>37.903225806451616</c:v>
                </c:pt>
                <c:pt idx="26" formatCode="0.0">
                  <c:v>40.322580645161288</c:v>
                </c:pt>
                <c:pt idx="27" formatCode="0.0">
                  <c:v>37.931034482758619</c:v>
                </c:pt>
                <c:pt idx="28" formatCode="0.0">
                  <c:v>43.548387096774192</c:v>
                </c:pt>
                <c:pt idx="29" formatCode="0.0">
                  <c:v>45.833333333333336</c:v>
                </c:pt>
                <c:pt idx="30" formatCode="0.0">
                  <c:v>49.193548387096776</c:v>
                </c:pt>
                <c:pt idx="31" formatCode="0.0">
                  <c:v>49.4</c:v>
                </c:pt>
                <c:pt idx="32" formatCode="0.0">
                  <c:v>44.193548387096776</c:v>
                </c:pt>
                <c:pt idx="33" formatCode="0.0">
                  <c:v>49.677419354838712</c:v>
                </c:pt>
                <c:pt idx="34" formatCode="0.0">
                  <c:v>43.333333333333336</c:v>
                </c:pt>
                <c:pt idx="35" formatCode="0.0">
                  <c:v>44.354838709677416</c:v>
                </c:pt>
                <c:pt idx="36" formatCode="0.0">
                  <c:v>43.166666666666664</c:v>
                </c:pt>
                <c:pt idx="37" formatCode="0.0">
                  <c:v>45.161290322580648</c:v>
                </c:pt>
                <c:pt idx="38" formatCode="0.0">
                  <c:v>53.225806451612904</c:v>
                </c:pt>
                <c:pt idx="39" formatCode="0.0">
                  <c:v>60.714285714285715</c:v>
                </c:pt>
                <c:pt idx="40" formatCode="0.0">
                  <c:v>59.677419354838712</c:v>
                </c:pt>
                <c:pt idx="41" formatCode="0.0">
                  <c:v>60.833333333333336</c:v>
                </c:pt>
                <c:pt idx="42" formatCode="0.0">
                  <c:v>56.451612903225808</c:v>
                </c:pt>
                <c:pt idx="43" formatCode="0.0">
                  <c:v>48.666666666666664</c:v>
                </c:pt>
                <c:pt idx="44" formatCode="0.0">
                  <c:v>52.903225806451616</c:v>
                </c:pt>
                <c:pt idx="45" formatCode="0.0">
                  <c:v>49.677419354838712</c:v>
                </c:pt>
                <c:pt idx="46" formatCode="0.0">
                  <c:v>51.666666666666664</c:v>
                </c:pt>
                <c:pt idx="47" formatCode="0.0">
                  <c:v>55.483870967741936</c:v>
                </c:pt>
                <c:pt idx="48" formatCode="0.0">
                  <c:v>49.116666666666667</c:v>
                </c:pt>
                <c:pt idx="49" formatCode="0.0">
                  <c:v>58.87096774193548</c:v>
                </c:pt>
                <c:pt idx="50" formatCode="0.0">
                  <c:v>50.322580645161288</c:v>
                </c:pt>
                <c:pt idx="51" formatCode="0.0">
                  <c:v>64.642857142857139</c:v>
                </c:pt>
                <c:pt idx="52" formatCode="0.0">
                  <c:v>54.838709677419352</c:v>
                </c:pt>
                <c:pt idx="53" formatCode="0.0">
                  <c:v>52.5</c:v>
                </c:pt>
                <c:pt idx="54" formatCode="0.0">
                  <c:v>51.612903225806448</c:v>
                </c:pt>
                <c:pt idx="55" formatCode="0.0">
                  <c:v>51</c:v>
                </c:pt>
                <c:pt idx="56" formatCode="0.0">
                  <c:v>48.387096774193552</c:v>
                </c:pt>
                <c:pt idx="57" formatCode="0.0">
                  <c:v>53.225806451612904</c:v>
                </c:pt>
                <c:pt idx="58" formatCode="0.0">
                  <c:v>50</c:v>
                </c:pt>
                <c:pt idx="59" formatCode="0.0">
                  <c:v>54.677419354838712</c:v>
                </c:pt>
                <c:pt idx="60" formatCode="0.0">
                  <c:v>53.333333333333336</c:v>
                </c:pt>
                <c:pt idx="61" formatCode="0.0">
                  <c:v>62.903225806451616</c:v>
                </c:pt>
                <c:pt idx="62" formatCode="0.0">
                  <c:v>60.483870967741936</c:v>
                </c:pt>
                <c:pt idx="63" formatCode="0.0">
                  <c:v>51.964285714285715</c:v>
                </c:pt>
                <c:pt idx="64" formatCode="0.0">
                  <c:v>47.41935483870968</c:v>
                </c:pt>
                <c:pt idx="65" formatCode="0.0">
                  <c:v>54.5</c:v>
                </c:pt>
                <c:pt idx="66" formatCode="0.0">
                  <c:v>41.935483870967744</c:v>
                </c:pt>
                <c:pt idx="67" formatCode="0.0">
                  <c:v>33.333333333333336</c:v>
                </c:pt>
                <c:pt idx="68" formatCode="0.0">
                  <c:v>29.838709677419356</c:v>
                </c:pt>
                <c:pt idx="69" formatCode="0.0">
                  <c:v>35.483870967741936</c:v>
                </c:pt>
                <c:pt idx="70" formatCode="0.0">
                  <c:v>47</c:v>
                </c:pt>
                <c:pt idx="71" formatCode="0.0">
                  <c:v>39.032258064516128</c:v>
                </c:pt>
                <c:pt idx="72" formatCode="0.0">
                  <c:v>43.333333333333336</c:v>
                </c:pt>
                <c:pt idx="73" formatCode="0.0">
                  <c:v>39.516129032258064</c:v>
                </c:pt>
                <c:pt idx="74" formatCode="0.0">
                  <c:v>58.064516129032256</c:v>
                </c:pt>
                <c:pt idx="75" formatCode="0.0">
                  <c:v>56.379310344827587</c:v>
                </c:pt>
                <c:pt idx="76" formatCode="0.0">
                  <c:v>43.548387096774192</c:v>
                </c:pt>
                <c:pt idx="77" formatCode="0.0">
                  <c:v>48.333333333333336</c:v>
                </c:pt>
                <c:pt idx="78" formatCode="0.0">
                  <c:v>25.806451612903224</c:v>
                </c:pt>
                <c:pt idx="79" formatCode="0.0">
                  <c:v>34.166666666666664</c:v>
                </c:pt>
                <c:pt idx="80" formatCode="0.0">
                  <c:v>38.016129032258064</c:v>
                </c:pt>
                <c:pt idx="81" formatCode="0.0">
                  <c:v>37.58064516129032</c:v>
                </c:pt>
                <c:pt idx="82" formatCode="0.0">
                  <c:v>41.666666666666664</c:v>
                </c:pt>
                <c:pt idx="83" formatCode="0.0">
                  <c:v>42.741935483870968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2-4A5B-B342-4A90E01CF2A9}"/>
            </c:ext>
          </c:extLst>
        </c:ser>
        <c:ser>
          <c:idx val="3"/>
          <c:order val="3"/>
          <c:tx>
            <c:strRef>
              <c:f>daily!$I$7</c:f>
              <c:strCache>
                <c:ptCount val="1"/>
                <c:pt idx="0">
                  <c:v>2be.retain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daily!$I$18:$I$117</c:f>
              <c:numCache>
                <c:formatCode>0.00</c:formatCode>
                <c:ptCount val="100"/>
                <c:pt idx="3" formatCode="0.0">
                  <c:v>35.060714285714283</c:v>
                </c:pt>
                <c:pt idx="4" formatCode="0.0">
                  <c:v>35.029032258064518</c:v>
                </c:pt>
                <c:pt idx="5" formatCode="0.0">
                  <c:v>26.13</c:v>
                </c:pt>
                <c:pt idx="6" formatCode="0.0">
                  <c:v>24.754967741935484</c:v>
                </c:pt>
                <c:pt idx="7" formatCode="0.0">
                  <c:v>21.201866666666664</c:v>
                </c:pt>
                <c:pt idx="8" formatCode="0.0">
                  <c:v>23.660483870967742</c:v>
                </c:pt>
                <c:pt idx="9" formatCode="0.0">
                  <c:v>27.795870967741934</c:v>
                </c:pt>
                <c:pt idx="10" formatCode="0.0">
                  <c:v>37.862666666666669</c:v>
                </c:pt>
                <c:pt idx="11" formatCode="0.0">
                  <c:v>42.958741935483872</c:v>
                </c:pt>
                <c:pt idx="12" formatCode="0.0">
                  <c:v>42.972300000000004</c:v>
                </c:pt>
                <c:pt idx="13" formatCode="0.0">
                  <c:v>51.170612903225816</c:v>
                </c:pt>
                <c:pt idx="14" formatCode="0.0">
                  <c:v>56.898741935483869</c:v>
                </c:pt>
                <c:pt idx="15" formatCode="0.0">
                  <c:v>70.960892857142866</c:v>
                </c:pt>
                <c:pt idx="16" formatCode="0.0">
                  <c:v>62.183258064516131</c:v>
                </c:pt>
                <c:pt idx="17" formatCode="0.0">
                  <c:v>42.603999999999999</c:v>
                </c:pt>
                <c:pt idx="18" formatCode="0.0">
                  <c:v>53.500677419354844</c:v>
                </c:pt>
                <c:pt idx="19" formatCode="0.0">
                  <c:v>54.400033333333333</c:v>
                </c:pt>
                <c:pt idx="20" formatCode="0.0">
                  <c:v>52.106161290322582</c:v>
                </c:pt>
                <c:pt idx="21" formatCode="0.0">
                  <c:v>55.82987096774194</c:v>
                </c:pt>
                <c:pt idx="22" formatCode="0.0">
                  <c:v>55.523933333333339</c:v>
                </c:pt>
                <c:pt idx="23" formatCode="0.0">
                  <c:v>50.342451612903226</c:v>
                </c:pt>
                <c:pt idx="24" formatCode="0.0">
                  <c:v>50.792799999999993</c:v>
                </c:pt>
                <c:pt idx="25" formatCode="0.0">
                  <c:v>52.432354838709678</c:v>
                </c:pt>
                <c:pt idx="26" formatCode="0.0">
                  <c:v>49.599419354838709</c:v>
                </c:pt>
                <c:pt idx="27" formatCode="0.0">
                  <c:v>51.76558620689655</c:v>
                </c:pt>
                <c:pt idx="28" formatCode="0.0">
                  <c:v>48.92716129032258</c:v>
                </c:pt>
                <c:pt idx="29" formatCode="0.0">
                  <c:v>43.4771</c:v>
                </c:pt>
                <c:pt idx="30" formatCode="0.0">
                  <c:v>46.232225806451616</c:v>
                </c:pt>
                <c:pt idx="31" formatCode="0.0">
                  <c:v>50.469200000000001</c:v>
                </c:pt>
                <c:pt idx="32" formatCode="0.0">
                  <c:v>54.841032258064523</c:v>
                </c:pt>
                <c:pt idx="33" formatCode="0.0">
                  <c:v>59.306354838709687</c:v>
                </c:pt>
                <c:pt idx="34" formatCode="0.0">
                  <c:v>64.517066666666665</c:v>
                </c:pt>
                <c:pt idx="35" formatCode="0.0">
                  <c:v>60.769870967741937</c:v>
                </c:pt>
                <c:pt idx="36" formatCode="0.0">
                  <c:v>61.784866666666659</c:v>
                </c:pt>
                <c:pt idx="37" formatCode="0.0">
                  <c:v>59.782774193548384</c:v>
                </c:pt>
                <c:pt idx="38" formatCode="0.0">
                  <c:v>72.992903225806458</c:v>
                </c:pt>
                <c:pt idx="39" formatCode="0.0">
                  <c:v>74.661928571428575</c:v>
                </c:pt>
                <c:pt idx="40" formatCode="0.0">
                  <c:v>60.622290322580646</c:v>
                </c:pt>
                <c:pt idx="41" formatCode="0.0">
                  <c:v>58.728400000000001</c:v>
                </c:pt>
                <c:pt idx="42" formatCode="0.0">
                  <c:v>56.778225806451616</c:v>
                </c:pt>
                <c:pt idx="43" formatCode="0.0">
                  <c:v>55.919733333333333</c:v>
                </c:pt>
                <c:pt idx="44" formatCode="0.0">
                  <c:v>55.684774193548392</c:v>
                </c:pt>
                <c:pt idx="45" formatCode="0.0">
                  <c:v>61.027838709677418</c:v>
                </c:pt>
                <c:pt idx="46" formatCode="0.0">
                  <c:v>62.370966666666661</c:v>
                </c:pt>
                <c:pt idx="47" formatCode="0.0">
                  <c:v>62.511258064516127</c:v>
                </c:pt>
                <c:pt idx="48" formatCode="0.0">
                  <c:v>65.694333333333333</c:v>
                </c:pt>
                <c:pt idx="49" formatCode="0.0">
                  <c:v>65.198838709677418</c:v>
                </c:pt>
                <c:pt idx="50" formatCode="0.0">
                  <c:v>63.227161290322577</c:v>
                </c:pt>
                <c:pt idx="51" formatCode="0.0">
                  <c:v>70.897392857142862</c:v>
                </c:pt>
                <c:pt idx="52" formatCode="0.0">
                  <c:v>61.583677419354835</c:v>
                </c:pt>
                <c:pt idx="53" formatCode="0.0">
                  <c:v>56.726099999999995</c:v>
                </c:pt>
                <c:pt idx="54" formatCode="0.0">
                  <c:v>60.208451612903225</c:v>
                </c:pt>
                <c:pt idx="55" formatCode="0.0">
                  <c:v>66.19</c:v>
                </c:pt>
                <c:pt idx="56" formatCode="0.0">
                  <c:v>63.576967741935484</c:v>
                </c:pt>
                <c:pt idx="57" formatCode="0.0">
                  <c:v>56.816225806451612</c:v>
                </c:pt>
                <c:pt idx="58" formatCode="0.0">
                  <c:v>65.72196666666666</c:v>
                </c:pt>
                <c:pt idx="59" formatCode="0.0">
                  <c:v>62.050741935483863</c:v>
                </c:pt>
                <c:pt idx="60" formatCode="0.0">
                  <c:v>63.205000000000005</c:v>
                </c:pt>
                <c:pt idx="61" formatCode="0.0">
                  <c:v>58.579161290322581</c:v>
                </c:pt>
                <c:pt idx="62" formatCode="0.0">
                  <c:v>62.393387096774198</c:v>
                </c:pt>
                <c:pt idx="63" formatCode="0.0">
                  <c:v>51.438964285714292</c:v>
                </c:pt>
                <c:pt idx="64" formatCode="0.0">
                  <c:v>38.633516129032252</c:v>
                </c:pt>
                <c:pt idx="65" formatCode="0.0">
                  <c:v>48.273400000000002</c:v>
                </c:pt>
                <c:pt idx="66" formatCode="0.0">
                  <c:v>38.95690322580645</c:v>
                </c:pt>
                <c:pt idx="67" formatCode="0.0">
                  <c:v>46.422166666666662</c:v>
                </c:pt>
                <c:pt idx="68" formatCode="0.0">
                  <c:v>39.427709677419358</c:v>
                </c:pt>
                <c:pt idx="69" formatCode="0.0">
                  <c:v>33.787290322580645</c:v>
                </c:pt>
                <c:pt idx="70" formatCode="0.0">
                  <c:v>48.247466666666668</c:v>
                </c:pt>
                <c:pt idx="71" formatCode="0.0">
                  <c:v>47.439935483870968</c:v>
                </c:pt>
                <c:pt idx="72" formatCode="0.0">
                  <c:v>50.644133333333336</c:v>
                </c:pt>
                <c:pt idx="73" formatCode="0.0">
                  <c:v>56.222032258064509</c:v>
                </c:pt>
                <c:pt idx="74" formatCode="0.0">
                  <c:v>60.418290322580638</c:v>
                </c:pt>
                <c:pt idx="75" formatCode="0.0">
                  <c:v>61.601862068965517</c:v>
                </c:pt>
                <c:pt idx="76" formatCode="0.0">
                  <c:v>39.659129032258072</c:v>
                </c:pt>
                <c:pt idx="77" formatCode="0.0">
                  <c:v>40.82033333333333</c:v>
                </c:pt>
                <c:pt idx="78" formatCode="0.0">
                  <c:v>37.989354838709673</c:v>
                </c:pt>
                <c:pt idx="79" formatCode="0.0">
                  <c:v>43.358766666666661</c:v>
                </c:pt>
                <c:pt idx="80" formatCode="0.0">
                  <c:v>53.470096774193543</c:v>
                </c:pt>
                <c:pt idx="81" formatCode="0.0">
                  <c:v>56.382096774193549</c:v>
                </c:pt>
                <c:pt idx="82" formatCode="0.0">
                  <c:v>58.395266666666657</c:v>
                </c:pt>
                <c:pt idx="83" formatCode="0.0">
                  <c:v>54.096225806451606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2-4A5B-B342-4A90E01C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79384"/>
        <c:axId val="1"/>
      </c:lineChart>
      <c:dateAx>
        <c:axId val="153579384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Fuel  in  Mdt/day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2198952879581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79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77580071174365"/>
          <c:y val="0.39790575916230364"/>
          <c:w val="0.12366548042704625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3, Page 1 of 1</oddHeader>
    <oddFooter>&amp;LSource: PGT Filings with FERC, TM94-3-86 et al.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5, Page 1 of 1</oddHeader>
    <oddFooter>&amp;LSource: PGT Filings with FERC, TM94-3-86 et al.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6, Page 1 of 1</oddHeader>
    <oddFooter>&amp;LSource: PGT Filings with FERC, TM94-3-86 et al.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7, Page 1 of 1</oddHeader>
    <oddFooter>&amp;LSource: PGT Filings with FERC, TM94-3-86 et al.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/>
  </sheetViews>
  <pageMargins left="0.75" right="0.75" top="1" bottom="1" header="0.5" footer="0.5"/>
  <pageSetup orientation="landscape" verticalDpi="144" r:id="rId1"/>
  <headerFooter alignWithMargins="0">
    <oddHeader>&amp;RChart 8-9, Page 1 of 1</oddHeader>
    <oddFooter>&amp;LSource: PGT Filings with FERC, TM94-3-86 et al.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144780</xdr:colOff>
      <xdr:row>19</xdr:row>
      <xdr:rowOff>30480</xdr:rowOff>
    </xdr:from>
    <xdr:to>
      <xdr:col>36</xdr:col>
      <xdr:colOff>541020</xdr:colOff>
      <xdr:row>39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7" sqref="A17"/>
    </sheetView>
  </sheetViews>
  <sheetFormatPr defaultRowHeight="13.2" x14ac:dyDescent="0.25"/>
  <cols>
    <col min="1" max="1" width="3" bestFit="1" customWidth="1"/>
    <col min="4" max="4" width="12.33203125" customWidth="1"/>
  </cols>
  <sheetData>
    <row r="1" spans="1:8" x14ac:dyDescent="0.25">
      <c r="B1" s="10"/>
      <c r="C1" s="6"/>
    </row>
    <row r="2" spans="1:8" x14ac:dyDescent="0.25">
      <c r="A2" s="63" t="s">
        <v>103</v>
      </c>
      <c r="B2" s="63" t="s">
        <v>101</v>
      </c>
      <c r="C2" s="64" t="s">
        <v>102</v>
      </c>
      <c r="D2" s="65" t="s">
        <v>97</v>
      </c>
      <c r="E2" s="66" t="s">
        <v>98</v>
      </c>
      <c r="F2" s="66" t="s">
        <v>99</v>
      </c>
      <c r="G2" s="66" t="s">
        <v>32</v>
      </c>
      <c r="H2" s="66" t="s">
        <v>100</v>
      </c>
    </row>
    <row r="3" spans="1:8" x14ac:dyDescent="0.25">
      <c r="B3" s="1">
        <v>34274</v>
      </c>
      <c r="C3" s="1">
        <v>34304</v>
      </c>
      <c r="D3" s="58">
        <f>filings!AB17</f>
        <v>-480.04500000000155</v>
      </c>
      <c r="E3" s="59">
        <f>filings!AB19</f>
        <v>-110.61800000000153</v>
      </c>
      <c r="F3" s="59">
        <f>E3-D3</f>
        <v>369.42700000000002</v>
      </c>
      <c r="G3" s="60">
        <v>0</v>
      </c>
      <c r="H3" s="59"/>
    </row>
    <row r="4" spans="1:8" x14ac:dyDescent="0.25">
      <c r="B4" s="1">
        <f>DATE(YEAR(C3+45),MONTH(C3+45),1)</f>
        <v>34335</v>
      </c>
      <c r="C4" s="1">
        <f>DATE(YEAR(C3+200),MONTH(C3+200),1)</f>
        <v>34486</v>
      </c>
      <c r="D4" s="61">
        <f>E3</f>
        <v>-110.61800000000153</v>
      </c>
      <c r="E4" s="62">
        <f>filings!AB25</f>
        <v>295.44899999999859</v>
      </c>
      <c r="F4" s="62">
        <f t="shared" ref="F4:F16" si="0">E4-D4</f>
        <v>406.06700000000012</v>
      </c>
      <c r="G4" s="10">
        <v>0</v>
      </c>
      <c r="H4" s="62"/>
    </row>
    <row r="5" spans="1:8" x14ac:dyDescent="0.25">
      <c r="A5">
        <v>1</v>
      </c>
      <c r="B5" s="1">
        <f t="shared" ref="B5:B16" si="1">DATE(YEAR(C4+45),MONTH(C4+45),1)</f>
        <v>34516</v>
      </c>
      <c r="C5" s="1">
        <f t="shared" ref="C5:C15" si="2">DATE(YEAR(C4+200),MONTH(C4+200),1)</f>
        <v>34669</v>
      </c>
      <c r="D5" s="61">
        <f t="shared" ref="D5:D17" si="3">E4</f>
        <v>295.44899999999859</v>
      </c>
      <c r="E5" s="62">
        <f>filings!AB31</f>
        <v>-1519.3100000000015</v>
      </c>
      <c r="F5" s="62">
        <f t="shared" si="0"/>
        <v>-1814.759</v>
      </c>
      <c r="G5" s="62">
        <f>SUM(filings!S26:S31)</f>
        <v>-830.87400000000002</v>
      </c>
      <c r="H5" s="62">
        <f>F5-G5</f>
        <v>-983.88499999999999</v>
      </c>
    </row>
    <row r="6" spans="1:8" x14ac:dyDescent="0.25">
      <c r="A6">
        <v>2</v>
      </c>
      <c r="B6" s="1">
        <f t="shared" si="1"/>
        <v>34700</v>
      </c>
      <c r="C6" s="1">
        <f t="shared" si="2"/>
        <v>34851</v>
      </c>
      <c r="D6" s="61">
        <f t="shared" si="3"/>
        <v>-1519.3100000000015</v>
      </c>
      <c r="E6" s="62">
        <f>filings!AB37</f>
        <v>-957.19300000000158</v>
      </c>
      <c r="F6" s="62">
        <f t="shared" si="0"/>
        <v>562.11699999999996</v>
      </c>
      <c r="G6" s="62">
        <f>SUM(filings!S32:S37)</f>
        <v>1689.1879999999999</v>
      </c>
      <c r="H6" s="62">
        <f t="shared" ref="H6:H16" si="4">F6-G6</f>
        <v>-1127.0709999999999</v>
      </c>
    </row>
    <row r="7" spans="1:8" x14ac:dyDescent="0.25">
      <c r="A7">
        <v>3</v>
      </c>
      <c r="B7" s="1">
        <f t="shared" si="1"/>
        <v>34881</v>
      </c>
      <c r="C7" s="1">
        <f t="shared" si="2"/>
        <v>35034</v>
      </c>
      <c r="D7" s="61">
        <f t="shared" si="3"/>
        <v>-957.19300000000158</v>
      </c>
      <c r="E7" s="62">
        <f>filings!AB43</f>
        <v>-1056.7050000000013</v>
      </c>
      <c r="F7" s="62">
        <f t="shared" si="0"/>
        <v>-99.511999999999716</v>
      </c>
      <c r="G7" s="62">
        <f>SUM(filings!S38:S43)</f>
        <v>1517.2550000000001</v>
      </c>
      <c r="H7" s="62">
        <f t="shared" si="4"/>
        <v>-1616.7669999999998</v>
      </c>
    </row>
    <row r="8" spans="1:8" x14ac:dyDescent="0.25">
      <c r="A8">
        <v>4</v>
      </c>
      <c r="B8" s="1">
        <f t="shared" si="1"/>
        <v>35065</v>
      </c>
      <c r="C8" s="1">
        <f t="shared" si="2"/>
        <v>35217</v>
      </c>
      <c r="D8" s="61">
        <f t="shared" si="3"/>
        <v>-1056.7050000000013</v>
      </c>
      <c r="E8" s="62">
        <f>filings!AB49</f>
        <v>-1279.9050000000013</v>
      </c>
      <c r="F8" s="62">
        <f t="shared" si="0"/>
        <v>-223.20000000000005</v>
      </c>
      <c r="G8" s="62">
        <f>SUM(filings!S44:S49)</f>
        <v>445.26399999999995</v>
      </c>
      <c r="H8" s="62">
        <f t="shared" si="4"/>
        <v>-668.46399999999994</v>
      </c>
    </row>
    <row r="9" spans="1:8" x14ac:dyDescent="0.25">
      <c r="A9">
        <v>5</v>
      </c>
      <c r="B9" s="1">
        <f t="shared" si="1"/>
        <v>35247</v>
      </c>
      <c r="C9" s="1">
        <f t="shared" si="2"/>
        <v>35400</v>
      </c>
      <c r="D9" s="61">
        <f t="shared" si="3"/>
        <v>-1279.9050000000013</v>
      </c>
      <c r="E9" s="62">
        <f>filings!AB55</f>
        <v>-3672.4310000000009</v>
      </c>
      <c r="F9" s="62">
        <f t="shared" si="0"/>
        <v>-2392.5259999999998</v>
      </c>
      <c r="G9" s="62">
        <f>SUM(filings!S50:S55)</f>
        <v>923.30899999999997</v>
      </c>
      <c r="H9" s="62">
        <f t="shared" si="4"/>
        <v>-3315.835</v>
      </c>
    </row>
    <row r="10" spans="1:8" x14ac:dyDescent="0.25">
      <c r="A10">
        <v>6</v>
      </c>
      <c r="B10" s="1">
        <f t="shared" si="1"/>
        <v>35431</v>
      </c>
      <c r="C10" s="1">
        <f t="shared" si="2"/>
        <v>35582</v>
      </c>
      <c r="D10" s="61">
        <f t="shared" si="3"/>
        <v>-3672.4310000000009</v>
      </c>
      <c r="E10" s="62">
        <f>filings!AB61</f>
        <v>-1129.129000000001</v>
      </c>
      <c r="F10" s="62">
        <f t="shared" si="0"/>
        <v>2543.3019999999997</v>
      </c>
      <c r="G10" s="62">
        <f>SUM(filings!S56:S61)</f>
        <v>3589.7110000000002</v>
      </c>
      <c r="H10" s="62">
        <f t="shared" si="4"/>
        <v>-1046.4090000000006</v>
      </c>
    </row>
    <row r="11" spans="1:8" x14ac:dyDescent="0.25">
      <c r="A11">
        <v>7</v>
      </c>
      <c r="B11" s="1">
        <f t="shared" si="1"/>
        <v>35612</v>
      </c>
      <c r="C11" s="1">
        <f t="shared" si="2"/>
        <v>35765</v>
      </c>
      <c r="D11" s="61">
        <f t="shared" si="3"/>
        <v>-1129.129000000001</v>
      </c>
      <c r="E11" s="62">
        <f>filings!AB67</f>
        <v>-1708.0490000000009</v>
      </c>
      <c r="F11" s="62">
        <f t="shared" si="0"/>
        <v>-578.91999999999985</v>
      </c>
      <c r="G11" s="62">
        <f>SUM(filings!S62:S67)</f>
        <v>1688.8689999999999</v>
      </c>
      <c r="H11" s="62">
        <f t="shared" si="4"/>
        <v>-2267.7889999999998</v>
      </c>
    </row>
    <row r="12" spans="1:8" x14ac:dyDescent="0.25">
      <c r="A12">
        <v>8</v>
      </c>
      <c r="B12" s="1">
        <f t="shared" si="1"/>
        <v>35796</v>
      </c>
      <c r="C12" s="1">
        <f t="shared" si="2"/>
        <v>35947</v>
      </c>
      <c r="D12" s="61">
        <f t="shared" si="3"/>
        <v>-1708.0490000000009</v>
      </c>
      <c r="E12" s="62">
        <f>filings!AB73</f>
        <v>-1641.1570000000002</v>
      </c>
      <c r="F12" s="62">
        <f t="shared" si="0"/>
        <v>66.892000000000735</v>
      </c>
      <c r="G12" s="62">
        <f>SUM(filings!S68:S73)</f>
        <v>1685.6329339969461</v>
      </c>
      <c r="H12" s="62">
        <f t="shared" si="4"/>
        <v>-1618.7409339969454</v>
      </c>
    </row>
    <row r="13" spans="1:8" x14ac:dyDescent="0.25">
      <c r="A13">
        <v>9</v>
      </c>
      <c r="B13" s="1">
        <f t="shared" si="1"/>
        <v>35977</v>
      </c>
      <c r="C13" s="1">
        <f t="shared" si="2"/>
        <v>36130</v>
      </c>
      <c r="D13" s="61">
        <f t="shared" si="3"/>
        <v>-1641.1570000000002</v>
      </c>
      <c r="E13" s="62">
        <f>filings!AB79</f>
        <v>-1255.4510000000002</v>
      </c>
      <c r="F13" s="62">
        <f t="shared" si="0"/>
        <v>385.7059999999999</v>
      </c>
      <c r="G13" s="62">
        <f>SUM(filings!S74:S79)</f>
        <v>1696.4829999999999</v>
      </c>
      <c r="H13" s="62">
        <f t="shared" si="4"/>
        <v>-1310.777</v>
      </c>
    </row>
    <row r="14" spans="1:8" x14ac:dyDescent="0.25">
      <c r="A14">
        <v>10</v>
      </c>
      <c r="B14" s="1">
        <f t="shared" si="1"/>
        <v>36161</v>
      </c>
      <c r="C14" s="1">
        <f t="shared" si="2"/>
        <v>36312</v>
      </c>
      <c r="D14" s="61">
        <f t="shared" si="3"/>
        <v>-1255.4510000000002</v>
      </c>
      <c r="E14" s="62">
        <f>filings!AB85</f>
        <v>238.91499999999996</v>
      </c>
      <c r="F14" s="62">
        <f t="shared" si="0"/>
        <v>1494.3660000000002</v>
      </c>
      <c r="G14" s="62">
        <f>SUM(filings!S80:S85)</f>
        <v>1964.2150000000001</v>
      </c>
      <c r="H14" s="62">
        <f t="shared" si="4"/>
        <v>-469.84899999999993</v>
      </c>
    </row>
    <row r="15" spans="1:8" x14ac:dyDescent="0.25">
      <c r="A15">
        <v>11</v>
      </c>
      <c r="B15" s="1">
        <f t="shared" si="1"/>
        <v>36342</v>
      </c>
      <c r="C15" s="1">
        <f t="shared" si="2"/>
        <v>36495</v>
      </c>
      <c r="D15" s="61">
        <f t="shared" si="3"/>
        <v>238.91499999999996</v>
      </c>
      <c r="E15" s="62">
        <f>filings!AB91</f>
        <v>-1396.8859999999997</v>
      </c>
      <c r="F15" s="62">
        <f t="shared" si="0"/>
        <v>-1635.8009999999997</v>
      </c>
      <c r="G15" s="62">
        <f>SUM(filings!S86:S91)</f>
        <v>-232.523</v>
      </c>
      <c r="H15" s="62">
        <f t="shared" si="4"/>
        <v>-1403.2779999999998</v>
      </c>
    </row>
    <row r="16" spans="1:8" x14ac:dyDescent="0.25">
      <c r="A16">
        <v>12</v>
      </c>
      <c r="B16" s="1">
        <f t="shared" si="1"/>
        <v>36526</v>
      </c>
      <c r="C16" s="1">
        <v>36678</v>
      </c>
      <c r="D16" s="61">
        <f t="shared" si="3"/>
        <v>-1396.8859999999997</v>
      </c>
      <c r="E16" s="62">
        <f>filings!AB97</f>
        <v>-1821.3109999999999</v>
      </c>
      <c r="F16" s="62">
        <f t="shared" si="0"/>
        <v>-424.42500000000018</v>
      </c>
      <c r="G16" s="62">
        <f>SUM(filings!S92:S97)</f>
        <v>1158.0540000000001</v>
      </c>
      <c r="H16" s="62">
        <f t="shared" si="4"/>
        <v>-1582.4790000000003</v>
      </c>
    </row>
    <row r="17" spans="1:8" x14ac:dyDescent="0.25">
      <c r="A17">
        <v>13</v>
      </c>
      <c r="B17" s="1">
        <f>DATE(YEAR(B15)+1,MONTH(B15),1)</f>
        <v>36708</v>
      </c>
      <c r="C17" s="1">
        <v>36800</v>
      </c>
      <c r="D17" s="61">
        <f t="shared" si="3"/>
        <v>-1821.3109999999999</v>
      </c>
      <c r="E17" s="62">
        <f>filings!AB101</f>
        <v>-2168.5</v>
      </c>
      <c r="F17" s="62">
        <f>E17-D17</f>
        <v>-347.18900000000008</v>
      </c>
      <c r="G17" s="62">
        <f>SUM(filings!S98:S103)</f>
        <v>944.46799999999996</v>
      </c>
      <c r="H17" s="62">
        <f>F17-G17</f>
        <v>-1291.6570000000002</v>
      </c>
    </row>
    <row r="18" spans="1:8" x14ac:dyDescent="0.25">
      <c r="A18">
        <v>14</v>
      </c>
      <c r="B18" s="1">
        <f>DATE(YEAR(B16)+1,MONTH(B16),1)</f>
        <v>36892</v>
      </c>
      <c r="C18" s="1"/>
      <c r="D18" s="61"/>
      <c r="E18" s="10"/>
      <c r="F18" s="10"/>
      <c r="G18" s="10"/>
      <c r="H18" s="10"/>
    </row>
    <row r="19" spans="1:8" x14ac:dyDescent="0.25">
      <c r="A19">
        <v>15</v>
      </c>
      <c r="B19" s="1">
        <f>DATE(YEAR(B17)+1,MONTH(B17),1)</f>
        <v>37073</v>
      </c>
      <c r="C19" s="1"/>
      <c r="D19" s="39"/>
      <c r="E19" s="10"/>
      <c r="F19" s="10"/>
      <c r="G19" s="10"/>
      <c r="H19" s="10"/>
    </row>
    <row r="20" spans="1:8" x14ac:dyDescent="0.25">
      <c r="D20" s="39"/>
      <c r="E20" s="10"/>
      <c r="F20" s="10"/>
      <c r="G20" s="10"/>
      <c r="H20" s="10"/>
    </row>
    <row r="21" spans="1:8" x14ac:dyDescent="0.25">
      <c r="D21" s="39"/>
      <c r="E21" s="10"/>
      <c r="F21" s="10"/>
      <c r="G21" s="10"/>
      <c r="H21" s="10"/>
    </row>
  </sheetData>
  <printOptions headings="1"/>
  <pageMargins left="0.75" right="0.75" top="1" bottom="1" header="0.5" footer="0.5"/>
  <pageSetup scale="150" orientation="landscape" r:id="rId1"/>
  <headerFooter alignWithMargins="0">
    <oddHeader>&amp;RExhibit 4, Page 1 of 1</oddHeader>
    <oddFooter>&amp;LSource: PGT Filings with FERC, TM94-3-86 et 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pane xSplit="3" ySplit="4" topLeftCell="D76" activePane="bottomRight" state="frozen"/>
      <selection pane="topRight" activeCell="D1" sqref="D1"/>
      <selection pane="bottomLeft" activeCell="A5" sqref="A5"/>
      <selection pane="bottomRight" activeCell="E89" sqref="E89"/>
    </sheetView>
  </sheetViews>
  <sheetFormatPr defaultRowHeight="13.2" x14ac:dyDescent="0.25"/>
  <cols>
    <col min="1" max="1" width="3.6640625" customWidth="1"/>
    <col min="2" max="2" width="7.109375" bestFit="1" customWidth="1"/>
    <col min="3" max="3" width="3" bestFit="1" customWidth="1"/>
    <col min="4" max="4" width="8.5546875" customWidth="1"/>
    <col min="5" max="5" width="8.109375" customWidth="1"/>
    <col min="6" max="6" width="7.88671875" customWidth="1"/>
    <col min="7" max="7" width="8.44140625" customWidth="1"/>
    <col min="8" max="8" width="8.109375" customWidth="1"/>
    <col min="9" max="9" width="8.5546875" customWidth="1"/>
    <col min="10" max="10" width="8.44140625" customWidth="1"/>
    <col min="13" max="14" width="5.6640625" bestFit="1" customWidth="1"/>
    <col min="15" max="15" width="8.33203125" bestFit="1" customWidth="1"/>
    <col min="16" max="16" width="8.88671875" bestFit="1" customWidth="1"/>
    <col min="17" max="17" width="8.44140625" bestFit="1" customWidth="1"/>
  </cols>
  <sheetData>
    <row r="1" spans="1:17" x14ac:dyDescent="0.25">
      <c r="B1" s="67" t="s">
        <v>133</v>
      </c>
      <c r="C1" s="67" t="s">
        <v>134</v>
      </c>
      <c r="D1" s="67" t="s">
        <v>135</v>
      </c>
      <c r="E1" s="67" t="s">
        <v>140</v>
      </c>
      <c r="F1" s="67" t="s">
        <v>136</v>
      </c>
      <c r="G1" s="67" t="s">
        <v>137</v>
      </c>
      <c r="H1" s="67" t="s">
        <v>138</v>
      </c>
      <c r="I1" s="67" t="s">
        <v>139</v>
      </c>
      <c r="J1" s="67" t="s">
        <v>142</v>
      </c>
      <c r="K1" s="67" t="s">
        <v>143</v>
      </c>
      <c r="L1" s="67" t="s">
        <v>144</v>
      </c>
      <c r="M1" s="67" t="s">
        <v>149</v>
      </c>
      <c r="N1" s="67" t="s">
        <v>145</v>
      </c>
      <c r="O1" s="67" t="s">
        <v>146</v>
      </c>
      <c r="P1" s="67" t="s">
        <v>147</v>
      </c>
      <c r="Q1" s="67" t="s">
        <v>148</v>
      </c>
    </row>
    <row r="2" spans="1:17" x14ac:dyDescent="0.25">
      <c r="A2" s="67">
        <v>2</v>
      </c>
      <c r="B2" s="10"/>
      <c r="C2" s="6"/>
      <c r="D2" s="38" t="s">
        <v>124</v>
      </c>
      <c r="E2" s="36" t="s">
        <v>119</v>
      </c>
      <c r="F2" s="36" t="s">
        <v>119</v>
      </c>
      <c r="G2" s="36" t="s">
        <v>119</v>
      </c>
      <c r="H2" s="36" t="s">
        <v>119</v>
      </c>
      <c r="I2" s="36" t="s">
        <v>119</v>
      </c>
      <c r="J2" s="36" t="s">
        <v>128</v>
      </c>
      <c r="K2" s="36" t="s">
        <v>129</v>
      </c>
      <c r="L2" s="36"/>
      <c r="M2" s="36"/>
      <c r="N2" s="36"/>
      <c r="O2" s="36"/>
      <c r="Q2" s="36" t="s">
        <v>153</v>
      </c>
    </row>
    <row r="3" spans="1:17" x14ac:dyDescent="0.25">
      <c r="A3" s="68">
        <f>A2+1</f>
        <v>3</v>
      </c>
      <c r="B3" s="68" t="s">
        <v>111</v>
      </c>
      <c r="C3" s="71" t="s">
        <v>123</v>
      </c>
      <c r="D3" s="38" t="s">
        <v>118</v>
      </c>
      <c r="E3" s="36" t="s">
        <v>26</v>
      </c>
      <c r="F3" s="36" t="s">
        <v>27</v>
      </c>
      <c r="G3" s="36" t="s">
        <v>28</v>
      </c>
      <c r="H3" s="36" t="s">
        <v>5</v>
      </c>
      <c r="I3" s="36" t="s">
        <v>3</v>
      </c>
      <c r="J3" s="36" t="s">
        <v>130</v>
      </c>
      <c r="K3" s="36" t="s">
        <v>130</v>
      </c>
      <c r="L3" t="s">
        <v>8</v>
      </c>
      <c r="M3" t="s">
        <v>44</v>
      </c>
      <c r="N3" t="s">
        <v>2</v>
      </c>
      <c r="O3" t="s">
        <v>125</v>
      </c>
      <c r="P3" t="s">
        <v>122</v>
      </c>
      <c r="Q3" s="36" t="s">
        <v>117</v>
      </c>
    </row>
    <row r="4" spans="1:17" x14ac:dyDescent="0.25">
      <c r="A4" s="68">
        <f t="shared" ref="A4:A67" si="0">A3+1</f>
        <v>4</v>
      </c>
      <c r="B4" s="63"/>
      <c r="C4" s="64"/>
      <c r="D4" s="65" t="s">
        <v>113</v>
      </c>
      <c r="E4" s="66" t="s">
        <v>120</v>
      </c>
      <c r="F4" s="66" t="s">
        <v>120</v>
      </c>
      <c r="G4" s="66" t="s">
        <v>120</v>
      </c>
      <c r="H4" s="66" t="s">
        <v>120</v>
      </c>
      <c r="I4" s="66" t="s">
        <v>120</v>
      </c>
      <c r="J4" s="66" t="s">
        <v>120</v>
      </c>
      <c r="K4" s="66" t="s">
        <v>120</v>
      </c>
      <c r="L4" s="78" t="s">
        <v>86</v>
      </c>
      <c r="M4" s="78" t="s">
        <v>31</v>
      </c>
      <c r="N4" s="78" t="s">
        <v>31</v>
      </c>
      <c r="O4" s="66" t="s">
        <v>113</v>
      </c>
      <c r="P4" s="66" t="s">
        <v>113</v>
      </c>
      <c r="Q4" s="66" t="s">
        <v>115</v>
      </c>
    </row>
    <row r="5" spans="1:17" x14ac:dyDescent="0.25">
      <c r="A5" s="67">
        <f t="shared" si="0"/>
        <v>5</v>
      </c>
      <c r="B5" s="1">
        <v>34274</v>
      </c>
      <c r="C5" s="9">
        <f t="shared" ref="C5:C36" si="1">DAY(EOMONTH(B5,0))</f>
        <v>30</v>
      </c>
      <c r="D5" s="74">
        <f>filings!M18</f>
        <v>4.1E-5</v>
      </c>
      <c r="E5" s="76">
        <f>filings!O18</f>
        <v>783.077</v>
      </c>
      <c r="F5" s="76">
        <f>filings!P18</f>
        <v>-121.79300000000001</v>
      </c>
      <c r="G5" s="76">
        <f>filings!Q18</f>
        <v>661.28399999999999</v>
      </c>
      <c r="H5" s="85">
        <f>filings!R18</f>
        <v>1204.482</v>
      </c>
      <c r="I5" s="70">
        <f>filings!S18</f>
        <v>0</v>
      </c>
      <c r="J5" s="75">
        <f>(H5-G5)</f>
        <v>543.19799999999998</v>
      </c>
      <c r="K5" s="75">
        <f t="shared" ref="K5:K68" si="2">K6-J6</f>
        <v>63.152999999998428</v>
      </c>
      <c r="L5" s="18">
        <f>H5/D5/C5/1000000</f>
        <v>0.9792536585365853</v>
      </c>
      <c r="M5" s="75">
        <f>E5/C5</f>
        <v>26.102566666666668</v>
      </c>
      <c r="N5" s="75">
        <f>G5/$C5</f>
        <v>22.0428</v>
      </c>
      <c r="O5" s="33">
        <f>M5/$L5/1000000</f>
        <v>2.6655572270901519E-5</v>
      </c>
      <c r="P5" s="33">
        <f>N5/$L5/1000000</f>
        <v>2.250979591226768E-5</v>
      </c>
      <c r="Q5" s="73" t="str">
        <f>IF(P5&gt;0.00415%,ROUND(P5-0.0041%,6),"")</f>
        <v/>
      </c>
    </row>
    <row r="6" spans="1:17" x14ac:dyDescent="0.25">
      <c r="A6" s="68">
        <f t="shared" si="0"/>
        <v>6</v>
      </c>
      <c r="B6" s="1">
        <v>34304</v>
      </c>
      <c r="C6" s="9">
        <f t="shared" si="1"/>
        <v>31</v>
      </c>
      <c r="D6" s="84">
        <f>filings!M19</f>
        <v>1.9000000000000001E-5</v>
      </c>
      <c r="E6" s="76">
        <f>filings!O19</f>
        <v>909.19799999999998</v>
      </c>
      <c r="F6" s="76">
        <f>filings!P19</f>
        <v>-150.327</v>
      </c>
      <c r="G6" s="76">
        <f>filings!Q19</f>
        <v>758.87099999999998</v>
      </c>
      <c r="H6" s="76">
        <f>filings!R19</f>
        <v>585.1</v>
      </c>
      <c r="I6" s="70">
        <f>filings!S19</f>
        <v>0</v>
      </c>
      <c r="J6" s="76">
        <f>(H6-G6)</f>
        <v>-173.77099999999996</v>
      </c>
      <c r="K6" s="75">
        <f t="shared" si="2"/>
        <v>-110.61800000000153</v>
      </c>
      <c r="L6" s="18">
        <f>H6/D6/C6/1000000</f>
        <v>0.9933786078098471</v>
      </c>
      <c r="M6" s="75">
        <f>E6/$C6</f>
        <v>29.328967741935482</v>
      </c>
      <c r="N6" s="75">
        <f>G6/$C6</f>
        <v>24.479709677419354</v>
      </c>
      <c r="O6" s="33">
        <f t="shared" ref="O6:O69" si="3">M6/$L6/1000000</f>
        <v>2.9524460775935742E-5</v>
      </c>
      <c r="P6" s="33">
        <f t="shared" ref="P6:P69" si="4">N6/$L6/1000000</f>
        <v>2.4642879849598363E-5</v>
      </c>
      <c r="Q6" s="73" t="str">
        <f>IF(P6&gt;0.00415%,ROUND(P6-0.0041%,6),"")</f>
        <v/>
      </c>
    </row>
    <row r="7" spans="1:17" x14ac:dyDescent="0.25">
      <c r="A7" s="67">
        <f t="shared" si="0"/>
        <v>7</v>
      </c>
      <c r="B7" s="1">
        <v>34335</v>
      </c>
      <c r="C7" s="9">
        <f t="shared" si="1"/>
        <v>31</v>
      </c>
      <c r="D7" s="74">
        <f>filings!M20</f>
        <v>1.0000000000000001E-5</v>
      </c>
      <c r="E7" s="76">
        <f>filings!O20</f>
        <v>921.12800000000004</v>
      </c>
      <c r="F7" s="76">
        <f>filings!P20</f>
        <v>-159.78100000000001</v>
      </c>
      <c r="G7" s="76">
        <f>filings!Q20</f>
        <v>761.34699999999998</v>
      </c>
      <c r="H7" s="76">
        <f>filings!R20</f>
        <v>315</v>
      </c>
      <c r="I7" s="70">
        <f>filings!S20</f>
        <v>0</v>
      </c>
      <c r="J7" s="76">
        <f t="shared" ref="J7:J70" si="5">(H7-G7)</f>
        <v>-446.34699999999998</v>
      </c>
      <c r="K7" s="75">
        <f t="shared" si="2"/>
        <v>-556.96500000000151</v>
      </c>
      <c r="L7" s="18">
        <f t="shared" ref="L7:L70" si="6">H7/D7/C7/1000000</f>
        <v>1.0161290322580643</v>
      </c>
      <c r="M7" s="75">
        <f t="shared" ref="M7:M70" si="7">E7/$C7</f>
        <v>29.713806451612903</v>
      </c>
      <c r="N7" s="75">
        <f t="shared" ref="N7:N70" si="8">G7/$C7</f>
        <v>24.55958064516129</v>
      </c>
      <c r="O7" s="33">
        <f t="shared" si="3"/>
        <v>2.9242158730158739E-5</v>
      </c>
      <c r="P7" s="33">
        <f t="shared" si="4"/>
        <v>2.4169746031746038E-5</v>
      </c>
      <c r="Q7" s="73" t="str">
        <f>IF(P7&gt;0.00415%,ROUND(P7-0.0041%,6),"")</f>
        <v/>
      </c>
    </row>
    <row r="8" spans="1:17" x14ac:dyDescent="0.25">
      <c r="A8" s="68">
        <f t="shared" si="0"/>
        <v>8</v>
      </c>
      <c r="B8" s="1">
        <v>34366</v>
      </c>
      <c r="C8" s="9">
        <f t="shared" si="1"/>
        <v>28</v>
      </c>
      <c r="D8" s="74">
        <f>filings!M21</f>
        <v>3.1000000000000001E-5</v>
      </c>
      <c r="E8" s="76">
        <f>filings!O21</f>
        <v>891.64599999999996</v>
      </c>
      <c r="F8" s="76">
        <f>filings!P21</f>
        <v>-244.31399999999999</v>
      </c>
      <c r="G8" s="76">
        <f>filings!Q21</f>
        <v>647.33199999999999</v>
      </c>
      <c r="H8" s="76">
        <f>filings!R21</f>
        <v>900.9</v>
      </c>
      <c r="I8" s="70">
        <f>filings!S21</f>
        <v>0</v>
      </c>
      <c r="J8" s="76">
        <f t="shared" si="5"/>
        <v>253.56799999999998</v>
      </c>
      <c r="K8" s="75">
        <f t="shared" si="2"/>
        <v>-303.39700000000153</v>
      </c>
      <c r="L8" s="18">
        <f t="shared" si="6"/>
        <v>1.0379032258064516</v>
      </c>
      <c r="M8" s="75">
        <f t="shared" si="7"/>
        <v>31.8445</v>
      </c>
      <c r="N8" s="75">
        <f t="shared" si="8"/>
        <v>23.119</v>
      </c>
      <c r="O8" s="33">
        <f t="shared" si="3"/>
        <v>3.0681569541569546E-5</v>
      </c>
      <c r="P8" s="33">
        <f t="shared" si="4"/>
        <v>2.2274716394716397E-5</v>
      </c>
      <c r="Q8" s="73" t="str">
        <f t="shared" ref="Q8:Q71" si="9">IF(P8&gt;0.00415%,ROUND(P8-0.0041%,6),"")</f>
        <v/>
      </c>
    </row>
    <row r="9" spans="1:17" x14ac:dyDescent="0.25">
      <c r="A9" s="67">
        <f t="shared" si="0"/>
        <v>9</v>
      </c>
      <c r="B9" s="1">
        <v>34394</v>
      </c>
      <c r="C9" s="9">
        <f t="shared" si="1"/>
        <v>31</v>
      </c>
      <c r="D9" s="74">
        <f>filings!M22</f>
        <v>3.3000000000000003E-5</v>
      </c>
      <c r="E9" s="76">
        <f>filings!O22</f>
        <v>783.50099999999998</v>
      </c>
      <c r="F9" s="76">
        <f>filings!P22</f>
        <v>-198.334</v>
      </c>
      <c r="G9" s="76">
        <f>filings!Q22</f>
        <v>585.16699999999992</v>
      </c>
      <c r="H9" s="76">
        <f>filings!R22</f>
        <v>994.76300000000003</v>
      </c>
      <c r="I9" s="70">
        <f>filings!S22</f>
        <v>0</v>
      </c>
      <c r="J9" s="76">
        <f t="shared" si="5"/>
        <v>409.59600000000012</v>
      </c>
      <c r="K9" s="75">
        <f t="shared" si="2"/>
        <v>106.19899999999859</v>
      </c>
      <c r="L9" s="18">
        <f t="shared" si="6"/>
        <v>0.97239784946236552</v>
      </c>
      <c r="M9" s="75">
        <f t="shared" si="7"/>
        <v>25.274225806451611</v>
      </c>
      <c r="N9" s="75">
        <f t="shared" si="8"/>
        <v>18.876354838709673</v>
      </c>
      <c r="O9" s="33">
        <f t="shared" si="3"/>
        <v>2.5991651277741531E-5</v>
      </c>
      <c r="P9" s="33">
        <f t="shared" si="4"/>
        <v>1.9412172547631947E-5</v>
      </c>
      <c r="Q9" s="73" t="str">
        <f t="shared" si="9"/>
        <v/>
      </c>
    </row>
    <row r="10" spans="1:17" x14ac:dyDescent="0.25">
      <c r="A10" s="68">
        <f t="shared" si="0"/>
        <v>10</v>
      </c>
      <c r="B10" s="1">
        <v>34425</v>
      </c>
      <c r="C10" s="9">
        <f t="shared" si="1"/>
        <v>30</v>
      </c>
      <c r="D10" s="74">
        <f>filings!M23</f>
        <v>2.5999999999999998E-5</v>
      </c>
      <c r="E10" s="76">
        <f>filings!O23</f>
        <v>811.82399999999996</v>
      </c>
      <c r="F10" s="76">
        <f>filings!P23</f>
        <v>-89.436000000000007</v>
      </c>
      <c r="G10" s="76">
        <f>filings!Q23</f>
        <v>722.38799999999992</v>
      </c>
      <c r="H10" s="76">
        <f>filings!R23</f>
        <v>803.83500000000004</v>
      </c>
      <c r="I10" s="70">
        <f>filings!S23</f>
        <v>0</v>
      </c>
      <c r="J10" s="76">
        <f t="shared" si="5"/>
        <v>81.447000000000116</v>
      </c>
      <c r="K10" s="75">
        <f t="shared" si="2"/>
        <v>187.64599999999871</v>
      </c>
      <c r="L10" s="18">
        <f t="shared" si="6"/>
        <v>1.0305576923076925</v>
      </c>
      <c r="M10" s="75">
        <f t="shared" si="7"/>
        <v>27.060799999999997</v>
      </c>
      <c r="N10" s="75">
        <f t="shared" si="8"/>
        <v>24.079599999999996</v>
      </c>
      <c r="O10" s="33">
        <f t="shared" si="3"/>
        <v>2.6258403776894503E-5</v>
      </c>
      <c r="P10" s="33">
        <f t="shared" si="4"/>
        <v>2.3365601149489628E-5</v>
      </c>
      <c r="Q10" s="73" t="str">
        <f t="shared" si="9"/>
        <v/>
      </c>
    </row>
    <row r="11" spans="1:17" x14ac:dyDescent="0.25">
      <c r="A11">
        <f t="shared" si="0"/>
        <v>11</v>
      </c>
      <c r="B11" s="1">
        <v>34455</v>
      </c>
      <c r="C11" s="9">
        <f t="shared" si="1"/>
        <v>31</v>
      </c>
      <c r="D11" s="74">
        <f>filings!M24</f>
        <v>2.5000000000000001E-5</v>
      </c>
      <c r="E11" s="76">
        <f>filings!O24</f>
        <v>755.601</v>
      </c>
      <c r="F11" s="76">
        <f>filings!P24</f>
        <v>-41.774999999999999</v>
      </c>
      <c r="G11" s="76">
        <f>filings!Q24</f>
        <v>713.82600000000002</v>
      </c>
      <c r="H11" s="76">
        <f>filings!R24</f>
        <v>747.41099999999994</v>
      </c>
      <c r="I11" s="70">
        <f>filings!S24</f>
        <v>0</v>
      </c>
      <c r="J11" s="76">
        <f t="shared" si="5"/>
        <v>33.584999999999923</v>
      </c>
      <c r="K11" s="75">
        <f t="shared" si="2"/>
        <v>221.23099999999863</v>
      </c>
      <c r="L11" s="18">
        <f t="shared" si="6"/>
        <v>0.96440129032258048</v>
      </c>
      <c r="M11" s="75">
        <f t="shared" si="7"/>
        <v>24.374225806451612</v>
      </c>
      <c r="N11" s="75">
        <f t="shared" si="8"/>
        <v>23.026645161290322</v>
      </c>
      <c r="O11" s="33">
        <f t="shared" si="3"/>
        <v>2.5273945660419773E-5</v>
      </c>
      <c r="P11" s="33">
        <f t="shared" si="4"/>
        <v>2.3876622099487436E-5</v>
      </c>
      <c r="Q11" s="73" t="str">
        <f t="shared" si="9"/>
        <v/>
      </c>
    </row>
    <row r="12" spans="1:17" x14ac:dyDescent="0.25">
      <c r="A12" s="68">
        <f t="shared" si="0"/>
        <v>12</v>
      </c>
      <c r="B12" s="1">
        <v>34486</v>
      </c>
      <c r="C12" s="9">
        <f t="shared" si="1"/>
        <v>30</v>
      </c>
      <c r="D12" s="74">
        <f>filings!M25</f>
        <v>2.0000000000000002E-5</v>
      </c>
      <c r="E12" s="76">
        <f>filings!O25</f>
        <v>852.93200000000002</v>
      </c>
      <c r="F12" s="76">
        <f>filings!P25</f>
        <v>-305.51100000000002</v>
      </c>
      <c r="G12" s="76">
        <f>filings!Q25</f>
        <v>547.42100000000005</v>
      </c>
      <c r="H12" s="76">
        <f>filings!R25</f>
        <v>621.63900000000001</v>
      </c>
      <c r="I12" s="70">
        <f>filings!S25</f>
        <v>0</v>
      </c>
      <c r="J12" s="76">
        <f t="shared" si="5"/>
        <v>74.217999999999961</v>
      </c>
      <c r="K12" s="75">
        <f t="shared" si="2"/>
        <v>295.44899999999859</v>
      </c>
      <c r="L12" s="18">
        <f t="shared" si="6"/>
        <v>1.0360649999999998</v>
      </c>
      <c r="M12" s="75">
        <f t="shared" si="7"/>
        <v>28.431066666666666</v>
      </c>
      <c r="N12" s="75">
        <f t="shared" si="8"/>
        <v>18.247366666666668</v>
      </c>
      <c r="O12" s="33">
        <f t="shared" si="3"/>
        <v>2.7441392834104686E-5</v>
      </c>
      <c r="P12" s="33">
        <f t="shared" si="4"/>
        <v>1.7612183276789267E-5</v>
      </c>
      <c r="Q12" s="73" t="str">
        <f t="shared" si="9"/>
        <v/>
      </c>
    </row>
    <row r="13" spans="1:17" x14ac:dyDescent="0.25">
      <c r="A13">
        <f t="shared" si="0"/>
        <v>13</v>
      </c>
      <c r="B13" s="1">
        <v>34516</v>
      </c>
      <c r="C13" s="9">
        <f t="shared" si="1"/>
        <v>31</v>
      </c>
      <c r="D13" s="74">
        <f>filings!M26</f>
        <v>1.6000000000000003E-5</v>
      </c>
      <c r="E13" s="76">
        <f>filings!O26</f>
        <v>1206.9110000000001</v>
      </c>
      <c r="F13" s="76">
        <f>filings!P26</f>
        <v>-368.59699999999998</v>
      </c>
      <c r="G13" s="76">
        <f>filings!Q26</f>
        <v>838.31400000000008</v>
      </c>
      <c r="H13" s="76">
        <f>filings!R26</f>
        <v>574.13400000000001</v>
      </c>
      <c r="I13" s="76">
        <f>filings!S26</f>
        <v>-143.53399999999999</v>
      </c>
      <c r="J13" s="76">
        <f t="shared" si="5"/>
        <v>-264.18000000000006</v>
      </c>
      <c r="K13" s="75">
        <f t="shared" si="2"/>
        <v>31.268999999998528</v>
      </c>
      <c r="L13" s="18">
        <f t="shared" si="6"/>
        <v>1.1575282258064514</v>
      </c>
      <c r="M13" s="75">
        <f t="shared" si="7"/>
        <v>38.932612903225809</v>
      </c>
      <c r="N13" s="75">
        <f t="shared" si="8"/>
        <v>27.042387096774195</v>
      </c>
      <c r="O13" s="33">
        <f t="shared" si="3"/>
        <v>3.363426656494826E-5</v>
      </c>
      <c r="P13" s="33">
        <f t="shared" si="4"/>
        <v>2.3362183741077872E-5</v>
      </c>
      <c r="Q13" s="73" t="str">
        <f t="shared" si="9"/>
        <v/>
      </c>
    </row>
    <row r="14" spans="1:17" x14ac:dyDescent="0.25">
      <c r="A14" s="68">
        <f t="shared" si="0"/>
        <v>14</v>
      </c>
      <c r="B14" s="1">
        <v>34547</v>
      </c>
      <c r="C14" s="9">
        <f t="shared" si="1"/>
        <v>31</v>
      </c>
      <c r="D14" s="74">
        <f>filings!M27</f>
        <v>1.8E-5</v>
      </c>
      <c r="E14" s="76">
        <f>filings!O27</f>
        <v>1289.4880000000001</v>
      </c>
      <c r="F14" s="76">
        <f>filings!P27</f>
        <v>-19.134</v>
      </c>
      <c r="G14" s="76">
        <f>filings!Q27</f>
        <v>1270.354</v>
      </c>
      <c r="H14" s="76">
        <f>filings!R27</f>
        <v>640.13300000000004</v>
      </c>
      <c r="I14" s="76">
        <f>filings!S27</f>
        <v>-142.25200000000001</v>
      </c>
      <c r="J14" s="76">
        <f t="shared" si="5"/>
        <v>-630.221</v>
      </c>
      <c r="K14" s="75">
        <f t="shared" si="2"/>
        <v>-598.95200000000148</v>
      </c>
      <c r="L14" s="18">
        <f t="shared" si="6"/>
        <v>1.1471917562724014</v>
      </c>
      <c r="M14" s="75">
        <f t="shared" si="7"/>
        <v>41.596387096774194</v>
      </c>
      <c r="N14" s="75">
        <f t="shared" si="8"/>
        <v>40.97916129032258</v>
      </c>
      <c r="O14" s="33">
        <f t="shared" si="3"/>
        <v>3.625931486113042E-5</v>
      </c>
      <c r="P14" s="33">
        <f t="shared" si="4"/>
        <v>3.5721282920893004E-5</v>
      </c>
      <c r="Q14" s="73" t="str">
        <f t="shared" si="9"/>
        <v/>
      </c>
    </row>
    <row r="15" spans="1:17" x14ac:dyDescent="0.25">
      <c r="A15">
        <f t="shared" si="0"/>
        <v>15</v>
      </c>
      <c r="B15" s="1">
        <v>34578</v>
      </c>
      <c r="C15" s="9">
        <f t="shared" si="1"/>
        <v>30</v>
      </c>
      <c r="D15" s="74">
        <f>filings!M28</f>
        <v>2.5000000000000001E-5</v>
      </c>
      <c r="E15" s="76">
        <f>filings!O28</f>
        <v>1129.653</v>
      </c>
      <c r="F15" s="76">
        <f>filings!P28</f>
        <v>-342.596</v>
      </c>
      <c r="G15" s="76">
        <f>filings!Q28</f>
        <v>787.05700000000002</v>
      </c>
      <c r="H15" s="76">
        <f>filings!R28</f>
        <v>818.41300000000001</v>
      </c>
      <c r="I15" s="76">
        <f>filings!S28</f>
        <v>-130.946</v>
      </c>
      <c r="J15" s="76">
        <f t="shared" si="5"/>
        <v>31.355999999999995</v>
      </c>
      <c r="K15" s="75">
        <f t="shared" si="2"/>
        <v>-567.59600000000148</v>
      </c>
      <c r="L15" s="18">
        <f t="shared" si="6"/>
        <v>1.0912173333333333</v>
      </c>
      <c r="M15" s="75">
        <f t="shared" si="7"/>
        <v>37.655099999999997</v>
      </c>
      <c r="N15" s="75">
        <f t="shared" si="8"/>
        <v>26.235233333333333</v>
      </c>
      <c r="O15" s="33">
        <f t="shared" si="3"/>
        <v>3.450742473543309E-5</v>
      </c>
      <c r="P15" s="33">
        <f t="shared" si="4"/>
        <v>2.4042170640006941E-5</v>
      </c>
      <c r="Q15" s="73" t="str">
        <f t="shared" si="9"/>
        <v/>
      </c>
    </row>
    <row r="16" spans="1:17" x14ac:dyDescent="0.25">
      <c r="A16" s="68">
        <f t="shared" si="0"/>
        <v>16</v>
      </c>
      <c r="B16" s="1">
        <v>34608</v>
      </c>
      <c r="C16" s="9">
        <f t="shared" si="1"/>
        <v>31</v>
      </c>
      <c r="D16" s="74">
        <f>filings!M29</f>
        <v>2.9999999999999997E-5</v>
      </c>
      <c r="E16" s="76">
        <f>filings!O29</f>
        <v>1209.8889999999999</v>
      </c>
      <c r="F16" s="76">
        <f>filings!P29</f>
        <v>203.78200000000001</v>
      </c>
      <c r="G16" s="76">
        <f>filings!Q29</f>
        <v>1413.6709999999998</v>
      </c>
      <c r="H16" s="76">
        <f>filings!R29</f>
        <v>954.62099999999998</v>
      </c>
      <c r="I16" s="76">
        <f>filings!S29</f>
        <v>-127.283</v>
      </c>
      <c r="J16" s="76">
        <f t="shared" si="5"/>
        <v>-459.04999999999984</v>
      </c>
      <c r="K16" s="75">
        <f t="shared" si="2"/>
        <v>-1026.6460000000013</v>
      </c>
      <c r="L16" s="18">
        <f t="shared" si="6"/>
        <v>1.0264741935483872</v>
      </c>
      <c r="M16" s="75">
        <f t="shared" si="7"/>
        <v>39.028677419354835</v>
      </c>
      <c r="N16" s="75">
        <f t="shared" si="8"/>
        <v>45.602290322580636</v>
      </c>
      <c r="O16" s="33">
        <f t="shared" si="3"/>
        <v>3.802207368159719E-5</v>
      </c>
      <c r="P16" s="33">
        <f t="shared" si="4"/>
        <v>4.4426143988032934E-5</v>
      </c>
      <c r="Q16" s="73">
        <f t="shared" si="9"/>
        <v>3.0000000000000001E-6</v>
      </c>
    </row>
    <row r="17" spans="1:17" x14ac:dyDescent="0.25">
      <c r="A17">
        <f t="shared" si="0"/>
        <v>17</v>
      </c>
      <c r="B17" s="1">
        <v>34639</v>
      </c>
      <c r="C17" s="9">
        <f t="shared" si="1"/>
        <v>30</v>
      </c>
      <c r="D17" s="74">
        <f>filings!M30</f>
        <v>3.6999999999999998E-5</v>
      </c>
      <c r="E17" s="76">
        <f>filings!O30</f>
        <v>1248.44</v>
      </c>
      <c r="F17" s="76">
        <f>filings!P30</f>
        <v>196.25399999999999</v>
      </c>
      <c r="G17" s="76">
        <f>filings!Q30</f>
        <v>1444.694</v>
      </c>
      <c r="H17" s="76">
        <f>filings!R30</f>
        <v>1260.7529999999999</v>
      </c>
      <c r="I17" s="76">
        <f>filings!S30</f>
        <v>-136.298</v>
      </c>
      <c r="J17" s="76">
        <f t="shared" si="5"/>
        <v>-183.94100000000003</v>
      </c>
      <c r="K17" s="75">
        <f t="shared" si="2"/>
        <v>-1210.5870000000014</v>
      </c>
      <c r="L17" s="18">
        <f t="shared" si="6"/>
        <v>1.1358135135135135</v>
      </c>
      <c r="M17" s="75">
        <f t="shared" si="7"/>
        <v>41.614666666666672</v>
      </c>
      <c r="N17" s="75">
        <f t="shared" si="8"/>
        <v>48.156466666666667</v>
      </c>
      <c r="O17" s="33">
        <f t="shared" si="3"/>
        <v>3.6638643731167015E-5</v>
      </c>
      <c r="P17" s="33">
        <f t="shared" si="4"/>
        <v>4.2398215986795191E-5</v>
      </c>
      <c r="Q17" s="73">
        <f t="shared" si="9"/>
        <v>9.9999999999999995E-7</v>
      </c>
    </row>
    <row r="18" spans="1:17" x14ac:dyDescent="0.25">
      <c r="A18" s="68">
        <f t="shared" si="0"/>
        <v>18</v>
      </c>
      <c r="B18" s="1">
        <v>34669</v>
      </c>
      <c r="C18" s="9">
        <f t="shared" si="1"/>
        <v>31</v>
      </c>
      <c r="D18" s="74">
        <f>filings!M31</f>
        <v>3.6999999999999998E-5</v>
      </c>
      <c r="E18" s="76">
        <f>filings!O31</f>
        <v>1546.8150000000001</v>
      </c>
      <c r="F18" s="76">
        <f>filings!P31</f>
        <v>154.595</v>
      </c>
      <c r="G18" s="76">
        <f>filings!Q31</f>
        <v>1701.41</v>
      </c>
      <c r="H18" s="76">
        <f>filings!R31</f>
        <v>1392.6869999999999</v>
      </c>
      <c r="I18" s="76">
        <f>filings!S31</f>
        <v>-150.56100000000001</v>
      </c>
      <c r="J18" s="76">
        <f t="shared" si="5"/>
        <v>-308.72300000000018</v>
      </c>
      <c r="K18" s="75">
        <f t="shared" si="2"/>
        <v>-1519.3100000000015</v>
      </c>
      <c r="L18" s="18">
        <f t="shared" si="6"/>
        <v>1.2141996512641673</v>
      </c>
      <c r="M18" s="75">
        <f t="shared" si="7"/>
        <v>49.89725806451613</v>
      </c>
      <c r="N18" s="75">
        <f t="shared" si="8"/>
        <v>54.884193548387103</v>
      </c>
      <c r="O18" s="33">
        <f t="shared" si="3"/>
        <v>4.1094772192172397E-5</v>
      </c>
      <c r="P18" s="33">
        <f t="shared" si="4"/>
        <v>4.5201951335799081E-5</v>
      </c>
      <c r="Q18" s="73">
        <f t="shared" si="9"/>
        <v>3.9999999999999998E-6</v>
      </c>
    </row>
    <row r="19" spans="1:17" x14ac:dyDescent="0.25">
      <c r="A19">
        <f t="shared" si="0"/>
        <v>19</v>
      </c>
      <c r="B19" s="1">
        <v>34700</v>
      </c>
      <c r="C19" s="9">
        <f t="shared" si="1"/>
        <v>31</v>
      </c>
      <c r="D19" s="74">
        <f>filings!M32</f>
        <v>4.0000000000000003E-5</v>
      </c>
      <c r="E19" s="76">
        <f>filings!O32</f>
        <v>1498.806</v>
      </c>
      <c r="F19" s="76">
        <f>filings!P32</f>
        <v>391.29899999999998</v>
      </c>
      <c r="G19" s="76">
        <f>filings!Q32</f>
        <v>1890.105</v>
      </c>
      <c r="H19" s="76">
        <f>filings!R32</f>
        <v>1469.242</v>
      </c>
      <c r="I19" s="76">
        <f>filings!S32</f>
        <v>293.84800000000001</v>
      </c>
      <c r="J19" s="76">
        <f t="shared" si="5"/>
        <v>-420.86300000000006</v>
      </c>
      <c r="K19" s="75">
        <f t="shared" si="2"/>
        <v>-1940.1730000000016</v>
      </c>
      <c r="L19" s="18">
        <f t="shared" si="6"/>
        <v>1.184872580645161</v>
      </c>
      <c r="M19" s="75">
        <f t="shared" si="7"/>
        <v>48.348580645161292</v>
      </c>
      <c r="N19" s="75">
        <f t="shared" si="8"/>
        <v>60.971129032258062</v>
      </c>
      <c r="O19" s="33">
        <f t="shared" si="3"/>
        <v>4.0804877617165874E-5</v>
      </c>
      <c r="P19" s="33">
        <f t="shared" si="4"/>
        <v>5.1457962677353366E-5</v>
      </c>
      <c r="Q19" s="73">
        <f t="shared" si="9"/>
        <v>1.0000000000000001E-5</v>
      </c>
    </row>
    <row r="20" spans="1:17" x14ac:dyDescent="0.25">
      <c r="A20" s="68">
        <f t="shared" si="0"/>
        <v>20</v>
      </c>
      <c r="B20" s="1">
        <v>34731</v>
      </c>
      <c r="C20" s="9">
        <f t="shared" si="1"/>
        <v>28</v>
      </c>
      <c r="D20" s="74">
        <f>filings!M33</f>
        <v>4.3999999999999999E-5</v>
      </c>
      <c r="E20" s="76">
        <f>filings!O33</f>
        <v>1196.5219999999999</v>
      </c>
      <c r="F20" s="76">
        <f>filings!P33</f>
        <v>-231.209</v>
      </c>
      <c r="G20" s="76">
        <f>filings!Q33</f>
        <v>965.31299999999987</v>
      </c>
      <c r="H20" s="76">
        <f>filings!R33</f>
        <v>1448.1020000000001</v>
      </c>
      <c r="I20" s="76">
        <f>filings!S33</f>
        <v>263.291</v>
      </c>
      <c r="J20" s="76">
        <f t="shared" si="5"/>
        <v>482.78900000000021</v>
      </c>
      <c r="K20" s="75">
        <f t="shared" si="2"/>
        <v>-1457.3840000000014</v>
      </c>
      <c r="L20" s="18">
        <f t="shared" si="6"/>
        <v>1.1754074675324675</v>
      </c>
      <c r="M20" s="75">
        <f t="shared" si="7"/>
        <v>42.732928571428566</v>
      </c>
      <c r="N20" s="75">
        <f t="shared" si="8"/>
        <v>34.475464285714281</v>
      </c>
      <c r="O20" s="33">
        <f t="shared" si="3"/>
        <v>3.6355842337072936E-5</v>
      </c>
      <c r="P20" s="33">
        <f t="shared" si="4"/>
        <v>2.9330649360335111E-5</v>
      </c>
      <c r="Q20" s="73" t="str">
        <f t="shared" si="9"/>
        <v/>
      </c>
    </row>
    <row r="21" spans="1:17" x14ac:dyDescent="0.25">
      <c r="A21">
        <f t="shared" si="0"/>
        <v>21</v>
      </c>
      <c r="B21" s="1">
        <v>34759</v>
      </c>
      <c r="C21" s="9">
        <f t="shared" si="1"/>
        <v>31</v>
      </c>
      <c r="D21" s="74">
        <f>filings!M34</f>
        <v>4.3999999999999999E-5</v>
      </c>
      <c r="E21" s="76">
        <f>filings!O34</f>
        <v>1596.473</v>
      </c>
      <c r="F21" s="76">
        <f>filings!P34</f>
        <v>185.38200000000001</v>
      </c>
      <c r="G21" s="76">
        <f>filings!Q34</f>
        <v>1781.855</v>
      </c>
      <c r="H21" s="76">
        <f>filings!R34</f>
        <v>1644.1669999999999</v>
      </c>
      <c r="I21" s="76">
        <f>filings!S34</f>
        <v>298.93900000000002</v>
      </c>
      <c r="J21" s="76">
        <f t="shared" si="5"/>
        <v>-137.6880000000001</v>
      </c>
      <c r="K21" s="75">
        <f t="shared" si="2"/>
        <v>-1595.0720000000015</v>
      </c>
      <c r="L21" s="18">
        <f t="shared" si="6"/>
        <v>1.2054010263929618</v>
      </c>
      <c r="M21" s="75">
        <f t="shared" si="7"/>
        <v>51.499129032258061</v>
      </c>
      <c r="N21" s="75">
        <f t="shared" si="8"/>
        <v>57.479193548387094</v>
      </c>
      <c r="O21" s="33">
        <f t="shared" si="3"/>
        <v>4.2723647901946697E-5</v>
      </c>
      <c r="P21" s="33">
        <f t="shared" si="4"/>
        <v>4.7684705993977505E-5</v>
      </c>
      <c r="Q21" s="73">
        <f t="shared" si="9"/>
        <v>6.9999999999999999E-6</v>
      </c>
    </row>
    <row r="22" spans="1:17" x14ac:dyDescent="0.25">
      <c r="A22" s="68">
        <f t="shared" si="0"/>
        <v>22</v>
      </c>
      <c r="B22" s="1">
        <v>34790</v>
      </c>
      <c r="C22" s="9">
        <f t="shared" si="1"/>
        <v>30</v>
      </c>
      <c r="D22" s="74">
        <f>filings!M35</f>
        <v>4.8000000000000001E-5</v>
      </c>
      <c r="E22" s="76">
        <f>filings!O35</f>
        <v>1353.414</v>
      </c>
      <c r="F22" s="76">
        <f>filings!P35</f>
        <v>203.13300000000001</v>
      </c>
      <c r="G22" s="76">
        <f>filings!Q35</f>
        <v>1556.547</v>
      </c>
      <c r="H22" s="76">
        <f>filings!R35</f>
        <v>1657.096</v>
      </c>
      <c r="I22" s="76">
        <f>filings!S35</f>
        <v>276.18299999999999</v>
      </c>
      <c r="J22" s="76">
        <f t="shared" si="5"/>
        <v>100.54899999999998</v>
      </c>
      <c r="K22" s="75">
        <f t="shared" si="2"/>
        <v>-1494.5230000000015</v>
      </c>
      <c r="L22" s="18">
        <f t="shared" si="6"/>
        <v>1.1507611111111113</v>
      </c>
      <c r="M22" s="75">
        <f t="shared" si="7"/>
        <v>45.113799999999998</v>
      </c>
      <c r="N22" s="75">
        <f t="shared" si="8"/>
        <v>51.884900000000002</v>
      </c>
      <c r="O22" s="33">
        <f t="shared" si="3"/>
        <v>3.9203445062929352E-5</v>
      </c>
      <c r="P22" s="33">
        <f t="shared" si="4"/>
        <v>4.5087463852426159E-5</v>
      </c>
      <c r="Q22" s="73">
        <f t="shared" si="9"/>
        <v>3.9999999999999998E-6</v>
      </c>
    </row>
    <row r="23" spans="1:17" x14ac:dyDescent="0.25">
      <c r="A23">
        <f t="shared" si="0"/>
        <v>23</v>
      </c>
      <c r="B23" s="1">
        <v>34820</v>
      </c>
      <c r="C23" s="9">
        <f t="shared" si="1"/>
        <v>31</v>
      </c>
      <c r="D23" s="74">
        <f>filings!M36</f>
        <v>4.8000000000000001E-5</v>
      </c>
      <c r="E23" s="76">
        <f>filings!O36</f>
        <v>1216.652</v>
      </c>
      <c r="F23" s="76">
        <f>filings!P36</f>
        <v>245.577</v>
      </c>
      <c r="G23" s="76">
        <f>filings!Q36</f>
        <v>1462.229</v>
      </c>
      <c r="H23" s="76">
        <f>filings!R36</f>
        <v>1662.2</v>
      </c>
      <c r="I23" s="76">
        <f>filings!S36</f>
        <v>277.03300000000002</v>
      </c>
      <c r="J23" s="76">
        <f t="shared" si="5"/>
        <v>199.971</v>
      </c>
      <c r="K23" s="75">
        <f t="shared" si="2"/>
        <v>-1294.5520000000015</v>
      </c>
      <c r="L23" s="18">
        <f t="shared" si="6"/>
        <v>1.1170698924731182</v>
      </c>
      <c r="M23" s="75">
        <f t="shared" si="7"/>
        <v>39.246838709677419</v>
      </c>
      <c r="N23" s="75">
        <f t="shared" si="8"/>
        <v>47.168677419354843</v>
      </c>
      <c r="O23" s="33">
        <f t="shared" si="3"/>
        <v>3.513373601251354E-5</v>
      </c>
      <c r="P23" s="33">
        <f t="shared" si="4"/>
        <v>4.2225359162555657E-5</v>
      </c>
      <c r="Q23" s="73">
        <f t="shared" si="9"/>
        <v>9.9999999999999995E-7</v>
      </c>
    </row>
    <row r="24" spans="1:17" x14ac:dyDescent="0.25">
      <c r="A24" s="68">
        <f t="shared" si="0"/>
        <v>24</v>
      </c>
      <c r="B24" s="1">
        <v>34851</v>
      </c>
      <c r="C24" s="9">
        <f t="shared" si="1"/>
        <v>30</v>
      </c>
      <c r="D24" s="74">
        <f>filings!M37</f>
        <v>4.8000000000000001E-5</v>
      </c>
      <c r="E24" s="76">
        <f>filings!O37</f>
        <v>1202.009</v>
      </c>
      <c r="F24" s="76">
        <f>filings!P37</f>
        <v>139.99700000000001</v>
      </c>
      <c r="G24" s="76">
        <f>filings!Q37</f>
        <v>1342.0060000000001</v>
      </c>
      <c r="H24" s="76">
        <f>filings!R37</f>
        <v>1679.365</v>
      </c>
      <c r="I24" s="76">
        <f>filings!S37</f>
        <v>279.89400000000001</v>
      </c>
      <c r="J24" s="76">
        <f t="shared" si="5"/>
        <v>337.35899999999992</v>
      </c>
      <c r="K24" s="75">
        <f t="shared" si="2"/>
        <v>-957.19300000000158</v>
      </c>
      <c r="L24" s="18">
        <f t="shared" si="6"/>
        <v>1.1662256944444445</v>
      </c>
      <c r="M24" s="75">
        <f t="shared" si="7"/>
        <v>40.066966666666666</v>
      </c>
      <c r="N24" s="75">
        <f t="shared" si="8"/>
        <v>44.733533333333334</v>
      </c>
      <c r="O24" s="33">
        <f t="shared" si="3"/>
        <v>3.43561000735397E-5</v>
      </c>
      <c r="P24" s="33">
        <f t="shared" si="4"/>
        <v>3.8357526803285767E-5</v>
      </c>
      <c r="Q24" s="73" t="str">
        <f t="shared" si="9"/>
        <v/>
      </c>
    </row>
    <row r="25" spans="1:17" x14ac:dyDescent="0.25">
      <c r="A25">
        <f t="shared" si="0"/>
        <v>25</v>
      </c>
      <c r="B25" s="1">
        <v>34881</v>
      </c>
      <c r="C25" s="9">
        <f t="shared" si="1"/>
        <v>31</v>
      </c>
      <c r="D25" s="74">
        <f>filings!M38</f>
        <v>4.6999999999999997E-5</v>
      </c>
      <c r="E25" s="76">
        <f>filings!O38</f>
        <v>1320.8209999999999</v>
      </c>
      <c r="F25" s="76">
        <f>filings!P38</f>
        <v>186.68600000000001</v>
      </c>
      <c r="G25" s="76">
        <f>filings!Q38</f>
        <v>1507.5069999999998</v>
      </c>
      <c r="H25" s="76">
        <f>filings!R38</f>
        <v>1651.3630000000001</v>
      </c>
      <c r="I25" s="76">
        <f>filings!S38</f>
        <v>245.94800000000001</v>
      </c>
      <c r="J25" s="76">
        <f t="shared" si="5"/>
        <v>143.85600000000022</v>
      </c>
      <c r="K25" s="75">
        <f t="shared" si="2"/>
        <v>-813.33700000000135</v>
      </c>
      <c r="L25" s="18">
        <f t="shared" si="6"/>
        <v>1.1333994509265617</v>
      </c>
      <c r="M25" s="75">
        <f t="shared" si="7"/>
        <v>42.607129032258065</v>
      </c>
      <c r="N25" s="75">
        <f t="shared" si="8"/>
        <v>48.629258064516122</v>
      </c>
      <c r="O25" s="33">
        <f t="shared" si="3"/>
        <v>3.7592332515624961E-5</v>
      </c>
      <c r="P25" s="33">
        <f t="shared" si="4"/>
        <v>4.2905665804550527E-5</v>
      </c>
      <c r="Q25" s="73">
        <f t="shared" si="9"/>
        <v>1.9999999999999999E-6</v>
      </c>
    </row>
    <row r="26" spans="1:17" x14ac:dyDescent="0.25">
      <c r="A26" s="68">
        <f t="shared" si="0"/>
        <v>26</v>
      </c>
      <c r="B26" s="1">
        <v>34912</v>
      </c>
      <c r="C26" s="9">
        <f t="shared" si="1"/>
        <v>31</v>
      </c>
      <c r="D26" s="74">
        <f>filings!M39</f>
        <v>4.6999999999999997E-5</v>
      </c>
      <c r="E26" s="76">
        <f>filings!O39</f>
        <v>1477.0609999999999</v>
      </c>
      <c r="F26" s="76">
        <f>filings!P39</f>
        <v>89.893000000000001</v>
      </c>
      <c r="G26" s="76">
        <f>filings!Q39</f>
        <v>1566.954</v>
      </c>
      <c r="H26" s="76">
        <f>filings!R39</f>
        <v>1751.213</v>
      </c>
      <c r="I26" s="76">
        <f>filings!S39</f>
        <v>260.81900000000002</v>
      </c>
      <c r="J26" s="76">
        <f t="shared" si="5"/>
        <v>184.25900000000001</v>
      </c>
      <c r="K26" s="75">
        <f t="shared" si="2"/>
        <v>-629.07800000000134</v>
      </c>
      <c r="L26" s="18">
        <f t="shared" si="6"/>
        <v>1.2019306794783802</v>
      </c>
      <c r="M26" s="75">
        <f t="shared" si="7"/>
        <v>47.647129032258064</v>
      </c>
      <c r="N26" s="75">
        <f t="shared" si="8"/>
        <v>50.546903225806453</v>
      </c>
      <c r="O26" s="33">
        <f t="shared" si="3"/>
        <v>3.9642160605249048E-5</v>
      </c>
      <c r="P26" s="33">
        <f t="shared" si="4"/>
        <v>4.2054757473819577E-5</v>
      </c>
      <c r="Q26" s="73">
        <f t="shared" si="9"/>
        <v>9.9999999999999995E-7</v>
      </c>
    </row>
    <row r="27" spans="1:17" x14ac:dyDescent="0.25">
      <c r="A27">
        <f t="shared" si="0"/>
        <v>27</v>
      </c>
      <c r="B27" s="1">
        <v>34943</v>
      </c>
      <c r="C27" s="9">
        <f t="shared" si="1"/>
        <v>30</v>
      </c>
      <c r="D27" s="74">
        <f>filings!M40</f>
        <v>4.6999999999999997E-5</v>
      </c>
      <c r="E27" s="76">
        <f>filings!O40</f>
        <v>1419.857</v>
      </c>
      <c r="F27" s="76">
        <f>filings!P40</f>
        <v>143.541</v>
      </c>
      <c r="G27" s="76">
        <f>filings!Q40</f>
        <v>1563.3979999999999</v>
      </c>
      <c r="H27" s="76">
        <f>filings!R40</f>
        <v>1676.848</v>
      </c>
      <c r="I27" s="76">
        <f>filings!S40</f>
        <v>249.74299999999999</v>
      </c>
      <c r="J27" s="76">
        <f t="shared" si="5"/>
        <v>113.45000000000005</v>
      </c>
      <c r="K27" s="75">
        <f t="shared" si="2"/>
        <v>-515.62800000000129</v>
      </c>
      <c r="L27" s="18">
        <f t="shared" si="6"/>
        <v>1.1892539007092198</v>
      </c>
      <c r="M27" s="75">
        <f t="shared" si="7"/>
        <v>47.328566666666667</v>
      </c>
      <c r="N27" s="75">
        <f t="shared" si="8"/>
        <v>52.113266666666661</v>
      </c>
      <c r="O27" s="33">
        <f t="shared" si="3"/>
        <v>3.9796856363844546E-5</v>
      </c>
      <c r="P27" s="33">
        <f t="shared" si="4"/>
        <v>4.3820135158344705E-5</v>
      </c>
      <c r="Q27" s="73">
        <f t="shared" si="9"/>
        <v>3.0000000000000001E-6</v>
      </c>
    </row>
    <row r="28" spans="1:17" x14ac:dyDescent="0.25">
      <c r="A28" s="68">
        <f t="shared" si="0"/>
        <v>28</v>
      </c>
      <c r="B28" s="1">
        <v>34973</v>
      </c>
      <c r="C28" s="9">
        <f t="shared" si="1"/>
        <v>31</v>
      </c>
      <c r="D28" s="74">
        <f>filings!M41</f>
        <v>4.0000000000000003E-5</v>
      </c>
      <c r="E28" s="76">
        <f>filings!O41</f>
        <v>1443.866</v>
      </c>
      <c r="F28" s="76">
        <f>filings!P41</f>
        <v>247.559</v>
      </c>
      <c r="G28" s="76">
        <f>filings!Q41</f>
        <v>1691.425</v>
      </c>
      <c r="H28" s="76">
        <f>filings!R41</f>
        <v>1446.6469999999999</v>
      </c>
      <c r="I28" s="76">
        <f>filings!S41</f>
        <v>253.16300000000001</v>
      </c>
      <c r="J28" s="76">
        <f t="shared" si="5"/>
        <v>-244.77800000000002</v>
      </c>
      <c r="K28" s="75">
        <f t="shared" si="2"/>
        <v>-760.40600000000131</v>
      </c>
      <c r="L28" s="18">
        <f t="shared" si="6"/>
        <v>1.1666508064516126</v>
      </c>
      <c r="M28" s="75">
        <f t="shared" si="7"/>
        <v>46.576322580645162</v>
      </c>
      <c r="N28" s="75">
        <f t="shared" si="8"/>
        <v>54.562096774193549</v>
      </c>
      <c r="O28" s="33">
        <f t="shared" si="3"/>
        <v>3.9923104945435904E-5</v>
      </c>
      <c r="P28" s="33">
        <f t="shared" si="4"/>
        <v>4.6768147308915043E-5</v>
      </c>
      <c r="Q28" s="73">
        <f t="shared" si="9"/>
        <v>6.0000000000000002E-6</v>
      </c>
    </row>
    <row r="29" spans="1:17" x14ac:dyDescent="0.25">
      <c r="A29">
        <f t="shared" si="0"/>
        <v>29</v>
      </c>
      <c r="B29" s="1">
        <v>35004</v>
      </c>
      <c r="C29" s="9">
        <f t="shared" si="1"/>
        <v>30</v>
      </c>
      <c r="D29" s="74">
        <f>filings!M42</f>
        <v>4.1E-5</v>
      </c>
      <c r="E29" s="76">
        <f>filings!O42</f>
        <v>1409.0160000000001</v>
      </c>
      <c r="F29" s="76">
        <f>filings!P42</f>
        <v>120.483</v>
      </c>
      <c r="G29" s="76">
        <f>filings!Q42</f>
        <v>1529.499</v>
      </c>
      <c r="H29" s="76">
        <f>filings!R42</f>
        <v>1455.3320000000001</v>
      </c>
      <c r="I29" s="76">
        <f>filings!S42</f>
        <v>248.471</v>
      </c>
      <c r="J29" s="76">
        <f t="shared" si="5"/>
        <v>-74.166999999999916</v>
      </c>
      <c r="K29" s="75">
        <f t="shared" si="2"/>
        <v>-834.57300000000123</v>
      </c>
      <c r="L29" s="18">
        <f t="shared" si="6"/>
        <v>1.1831967479674794</v>
      </c>
      <c r="M29" s="75">
        <f t="shared" si="7"/>
        <v>46.967200000000005</v>
      </c>
      <c r="N29" s="75">
        <f t="shared" si="8"/>
        <v>50.9833</v>
      </c>
      <c r="O29" s="33">
        <f t="shared" si="3"/>
        <v>3.96951733350191E-5</v>
      </c>
      <c r="P29" s="33">
        <f t="shared" si="4"/>
        <v>4.3089452441092492E-5</v>
      </c>
      <c r="Q29" s="73">
        <f t="shared" si="9"/>
        <v>1.9999999999999999E-6</v>
      </c>
    </row>
    <row r="30" spans="1:17" x14ac:dyDescent="0.25">
      <c r="A30" s="68">
        <f t="shared" si="0"/>
        <v>30</v>
      </c>
      <c r="B30" s="1">
        <v>35034</v>
      </c>
      <c r="C30" s="9">
        <f t="shared" si="1"/>
        <v>31</v>
      </c>
      <c r="D30" s="74">
        <f>filings!M43</f>
        <v>4.3000000000000002E-5</v>
      </c>
      <c r="E30" s="76">
        <f>filings!O43</f>
        <v>1645.45</v>
      </c>
      <c r="F30" s="76">
        <f>filings!P43</f>
        <v>168.363</v>
      </c>
      <c r="G30" s="76">
        <f>filings!Q43</f>
        <v>1813.8130000000001</v>
      </c>
      <c r="H30" s="76">
        <f>filings!R43</f>
        <v>1591.681</v>
      </c>
      <c r="I30" s="76">
        <f>filings!S43</f>
        <v>259.11099999999999</v>
      </c>
      <c r="J30" s="76">
        <f t="shared" si="5"/>
        <v>-222.13200000000006</v>
      </c>
      <c r="K30" s="75">
        <f t="shared" si="2"/>
        <v>-1056.7050000000013</v>
      </c>
      <c r="L30" s="18">
        <f t="shared" si="6"/>
        <v>1.1940592648162041</v>
      </c>
      <c r="M30" s="75">
        <f t="shared" si="7"/>
        <v>53.079032258064515</v>
      </c>
      <c r="N30" s="75">
        <f t="shared" si="8"/>
        <v>58.510096774193549</v>
      </c>
      <c r="O30" s="33">
        <f t="shared" si="3"/>
        <v>4.4452594458311685E-5</v>
      </c>
      <c r="P30" s="33">
        <f t="shared" si="4"/>
        <v>4.9000998943883855E-5</v>
      </c>
      <c r="Q30" s="73">
        <f t="shared" si="9"/>
        <v>7.9999999999999996E-6</v>
      </c>
    </row>
    <row r="31" spans="1:17" x14ac:dyDescent="0.25">
      <c r="A31">
        <f t="shared" si="0"/>
        <v>31</v>
      </c>
      <c r="B31" s="1">
        <v>35065</v>
      </c>
      <c r="C31" s="9">
        <f t="shared" si="1"/>
        <v>31</v>
      </c>
      <c r="D31" s="74">
        <f>filings!M44</f>
        <v>4.3000000000000002E-5</v>
      </c>
      <c r="E31" s="76">
        <f>filings!O44</f>
        <v>1449.8630000000001</v>
      </c>
      <c r="F31" s="76">
        <f>filings!P44</f>
        <v>152.40799999999999</v>
      </c>
      <c r="G31" s="76">
        <f>filings!Q44</f>
        <v>1602.271</v>
      </c>
      <c r="H31" s="76">
        <f>filings!R44</f>
        <v>1498.32</v>
      </c>
      <c r="I31" s="76">
        <f>filings!S44</f>
        <v>69.688999999999993</v>
      </c>
      <c r="J31" s="76">
        <f t="shared" si="5"/>
        <v>-103.95100000000002</v>
      </c>
      <c r="K31" s="75">
        <f t="shared" si="2"/>
        <v>-1160.6560000000013</v>
      </c>
      <c r="L31" s="18">
        <f t="shared" si="6"/>
        <v>1.1240210052513127</v>
      </c>
      <c r="M31" s="75">
        <f t="shared" si="7"/>
        <v>46.769774193548386</v>
      </c>
      <c r="N31" s="75">
        <f t="shared" si="8"/>
        <v>51.68616129032258</v>
      </c>
      <c r="O31" s="33">
        <f t="shared" si="3"/>
        <v>4.1609341796145024E-5</v>
      </c>
      <c r="P31" s="33">
        <f t="shared" si="4"/>
        <v>4.5983269928987138E-5</v>
      </c>
      <c r="Q31" s="73">
        <f t="shared" si="9"/>
        <v>5.0000000000000004E-6</v>
      </c>
    </row>
    <row r="32" spans="1:17" x14ac:dyDescent="0.25">
      <c r="A32" s="68">
        <f t="shared" si="0"/>
        <v>32</v>
      </c>
      <c r="B32" s="1">
        <v>35096</v>
      </c>
      <c r="C32" s="9">
        <f t="shared" si="1"/>
        <v>29</v>
      </c>
      <c r="D32" s="74">
        <f>filings!M45</f>
        <v>4.3000000000000002E-5</v>
      </c>
      <c r="E32" s="76">
        <f>filings!O45</f>
        <v>1130.731</v>
      </c>
      <c r="F32" s="76">
        <f>filings!P45</f>
        <v>84.966999999999999</v>
      </c>
      <c r="G32" s="76">
        <f>filings!Q45</f>
        <v>1215.6980000000001</v>
      </c>
      <c r="H32" s="76">
        <f>filings!R45</f>
        <v>1350.338</v>
      </c>
      <c r="I32" s="76">
        <f>filings!S45</f>
        <v>62.805999999999997</v>
      </c>
      <c r="J32" s="76">
        <f t="shared" si="5"/>
        <v>134.63999999999987</v>
      </c>
      <c r="K32" s="75">
        <f t="shared" si="2"/>
        <v>-1026.0160000000014</v>
      </c>
      <c r="L32" s="18">
        <f t="shared" si="6"/>
        <v>1.0828692862870888</v>
      </c>
      <c r="M32" s="75">
        <f t="shared" si="7"/>
        <v>38.990724137931032</v>
      </c>
      <c r="N32" s="75">
        <f t="shared" si="8"/>
        <v>41.920620689655173</v>
      </c>
      <c r="O32" s="33">
        <f t="shared" si="3"/>
        <v>3.6006861245110487E-5</v>
      </c>
      <c r="P32" s="33">
        <f t="shared" si="4"/>
        <v>3.8712540119584886E-5</v>
      </c>
      <c r="Q32" s="73" t="str">
        <f t="shared" si="9"/>
        <v/>
      </c>
    </row>
    <row r="33" spans="1:17" x14ac:dyDescent="0.25">
      <c r="A33">
        <f t="shared" si="0"/>
        <v>33</v>
      </c>
      <c r="B33" s="1">
        <v>35125</v>
      </c>
      <c r="C33" s="9">
        <f t="shared" si="1"/>
        <v>31</v>
      </c>
      <c r="D33" s="74">
        <f>filings!M46</f>
        <v>4.3000000000000002E-5</v>
      </c>
      <c r="E33" s="76">
        <f>filings!O46</f>
        <v>1073.6659999999999</v>
      </c>
      <c r="F33" s="76">
        <f>filings!P46</f>
        <v>247.01</v>
      </c>
      <c r="G33" s="76">
        <f>filings!Q46</f>
        <v>1320.6759999999999</v>
      </c>
      <c r="H33" s="76">
        <f>filings!R46</f>
        <v>1483.4069999999999</v>
      </c>
      <c r="I33" s="76">
        <f>filings!S46</f>
        <v>98.995999999999995</v>
      </c>
      <c r="J33" s="76">
        <f t="shared" si="5"/>
        <v>162.73099999999999</v>
      </c>
      <c r="K33" s="75">
        <f t="shared" si="2"/>
        <v>-863.28500000000145</v>
      </c>
      <c r="L33" s="18">
        <f t="shared" si="6"/>
        <v>1.1128334583645909</v>
      </c>
      <c r="M33" s="75">
        <f t="shared" si="7"/>
        <v>34.634387096774191</v>
      </c>
      <c r="N33" s="75">
        <f t="shared" si="8"/>
        <v>42.602451612903224</v>
      </c>
      <c r="O33" s="33">
        <f t="shared" si="3"/>
        <v>3.1122704692643354E-5</v>
      </c>
      <c r="P33" s="33">
        <f t="shared" si="4"/>
        <v>3.8282863704971066E-5</v>
      </c>
      <c r="Q33" s="73" t="str">
        <f t="shared" si="9"/>
        <v/>
      </c>
    </row>
    <row r="34" spans="1:17" x14ac:dyDescent="0.25">
      <c r="A34" s="68">
        <f t="shared" si="0"/>
        <v>34</v>
      </c>
      <c r="B34" s="1">
        <v>35156</v>
      </c>
      <c r="C34" s="9">
        <f t="shared" si="1"/>
        <v>30</v>
      </c>
      <c r="D34" s="74">
        <f>filings!M47</f>
        <v>3.4999999999999997E-5</v>
      </c>
      <c r="E34" s="76">
        <f>filings!O47</f>
        <v>1074.7139999999999</v>
      </c>
      <c r="F34" s="76">
        <f>filings!P47</f>
        <v>18.62</v>
      </c>
      <c r="G34" s="76">
        <f>filings!Q47</f>
        <v>1093.3339999999998</v>
      </c>
      <c r="H34" s="76">
        <f>filings!R47</f>
        <v>1145.944</v>
      </c>
      <c r="I34" s="76">
        <f>filings!S47</f>
        <v>65.483000000000004</v>
      </c>
      <c r="J34" s="76">
        <f t="shared" si="5"/>
        <v>52.610000000000127</v>
      </c>
      <c r="K34" s="75">
        <f t="shared" si="2"/>
        <v>-810.67500000000132</v>
      </c>
      <c r="L34" s="18">
        <f t="shared" si="6"/>
        <v>1.0913752380952382</v>
      </c>
      <c r="M34" s="75">
        <f t="shared" si="7"/>
        <v>35.823799999999999</v>
      </c>
      <c r="N34" s="75">
        <f t="shared" si="8"/>
        <v>36.444466666666663</v>
      </c>
      <c r="O34" s="33">
        <f t="shared" si="3"/>
        <v>3.2824457390588013E-5</v>
      </c>
      <c r="P34" s="33">
        <f t="shared" si="4"/>
        <v>3.3393158828005554E-5</v>
      </c>
      <c r="Q34" s="73" t="str">
        <f t="shared" si="9"/>
        <v/>
      </c>
    </row>
    <row r="35" spans="1:17" x14ac:dyDescent="0.25">
      <c r="A35">
        <f t="shared" si="0"/>
        <v>35</v>
      </c>
      <c r="B35" s="1">
        <v>35186</v>
      </c>
      <c r="C35" s="9">
        <f t="shared" si="1"/>
        <v>31</v>
      </c>
      <c r="D35" s="74">
        <f>filings!M48</f>
        <v>3.4999999999999997E-5</v>
      </c>
      <c r="E35" s="76">
        <f>filings!O48</f>
        <v>1349.7439999999999</v>
      </c>
      <c r="F35" s="76">
        <f>filings!P48</f>
        <v>219.745</v>
      </c>
      <c r="G35" s="76">
        <f>filings!Q48</f>
        <v>1569.489</v>
      </c>
      <c r="H35" s="76">
        <f>filings!R48</f>
        <v>1317.703</v>
      </c>
      <c r="I35" s="76">
        <f>filings!S48</f>
        <v>75.296999999999997</v>
      </c>
      <c r="J35" s="76">
        <f t="shared" si="5"/>
        <v>-251.78600000000006</v>
      </c>
      <c r="K35" s="75">
        <f t="shared" si="2"/>
        <v>-1062.4610000000014</v>
      </c>
      <c r="L35" s="18">
        <f t="shared" si="6"/>
        <v>1.2144728110599077</v>
      </c>
      <c r="M35" s="75">
        <f t="shared" si="7"/>
        <v>43.540129032258065</v>
      </c>
      <c r="N35" s="75">
        <f t="shared" si="8"/>
        <v>50.628677419354837</v>
      </c>
      <c r="O35" s="33">
        <f t="shared" si="3"/>
        <v>3.585105293074388E-5</v>
      </c>
      <c r="P35" s="33">
        <f t="shared" si="4"/>
        <v>4.1687781692839739E-5</v>
      </c>
      <c r="Q35" s="73">
        <f t="shared" si="9"/>
        <v>9.9999999999999995E-7</v>
      </c>
    </row>
    <row r="36" spans="1:17" x14ac:dyDescent="0.25">
      <c r="A36" s="68">
        <f t="shared" si="0"/>
        <v>36</v>
      </c>
      <c r="B36" s="1">
        <v>35217</v>
      </c>
      <c r="C36" s="9">
        <f t="shared" si="1"/>
        <v>30</v>
      </c>
      <c r="D36" s="74">
        <f>filings!M49</f>
        <v>3.8000000000000002E-5</v>
      </c>
      <c r="E36" s="76">
        <f>filings!O49</f>
        <v>1517.8579999999999</v>
      </c>
      <c r="F36" s="76">
        <f>filings!P49</f>
        <v>86.454999999999998</v>
      </c>
      <c r="G36" s="76">
        <f>filings!Q49</f>
        <v>1604.3129999999999</v>
      </c>
      <c r="H36" s="76">
        <f>filings!R49</f>
        <v>1386.8689999999999</v>
      </c>
      <c r="I36" s="76">
        <f>filings!S49</f>
        <v>72.992999999999995</v>
      </c>
      <c r="J36" s="76">
        <f t="shared" si="5"/>
        <v>-217.44399999999996</v>
      </c>
      <c r="K36" s="75">
        <f t="shared" si="2"/>
        <v>-1279.9050000000013</v>
      </c>
      <c r="L36" s="18">
        <f t="shared" si="6"/>
        <v>1.2165517543859647</v>
      </c>
      <c r="M36" s="75">
        <f t="shared" si="7"/>
        <v>50.595266666666667</v>
      </c>
      <c r="N36" s="75">
        <f t="shared" si="8"/>
        <v>53.477099999999993</v>
      </c>
      <c r="O36" s="33">
        <f t="shared" si="3"/>
        <v>4.1589078708948001E-5</v>
      </c>
      <c r="P36" s="33">
        <f t="shared" si="4"/>
        <v>4.3957932580510489E-5</v>
      </c>
      <c r="Q36" s="73">
        <f t="shared" si="9"/>
        <v>3.0000000000000001E-6</v>
      </c>
    </row>
    <row r="37" spans="1:17" x14ac:dyDescent="0.25">
      <c r="A37">
        <f t="shared" si="0"/>
        <v>37</v>
      </c>
      <c r="B37" s="1">
        <v>35247</v>
      </c>
      <c r="C37" s="9">
        <f t="shared" ref="C37:C68" si="10">DAY(EOMONTH(B37,0))</f>
        <v>31</v>
      </c>
      <c r="D37" s="74">
        <f>filings!M50</f>
        <v>4.0000000000000003E-5</v>
      </c>
      <c r="E37" s="76">
        <f>filings!O50</f>
        <v>1633.104</v>
      </c>
      <c r="F37" s="76">
        <f>filings!P50</f>
        <v>381.24299999999999</v>
      </c>
      <c r="G37" s="76">
        <f>filings!Q50</f>
        <v>2014.347</v>
      </c>
      <c r="H37" s="76">
        <f>filings!R50</f>
        <v>1508.835</v>
      </c>
      <c r="I37" s="76">
        <f>filings!S50</f>
        <v>150.88399999999999</v>
      </c>
      <c r="J37" s="76">
        <f t="shared" si="5"/>
        <v>-505.51199999999994</v>
      </c>
      <c r="K37" s="75">
        <f t="shared" si="2"/>
        <v>-1785.4170000000013</v>
      </c>
      <c r="L37" s="18">
        <f t="shared" si="6"/>
        <v>1.2168024193548388</v>
      </c>
      <c r="M37" s="75">
        <f t="shared" si="7"/>
        <v>52.680774193548388</v>
      </c>
      <c r="N37" s="75">
        <f t="shared" si="8"/>
        <v>64.97893548387097</v>
      </c>
      <c r="O37" s="33">
        <f t="shared" si="3"/>
        <v>4.3294435773295293E-5</v>
      </c>
      <c r="P37" s="33">
        <f t="shared" si="4"/>
        <v>5.3401385837417604E-5</v>
      </c>
      <c r="Q37" s="73">
        <f t="shared" si="9"/>
        <v>1.2E-5</v>
      </c>
    </row>
    <row r="38" spans="1:17" x14ac:dyDescent="0.25">
      <c r="A38" s="68">
        <f t="shared" si="0"/>
        <v>38</v>
      </c>
      <c r="B38" s="1">
        <v>35278</v>
      </c>
      <c r="C38" s="9">
        <f t="shared" si="10"/>
        <v>31</v>
      </c>
      <c r="D38" s="74">
        <f>filings!M51</f>
        <v>4.3000000000000002E-5</v>
      </c>
      <c r="E38" s="76">
        <f>filings!O51</f>
        <v>1611.3879999999999</v>
      </c>
      <c r="F38" s="76">
        <f>filings!P51</f>
        <v>429.25400000000002</v>
      </c>
      <c r="G38" s="76">
        <f>filings!Q51</f>
        <v>2040.6419999999998</v>
      </c>
      <c r="H38" s="76">
        <f>filings!R51</f>
        <v>1659.683</v>
      </c>
      <c r="I38" s="76">
        <f>filings!S51</f>
        <v>154.38900000000001</v>
      </c>
      <c r="J38" s="76">
        <f t="shared" si="5"/>
        <v>-380.95899999999983</v>
      </c>
      <c r="K38" s="75">
        <f t="shared" si="2"/>
        <v>-2166.3760000000011</v>
      </c>
      <c r="L38" s="18">
        <f t="shared" si="6"/>
        <v>1.2450735183795947</v>
      </c>
      <c r="M38" s="75">
        <f t="shared" si="7"/>
        <v>51.980258064516129</v>
      </c>
      <c r="N38" s="75">
        <f t="shared" si="8"/>
        <v>65.827161290322579</v>
      </c>
      <c r="O38" s="33">
        <f t="shared" si="3"/>
        <v>4.1748745995470225E-5</v>
      </c>
      <c r="P38" s="33">
        <f t="shared" si="4"/>
        <v>5.2870099892569856E-5</v>
      </c>
      <c r="Q38" s="73">
        <f t="shared" si="9"/>
        <v>1.2E-5</v>
      </c>
    </row>
    <row r="39" spans="1:17" x14ac:dyDescent="0.25">
      <c r="A39">
        <f t="shared" si="0"/>
        <v>39</v>
      </c>
      <c r="B39" s="1">
        <v>35309</v>
      </c>
      <c r="C39" s="9">
        <f t="shared" si="10"/>
        <v>30</v>
      </c>
      <c r="D39" s="74">
        <f>filings!M52</f>
        <v>4.3999999999999999E-5</v>
      </c>
      <c r="E39" s="76">
        <f>filings!O52</f>
        <v>1691.665</v>
      </c>
      <c r="F39" s="76">
        <f>filings!P52</f>
        <v>401.91</v>
      </c>
      <c r="G39" s="76">
        <f>filings!Q52</f>
        <v>2093.5749999999998</v>
      </c>
      <c r="H39" s="76">
        <f>filings!R52</f>
        <v>1652.7560000000001</v>
      </c>
      <c r="I39" s="76">
        <f>filings!S52</f>
        <v>150.251</v>
      </c>
      <c r="J39" s="76">
        <f t="shared" si="5"/>
        <v>-440.81899999999973</v>
      </c>
      <c r="K39" s="75">
        <f t="shared" si="2"/>
        <v>-2607.1950000000006</v>
      </c>
      <c r="L39" s="18">
        <f t="shared" si="6"/>
        <v>1.2520878787878789</v>
      </c>
      <c r="M39" s="75">
        <f t="shared" si="7"/>
        <v>56.388833333333331</v>
      </c>
      <c r="N39" s="75">
        <f t="shared" si="8"/>
        <v>69.785833333333329</v>
      </c>
      <c r="O39" s="33">
        <f t="shared" si="3"/>
        <v>4.503584316136199E-5</v>
      </c>
      <c r="P39" s="33">
        <f t="shared" si="4"/>
        <v>5.5735571372906827E-5</v>
      </c>
      <c r="Q39" s="73">
        <f t="shared" si="9"/>
        <v>1.5E-5</v>
      </c>
    </row>
    <row r="40" spans="1:17" x14ac:dyDescent="0.25">
      <c r="A40" s="68">
        <f t="shared" si="0"/>
        <v>40</v>
      </c>
      <c r="B40" s="1">
        <v>35339</v>
      </c>
      <c r="C40" s="9">
        <f t="shared" si="10"/>
        <v>31</v>
      </c>
      <c r="D40" s="74">
        <f>filings!M53</f>
        <v>4.5000000000000003E-5</v>
      </c>
      <c r="E40" s="76">
        <f>filings!O53</f>
        <v>1719.011</v>
      </c>
      <c r="F40" s="76">
        <f>filings!P53</f>
        <v>373.04700000000003</v>
      </c>
      <c r="G40" s="76">
        <f>filings!Q53</f>
        <v>2092.058</v>
      </c>
      <c r="H40" s="76">
        <f>filings!R53</f>
        <v>1763.2360000000001</v>
      </c>
      <c r="I40" s="76">
        <f>filings!S53</f>
        <v>156.732</v>
      </c>
      <c r="J40" s="76">
        <f t="shared" si="5"/>
        <v>-328.82199999999989</v>
      </c>
      <c r="K40" s="75">
        <f t="shared" si="2"/>
        <v>-2936.0170000000007</v>
      </c>
      <c r="L40" s="18">
        <f t="shared" si="6"/>
        <v>1.263968458781362</v>
      </c>
      <c r="M40" s="75">
        <f t="shared" si="7"/>
        <v>55.451967741935484</v>
      </c>
      <c r="N40" s="75">
        <f t="shared" si="8"/>
        <v>67.485741935483873</v>
      </c>
      <c r="O40" s="33">
        <f t="shared" si="3"/>
        <v>4.3871322386793375E-5</v>
      </c>
      <c r="P40" s="33">
        <f t="shared" si="4"/>
        <v>5.3391950935666017E-5</v>
      </c>
      <c r="Q40" s="73">
        <f t="shared" si="9"/>
        <v>1.2E-5</v>
      </c>
    </row>
    <row r="41" spans="1:17" x14ac:dyDescent="0.25">
      <c r="A41">
        <f t="shared" si="0"/>
        <v>41</v>
      </c>
      <c r="B41" s="1">
        <v>35370</v>
      </c>
      <c r="C41" s="9">
        <f t="shared" si="10"/>
        <v>30</v>
      </c>
      <c r="D41" s="74">
        <f>filings!M54</f>
        <v>4.5000000000000003E-5</v>
      </c>
      <c r="E41" s="76">
        <f>filings!O54</f>
        <v>1955.7529999999999</v>
      </c>
      <c r="F41" s="76">
        <f>filings!P54</f>
        <v>275.06700000000001</v>
      </c>
      <c r="G41" s="76">
        <f>filings!Q54</f>
        <v>2230.8199999999997</v>
      </c>
      <c r="H41" s="76">
        <f>filings!R54</f>
        <v>1733.829</v>
      </c>
      <c r="I41" s="76">
        <f>filings!S54</f>
        <v>154.11799999999999</v>
      </c>
      <c r="J41" s="76">
        <f t="shared" si="5"/>
        <v>-496.99099999999976</v>
      </c>
      <c r="K41" s="75">
        <f t="shared" si="2"/>
        <v>-3433.0080000000007</v>
      </c>
      <c r="L41" s="18">
        <f t="shared" si="6"/>
        <v>1.2843177777777774</v>
      </c>
      <c r="M41" s="75">
        <f t="shared" si="7"/>
        <v>65.191766666666666</v>
      </c>
      <c r="N41" s="75">
        <f t="shared" si="8"/>
        <v>74.36066666666666</v>
      </c>
      <c r="O41" s="33">
        <f t="shared" si="3"/>
        <v>5.0759841368439458E-5</v>
      </c>
      <c r="P41" s="33">
        <f t="shared" si="4"/>
        <v>5.7898962354419041E-5</v>
      </c>
      <c r="Q41" s="73">
        <f t="shared" si="9"/>
        <v>1.7E-5</v>
      </c>
    </row>
    <row r="42" spans="1:17" x14ac:dyDescent="0.25">
      <c r="A42" s="68">
        <f t="shared" si="0"/>
        <v>42</v>
      </c>
      <c r="B42" s="1">
        <v>35400</v>
      </c>
      <c r="C42" s="9">
        <f t="shared" si="10"/>
        <v>31</v>
      </c>
      <c r="D42" s="74">
        <f>filings!M55</f>
        <v>4.5000000000000003E-5</v>
      </c>
      <c r="E42" s="76">
        <f>filings!O55</f>
        <v>1857.1189999999999</v>
      </c>
      <c r="F42" s="76">
        <f>filings!P55</f>
        <v>147.828</v>
      </c>
      <c r="G42" s="76">
        <f>filings!Q55</f>
        <v>2004.9469999999999</v>
      </c>
      <c r="H42" s="76">
        <f>filings!R55</f>
        <v>1765.5239999999999</v>
      </c>
      <c r="I42" s="76">
        <f>filings!S55</f>
        <v>156.935</v>
      </c>
      <c r="J42" s="76">
        <f t="shared" si="5"/>
        <v>-239.423</v>
      </c>
      <c r="K42" s="75">
        <f t="shared" si="2"/>
        <v>-3672.4310000000009</v>
      </c>
      <c r="L42" s="18">
        <f t="shared" si="6"/>
        <v>1.2656086021505375</v>
      </c>
      <c r="M42" s="75">
        <f t="shared" si="7"/>
        <v>59.907064516129033</v>
      </c>
      <c r="N42" s="75">
        <f t="shared" si="8"/>
        <v>64.675709677419349</v>
      </c>
      <c r="O42" s="33">
        <f t="shared" si="3"/>
        <v>4.7334590183990706E-5</v>
      </c>
      <c r="P42" s="33">
        <f t="shared" si="4"/>
        <v>5.110245740074901E-5</v>
      </c>
      <c r="Q42" s="73">
        <f t="shared" si="9"/>
        <v>1.0000000000000001E-5</v>
      </c>
    </row>
    <row r="43" spans="1:17" x14ac:dyDescent="0.25">
      <c r="A43">
        <f t="shared" si="0"/>
        <v>43</v>
      </c>
      <c r="B43" s="1">
        <v>35431</v>
      </c>
      <c r="C43" s="9">
        <f t="shared" si="10"/>
        <v>31</v>
      </c>
      <c r="D43" s="74">
        <f>filings!M56</f>
        <v>5.7000000000000003E-5</v>
      </c>
      <c r="E43" s="76">
        <f>filings!O56</f>
        <v>1569.287</v>
      </c>
      <c r="F43" s="76">
        <f>filings!P56</f>
        <v>57.258000000000003</v>
      </c>
      <c r="G43" s="76">
        <f>filings!Q56</f>
        <v>1626.5450000000001</v>
      </c>
      <c r="H43" s="76">
        <f>filings!R56</f>
        <v>2116.5520000000001</v>
      </c>
      <c r="I43" s="76">
        <f>filings!S56</f>
        <v>594.12</v>
      </c>
      <c r="J43" s="76">
        <f t="shared" si="5"/>
        <v>490.00700000000006</v>
      </c>
      <c r="K43" s="75">
        <f t="shared" si="2"/>
        <v>-3182.4240000000009</v>
      </c>
      <c r="L43" s="18">
        <f t="shared" si="6"/>
        <v>1.1978222976796833</v>
      </c>
      <c r="M43" s="75">
        <f t="shared" si="7"/>
        <v>50.62216129032258</v>
      </c>
      <c r="N43" s="75">
        <f t="shared" si="8"/>
        <v>52.469193548387096</v>
      </c>
      <c r="O43" s="33">
        <f t="shared" si="3"/>
        <v>4.2261829144759959E-5</v>
      </c>
      <c r="P43" s="33">
        <f t="shared" si="4"/>
        <v>4.3803821025894942E-5</v>
      </c>
      <c r="Q43" s="73">
        <f t="shared" si="9"/>
        <v>3.0000000000000001E-6</v>
      </c>
    </row>
    <row r="44" spans="1:17" x14ac:dyDescent="0.25">
      <c r="A44" s="68">
        <f t="shared" si="0"/>
        <v>44</v>
      </c>
      <c r="B44" s="1">
        <v>35462</v>
      </c>
      <c r="C44" s="9">
        <f t="shared" si="10"/>
        <v>28</v>
      </c>
      <c r="D44" s="74">
        <f>filings!M57</f>
        <v>5.7000000000000003E-5</v>
      </c>
      <c r="E44" s="76">
        <f>filings!O57</f>
        <v>1304.432</v>
      </c>
      <c r="F44" s="76">
        <f>filings!P57</f>
        <v>71.844999999999999</v>
      </c>
      <c r="G44" s="76">
        <f>filings!Q57</f>
        <v>1376.277</v>
      </c>
      <c r="H44" s="76">
        <f>filings!R57</f>
        <v>1951.7059999999999</v>
      </c>
      <c r="I44" s="76">
        <f>filings!S57</f>
        <v>547.84699999999998</v>
      </c>
      <c r="J44" s="76">
        <f t="shared" si="5"/>
        <v>575.42899999999986</v>
      </c>
      <c r="K44" s="75">
        <f t="shared" si="2"/>
        <v>-2606.9950000000008</v>
      </c>
      <c r="L44" s="18">
        <f t="shared" si="6"/>
        <v>1.2228734335839597</v>
      </c>
      <c r="M44" s="75">
        <f t="shared" si="7"/>
        <v>46.586857142857141</v>
      </c>
      <c r="N44" s="75">
        <f t="shared" si="8"/>
        <v>49.152750000000005</v>
      </c>
      <c r="O44" s="33">
        <f t="shared" si="3"/>
        <v>3.8096221459584594E-5</v>
      </c>
      <c r="P44" s="33">
        <f t="shared" si="4"/>
        <v>4.0194470376173472E-5</v>
      </c>
      <c r="Q44" s="73" t="str">
        <f t="shared" si="9"/>
        <v/>
      </c>
    </row>
    <row r="45" spans="1:17" x14ac:dyDescent="0.25">
      <c r="A45">
        <f t="shared" si="0"/>
        <v>45</v>
      </c>
      <c r="B45" s="1">
        <v>35490</v>
      </c>
      <c r="C45" s="9">
        <f t="shared" si="10"/>
        <v>31</v>
      </c>
      <c r="D45" s="74">
        <f>filings!M58</f>
        <v>5.1999999999999997E-5</v>
      </c>
      <c r="E45" s="76">
        <f>filings!O58</f>
        <v>1510.538</v>
      </c>
      <c r="F45" s="76">
        <f>filings!P58</f>
        <v>-1.7849999999999999</v>
      </c>
      <c r="G45" s="76">
        <f>filings!Q58</f>
        <v>1508.7529999999999</v>
      </c>
      <c r="H45" s="76">
        <f>filings!R58</f>
        <v>2070.0569999999998</v>
      </c>
      <c r="I45" s="76">
        <f>filings!S58</f>
        <v>636.94100000000003</v>
      </c>
      <c r="J45" s="76">
        <f t="shared" si="5"/>
        <v>561.30399999999986</v>
      </c>
      <c r="K45" s="75">
        <f t="shared" si="2"/>
        <v>-2045.6910000000007</v>
      </c>
      <c r="L45" s="18">
        <f t="shared" si="6"/>
        <v>1.2841544665012405</v>
      </c>
      <c r="M45" s="75">
        <f t="shared" si="7"/>
        <v>48.727032258064519</v>
      </c>
      <c r="N45" s="75">
        <f t="shared" si="8"/>
        <v>48.669451612903224</v>
      </c>
      <c r="O45" s="33">
        <f t="shared" si="3"/>
        <v>3.7944837267766059E-5</v>
      </c>
      <c r="P45" s="33">
        <f t="shared" si="4"/>
        <v>3.7899997922762516E-5</v>
      </c>
      <c r="Q45" s="73" t="str">
        <f t="shared" si="9"/>
        <v/>
      </c>
    </row>
    <row r="46" spans="1:17" x14ac:dyDescent="0.25">
      <c r="A46" s="68">
        <f t="shared" si="0"/>
        <v>46</v>
      </c>
      <c r="B46" s="1">
        <v>35521</v>
      </c>
      <c r="C46" s="9">
        <f t="shared" si="10"/>
        <v>30</v>
      </c>
      <c r="D46" s="74">
        <f>filings!M59</f>
        <v>4.8999999999999998E-5</v>
      </c>
      <c r="E46" s="76">
        <f>filings!O59</f>
        <v>1460.451</v>
      </c>
      <c r="F46" s="76">
        <f>filings!P59</f>
        <v>123.15</v>
      </c>
      <c r="G46" s="76">
        <f>filings!Q59</f>
        <v>1583.6010000000001</v>
      </c>
      <c r="H46" s="76">
        <f>filings!R59</f>
        <v>1842.7439999999999</v>
      </c>
      <c r="I46" s="76">
        <f>filings!S59</f>
        <v>601.71199999999999</v>
      </c>
      <c r="J46" s="76">
        <f t="shared" si="5"/>
        <v>259.1429999999998</v>
      </c>
      <c r="K46" s="75">
        <f t="shared" si="2"/>
        <v>-1786.5480000000009</v>
      </c>
      <c r="L46" s="18">
        <f t="shared" si="6"/>
        <v>1.2535673469387754</v>
      </c>
      <c r="M46" s="75">
        <f t="shared" si="7"/>
        <v>48.681699999999999</v>
      </c>
      <c r="N46" s="75">
        <f t="shared" si="8"/>
        <v>52.786700000000003</v>
      </c>
      <c r="O46" s="33">
        <f t="shared" si="3"/>
        <v>3.8834531003763957E-5</v>
      </c>
      <c r="P46" s="33">
        <f t="shared" si="4"/>
        <v>4.2109185540693669E-5</v>
      </c>
      <c r="Q46" s="73">
        <f t="shared" si="9"/>
        <v>9.9999999999999995E-7</v>
      </c>
    </row>
    <row r="47" spans="1:17" x14ac:dyDescent="0.25">
      <c r="A47">
        <f t="shared" si="0"/>
        <v>47</v>
      </c>
      <c r="B47" s="1">
        <v>35551</v>
      </c>
      <c r="C47" s="9">
        <f t="shared" si="10"/>
        <v>31</v>
      </c>
      <c r="D47" s="74">
        <f>filings!M60</f>
        <v>4.8999999999999998E-5</v>
      </c>
      <c r="E47" s="76">
        <f>filings!O60</f>
        <v>1454.894</v>
      </c>
      <c r="F47" s="76">
        <f>filings!P60</f>
        <v>-63.433</v>
      </c>
      <c r="G47" s="76">
        <f>filings!Q60</f>
        <v>1391.461</v>
      </c>
      <c r="H47" s="76">
        <f>filings!R60</f>
        <v>1840.7429999999999</v>
      </c>
      <c r="I47" s="76">
        <f>filings!S60</f>
        <v>601.05899999999997</v>
      </c>
      <c r="J47" s="76">
        <f t="shared" si="5"/>
        <v>449.28199999999993</v>
      </c>
      <c r="K47" s="75">
        <f t="shared" si="2"/>
        <v>-1337.266000000001</v>
      </c>
      <c r="L47" s="18">
        <f t="shared" si="6"/>
        <v>1.2118123765635285</v>
      </c>
      <c r="M47" s="75">
        <f t="shared" si="7"/>
        <v>46.932064516129032</v>
      </c>
      <c r="N47" s="75">
        <f t="shared" si="8"/>
        <v>44.885838709677422</v>
      </c>
      <c r="O47" s="33">
        <f t="shared" si="3"/>
        <v>3.8728820916336501E-5</v>
      </c>
      <c r="P47" s="33">
        <f t="shared" si="4"/>
        <v>3.7040254397273278E-5</v>
      </c>
      <c r="Q47" s="73" t="str">
        <f t="shared" si="9"/>
        <v/>
      </c>
    </row>
    <row r="48" spans="1:17" x14ac:dyDescent="0.25">
      <c r="A48" s="68">
        <f t="shared" si="0"/>
        <v>48</v>
      </c>
      <c r="B48" s="1">
        <v>35582</v>
      </c>
      <c r="C48" s="9">
        <f t="shared" si="10"/>
        <v>30</v>
      </c>
      <c r="D48" s="74">
        <f>filings!M61</f>
        <v>4.3999999999999999E-5</v>
      </c>
      <c r="E48" s="76">
        <f>filings!O61</f>
        <v>1625.9839999999999</v>
      </c>
      <c r="F48" s="76">
        <f>filings!P61</f>
        <v>-162.03200000000001</v>
      </c>
      <c r="G48" s="76">
        <f>filings!Q61</f>
        <v>1463.952</v>
      </c>
      <c r="H48" s="76">
        <f>filings!R61</f>
        <v>1672.0889999999999</v>
      </c>
      <c r="I48" s="76">
        <f>filings!S61</f>
        <v>608.03200000000004</v>
      </c>
      <c r="J48" s="76">
        <f t="shared" si="5"/>
        <v>208.13699999999994</v>
      </c>
      <c r="K48" s="75">
        <f t="shared" si="2"/>
        <v>-1129.129000000001</v>
      </c>
      <c r="L48" s="18">
        <f t="shared" si="6"/>
        <v>1.2667340909090907</v>
      </c>
      <c r="M48" s="75">
        <f t="shared" si="7"/>
        <v>54.199466666666666</v>
      </c>
      <c r="N48" s="75">
        <f t="shared" si="8"/>
        <v>48.798400000000001</v>
      </c>
      <c r="O48" s="33">
        <f t="shared" si="3"/>
        <v>4.2786775105870567E-5</v>
      </c>
      <c r="P48" s="33">
        <f t="shared" si="4"/>
        <v>3.8523002065081474E-5</v>
      </c>
      <c r="Q48" s="73" t="str">
        <f t="shared" si="9"/>
        <v/>
      </c>
    </row>
    <row r="49" spans="1:17" x14ac:dyDescent="0.25">
      <c r="A49">
        <f t="shared" si="0"/>
        <v>49</v>
      </c>
      <c r="B49" s="1">
        <v>35612</v>
      </c>
      <c r="C49" s="9">
        <f t="shared" si="10"/>
        <v>31</v>
      </c>
      <c r="D49" s="74">
        <f>filings!M62</f>
        <v>4.3999999999999999E-5</v>
      </c>
      <c r="E49" s="76">
        <f>filings!O62</f>
        <v>1829.954</v>
      </c>
      <c r="F49" s="76">
        <f>filings!P62</f>
        <v>17.978000000000002</v>
      </c>
      <c r="G49" s="76">
        <f>filings!Q62</f>
        <v>1847.932</v>
      </c>
      <c r="H49" s="76">
        <f>filings!R62</f>
        <v>1735.4960000000001</v>
      </c>
      <c r="I49" s="76">
        <f>filings!S62</f>
        <v>276.11700000000002</v>
      </c>
      <c r="J49" s="76">
        <f t="shared" si="5"/>
        <v>-112.43599999999992</v>
      </c>
      <c r="K49" s="75">
        <f t="shared" si="2"/>
        <v>-1241.565000000001</v>
      </c>
      <c r="L49" s="18">
        <f t="shared" si="6"/>
        <v>1.2723577712609973</v>
      </c>
      <c r="M49" s="75">
        <f t="shared" si="7"/>
        <v>59.030774193548389</v>
      </c>
      <c r="N49" s="75">
        <f t="shared" si="8"/>
        <v>59.610709677419358</v>
      </c>
      <c r="O49" s="33">
        <f t="shared" si="3"/>
        <v>4.6394792036397659E-5</v>
      </c>
      <c r="P49" s="33">
        <f t="shared" si="4"/>
        <v>4.6850587958716118E-5</v>
      </c>
      <c r="Q49" s="73">
        <f t="shared" si="9"/>
        <v>6.0000000000000002E-6</v>
      </c>
    </row>
    <row r="50" spans="1:17" x14ac:dyDescent="0.25">
      <c r="A50" s="68">
        <f t="shared" si="0"/>
        <v>50</v>
      </c>
      <c r="B50" s="1">
        <v>35643</v>
      </c>
      <c r="C50" s="9">
        <f t="shared" si="10"/>
        <v>31</v>
      </c>
      <c r="D50" s="74">
        <f>filings!M63</f>
        <v>4.6E-5</v>
      </c>
      <c r="E50" s="76">
        <f>filings!O63</f>
        <v>1894.2159999999999</v>
      </c>
      <c r="F50" s="76">
        <f>filings!P63</f>
        <v>123.66500000000001</v>
      </c>
      <c r="G50" s="76">
        <f>filings!Q63</f>
        <v>2017.8809999999999</v>
      </c>
      <c r="H50" s="76">
        <f>filings!R63</f>
        <v>1882.5360000000001</v>
      </c>
      <c r="I50" s="76">
        <f>filings!S63</f>
        <v>286.52199999999999</v>
      </c>
      <c r="J50" s="76">
        <f t="shared" si="5"/>
        <v>-135.3449999999998</v>
      </c>
      <c r="K50" s="75">
        <f t="shared" si="2"/>
        <v>-1376.9100000000008</v>
      </c>
      <c r="L50" s="18">
        <f t="shared" si="6"/>
        <v>1.3201514726507715</v>
      </c>
      <c r="M50" s="75">
        <f t="shared" si="7"/>
        <v>61.103741935483868</v>
      </c>
      <c r="N50" s="75">
        <f t="shared" si="8"/>
        <v>65.09293548387096</v>
      </c>
      <c r="O50" s="33">
        <f t="shared" si="3"/>
        <v>4.6285402244631702E-5</v>
      </c>
      <c r="P50" s="33">
        <f t="shared" si="4"/>
        <v>4.9307171815040982E-5</v>
      </c>
      <c r="Q50" s="73">
        <f t="shared" si="9"/>
        <v>7.9999999999999996E-6</v>
      </c>
    </row>
    <row r="51" spans="1:17" x14ac:dyDescent="0.25">
      <c r="A51">
        <f t="shared" si="0"/>
        <v>51</v>
      </c>
      <c r="B51" s="1">
        <v>35674</v>
      </c>
      <c r="C51" s="9">
        <f t="shared" si="10"/>
        <v>30</v>
      </c>
      <c r="D51" s="74">
        <f>filings!M64</f>
        <v>4.6E-5</v>
      </c>
      <c r="E51" s="76">
        <f>filings!O64</f>
        <v>1991.826</v>
      </c>
      <c r="F51" s="76">
        <f>filings!P64</f>
        <v>-85.350999999999999</v>
      </c>
      <c r="G51" s="76">
        <f>filings!Q64</f>
        <v>1906.4749999999999</v>
      </c>
      <c r="H51" s="76">
        <f>filings!R64</f>
        <v>1804.075</v>
      </c>
      <c r="I51" s="76">
        <f>filings!S64</f>
        <v>274.58</v>
      </c>
      <c r="J51" s="76">
        <f t="shared" si="5"/>
        <v>-102.39999999999986</v>
      </c>
      <c r="K51" s="75">
        <f t="shared" si="2"/>
        <v>-1479.3100000000006</v>
      </c>
      <c r="L51" s="18">
        <f t="shared" si="6"/>
        <v>1.3073007246376811</v>
      </c>
      <c r="M51" s="75">
        <f t="shared" si="7"/>
        <v>66.394199999999998</v>
      </c>
      <c r="N51" s="75">
        <f t="shared" si="8"/>
        <v>63.549166666666665</v>
      </c>
      <c r="O51" s="33">
        <f t="shared" si="3"/>
        <v>5.0787243324141177E-5</v>
      </c>
      <c r="P51" s="33">
        <f t="shared" si="4"/>
        <v>4.8610977924975404E-5</v>
      </c>
      <c r="Q51" s="73">
        <f t="shared" si="9"/>
        <v>7.9999999999999996E-6</v>
      </c>
    </row>
    <row r="52" spans="1:17" x14ac:dyDescent="0.25">
      <c r="A52" s="68">
        <f t="shared" si="0"/>
        <v>52</v>
      </c>
      <c r="B52" s="1">
        <v>35704</v>
      </c>
      <c r="C52" s="9">
        <f t="shared" si="10"/>
        <v>31</v>
      </c>
      <c r="D52" s="74">
        <f>filings!M65</f>
        <v>4.8999999999999998E-5</v>
      </c>
      <c r="E52" s="76">
        <f>filings!O65</f>
        <v>2073.2939999999999</v>
      </c>
      <c r="F52" s="76">
        <f>filings!P65</f>
        <v>134.18700000000001</v>
      </c>
      <c r="G52" s="76">
        <f>filings!Q65</f>
        <v>2207.4809999999998</v>
      </c>
      <c r="H52" s="76">
        <f>filings!R65</f>
        <v>2003.6569999999999</v>
      </c>
      <c r="I52" s="76">
        <f>filings!S65</f>
        <v>286.32299999999998</v>
      </c>
      <c r="J52" s="76">
        <f t="shared" si="5"/>
        <v>-203.82399999999984</v>
      </c>
      <c r="K52" s="75">
        <f t="shared" si="2"/>
        <v>-1683.1340000000005</v>
      </c>
      <c r="L52" s="18">
        <f t="shared" si="6"/>
        <v>1.3190631994733377</v>
      </c>
      <c r="M52" s="75">
        <f t="shared" si="7"/>
        <v>66.880451612903215</v>
      </c>
      <c r="N52" s="75">
        <f t="shared" si="8"/>
        <v>71.209064516129018</v>
      </c>
      <c r="O52" s="33">
        <f t="shared" si="3"/>
        <v>5.0702992578070988E-5</v>
      </c>
      <c r="P52" s="33">
        <f t="shared" si="4"/>
        <v>5.3984573706976779E-5</v>
      </c>
      <c r="Q52" s="73">
        <f t="shared" si="9"/>
        <v>1.2999999999999999E-5</v>
      </c>
    </row>
    <row r="53" spans="1:17" x14ac:dyDescent="0.25">
      <c r="A53">
        <f t="shared" si="0"/>
        <v>53</v>
      </c>
      <c r="B53" s="1">
        <v>35735</v>
      </c>
      <c r="C53" s="9">
        <f t="shared" si="10"/>
        <v>30</v>
      </c>
      <c r="D53" s="74">
        <f>filings!M66</f>
        <v>4.8000000000000001E-5</v>
      </c>
      <c r="E53" s="76">
        <f>filings!O66</f>
        <v>2057.59</v>
      </c>
      <c r="F53" s="76">
        <f>filings!P66</f>
        <v>-59.137</v>
      </c>
      <c r="G53" s="76">
        <f>filings!Q66</f>
        <v>1998.4530000000002</v>
      </c>
      <c r="H53" s="76">
        <f>filings!R66</f>
        <v>1994.1849999999999</v>
      </c>
      <c r="I53" s="76">
        <f>filings!S66</f>
        <v>283.46199999999999</v>
      </c>
      <c r="J53" s="76">
        <f t="shared" si="5"/>
        <v>-4.2680000000002565</v>
      </c>
      <c r="K53" s="75">
        <f t="shared" si="2"/>
        <v>-1687.4020000000007</v>
      </c>
      <c r="L53" s="18">
        <f t="shared" si="6"/>
        <v>1.3848506944444443</v>
      </c>
      <c r="M53" s="75">
        <f t="shared" si="7"/>
        <v>68.586333333333343</v>
      </c>
      <c r="N53" s="75">
        <f t="shared" si="8"/>
        <v>66.615100000000012</v>
      </c>
      <c r="O53" s="33">
        <f t="shared" si="3"/>
        <v>4.9526157302356612E-5</v>
      </c>
      <c r="P53" s="33">
        <f t="shared" si="4"/>
        <v>4.8102730689479681E-5</v>
      </c>
      <c r="Q53" s="73">
        <f t="shared" si="9"/>
        <v>6.9999999999999999E-6</v>
      </c>
    </row>
    <row r="54" spans="1:17" x14ac:dyDescent="0.25">
      <c r="A54" s="68">
        <f t="shared" si="0"/>
        <v>54</v>
      </c>
      <c r="B54" s="1">
        <v>35765</v>
      </c>
      <c r="C54" s="9">
        <f t="shared" si="10"/>
        <v>31</v>
      </c>
      <c r="D54" s="74">
        <f>filings!M67</f>
        <v>4.8000000000000001E-5</v>
      </c>
      <c r="E54" s="76">
        <f>filings!O67</f>
        <v>1929.14</v>
      </c>
      <c r="F54" s="76">
        <f>filings!P67</f>
        <v>84.739000000000004</v>
      </c>
      <c r="G54" s="76">
        <f>filings!Q67</f>
        <v>2013.8790000000001</v>
      </c>
      <c r="H54" s="76">
        <f>filings!R67</f>
        <v>1993.232</v>
      </c>
      <c r="I54" s="76">
        <f>filings!S67</f>
        <v>281.86500000000001</v>
      </c>
      <c r="J54" s="76">
        <f t="shared" si="5"/>
        <v>-20.647000000000162</v>
      </c>
      <c r="K54" s="75">
        <f t="shared" si="2"/>
        <v>-1708.0490000000009</v>
      </c>
      <c r="L54" s="18">
        <f t="shared" si="6"/>
        <v>1.3395376344086021</v>
      </c>
      <c r="M54" s="75">
        <f t="shared" si="7"/>
        <v>62.230322580645165</v>
      </c>
      <c r="N54" s="75">
        <f t="shared" si="8"/>
        <v>64.963838709677418</v>
      </c>
      <c r="O54" s="33">
        <f t="shared" si="3"/>
        <v>4.6456569029596158E-5</v>
      </c>
      <c r="P54" s="33">
        <f t="shared" si="4"/>
        <v>4.8497210560536854E-5</v>
      </c>
      <c r="Q54" s="73">
        <f t="shared" si="9"/>
        <v>6.9999999999999999E-6</v>
      </c>
    </row>
    <row r="55" spans="1:17" x14ac:dyDescent="0.25">
      <c r="A55">
        <f t="shared" si="0"/>
        <v>55</v>
      </c>
      <c r="B55" s="1">
        <v>35796</v>
      </c>
      <c r="C55" s="9">
        <f t="shared" si="10"/>
        <v>31</v>
      </c>
      <c r="D55" s="74">
        <f>filings!M68</f>
        <v>4.8000000000000001E-5</v>
      </c>
      <c r="E55" s="76">
        <f>filings!O68</f>
        <v>1780.4829999999999</v>
      </c>
      <c r="F55" s="76">
        <f>filings!P68</f>
        <v>-99.911000000000001</v>
      </c>
      <c r="G55" s="76">
        <f>filings!Q68</f>
        <v>1680.5719999999999</v>
      </c>
      <c r="H55" s="76">
        <f>filings!R68</f>
        <v>1919.2170000000001</v>
      </c>
      <c r="I55" s="76">
        <f>filings!S68</f>
        <v>279.88581249999999</v>
      </c>
      <c r="J55" s="76">
        <f t="shared" si="5"/>
        <v>238.64500000000021</v>
      </c>
      <c r="K55" s="75">
        <f t="shared" si="2"/>
        <v>-1469.4040000000007</v>
      </c>
      <c r="L55" s="18">
        <f t="shared" si="6"/>
        <v>1.2897963709677418</v>
      </c>
      <c r="M55" s="75">
        <f t="shared" si="7"/>
        <v>57.434935483870966</v>
      </c>
      <c r="N55" s="75">
        <f t="shared" si="8"/>
        <v>54.211999999999996</v>
      </c>
      <c r="O55" s="33">
        <f t="shared" si="3"/>
        <v>4.453023498645542E-5</v>
      </c>
      <c r="P55" s="33">
        <f t="shared" si="4"/>
        <v>4.2031440947011202E-5</v>
      </c>
      <c r="Q55" s="73">
        <f t="shared" si="9"/>
        <v>9.9999999999999995E-7</v>
      </c>
    </row>
    <row r="56" spans="1:17" x14ac:dyDescent="0.25">
      <c r="A56" s="68">
        <f t="shared" si="0"/>
        <v>56</v>
      </c>
      <c r="B56" s="1">
        <v>35827</v>
      </c>
      <c r="C56" s="9">
        <f t="shared" si="10"/>
        <v>28</v>
      </c>
      <c r="D56" s="74">
        <f>filings!M69</f>
        <v>4.8000000000000001E-5</v>
      </c>
      <c r="E56" s="76">
        <f>filings!O69</f>
        <v>1682.54</v>
      </c>
      <c r="F56" s="76">
        <f>filings!P69</f>
        <v>-10.305999999999999</v>
      </c>
      <c r="G56" s="76">
        <f>filings!Q69</f>
        <v>1672.2339999999999</v>
      </c>
      <c r="H56" s="76">
        <f>filings!R69</f>
        <v>1805.7370000000001</v>
      </c>
      <c r="I56" s="76">
        <f>filings!S69</f>
        <v>263.33664583333331</v>
      </c>
      <c r="J56" s="76">
        <f t="shared" si="5"/>
        <v>133.50300000000016</v>
      </c>
      <c r="K56" s="75">
        <f t="shared" si="2"/>
        <v>-1335.9010000000005</v>
      </c>
      <c r="L56" s="18">
        <f t="shared" si="6"/>
        <v>1.3435543154761906</v>
      </c>
      <c r="M56" s="75">
        <f t="shared" si="7"/>
        <v>60.090714285714284</v>
      </c>
      <c r="N56" s="75">
        <f t="shared" si="8"/>
        <v>59.722642857142851</v>
      </c>
      <c r="O56" s="33">
        <f t="shared" si="3"/>
        <v>4.4725184232255302E-5</v>
      </c>
      <c r="P56" s="33">
        <f t="shared" si="4"/>
        <v>4.4451230716322463E-5</v>
      </c>
      <c r="Q56" s="73">
        <f t="shared" si="9"/>
        <v>3.0000000000000001E-6</v>
      </c>
    </row>
    <row r="57" spans="1:17" x14ac:dyDescent="0.25">
      <c r="A57">
        <f t="shared" si="0"/>
        <v>57</v>
      </c>
      <c r="B57" s="1">
        <v>35855</v>
      </c>
      <c r="C57" s="9">
        <f t="shared" si="10"/>
        <v>31</v>
      </c>
      <c r="D57" s="74">
        <f>filings!M70</f>
        <v>4.5000000000000003E-5</v>
      </c>
      <c r="E57" s="76">
        <f>filings!O70</f>
        <v>1986.875</v>
      </c>
      <c r="F57" s="76">
        <f>filings!P70</f>
        <v>-44.44</v>
      </c>
      <c r="G57" s="76">
        <f>filings!Q70</f>
        <v>1942.4349999999999</v>
      </c>
      <c r="H57" s="76">
        <f>filings!R70</f>
        <v>1924.8620000000001</v>
      </c>
      <c r="I57" s="76">
        <f>filings!S70</f>
        <v>299.42297777777776</v>
      </c>
      <c r="J57" s="76">
        <f t="shared" si="5"/>
        <v>-17.572999999999865</v>
      </c>
      <c r="K57" s="75">
        <f t="shared" si="2"/>
        <v>-1353.4740000000004</v>
      </c>
      <c r="L57" s="18">
        <f t="shared" si="6"/>
        <v>1.3798293906810037</v>
      </c>
      <c r="M57" s="75">
        <f t="shared" si="7"/>
        <v>64.092741935483872</v>
      </c>
      <c r="N57" s="75">
        <f t="shared" si="8"/>
        <v>62.659193548387094</v>
      </c>
      <c r="O57" s="33">
        <f t="shared" si="3"/>
        <v>4.6449758476192052E-5</v>
      </c>
      <c r="P57" s="33">
        <f t="shared" si="4"/>
        <v>4.5410826854080959E-5</v>
      </c>
      <c r="Q57" s="73">
        <f t="shared" si="9"/>
        <v>3.9999999999999998E-6</v>
      </c>
    </row>
    <row r="58" spans="1:17" x14ac:dyDescent="0.25">
      <c r="A58" s="68">
        <f t="shared" si="0"/>
        <v>58</v>
      </c>
      <c r="B58" s="1">
        <v>35886</v>
      </c>
      <c r="C58" s="9">
        <f t="shared" si="10"/>
        <v>30</v>
      </c>
      <c r="D58" s="74">
        <f>filings!M71</f>
        <v>4.3000000000000002E-5</v>
      </c>
      <c r="E58" s="76">
        <f>filings!O71</f>
        <v>1942.135</v>
      </c>
      <c r="F58" s="76">
        <f>filings!P71</f>
        <v>16.253</v>
      </c>
      <c r="G58" s="76">
        <f>filings!Q71</f>
        <v>1958.3879999999999</v>
      </c>
      <c r="H58" s="76">
        <f>filings!R71</f>
        <v>1751.758</v>
      </c>
      <c r="I58" s="76">
        <f>filings!S71</f>
        <v>285.16990697674419</v>
      </c>
      <c r="J58" s="76">
        <f t="shared" si="5"/>
        <v>-206.62999999999988</v>
      </c>
      <c r="K58" s="75">
        <f t="shared" si="2"/>
        <v>-1560.1040000000003</v>
      </c>
      <c r="L58" s="18">
        <f t="shared" si="6"/>
        <v>1.3579519379844962</v>
      </c>
      <c r="M58" s="75">
        <f t="shared" si="7"/>
        <v>64.737833333333327</v>
      </c>
      <c r="N58" s="75">
        <f t="shared" si="8"/>
        <v>65.279600000000002</v>
      </c>
      <c r="O58" s="33">
        <f t="shared" si="3"/>
        <v>4.7673140353861653E-5</v>
      </c>
      <c r="P58" s="33">
        <f t="shared" si="4"/>
        <v>4.8072098999976019E-5</v>
      </c>
      <c r="Q58" s="73">
        <f t="shared" si="9"/>
        <v>6.9999999999999999E-6</v>
      </c>
    </row>
    <row r="59" spans="1:17" x14ac:dyDescent="0.25">
      <c r="A59">
        <f t="shared" si="0"/>
        <v>59</v>
      </c>
      <c r="B59" s="1">
        <v>35916</v>
      </c>
      <c r="C59" s="9">
        <f t="shared" si="10"/>
        <v>31</v>
      </c>
      <c r="D59" s="74">
        <f>filings!M72</f>
        <v>4.3999999999999999E-5</v>
      </c>
      <c r="E59" s="76">
        <f>filings!O72</f>
        <v>1786.213</v>
      </c>
      <c r="F59" s="76">
        <f>filings!P72</f>
        <v>209.73400000000001</v>
      </c>
      <c r="G59" s="76">
        <f>filings!Q72</f>
        <v>1995.9469999999999</v>
      </c>
      <c r="H59" s="76">
        <f>filings!R72</f>
        <v>1763.6969999999999</v>
      </c>
      <c r="I59" s="76">
        <f>filings!S72</f>
        <v>280.58815909090907</v>
      </c>
      <c r="J59" s="76">
        <f t="shared" si="5"/>
        <v>-232.25</v>
      </c>
      <c r="K59" s="75">
        <f t="shared" si="2"/>
        <v>-1792.3540000000003</v>
      </c>
      <c r="L59" s="18">
        <f t="shared" si="6"/>
        <v>1.2930329912023462</v>
      </c>
      <c r="M59" s="75">
        <f t="shared" si="7"/>
        <v>57.619774193548388</v>
      </c>
      <c r="N59" s="75">
        <f t="shared" si="8"/>
        <v>64.385387096774195</v>
      </c>
      <c r="O59" s="33">
        <f t="shared" si="3"/>
        <v>4.45617200686966E-5</v>
      </c>
      <c r="P59" s="33">
        <f t="shared" si="4"/>
        <v>4.9794079141711981E-5</v>
      </c>
      <c r="Q59" s="73">
        <f t="shared" si="9"/>
        <v>9.0000000000000002E-6</v>
      </c>
    </row>
    <row r="60" spans="1:17" x14ac:dyDescent="0.25">
      <c r="A60" s="68">
        <f t="shared" si="0"/>
        <v>60</v>
      </c>
      <c r="B60" s="1">
        <v>35947</v>
      </c>
      <c r="C60" s="9">
        <f t="shared" si="10"/>
        <v>30</v>
      </c>
      <c r="D60" s="74">
        <f>filings!M73</f>
        <v>4.3999999999999999E-5</v>
      </c>
      <c r="E60" s="76">
        <f>filings!O73</f>
        <v>1640.374</v>
      </c>
      <c r="F60" s="76">
        <f>filings!P73</f>
        <v>-48.985999999999997</v>
      </c>
      <c r="G60" s="76">
        <f>filings!Q73</f>
        <v>1591.3879999999999</v>
      </c>
      <c r="H60" s="76">
        <f>filings!R73</f>
        <v>1742.585</v>
      </c>
      <c r="I60" s="76">
        <f>filings!S73</f>
        <v>277.22943181818187</v>
      </c>
      <c r="J60" s="76">
        <f t="shared" si="5"/>
        <v>151.19700000000012</v>
      </c>
      <c r="K60" s="75">
        <f t="shared" si="2"/>
        <v>-1641.1570000000002</v>
      </c>
      <c r="L60" s="18">
        <f t="shared" si="6"/>
        <v>1.3201401515151516</v>
      </c>
      <c r="M60" s="75">
        <f t="shared" si="7"/>
        <v>54.679133333333333</v>
      </c>
      <c r="N60" s="75">
        <f t="shared" si="8"/>
        <v>53.046266666666661</v>
      </c>
      <c r="O60" s="33">
        <f t="shared" si="3"/>
        <v>4.1419188160118438E-5</v>
      </c>
      <c r="P60" s="33">
        <f t="shared" si="4"/>
        <v>4.0182299285257238E-5</v>
      </c>
      <c r="Q60" s="73" t="str">
        <f t="shared" si="9"/>
        <v/>
      </c>
    </row>
    <row r="61" spans="1:17" x14ac:dyDescent="0.25">
      <c r="A61">
        <f t="shared" si="0"/>
        <v>61</v>
      </c>
      <c r="B61" s="1">
        <v>35977</v>
      </c>
      <c r="C61" s="9">
        <f t="shared" si="10"/>
        <v>31</v>
      </c>
      <c r="D61" s="74">
        <f>filings!M74</f>
        <v>4.3999999999999999E-5</v>
      </c>
      <c r="E61" s="76">
        <f>filings!O74</f>
        <v>1928.029</v>
      </c>
      <c r="F61" s="76">
        <f>filings!P74</f>
        <v>103.751</v>
      </c>
      <c r="G61" s="76">
        <f>filings!Q74</f>
        <v>2031.78</v>
      </c>
      <c r="H61" s="76">
        <f>filings!R74</f>
        <v>1798.7570000000001</v>
      </c>
      <c r="I61" s="76">
        <f>filings!S74</f>
        <v>286.18200000000002</v>
      </c>
      <c r="J61" s="76">
        <f t="shared" si="5"/>
        <v>-233.02299999999991</v>
      </c>
      <c r="K61" s="75">
        <f t="shared" si="2"/>
        <v>-1874.18</v>
      </c>
      <c r="L61" s="18">
        <f t="shared" si="6"/>
        <v>1.3187368035190619</v>
      </c>
      <c r="M61" s="75">
        <f t="shared" si="7"/>
        <v>62.194483870967744</v>
      </c>
      <c r="N61" s="75">
        <f t="shared" si="8"/>
        <v>65.54129032258065</v>
      </c>
      <c r="O61" s="33">
        <f t="shared" si="3"/>
        <v>4.7162165873433702E-5</v>
      </c>
      <c r="P61" s="33">
        <f t="shared" si="4"/>
        <v>4.9700053981721818E-5</v>
      </c>
      <c r="Q61" s="73">
        <f t="shared" si="9"/>
        <v>9.0000000000000002E-6</v>
      </c>
    </row>
    <row r="62" spans="1:17" x14ac:dyDescent="0.25">
      <c r="A62" s="68">
        <f t="shared" si="0"/>
        <v>62</v>
      </c>
      <c r="B62" s="1">
        <v>36008</v>
      </c>
      <c r="C62" s="9">
        <f t="shared" si="10"/>
        <v>31</v>
      </c>
      <c r="D62" s="74">
        <f>filings!M75</f>
        <v>4.8000000000000001E-5</v>
      </c>
      <c r="E62" s="76">
        <f>filings!O75</f>
        <v>1939.057</v>
      </c>
      <c r="F62" s="76">
        <f>filings!P75</f>
        <v>-10.227</v>
      </c>
      <c r="G62" s="76">
        <f>filings!Q75</f>
        <v>1928.83</v>
      </c>
      <c r="H62" s="76">
        <f>filings!R75</f>
        <v>1947.4449999999999</v>
      </c>
      <c r="I62" s="76">
        <f>filings!S75</f>
        <v>283.93700000000001</v>
      </c>
      <c r="J62" s="76">
        <f t="shared" si="5"/>
        <v>18.615000000000009</v>
      </c>
      <c r="K62" s="75">
        <f t="shared" si="2"/>
        <v>-1855.5650000000001</v>
      </c>
      <c r="L62" s="18">
        <f t="shared" si="6"/>
        <v>1.3087668010752687</v>
      </c>
      <c r="M62" s="75">
        <f t="shared" si="7"/>
        <v>62.550225806451614</v>
      </c>
      <c r="N62" s="75">
        <f t="shared" si="8"/>
        <v>62.22032258064516</v>
      </c>
      <c r="O62" s="33">
        <f t="shared" si="3"/>
        <v>4.7793255265232151E-5</v>
      </c>
      <c r="P62" s="33">
        <f t="shared" si="4"/>
        <v>4.7541183448056304E-5</v>
      </c>
      <c r="Q62" s="73">
        <f t="shared" si="9"/>
        <v>6.9999999999999999E-6</v>
      </c>
    </row>
    <row r="63" spans="1:17" x14ac:dyDescent="0.25">
      <c r="A63">
        <f t="shared" si="0"/>
        <v>63</v>
      </c>
      <c r="B63" s="1">
        <v>36039</v>
      </c>
      <c r="C63" s="9">
        <f t="shared" si="10"/>
        <v>30</v>
      </c>
      <c r="D63" s="74">
        <f>filings!M76</f>
        <v>4.8000000000000001E-5</v>
      </c>
      <c r="E63" s="76">
        <f>filings!O76</f>
        <v>1939.432</v>
      </c>
      <c r="F63" s="76">
        <f>filings!P76</f>
        <v>221.00299999999999</v>
      </c>
      <c r="G63" s="76">
        <f>filings!Q76</f>
        <v>2160.4349999999999</v>
      </c>
      <c r="H63" s="76">
        <f>filings!R76</f>
        <v>1927.23</v>
      </c>
      <c r="I63" s="76">
        <f>filings!S76</f>
        <v>280.99</v>
      </c>
      <c r="J63" s="76">
        <f t="shared" si="5"/>
        <v>-233.20499999999993</v>
      </c>
      <c r="K63" s="75">
        <f t="shared" si="2"/>
        <v>-2088.77</v>
      </c>
      <c r="L63" s="18">
        <f t="shared" si="6"/>
        <v>1.3383541666666667</v>
      </c>
      <c r="M63" s="75">
        <f t="shared" si="7"/>
        <v>64.647733333333335</v>
      </c>
      <c r="N63" s="75">
        <f t="shared" si="8"/>
        <v>72.014499999999998</v>
      </c>
      <c r="O63" s="33">
        <f t="shared" si="3"/>
        <v>4.8303905605454459E-5</v>
      </c>
      <c r="P63" s="33">
        <f t="shared" si="4"/>
        <v>5.3808253296181559E-5</v>
      </c>
      <c r="Q63" s="73">
        <f t="shared" si="9"/>
        <v>1.2999999999999999E-5</v>
      </c>
    </row>
    <row r="64" spans="1:17" x14ac:dyDescent="0.25">
      <c r="A64" s="68">
        <f t="shared" si="0"/>
        <v>64</v>
      </c>
      <c r="B64" s="1">
        <v>36069</v>
      </c>
      <c r="C64" s="9">
        <f t="shared" si="10"/>
        <v>31</v>
      </c>
      <c r="D64" s="74">
        <f>filings!M77</f>
        <v>4.8000000000000001E-5</v>
      </c>
      <c r="E64" s="76">
        <f>filings!O77</f>
        <v>1855.204</v>
      </c>
      <c r="F64" s="76">
        <f>filings!P77</f>
        <v>-353.25900000000001</v>
      </c>
      <c r="G64" s="76">
        <f>filings!Q77</f>
        <v>1501.9449999999999</v>
      </c>
      <c r="H64" s="76">
        <f>filings!R77</f>
        <v>1920.366</v>
      </c>
      <c r="I64" s="76">
        <f>filings!S77</f>
        <v>279.98899999999998</v>
      </c>
      <c r="J64" s="76">
        <f t="shared" si="5"/>
        <v>418.42100000000005</v>
      </c>
      <c r="K64" s="75">
        <f t="shared" si="2"/>
        <v>-1670.3489999999999</v>
      </c>
      <c r="L64" s="18">
        <f t="shared" si="6"/>
        <v>1.2905685483870968</v>
      </c>
      <c r="M64" s="75">
        <f t="shared" si="7"/>
        <v>59.845290322580645</v>
      </c>
      <c r="N64" s="75">
        <f t="shared" si="8"/>
        <v>48.449838709677415</v>
      </c>
      <c r="O64" s="33">
        <f t="shared" si="3"/>
        <v>4.6371260478471292E-5</v>
      </c>
      <c r="P64" s="33">
        <f t="shared" si="4"/>
        <v>3.7541468657537154E-5</v>
      </c>
      <c r="Q64" s="73" t="str">
        <f t="shared" si="9"/>
        <v/>
      </c>
    </row>
    <row r="65" spans="1:17" x14ac:dyDescent="0.25">
      <c r="A65">
        <f t="shared" si="0"/>
        <v>65</v>
      </c>
      <c r="B65" s="1">
        <v>36100</v>
      </c>
      <c r="C65" s="9">
        <f t="shared" si="10"/>
        <v>30</v>
      </c>
      <c r="D65" s="74">
        <f>filings!M78</f>
        <v>4.8000000000000001E-5</v>
      </c>
      <c r="E65" s="76">
        <f>filings!O78</f>
        <v>1792.65</v>
      </c>
      <c r="F65" s="76">
        <f>filings!P78</f>
        <v>-73.004000000000005</v>
      </c>
      <c r="G65" s="76">
        <f>filings!Q78</f>
        <v>1719.6460000000002</v>
      </c>
      <c r="H65" s="76">
        <f>filings!R78</f>
        <v>1907.6469999999999</v>
      </c>
      <c r="I65" s="76">
        <f>filings!S78</f>
        <v>278.13499999999999</v>
      </c>
      <c r="J65" s="76">
        <f t="shared" si="5"/>
        <v>188.00099999999975</v>
      </c>
      <c r="K65" s="75">
        <f t="shared" si="2"/>
        <v>-1482.3480000000002</v>
      </c>
      <c r="L65" s="18">
        <f t="shared" si="6"/>
        <v>1.3247548611111111</v>
      </c>
      <c r="M65" s="75">
        <f t="shared" si="7"/>
        <v>59.755000000000003</v>
      </c>
      <c r="N65" s="75">
        <f t="shared" si="8"/>
        <v>57.321533333333342</v>
      </c>
      <c r="O65" s="33">
        <f t="shared" si="3"/>
        <v>4.5106458375160607E-5</v>
      </c>
      <c r="P65" s="33">
        <f t="shared" si="4"/>
        <v>4.3269539909637379E-5</v>
      </c>
      <c r="Q65" s="73">
        <f t="shared" si="9"/>
        <v>1.9999999999999999E-6</v>
      </c>
    </row>
    <row r="66" spans="1:17" x14ac:dyDescent="0.25">
      <c r="A66" s="68">
        <f t="shared" si="0"/>
        <v>66</v>
      </c>
      <c r="B66" s="1">
        <v>36130</v>
      </c>
      <c r="C66" s="9">
        <f t="shared" si="10"/>
        <v>31</v>
      </c>
      <c r="D66" s="74">
        <f>filings!M79</f>
        <v>4.8000000000000001E-5</v>
      </c>
      <c r="E66" s="76">
        <f>filings!O79</f>
        <v>1811.33</v>
      </c>
      <c r="F66" s="76">
        <f>filings!P79</f>
        <v>-68.061000000000007</v>
      </c>
      <c r="G66" s="76">
        <f>filings!Q79</f>
        <v>1743.269</v>
      </c>
      <c r="H66" s="76">
        <f>filings!R79</f>
        <v>1970.1659999999999</v>
      </c>
      <c r="I66" s="76">
        <f>filings!S79</f>
        <v>287.25</v>
      </c>
      <c r="J66" s="76">
        <f t="shared" si="5"/>
        <v>226.89699999999993</v>
      </c>
      <c r="K66" s="75">
        <f t="shared" si="2"/>
        <v>-1255.4510000000002</v>
      </c>
      <c r="L66" s="18">
        <f t="shared" si="6"/>
        <v>1.3240362903225806</v>
      </c>
      <c r="M66" s="75">
        <f t="shared" si="7"/>
        <v>58.43</v>
      </c>
      <c r="N66" s="75">
        <f t="shared" si="8"/>
        <v>56.234483870967743</v>
      </c>
      <c r="O66" s="33">
        <f t="shared" si="3"/>
        <v>4.4130210347757495E-5</v>
      </c>
      <c r="P66" s="33">
        <f t="shared" si="4"/>
        <v>4.2472010987906605E-5</v>
      </c>
      <c r="Q66" s="73">
        <f t="shared" si="9"/>
        <v>9.9999999999999995E-7</v>
      </c>
    </row>
    <row r="67" spans="1:17" x14ac:dyDescent="0.25">
      <c r="A67">
        <f t="shared" si="0"/>
        <v>67</v>
      </c>
      <c r="B67" s="1">
        <v>36161</v>
      </c>
      <c r="C67" s="9">
        <f t="shared" si="10"/>
        <v>31</v>
      </c>
      <c r="D67" s="74">
        <f>filings!M80</f>
        <v>4.8000000000000001E-5</v>
      </c>
      <c r="E67" s="76">
        <f>filings!O80</f>
        <v>1485.5820000000001</v>
      </c>
      <c r="F67" s="76">
        <f>filings!P80</f>
        <v>-157.21299999999999</v>
      </c>
      <c r="G67" s="76">
        <f>filings!Q80</f>
        <v>1328.3690000000001</v>
      </c>
      <c r="H67" s="76">
        <f>filings!R80</f>
        <v>1876.355</v>
      </c>
      <c r="I67" s="76">
        <f>filings!S80</f>
        <v>351.81700000000001</v>
      </c>
      <c r="J67" s="76">
        <f t="shared" si="5"/>
        <v>547.98599999999988</v>
      </c>
      <c r="K67" s="75">
        <f t="shared" si="2"/>
        <v>-707.46500000000037</v>
      </c>
      <c r="L67" s="18">
        <f t="shared" si="6"/>
        <v>1.2609912634408602</v>
      </c>
      <c r="M67" s="75">
        <f t="shared" si="7"/>
        <v>47.922000000000004</v>
      </c>
      <c r="N67" s="75">
        <f t="shared" si="8"/>
        <v>42.850612903225809</v>
      </c>
      <c r="O67" s="33">
        <f t="shared" si="3"/>
        <v>3.8003435384029145E-5</v>
      </c>
      <c r="P67" s="33">
        <f t="shared" si="4"/>
        <v>3.3981688966107166E-5</v>
      </c>
      <c r="Q67" s="73" t="str">
        <f t="shared" si="9"/>
        <v/>
      </c>
    </row>
    <row r="68" spans="1:17" x14ac:dyDescent="0.25">
      <c r="A68" s="68">
        <f t="shared" ref="A68:A100" si="11">A67+1</f>
        <v>68</v>
      </c>
      <c r="B68" s="1">
        <v>36192</v>
      </c>
      <c r="C68" s="9">
        <f t="shared" si="10"/>
        <v>28</v>
      </c>
      <c r="D68" s="74">
        <f>filings!M81</f>
        <v>4.1999999999999998E-5</v>
      </c>
      <c r="E68" s="76">
        <f>filings!O81</f>
        <v>1271.3389999999999</v>
      </c>
      <c r="F68" s="76">
        <f>filings!P81</f>
        <v>-340.49799999999999</v>
      </c>
      <c r="G68" s="76">
        <f>filings!Q81</f>
        <v>930.84099999999989</v>
      </c>
      <c r="H68" s="76">
        <f>filings!R81</f>
        <v>1467.979</v>
      </c>
      <c r="I68" s="76">
        <f>filings!S81</f>
        <v>314.58800000000002</v>
      </c>
      <c r="J68" s="76">
        <f t="shared" si="5"/>
        <v>537.13800000000015</v>
      </c>
      <c r="K68" s="75">
        <f t="shared" si="2"/>
        <v>-170.32700000000023</v>
      </c>
      <c r="L68" s="18">
        <f t="shared" si="6"/>
        <v>1.248281462585034</v>
      </c>
      <c r="M68" s="75">
        <f t="shared" si="7"/>
        <v>45.404964285714286</v>
      </c>
      <c r="N68" s="75">
        <f t="shared" si="8"/>
        <v>33.244321428571425</v>
      </c>
      <c r="O68" s="33">
        <f t="shared" si="3"/>
        <v>3.6373979464283888E-5</v>
      </c>
      <c r="P68" s="33">
        <f t="shared" si="4"/>
        <v>2.6632071712197516E-5</v>
      </c>
      <c r="Q68" s="73" t="str">
        <f t="shared" si="9"/>
        <v/>
      </c>
    </row>
    <row r="69" spans="1:17" x14ac:dyDescent="0.25">
      <c r="A69">
        <f t="shared" si="11"/>
        <v>69</v>
      </c>
      <c r="B69" s="1">
        <v>36220</v>
      </c>
      <c r="C69" s="9">
        <f t="shared" ref="C69:C100" si="12">DAY(EOMONTH(B69,0))</f>
        <v>31</v>
      </c>
      <c r="D69" s="74">
        <f>filings!M82</f>
        <v>3.6000000000000001E-5</v>
      </c>
      <c r="E69" s="76">
        <f>filings!O82</f>
        <v>1185.6849999999999</v>
      </c>
      <c r="F69" s="76">
        <f>filings!P82</f>
        <v>-305.10700000000003</v>
      </c>
      <c r="G69" s="76">
        <f>filings!Q82</f>
        <v>880.57799999999997</v>
      </c>
      <c r="H69" s="76">
        <f>filings!R82</f>
        <v>1297.914</v>
      </c>
      <c r="I69" s="76">
        <f>filings!S82</f>
        <v>324.47899999999998</v>
      </c>
      <c r="J69" s="76">
        <f t="shared" si="5"/>
        <v>417.33600000000001</v>
      </c>
      <c r="K69" s="75">
        <f t="shared" ref="K69:K80" si="13">K70-J70</f>
        <v>247.00899999999979</v>
      </c>
      <c r="L69" s="18">
        <f t="shared" si="6"/>
        <v>1.163005376344086</v>
      </c>
      <c r="M69" s="75">
        <f t="shared" si="7"/>
        <v>38.247903225806446</v>
      </c>
      <c r="N69" s="75">
        <f t="shared" si="8"/>
        <v>28.405741935483871</v>
      </c>
      <c r="O69" s="33">
        <f t="shared" si="3"/>
        <v>3.288712503293746E-5</v>
      </c>
      <c r="P69" s="33">
        <f t="shared" si="4"/>
        <v>2.442442873718906E-5</v>
      </c>
      <c r="Q69" s="73" t="str">
        <f t="shared" si="9"/>
        <v/>
      </c>
    </row>
    <row r="70" spans="1:17" x14ac:dyDescent="0.25">
      <c r="A70" s="68">
        <f t="shared" si="11"/>
        <v>70</v>
      </c>
      <c r="B70" s="1">
        <v>36251</v>
      </c>
      <c r="C70" s="9">
        <f t="shared" si="12"/>
        <v>30</v>
      </c>
      <c r="D70" s="74">
        <f>filings!M83</f>
        <v>3.4999999999999997E-5</v>
      </c>
      <c r="E70" s="76">
        <f>filings!O83</f>
        <v>1517.31</v>
      </c>
      <c r="F70" s="76">
        <f>filings!P83</f>
        <v>63.145000000000003</v>
      </c>
      <c r="G70" s="76">
        <f>filings!Q83</f>
        <v>1580.4549999999999</v>
      </c>
      <c r="H70" s="76">
        <f>filings!R83</f>
        <v>1318.643</v>
      </c>
      <c r="I70" s="76">
        <f>filings!S83</f>
        <v>339.02300000000002</v>
      </c>
      <c r="J70" s="76">
        <f t="shared" si="5"/>
        <v>-261.8119999999999</v>
      </c>
      <c r="K70" s="75">
        <f t="shared" si="13"/>
        <v>-14.803000000000111</v>
      </c>
      <c r="L70" s="18">
        <f t="shared" si="6"/>
        <v>1.2558504761904765</v>
      </c>
      <c r="M70" s="75">
        <f t="shared" si="7"/>
        <v>50.576999999999998</v>
      </c>
      <c r="N70" s="75">
        <f t="shared" si="8"/>
        <v>52.68183333333333</v>
      </c>
      <c r="O70" s="33">
        <f t="shared" ref="O70:O82" si="14">M70/$L70/1000000</f>
        <v>4.0273106519353598E-5</v>
      </c>
      <c r="P70" s="33">
        <f t="shared" ref="P70:P82" si="15">N70/$L70/1000000</f>
        <v>4.19491287634333E-5</v>
      </c>
      <c r="Q70" s="73">
        <f t="shared" si="9"/>
        <v>9.9999999999999995E-7</v>
      </c>
    </row>
    <row r="71" spans="1:17" x14ac:dyDescent="0.25">
      <c r="A71">
        <f t="shared" si="11"/>
        <v>71</v>
      </c>
      <c r="B71" s="1">
        <v>36281</v>
      </c>
      <c r="C71" s="9">
        <f t="shared" si="12"/>
        <v>31</v>
      </c>
      <c r="D71" s="74">
        <f>filings!M84</f>
        <v>3.4999999999999997E-5</v>
      </c>
      <c r="E71" s="76">
        <f>filings!O84</f>
        <v>1417.01</v>
      </c>
      <c r="F71" s="76">
        <f>filings!P84</f>
        <v>-73.617000000000004</v>
      </c>
      <c r="G71" s="76">
        <f>filings!Q84</f>
        <v>1343.393</v>
      </c>
      <c r="H71" s="76">
        <f>filings!R84</f>
        <v>1283.991</v>
      </c>
      <c r="I71" s="76">
        <f>filings!S84</f>
        <v>330.11399999999998</v>
      </c>
      <c r="J71" s="76">
        <f t="shared" ref="J71:J88" si="16">(H71-G71)</f>
        <v>-59.402000000000044</v>
      </c>
      <c r="K71" s="75">
        <f t="shared" si="13"/>
        <v>-74.205000000000155</v>
      </c>
      <c r="L71" s="18">
        <f t="shared" ref="L71:L82" si="17">H71/D71/C71/1000000</f>
        <v>1.1834018433179725</v>
      </c>
      <c r="M71" s="75">
        <f t="shared" ref="M71:M82" si="18">E71/$C71</f>
        <v>45.71</v>
      </c>
      <c r="N71" s="75">
        <f t="shared" ref="N71:N82" si="19">G71/$C71</f>
        <v>43.335258064516132</v>
      </c>
      <c r="O71" s="33">
        <f t="shared" si="14"/>
        <v>3.8625932736288648E-5</v>
      </c>
      <c r="P71" s="33">
        <f t="shared" si="15"/>
        <v>3.6619224745344788E-5</v>
      </c>
      <c r="Q71" s="73" t="str">
        <f t="shared" si="9"/>
        <v/>
      </c>
    </row>
    <row r="72" spans="1:17" x14ac:dyDescent="0.25">
      <c r="A72" s="68">
        <f t="shared" si="11"/>
        <v>72</v>
      </c>
      <c r="B72" s="1">
        <v>36312</v>
      </c>
      <c r="C72" s="9">
        <f t="shared" si="12"/>
        <v>30</v>
      </c>
      <c r="D72" s="74">
        <f>filings!M85</f>
        <v>3.8000000000000002E-5</v>
      </c>
      <c r="E72" s="76">
        <f>filings!O85</f>
        <v>1059.4059999999999</v>
      </c>
      <c r="F72" s="76">
        <f>filings!P85</f>
        <v>-87.924999999999997</v>
      </c>
      <c r="G72" s="76">
        <f>filings!Q85</f>
        <v>971.48099999999999</v>
      </c>
      <c r="H72" s="76">
        <f>filings!R85</f>
        <v>1284.6010000000001</v>
      </c>
      <c r="I72" s="76">
        <f>filings!S85</f>
        <v>304.19400000000002</v>
      </c>
      <c r="J72" s="76">
        <f t="shared" si="16"/>
        <v>313.12000000000012</v>
      </c>
      <c r="K72" s="75">
        <f t="shared" si="13"/>
        <v>238.91499999999996</v>
      </c>
      <c r="L72" s="18">
        <f t="shared" si="17"/>
        <v>1.1268429824561406</v>
      </c>
      <c r="M72" s="75">
        <f t="shared" si="18"/>
        <v>35.313533333333332</v>
      </c>
      <c r="N72" s="75">
        <f t="shared" si="19"/>
        <v>32.3827</v>
      </c>
      <c r="O72" s="33">
        <f t="shared" si="14"/>
        <v>3.1338468520575639E-5</v>
      </c>
      <c r="P72" s="33">
        <f t="shared" si="15"/>
        <v>2.873754418687203E-5</v>
      </c>
      <c r="Q72" s="73" t="str">
        <f t="shared" ref="Q72:Q88" si="20">IF(P72&gt;0.00415%,ROUND(P72-0.0041%,6),"")</f>
        <v/>
      </c>
    </row>
    <row r="73" spans="1:17" x14ac:dyDescent="0.25">
      <c r="A73">
        <f t="shared" si="11"/>
        <v>73</v>
      </c>
      <c r="B73" s="1">
        <v>36342</v>
      </c>
      <c r="C73" s="9">
        <f t="shared" si="12"/>
        <v>31</v>
      </c>
      <c r="D73" s="74">
        <f>filings!M86</f>
        <v>3.0000000000000001E-5</v>
      </c>
      <c r="E73" s="76">
        <f>filings!O86</f>
        <v>1325.9590000000001</v>
      </c>
      <c r="F73" s="76">
        <f>filings!P86</f>
        <v>-99.840999999999994</v>
      </c>
      <c r="G73" s="76">
        <f>filings!Q86</f>
        <v>1226.1180000000002</v>
      </c>
      <c r="H73" s="76">
        <f>filings!R86</f>
        <v>1096.7180000000001</v>
      </c>
      <c r="I73" s="76">
        <f>filings!S86</f>
        <v>-36.521000000000001</v>
      </c>
      <c r="J73" s="76">
        <f t="shared" si="16"/>
        <v>-129.40000000000009</v>
      </c>
      <c r="K73" s="75">
        <f t="shared" si="13"/>
        <v>109.51499999999987</v>
      </c>
      <c r="L73" s="18">
        <f t="shared" si="17"/>
        <v>1.1792666666666667</v>
      </c>
      <c r="M73" s="75">
        <f t="shared" si="18"/>
        <v>42.772870967741937</v>
      </c>
      <c r="N73" s="75">
        <f t="shared" si="19"/>
        <v>39.552193548387102</v>
      </c>
      <c r="O73" s="33">
        <f t="shared" si="14"/>
        <v>3.6270736871283226E-5</v>
      </c>
      <c r="P73" s="33">
        <f t="shared" si="15"/>
        <v>3.3539651943343689E-5</v>
      </c>
      <c r="Q73" s="73" t="str">
        <f t="shared" si="20"/>
        <v/>
      </c>
    </row>
    <row r="74" spans="1:17" x14ac:dyDescent="0.25">
      <c r="A74" s="68">
        <f t="shared" si="11"/>
        <v>74</v>
      </c>
      <c r="B74" s="1">
        <v>36373</v>
      </c>
      <c r="C74" s="9">
        <f t="shared" si="12"/>
        <v>31</v>
      </c>
      <c r="D74" s="74">
        <f>filings!M87</f>
        <v>3.0000000000000001E-5</v>
      </c>
      <c r="E74" s="76">
        <f>filings!O87</f>
        <v>1506.546</v>
      </c>
      <c r="F74" s="76">
        <f>filings!P87</f>
        <v>-70.756</v>
      </c>
      <c r="G74" s="76">
        <f>filings!Q87</f>
        <v>1435.79</v>
      </c>
      <c r="H74" s="76">
        <f>filings!R87</f>
        <v>1134.819</v>
      </c>
      <c r="I74" s="76">
        <f>filings!S87</f>
        <v>-37.789000000000001</v>
      </c>
      <c r="J74" s="76">
        <f t="shared" si="16"/>
        <v>-300.971</v>
      </c>
      <c r="K74" s="75">
        <f t="shared" si="13"/>
        <v>-191.45600000000013</v>
      </c>
      <c r="L74" s="18">
        <f t="shared" si="17"/>
        <v>1.2202354838709677</v>
      </c>
      <c r="M74" s="75">
        <f t="shared" si="18"/>
        <v>48.598258064516131</v>
      </c>
      <c r="N74" s="75">
        <f t="shared" si="19"/>
        <v>46.3158064516129</v>
      </c>
      <c r="O74" s="33">
        <f t="shared" si="14"/>
        <v>3.9826950377108602E-5</v>
      </c>
      <c r="P74" s="33">
        <f t="shared" si="15"/>
        <v>3.7956449442598332E-5</v>
      </c>
      <c r="Q74" s="73" t="str">
        <f t="shared" si="20"/>
        <v/>
      </c>
    </row>
    <row r="75" spans="1:17" x14ac:dyDescent="0.25">
      <c r="A75">
        <f t="shared" si="11"/>
        <v>75</v>
      </c>
      <c r="B75" s="1">
        <v>36404</v>
      </c>
      <c r="C75" s="9">
        <f t="shared" si="12"/>
        <v>30</v>
      </c>
      <c r="D75" s="74">
        <f>filings!M88</f>
        <v>4.0000000000000003E-5</v>
      </c>
      <c r="E75" s="76">
        <f>filings!O88</f>
        <v>1808.9639999999999</v>
      </c>
      <c r="F75" s="76">
        <f>filings!P88</f>
        <v>81.646000000000001</v>
      </c>
      <c r="G75" s="76">
        <f>filings!Q88</f>
        <v>1890.61</v>
      </c>
      <c r="H75" s="76">
        <f>filings!R88</f>
        <v>1544.0039999999999</v>
      </c>
      <c r="I75" s="76">
        <f>filings!S88</f>
        <v>-38.6</v>
      </c>
      <c r="J75" s="76">
        <f t="shared" si="16"/>
        <v>-346.60599999999999</v>
      </c>
      <c r="K75" s="75">
        <f t="shared" si="13"/>
        <v>-538.06200000000013</v>
      </c>
      <c r="L75" s="18">
        <f t="shared" si="17"/>
        <v>1.2866699999999998</v>
      </c>
      <c r="M75" s="75">
        <f t="shared" si="18"/>
        <v>60.2988</v>
      </c>
      <c r="N75" s="75">
        <f t="shared" si="19"/>
        <v>63.020333333333333</v>
      </c>
      <c r="O75" s="33">
        <f t="shared" si="14"/>
        <v>4.6864230921681561E-5</v>
      </c>
      <c r="P75" s="33">
        <f t="shared" si="15"/>
        <v>4.897940678910159E-5</v>
      </c>
      <c r="Q75" s="73">
        <f t="shared" si="20"/>
        <v>7.9999999999999996E-6</v>
      </c>
    </row>
    <row r="76" spans="1:17" x14ac:dyDescent="0.25">
      <c r="A76" s="68">
        <f t="shared" si="11"/>
        <v>76</v>
      </c>
      <c r="B76" s="1">
        <v>36434</v>
      </c>
      <c r="C76" s="9">
        <f t="shared" si="12"/>
        <v>31</v>
      </c>
      <c r="D76" s="74">
        <f>filings!M89</f>
        <v>4.0000000000000003E-5</v>
      </c>
      <c r="E76" s="76">
        <f>filings!O89</f>
        <v>1919.318</v>
      </c>
      <c r="F76" s="76">
        <f>filings!P89</f>
        <v>224.08500000000001</v>
      </c>
      <c r="G76" s="76">
        <f>filings!Q89</f>
        <v>2143.4029999999998</v>
      </c>
      <c r="H76" s="76">
        <f>filings!R89</f>
        <v>1594.875</v>
      </c>
      <c r="I76" s="76">
        <f>filings!S89</f>
        <v>-39.872</v>
      </c>
      <c r="J76" s="76">
        <f t="shared" si="16"/>
        <v>-548.52799999999979</v>
      </c>
      <c r="K76" s="75">
        <f t="shared" si="13"/>
        <v>-1086.5899999999999</v>
      </c>
      <c r="L76" s="18">
        <f t="shared" si="17"/>
        <v>1.2861895161290322</v>
      </c>
      <c r="M76" s="75">
        <f t="shared" si="18"/>
        <v>61.913483870967738</v>
      </c>
      <c r="N76" s="75">
        <f t="shared" si="19"/>
        <v>69.142032258064503</v>
      </c>
      <c r="O76" s="33">
        <f t="shared" si="14"/>
        <v>4.8137139274237789E-5</v>
      </c>
      <c r="P76" s="33">
        <f t="shared" si="15"/>
        <v>5.3757266243435997E-5</v>
      </c>
      <c r="Q76" s="73">
        <f t="shared" si="20"/>
        <v>1.2999999999999999E-5</v>
      </c>
    </row>
    <row r="77" spans="1:17" x14ac:dyDescent="0.25">
      <c r="A77">
        <f t="shared" si="11"/>
        <v>77</v>
      </c>
      <c r="B77" s="1">
        <v>36465</v>
      </c>
      <c r="C77" s="9">
        <f t="shared" si="12"/>
        <v>30</v>
      </c>
      <c r="D77" s="74">
        <f>filings!M90</f>
        <v>4.0000000000000003E-5</v>
      </c>
      <c r="E77" s="76">
        <f>filings!O90</f>
        <v>1659.502</v>
      </c>
      <c r="F77" s="76">
        <f>filings!P90</f>
        <v>0.93400000000000005</v>
      </c>
      <c r="G77" s="76">
        <f>filings!Q90</f>
        <v>1660.4359999999999</v>
      </c>
      <c r="H77" s="76">
        <f>filings!R90</f>
        <v>1542.4690000000001</v>
      </c>
      <c r="I77" s="76">
        <f>filings!S90</f>
        <v>-38.561999999999998</v>
      </c>
      <c r="J77" s="76">
        <f t="shared" si="16"/>
        <v>-117.96699999999987</v>
      </c>
      <c r="K77" s="75">
        <f t="shared" si="13"/>
        <v>-1204.5569999999998</v>
      </c>
      <c r="L77" s="18">
        <f t="shared" si="17"/>
        <v>1.2853908333333333</v>
      </c>
      <c r="M77" s="75">
        <f t="shared" si="18"/>
        <v>55.316733333333332</v>
      </c>
      <c r="N77" s="75">
        <f t="shared" si="19"/>
        <v>55.347866666666661</v>
      </c>
      <c r="O77" s="33">
        <f t="shared" si="14"/>
        <v>4.3034952404229844E-5</v>
      </c>
      <c r="P77" s="33">
        <f t="shared" si="15"/>
        <v>4.3059173312397198E-5</v>
      </c>
      <c r="Q77" s="73">
        <f t="shared" si="20"/>
        <v>1.9999999999999999E-6</v>
      </c>
    </row>
    <row r="78" spans="1:17" x14ac:dyDescent="0.25">
      <c r="A78" s="68">
        <f t="shared" si="11"/>
        <v>78</v>
      </c>
      <c r="B78" s="1">
        <v>36495</v>
      </c>
      <c r="C78" s="9">
        <f t="shared" si="12"/>
        <v>31</v>
      </c>
      <c r="D78" s="74">
        <f>filings!M91</f>
        <v>4.0000000000000003E-5</v>
      </c>
      <c r="E78" s="76">
        <f>filings!O91</f>
        <v>1933.8720000000001</v>
      </c>
      <c r="F78" s="76">
        <f>filings!P91</f>
        <v>-94.382999999999996</v>
      </c>
      <c r="G78" s="76">
        <f>filings!Q91</f>
        <v>1839.489</v>
      </c>
      <c r="H78" s="76">
        <f>filings!R91</f>
        <v>1647.16</v>
      </c>
      <c r="I78" s="76">
        <f>filings!S91</f>
        <v>-41.179000000000002</v>
      </c>
      <c r="J78" s="76">
        <f t="shared" si="16"/>
        <v>-192.32899999999995</v>
      </c>
      <c r="K78" s="75">
        <f t="shared" si="13"/>
        <v>-1396.8859999999997</v>
      </c>
      <c r="L78" s="18">
        <f t="shared" si="17"/>
        <v>1.3283548387096773</v>
      </c>
      <c r="M78" s="75">
        <f t="shared" si="18"/>
        <v>62.382967741935488</v>
      </c>
      <c r="N78" s="75">
        <f t="shared" si="19"/>
        <v>59.338354838709677</v>
      </c>
      <c r="O78" s="33">
        <f t="shared" si="14"/>
        <v>4.6962578013064917E-5</v>
      </c>
      <c r="P78" s="33">
        <f t="shared" si="15"/>
        <v>4.4670560237014018E-5</v>
      </c>
      <c r="Q78" s="73">
        <f t="shared" si="20"/>
        <v>3.9999999999999998E-6</v>
      </c>
    </row>
    <row r="79" spans="1:17" x14ac:dyDescent="0.25">
      <c r="A79">
        <f t="shared" si="11"/>
        <v>79</v>
      </c>
      <c r="B79" s="1">
        <v>36526</v>
      </c>
      <c r="C79" s="9">
        <f t="shared" si="12"/>
        <v>31</v>
      </c>
      <c r="D79" s="74">
        <f>filings!M92</f>
        <v>4.6E-5</v>
      </c>
      <c r="E79" s="76">
        <f>filings!O92</f>
        <v>1783.0650000000001</v>
      </c>
      <c r="F79" s="76">
        <f>filings!P92</f>
        <v>-178.28100000000001</v>
      </c>
      <c r="G79" s="76">
        <f>filings!Q92</f>
        <v>1604.7840000000001</v>
      </c>
      <c r="H79" s="76">
        <f>filings!R92</f>
        <v>1872.09</v>
      </c>
      <c r="I79" s="76">
        <f>filings!S92</f>
        <v>203.49600000000001</v>
      </c>
      <c r="J79" s="76">
        <f t="shared" si="16"/>
        <v>267.30599999999981</v>
      </c>
      <c r="K79" s="75">
        <f t="shared" si="13"/>
        <v>-1129.58</v>
      </c>
      <c r="L79" s="18">
        <f t="shared" si="17"/>
        <v>1.3128260869565218</v>
      </c>
      <c r="M79" s="75">
        <f t="shared" si="18"/>
        <v>57.518225806451618</v>
      </c>
      <c r="N79" s="75">
        <f t="shared" si="19"/>
        <v>51.767225806451613</v>
      </c>
      <c r="O79" s="33">
        <f t="shared" si="14"/>
        <v>4.3812525038860316E-5</v>
      </c>
      <c r="P79" s="33">
        <f t="shared" si="15"/>
        <v>3.9431899107414709E-5</v>
      </c>
      <c r="Q79" s="73" t="str">
        <f t="shared" si="20"/>
        <v/>
      </c>
    </row>
    <row r="80" spans="1:17" x14ac:dyDescent="0.25">
      <c r="A80" s="68">
        <f t="shared" si="11"/>
        <v>80</v>
      </c>
      <c r="B80" s="1">
        <v>36557</v>
      </c>
      <c r="C80" s="9">
        <f t="shared" si="12"/>
        <v>29</v>
      </c>
      <c r="D80" s="74">
        <f>filings!M93</f>
        <v>4.6E-5</v>
      </c>
      <c r="E80" s="76">
        <f>filings!O93</f>
        <v>1483.8340000000001</v>
      </c>
      <c r="F80" s="76">
        <f>filings!P93</f>
        <v>-101.38800000000001</v>
      </c>
      <c r="G80" s="76">
        <f>filings!Q93</f>
        <v>1382.4460000000001</v>
      </c>
      <c r="H80" s="76">
        <f>filings!R93</f>
        <v>1765.4449999999999</v>
      </c>
      <c r="I80" s="76">
        <f>filings!S93</f>
        <v>191.904</v>
      </c>
      <c r="J80" s="76">
        <f t="shared" si="16"/>
        <v>382.9989999999998</v>
      </c>
      <c r="K80" s="75">
        <f t="shared" si="13"/>
        <v>-746.58100000000013</v>
      </c>
      <c r="L80" s="18">
        <f t="shared" si="17"/>
        <v>1.3234220389805096</v>
      </c>
      <c r="M80" s="75">
        <f t="shared" si="18"/>
        <v>51.166689655172419</v>
      </c>
      <c r="N80" s="75">
        <f t="shared" si="19"/>
        <v>47.670551724137937</v>
      </c>
      <c r="O80" s="33">
        <f t="shared" si="14"/>
        <v>3.8662413159288462E-5</v>
      </c>
      <c r="P80" s="33">
        <f t="shared" si="15"/>
        <v>3.6020672408372963E-5</v>
      </c>
      <c r="Q80" s="73" t="str">
        <f t="shared" si="20"/>
        <v/>
      </c>
    </row>
    <row r="81" spans="1:17" x14ac:dyDescent="0.25">
      <c r="A81">
        <f t="shared" si="11"/>
        <v>81</v>
      </c>
      <c r="B81" s="1">
        <v>36586</v>
      </c>
      <c r="C81" s="9">
        <f t="shared" si="12"/>
        <v>31</v>
      </c>
      <c r="D81" s="74">
        <f>filings!M94</f>
        <v>3.4E-5</v>
      </c>
      <c r="E81" s="76">
        <f>filings!O94</f>
        <v>1468.9649999999999</v>
      </c>
      <c r="F81" s="76">
        <f>filings!P94</f>
        <v>132.41300000000001</v>
      </c>
      <c r="G81" s="76">
        <f>filings!Q94</f>
        <v>1601.3779999999999</v>
      </c>
      <c r="H81" s="76">
        <f>filings!R94</f>
        <v>1348.7080000000001</v>
      </c>
      <c r="I81" s="76">
        <f>filings!S94</f>
        <v>198.39500000000001</v>
      </c>
      <c r="J81" s="76">
        <f t="shared" si="16"/>
        <v>-252.66999999999985</v>
      </c>
      <c r="K81" s="75">
        <f>K82-J82</f>
        <v>-999.25099999999998</v>
      </c>
      <c r="L81" s="18">
        <f t="shared" si="17"/>
        <v>1.2796091081593928</v>
      </c>
      <c r="M81" s="75">
        <f t="shared" si="18"/>
        <v>47.385967741935481</v>
      </c>
      <c r="N81" s="75">
        <f t="shared" si="19"/>
        <v>51.657354838709672</v>
      </c>
      <c r="O81" s="33">
        <f t="shared" si="14"/>
        <v>3.7031596164625694E-5</v>
      </c>
      <c r="P81" s="33">
        <f t="shared" si="15"/>
        <v>4.0369636718993284E-5</v>
      </c>
      <c r="Q81" s="73" t="str">
        <f t="shared" si="20"/>
        <v/>
      </c>
    </row>
    <row r="82" spans="1:17" x14ac:dyDescent="0.25">
      <c r="A82" s="68">
        <f t="shared" si="11"/>
        <v>82</v>
      </c>
      <c r="B82" s="1">
        <v>36617</v>
      </c>
      <c r="C82" s="9">
        <f t="shared" si="12"/>
        <v>30</v>
      </c>
      <c r="D82" s="74">
        <f>filings!M95</f>
        <v>3.1999999999999999E-5</v>
      </c>
      <c r="E82" s="76">
        <f>filings!O95</f>
        <v>1235.547</v>
      </c>
      <c r="F82" s="76">
        <f>filings!P95</f>
        <v>13.686</v>
      </c>
      <c r="G82" s="76">
        <f>filings!Q95</f>
        <v>1249.2329999999999</v>
      </c>
      <c r="H82" s="76">
        <f>filings!R95</f>
        <v>1133.626</v>
      </c>
      <c r="I82" s="76">
        <f>filings!S95</f>
        <v>177.18600000000001</v>
      </c>
      <c r="J82" s="76">
        <f t="shared" si="16"/>
        <v>-115.60699999999997</v>
      </c>
      <c r="K82" s="75">
        <f t="shared" ref="K82:K87" si="21">K83-J83</f>
        <v>-1114.8579999999999</v>
      </c>
      <c r="L82" s="18">
        <f t="shared" si="17"/>
        <v>1.1808604166666667</v>
      </c>
      <c r="M82" s="75">
        <f t="shared" si="18"/>
        <v>41.184899999999999</v>
      </c>
      <c r="N82" s="75">
        <f t="shared" si="19"/>
        <v>41.641100000000002</v>
      </c>
      <c r="O82" s="33">
        <f t="shared" si="14"/>
        <v>3.4877026461990109E-5</v>
      </c>
      <c r="P82" s="33">
        <f t="shared" si="15"/>
        <v>3.5263354933637722E-5</v>
      </c>
      <c r="Q82" s="73" t="str">
        <f t="shared" si="20"/>
        <v/>
      </c>
    </row>
    <row r="83" spans="1:17" x14ac:dyDescent="0.25">
      <c r="A83">
        <f t="shared" si="11"/>
        <v>83</v>
      </c>
      <c r="B83" s="1">
        <v>36647</v>
      </c>
      <c r="C83" s="9">
        <f t="shared" si="12"/>
        <v>31</v>
      </c>
      <c r="D83" s="74">
        <f>filings!M96</f>
        <v>3.1999999999999999E-5</v>
      </c>
      <c r="E83" s="76">
        <f>filings!O96</f>
        <v>1539.1220000000001</v>
      </c>
      <c r="F83" s="76">
        <f>filings!P96</f>
        <v>-2.9430000000000001</v>
      </c>
      <c r="G83" s="76">
        <f>filings!Q96</f>
        <v>1536.1790000000001</v>
      </c>
      <c r="H83" s="76">
        <f>filings!R96</f>
        <v>1241.2470000000001</v>
      </c>
      <c r="I83" s="76">
        <f>filings!S96</f>
        <v>194.00700000000001</v>
      </c>
      <c r="J83" s="76">
        <f t="shared" si="16"/>
        <v>-294.93200000000002</v>
      </c>
      <c r="K83" s="75">
        <f t="shared" si="21"/>
        <v>-1409.79</v>
      </c>
      <c r="L83" s="18">
        <f t="shared" ref="L83:L88" si="22">H83/D83/C83/1000000</f>
        <v>1.251257056451613</v>
      </c>
      <c r="M83" s="75">
        <f t="shared" ref="M83:M88" si="23">E83/$C83</f>
        <v>49.649096774193552</v>
      </c>
      <c r="N83" s="75">
        <f t="shared" ref="N83:N88" si="24">G83/$C83</f>
        <v>49.554161290322583</v>
      </c>
      <c r="O83" s="33">
        <f t="shared" ref="O83:O88" si="25">M83/$L83/1000000</f>
        <v>3.9679374048839588E-5</v>
      </c>
      <c r="P83" s="33">
        <f t="shared" ref="P83:P88" si="26">N83/$L83/1000000</f>
        <v>3.9603501962139687E-5</v>
      </c>
      <c r="Q83" s="73" t="str">
        <f t="shared" si="20"/>
        <v/>
      </c>
    </row>
    <row r="84" spans="1:17" x14ac:dyDescent="0.25">
      <c r="A84" s="68">
        <f t="shared" si="11"/>
        <v>84</v>
      </c>
      <c r="B84" s="1">
        <v>36678</v>
      </c>
      <c r="C84" s="9">
        <f t="shared" si="12"/>
        <v>30</v>
      </c>
      <c r="D84" s="74">
        <f>filings!M97</f>
        <v>3.4E-5</v>
      </c>
      <c r="E84" s="76">
        <f>filings!O97</f>
        <v>1685.4649999999999</v>
      </c>
      <c r="F84" s="76">
        <f>filings!P97</f>
        <v>38.533999999999999</v>
      </c>
      <c r="G84" s="76">
        <f>filings!Q97</f>
        <v>1723.999</v>
      </c>
      <c r="H84" s="76">
        <f>filings!R97</f>
        <v>1312.4780000000001</v>
      </c>
      <c r="I84" s="76">
        <f>filings!S97</f>
        <v>193.066</v>
      </c>
      <c r="J84" s="76">
        <f t="shared" si="16"/>
        <v>-411.52099999999996</v>
      </c>
      <c r="K84" s="75">
        <f t="shared" si="21"/>
        <v>-1821.3109999999999</v>
      </c>
      <c r="L84" s="18">
        <f t="shared" si="22"/>
        <v>1.2867431372549019</v>
      </c>
      <c r="M84" s="75">
        <f t="shared" si="23"/>
        <v>56.182166666666667</v>
      </c>
      <c r="N84" s="75">
        <f t="shared" si="24"/>
        <v>57.466633333333334</v>
      </c>
      <c r="O84" s="33">
        <f t="shared" si="25"/>
        <v>4.3662301387147067E-5</v>
      </c>
      <c r="P84" s="33">
        <f t="shared" si="26"/>
        <v>4.4660532214635219E-5</v>
      </c>
      <c r="Q84" s="73">
        <f t="shared" si="20"/>
        <v>3.9999999999999998E-6</v>
      </c>
    </row>
    <row r="85" spans="1:17" x14ac:dyDescent="0.25">
      <c r="A85">
        <f t="shared" si="11"/>
        <v>85</v>
      </c>
      <c r="B85" s="1">
        <v>36708</v>
      </c>
      <c r="C85" s="9">
        <f t="shared" si="12"/>
        <v>31</v>
      </c>
      <c r="D85" s="74">
        <f>filings!M98</f>
        <v>4.3000000000000002E-5</v>
      </c>
      <c r="E85" s="76">
        <f>filings!O98</f>
        <v>1935.2950000000001</v>
      </c>
      <c r="F85" s="76">
        <f>filings!P98</f>
        <v>143.06800000000001</v>
      </c>
      <c r="G85" s="76">
        <f>filings!Q98</f>
        <v>2078.3630000000003</v>
      </c>
      <c r="H85" s="76">
        <f>filings!R98</f>
        <v>1750.2940000000001</v>
      </c>
      <c r="I85" s="76">
        <f>filings!S98</f>
        <v>244.166</v>
      </c>
      <c r="J85" s="76">
        <f t="shared" si="16"/>
        <v>-328.06900000000019</v>
      </c>
      <c r="K85" s="75">
        <f t="shared" si="21"/>
        <v>-2149.38</v>
      </c>
      <c r="L85" s="18">
        <f t="shared" si="22"/>
        <v>1.3130487621905478</v>
      </c>
      <c r="M85" s="75">
        <f t="shared" si="23"/>
        <v>62.428870967741936</v>
      </c>
      <c r="N85" s="75">
        <f t="shared" si="24"/>
        <v>67.043967741935489</v>
      </c>
      <c r="O85" s="33">
        <f t="shared" si="25"/>
        <v>4.7544975301292233E-5</v>
      </c>
      <c r="P85" s="33">
        <f t="shared" si="26"/>
        <v>5.1059769958646943E-5</v>
      </c>
      <c r="Q85" s="73">
        <f t="shared" si="20"/>
        <v>1.0000000000000001E-5</v>
      </c>
    </row>
    <row r="86" spans="1:17" x14ac:dyDescent="0.25">
      <c r="A86" s="68">
        <f t="shared" si="11"/>
        <v>86</v>
      </c>
      <c r="B86" s="1">
        <v>36739</v>
      </c>
      <c r="C86" s="9">
        <f t="shared" si="12"/>
        <v>31</v>
      </c>
      <c r="D86" s="74">
        <f>filings!M99</f>
        <v>4.6999999999999997E-5</v>
      </c>
      <c r="E86" s="76">
        <f>filings!O99</f>
        <v>1772.6379999999999</v>
      </c>
      <c r="F86" s="76">
        <f>filings!P99</f>
        <v>219.155</v>
      </c>
      <c r="G86" s="76">
        <f>filings!Q99</f>
        <v>1991.7929999999999</v>
      </c>
      <c r="H86" s="76">
        <f>filings!R99</f>
        <v>1808.9590000000001</v>
      </c>
      <c r="I86" s="76">
        <f>filings!S99</f>
        <v>231.00399999999999</v>
      </c>
      <c r="J86" s="76">
        <f t="shared" si="16"/>
        <v>-182.83399999999983</v>
      </c>
      <c r="K86" s="75">
        <f t="shared" si="21"/>
        <v>-2332.2139999999999</v>
      </c>
      <c r="L86" s="18">
        <f t="shared" si="22"/>
        <v>1.2415641729581333</v>
      </c>
      <c r="M86" s="75">
        <f t="shared" si="23"/>
        <v>57.181870967741936</v>
      </c>
      <c r="N86" s="75">
        <f t="shared" si="24"/>
        <v>64.251387096774195</v>
      </c>
      <c r="O86" s="33">
        <f t="shared" si="25"/>
        <v>4.6056315261982164E-5</v>
      </c>
      <c r="P86" s="33">
        <f t="shared" si="26"/>
        <v>5.1750355314852347E-5</v>
      </c>
      <c r="Q86" s="73">
        <f t="shared" si="20"/>
        <v>1.1E-5</v>
      </c>
    </row>
    <row r="87" spans="1:17" x14ac:dyDescent="0.25">
      <c r="A87">
        <f t="shared" si="11"/>
        <v>87</v>
      </c>
      <c r="B87" s="1">
        <v>36770</v>
      </c>
      <c r="C87" s="9">
        <f t="shared" si="12"/>
        <v>30</v>
      </c>
      <c r="D87" s="74">
        <f>filings!M100</f>
        <v>4.6999999999999997E-5</v>
      </c>
      <c r="E87" s="76">
        <f>filings!O100</f>
        <v>1710.653</v>
      </c>
      <c r="F87" s="76">
        <f>filings!P100</f>
        <v>126.595</v>
      </c>
      <c r="G87" s="76">
        <f>filings!Q100</f>
        <v>1837.248</v>
      </c>
      <c r="H87" s="76">
        <f>filings!R100</f>
        <v>1795.7180000000001</v>
      </c>
      <c r="I87" s="76">
        <f>filings!S100</f>
        <v>229.31299999999999</v>
      </c>
      <c r="J87" s="76">
        <f t="shared" si="16"/>
        <v>-41.529999999999973</v>
      </c>
      <c r="K87" s="75">
        <f t="shared" si="21"/>
        <v>-2373.7440000000001</v>
      </c>
      <c r="L87" s="18">
        <f t="shared" si="22"/>
        <v>1.273558865248227</v>
      </c>
      <c r="M87" s="75">
        <f t="shared" si="23"/>
        <v>57.021766666666664</v>
      </c>
      <c r="N87" s="75">
        <f t="shared" si="24"/>
        <v>61.241599999999998</v>
      </c>
      <c r="O87" s="33">
        <f t="shared" si="25"/>
        <v>4.4773561884438425E-5</v>
      </c>
      <c r="P87" s="33">
        <f t="shared" si="26"/>
        <v>4.808698024968285E-5</v>
      </c>
      <c r="Q87" s="73">
        <f t="shared" si="20"/>
        <v>6.9999999999999999E-6</v>
      </c>
    </row>
    <row r="88" spans="1:17" ht="13.8" thickBot="1" x14ac:dyDescent="0.3">
      <c r="A88" s="68">
        <f t="shared" si="11"/>
        <v>88</v>
      </c>
      <c r="B88" s="1">
        <v>36800</v>
      </c>
      <c r="C88" s="9">
        <f t="shared" si="12"/>
        <v>31</v>
      </c>
      <c r="D88" s="74">
        <f>filings!M101</f>
        <v>4.6999999999999997E-5</v>
      </c>
      <c r="E88" s="76">
        <f>filings!O101</f>
        <v>1747.1990000000001</v>
      </c>
      <c r="F88" s="76">
        <f>filings!P101</f>
        <v>-73.159000000000006</v>
      </c>
      <c r="G88" s="76">
        <f>filings!Q101</f>
        <v>1674.04</v>
      </c>
      <c r="H88" s="76">
        <f>filings!R101</f>
        <v>1879.2840000000001</v>
      </c>
      <c r="I88" s="76">
        <f>filings!S101</f>
        <v>239.98500000000001</v>
      </c>
      <c r="J88" s="76">
        <f t="shared" si="16"/>
        <v>205.24400000000014</v>
      </c>
      <c r="K88" s="77">
        <f>filings!AB101</f>
        <v>-2168.5</v>
      </c>
      <c r="L88" s="18">
        <f t="shared" si="22"/>
        <v>1.2898311599176391</v>
      </c>
      <c r="M88" s="75">
        <f t="shared" si="23"/>
        <v>56.361258064516129</v>
      </c>
      <c r="N88" s="75">
        <f t="shared" si="24"/>
        <v>54.001290322580644</v>
      </c>
      <c r="O88" s="33">
        <f t="shared" si="25"/>
        <v>4.3696616903033278E-5</v>
      </c>
      <c r="P88" s="33">
        <f t="shared" si="26"/>
        <v>4.1866945070569425E-5</v>
      </c>
      <c r="Q88" s="73">
        <f t="shared" si="20"/>
        <v>9.9999999999999995E-7</v>
      </c>
    </row>
    <row r="89" spans="1:17" ht="13.8" thickTop="1" x14ac:dyDescent="0.25">
      <c r="A89" s="68">
        <f t="shared" si="11"/>
        <v>89</v>
      </c>
      <c r="B89" s="1">
        <v>36831</v>
      </c>
      <c r="C89" s="9">
        <f t="shared" si="12"/>
        <v>30</v>
      </c>
      <c r="D89" s="74">
        <f>filings!M102</f>
        <v>4.6999999999999997E-5</v>
      </c>
      <c r="E89" s="99"/>
      <c r="F89" s="92"/>
      <c r="G89" s="92"/>
      <c r="H89" s="92"/>
      <c r="I89" s="93"/>
      <c r="J89" s="76"/>
      <c r="L89" s="18">
        <f t="shared" ref="L89:L94" si="27">H89/D89/C89/1000000</f>
        <v>0</v>
      </c>
      <c r="M89" s="75">
        <f t="shared" ref="M89:M94" si="28">E89/$C89</f>
        <v>0</v>
      </c>
      <c r="N89" s="75">
        <f t="shared" ref="N89:N94" si="29">G89/$C89</f>
        <v>0</v>
      </c>
    </row>
    <row r="90" spans="1:17" x14ac:dyDescent="0.25">
      <c r="A90" s="68">
        <f t="shared" si="11"/>
        <v>90</v>
      </c>
      <c r="B90" s="1">
        <v>36861</v>
      </c>
      <c r="C90" s="9">
        <f t="shared" si="12"/>
        <v>31</v>
      </c>
      <c r="D90" s="74">
        <f>filings!M103</f>
        <v>4.6999999999999997E-5</v>
      </c>
      <c r="E90" s="100"/>
      <c r="F90" s="10"/>
      <c r="G90" s="10"/>
      <c r="H90" s="10"/>
      <c r="I90" s="95"/>
      <c r="J90" s="76"/>
      <c r="L90" s="18">
        <f t="shared" si="27"/>
        <v>0</v>
      </c>
      <c r="M90" s="75">
        <f t="shared" si="28"/>
        <v>0</v>
      </c>
      <c r="N90" s="75">
        <f t="shared" si="29"/>
        <v>0</v>
      </c>
    </row>
    <row r="91" spans="1:17" x14ac:dyDescent="0.25">
      <c r="A91" s="68">
        <f t="shared" si="11"/>
        <v>91</v>
      </c>
      <c r="B91" s="1">
        <v>36892</v>
      </c>
      <c r="C91" s="9">
        <f t="shared" si="12"/>
        <v>31</v>
      </c>
      <c r="D91" s="74">
        <f>filings!M104</f>
        <v>5.1E-5</v>
      </c>
      <c r="E91" s="100"/>
      <c r="F91" s="10"/>
      <c r="G91" s="10"/>
      <c r="H91" s="10"/>
      <c r="I91" s="95"/>
      <c r="J91" s="76"/>
      <c r="L91" s="18">
        <f t="shared" si="27"/>
        <v>0</v>
      </c>
      <c r="M91" s="75">
        <f t="shared" si="28"/>
        <v>0</v>
      </c>
      <c r="N91" s="75">
        <f t="shared" si="29"/>
        <v>0</v>
      </c>
    </row>
    <row r="92" spans="1:17" x14ac:dyDescent="0.25">
      <c r="A92" s="68">
        <f t="shared" si="11"/>
        <v>92</v>
      </c>
      <c r="B92" s="1">
        <v>36923</v>
      </c>
      <c r="C92" s="9">
        <f t="shared" si="12"/>
        <v>28</v>
      </c>
      <c r="D92" s="74">
        <f>filings!M105</f>
        <v>5.8E-5</v>
      </c>
      <c r="E92" s="100"/>
      <c r="F92" s="10"/>
      <c r="G92" s="10"/>
      <c r="H92" s="10"/>
      <c r="I92" s="95"/>
      <c r="J92" s="76"/>
      <c r="L92" s="18">
        <f t="shared" si="27"/>
        <v>0</v>
      </c>
      <c r="M92" s="75">
        <f t="shared" si="28"/>
        <v>0</v>
      </c>
      <c r="N92" s="75">
        <f t="shared" si="29"/>
        <v>0</v>
      </c>
    </row>
    <row r="93" spans="1:17" x14ac:dyDescent="0.25">
      <c r="A93" s="68">
        <f t="shared" si="11"/>
        <v>93</v>
      </c>
      <c r="B93" s="1">
        <v>36951</v>
      </c>
      <c r="C93" s="9">
        <f t="shared" si="12"/>
        <v>31</v>
      </c>
      <c r="D93" s="74">
        <f>filings!M106</f>
        <v>5.5999999999999999E-5</v>
      </c>
      <c r="E93" s="100"/>
      <c r="F93" s="10"/>
      <c r="G93" s="10"/>
      <c r="H93" s="10"/>
      <c r="I93" s="95"/>
      <c r="J93" s="76"/>
      <c r="L93" s="18">
        <f t="shared" si="27"/>
        <v>0</v>
      </c>
      <c r="M93" s="75">
        <f t="shared" si="28"/>
        <v>0</v>
      </c>
      <c r="N93" s="75">
        <f t="shared" si="29"/>
        <v>0</v>
      </c>
    </row>
    <row r="94" spans="1:17" ht="13.8" thickBot="1" x14ac:dyDescent="0.3">
      <c r="A94" s="68">
        <f t="shared" si="11"/>
        <v>94</v>
      </c>
      <c r="B94" s="1">
        <v>36982</v>
      </c>
      <c r="C94" s="9">
        <f t="shared" si="12"/>
        <v>30</v>
      </c>
      <c r="D94" s="74">
        <f>filings!M107</f>
        <v>5.1E-5</v>
      </c>
      <c r="E94" s="101"/>
      <c r="F94" s="97"/>
      <c r="G94" s="97"/>
      <c r="H94" s="97"/>
      <c r="I94" s="98"/>
      <c r="J94" s="76"/>
      <c r="L94" s="18">
        <f t="shared" si="27"/>
        <v>0</v>
      </c>
      <c r="M94" s="75">
        <f t="shared" si="28"/>
        <v>0</v>
      </c>
      <c r="N94" s="75">
        <f t="shared" si="29"/>
        <v>0</v>
      </c>
    </row>
    <row r="95" spans="1:17" ht="13.8" thickTop="1" x14ac:dyDescent="0.25">
      <c r="A95" s="68">
        <f t="shared" si="11"/>
        <v>95</v>
      </c>
      <c r="B95" s="1">
        <v>37012</v>
      </c>
      <c r="C95" s="9">
        <f t="shared" si="12"/>
        <v>31</v>
      </c>
      <c r="D95" s="74">
        <f>filings!M108</f>
        <v>4.3000000000000002E-5</v>
      </c>
      <c r="J95" s="76"/>
    </row>
    <row r="96" spans="1:17" x14ac:dyDescent="0.25">
      <c r="A96" s="68">
        <f t="shared" si="11"/>
        <v>96</v>
      </c>
      <c r="B96" s="1">
        <v>37043</v>
      </c>
      <c r="C96" s="9">
        <f t="shared" si="12"/>
        <v>30</v>
      </c>
      <c r="D96" s="74"/>
      <c r="J96" s="76"/>
    </row>
    <row r="97" spans="1:17" x14ac:dyDescent="0.25">
      <c r="A97" s="68">
        <f t="shared" si="11"/>
        <v>97</v>
      </c>
      <c r="B97" s="1">
        <v>37073</v>
      </c>
      <c r="C97" s="9">
        <f t="shared" si="12"/>
        <v>31</v>
      </c>
      <c r="D97" s="74"/>
    </row>
    <row r="98" spans="1:17" x14ac:dyDescent="0.25">
      <c r="A98">
        <f t="shared" si="11"/>
        <v>98</v>
      </c>
      <c r="B98" t="s">
        <v>132</v>
      </c>
      <c r="D98">
        <f>COUNT(D5:D97)</f>
        <v>91</v>
      </c>
      <c r="O98">
        <f>COUNT(O5:O97)</f>
        <v>84</v>
      </c>
      <c r="P98">
        <f>COUNT(P5:P97)</f>
        <v>84</v>
      </c>
      <c r="Q98">
        <f>COUNT(Q5:Q97)</f>
        <v>50</v>
      </c>
    </row>
    <row r="99" spans="1:17" x14ac:dyDescent="0.25">
      <c r="A99">
        <f t="shared" si="11"/>
        <v>99</v>
      </c>
      <c r="B99" t="s">
        <v>150</v>
      </c>
      <c r="D99">
        <f>COUNTIF(D3:D97,"&gt;0.00415%")</f>
        <v>56</v>
      </c>
      <c r="O99">
        <f>COUNTIF(O3:O97,"&gt;0.00415%")</f>
        <v>39</v>
      </c>
      <c r="P99">
        <f>COUNTIF(P3:P97,"&gt;0.00415%")</f>
        <v>50</v>
      </c>
    </row>
    <row r="100" spans="1:17" x14ac:dyDescent="0.25">
      <c r="A100">
        <f t="shared" si="11"/>
        <v>100</v>
      </c>
      <c r="D100" s="86">
        <f>D99/D98</f>
        <v>0.61538461538461542</v>
      </c>
      <c r="O100" s="86">
        <f>O99/O98</f>
        <v>0.4642857142857143</v>
      </c>
      <c r="P100" s="86">
        <f>P99/P98</f>
        <v>0.59523809523809523</v>
      </c>
    </row>
  </sheetData>
  <conditionalFormatting sqref="O5:P88">
    <cfRule type="cellIs" dxfId="2" priority="1" stopIfTrue="1" operator="greaterThanOrEqual">
      <formula>0.0000415</formula>
    </cfRule>
  </conditionalFormatting>
  <pageMargins left="0.5" right="0.5" top="1" bottom="1" header="0.5" footer="0.5"/>
  <pageSetup fitToHeight="3" orientation="landscape" r:id="rId1"/>
  <headerFooter alignWithMargins="0">
    <oddHeader>&amp;RExhibit 8, Page &amp;P of   &amp;N</oddHeader>
    <oddFooter>&amp;LSource: PGT Filings with FERC, TM94-3-86 et al.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95" sqref="D95"/>
    </sheetView>
  </sheetViews>
  <sheetFormatPr defaultRowHeight="13.2" x14ac:dyDescent="0.25"/>
  <cols>
    <col min="1" max="1" width="4" bestFit="1" customWidth="1"/>
    <col min="2" max="2" width="8.109375" bestFit="1" customWidth="1"/>
    <col min="3" max="3" width="6" bestFit="1" customWidth="1"/>
    <col min="4" max="4" width="12.33203125" customWidth="1"/>
    <col min="6" max="6" width="10.44140625" bestFit="1" customWidth="1"/>
    <col min="7" max="7" width="10.44140625" customWidth="1"/>
    <col min="8" max="8" width="9.5546875" bestFit="1" customWidth="1"/>
    <col min="10" max="10" width="10" customWidth="1"/>
    <col min="11" max="11" width="8.33203125" bestFit="1" customWidth="1"/>
  </cols>
  <sheetData>
    <row r="1" spans="1:13" x14ac:dyDescent="0.25">
      <c r="B1" s="67" t="s">
        <v>133</v>
      </c>
      <c r="C1" s="67" t="s">
        <v>134</v>
      </c>
      <c r="D1" s="67" t="s">
        <v>135</v>
      </c>
      <c r="E1" s="67" t="s">
        <v>140</v>
      </c>
      <c r="F1" s="67" t="s">
        <v>136</v>
      </c>
      <c r="G1" s="67" t="s">
        <v>137</v>
      </c>
      <c r="H1" s="67" t="s">
        <v>138</v>
      </c>
      <c r="I1" s="67" t="s">
        <v>141</v>
      </c>
      <c r="J1" s="67" t="s">
        <v>142</v>
      </c>
      <c r="K1" s="67" t="s">
        <v>143</v>
      </c>
      <c r="L1" s="67" t="s">
        <v>144</v>
      </c>
      <c r="M1" s="67" t="s">
        <v>149</v>
      </c>
    </row>
    <row r="2" spans="1:13" x14ac:dyDescent="0.25">
      <c r="A2" s="67">
        <v>2</v>
      </c>
      <c r="B2" s="10"/>
      <c r="C2" s="6"/>
      <c r="D2" s="38" t="s">
        <v>109</v>
      </c>
      <c r="E2" s="36" t="s">
        <v>109</v>
      </c>
      <c r="F2" s="36" t="s">
        <v>109</v>
      </c>
      <c r="G2" s="36" t="s">
        <v>22</v>
      </c>
      <c r="H2" s="36" t="s">
        <v>22</v>
      </c>
      <c r="I2" s="36" t="s">
        <v>22</v>
      </c>
      <c r="J2" s="36" t="s">
        <v>22</v>
      </c>
      <c r="K2" s="36" t="s">
        <v>114</v>
      </c>
      <c r="L2" s="36" t="s">
        <v>25</v>
      </c>
      <c r="M2" s="36" t="s">
        <v>25</v>
      </c>
    </row>
    <row r="3" spans="1:13" x14ac:dyDescent="0.25">
      <c r="A3" s="68">
        <f>A2+1</f>
        <v>3</v>
      </c>
      <c r="B3" s="68" t="s">
        <v>111</v>
      </c>
      <c r="C3" s="71" t="s">
        <v>108</v>
      </c>
      <c r="D3" s="38" t="s">
        <v>8</v>
      </c>
      <c r="E3" s="36" t="s">
        <v>28</v>
      </c>
      <c r="F3" s="36" t="s">
        <v>121</v>
      </c>
      <c r="G3" s="36" t="s">
        <v>8</v>
      </c>
      <c r="H3" s="36" t="s">
        <v>8</v>
      </c>
      <c r="I3" s="36" t="s">
        <v>28</v>
      </c>
      <c r="J3" s="36" t="s">
        <v>28</v>
      </c>
      <c r="K3" s="36" t="s">
        <v>117</v>
      </c>
      <c r="L3" s="36" t="s">
        <v>28</v>
      </c>
      <c r="M3" s="36" t="s">
        <v>117</v>
      </c>
    </row>
    <row r="4" spans="1:13" x14ac:dyDescent="0.25">
      <c r="A4" s="68">
        <f t="shared" ref="A4:A67" si="0">A3+1</f>
        <v>4</v>
      </c>
      <c r="B4" s="63"/>
      <c r="C4" s="64"/>
      <c r="D4" s="65" t="s">
        <v>120</v>
      </c>
      <c r="E4" s="66" t="s">
        <v>120</v>
      </c>
      <c r="F4" s="66" t="s">
        <v>112</v>
      </c>
      <c r="G4" s="66" t="s">
        <v>85</v>
      </c>
      <c r="H4" s="66" t="s">
        <v>86</v>
      </c>
      <c r="I4" s="66" t="s">
        <v>110</v>
      </c>
      <c r="J4" s="66" t="s">
        <v>113</v>
      </c>
      <c r="K4" s="66" t="s">
        <v>115</v>
      </c>
      <c r="L4" s="66" t="s">
        <v>113</v>
      </c>
      <c r="M4" s="66" t="s">
        <v>115</v>
      </c>
    </row>
    <row r="5" spans="1:13" x14ac:dyDescent="0.25">
      <c r="A5" s="68">
        <f t="shared" si="0"/>
        <v>5</v>
      </c>
      <c r="B5" s="1">
        <v>34274</v>
      </c>
      <c r="C5" s="9">
        <f t="shared" ref="C5:C36" si="1">DAY(EOMONTH(B5,0))</f>
        <v>30</v>
      </c>
      <c r="D5" s="69"/>
      <c r="E5" s="62" t="s">
        <v>116</v>
      </c>
      <c r="F5" s="62"/>
      <c r="G5" s="62"/>
      <c r="H5" s="10"/>
      <c r="I5" s="62"/>
    </row>
    <row r="6" spans="1:13" x14ac:dyDescent="0.25">
      <c r="A6" s="68">
        <f t="shared" si="0"/>
        <v>6</v>
      </c>
      <c r="B6" s="1">
        <v>34304</v>
      </c>
      <c r="C6" s="9">
        <f t="shared" si="1"/>
        <v>31</v>
      </c>
      <c r="D6" s="69"/>
      <c r="E6" s="62" t="s">
        <v>131</v>
      </c>
      <c r="F6" s="62"/>
      <c r="G6" s="62"/>
      <c r="H6" s="10"/>
      <c r="I6" s="62"/>
    </row>
    <row r="7" spans="1:13" x14ac:dyDescent="0.25">
      <c r="A7" s="68">
        <f t="shared" si="0"/>
        <v>7</v>
      </c>
      <c r="B7" s="1">
        <v>34335</v>
      </c>
      <c r="C7" s="9">
        <f t="shared" si="1"/>
        <v>31</v>
      </c>
      <c r="D7" s="69"/>
      <c r="E7" s="70"/>
      <c r="F7" s="62"/>
      <c r="G7" s="72"/>
      <c r="I7" s="62"/>
    </row>
    <row r="8" spans="1:13" x14ac:dyDescent="0.25">
      <c r="A8" s="68">
        <f t="shared" si="0"/>
        <v>8</v>
      </c>
      <c r="B8" s="1">
        <v>34366</v>
      </c>
      <c r="C8" s="9">
        <f t="shared" si="1"/>
        <v>28</v>
      </c>
      <c r="D8" s="79">
        <f>filings!C21</f>
        <v>51000</v>
      </c>
      <c r="E8" s="76">
        <f>filings!D21</f>
        <v>901.8</v>
      </c>
      <c r="F8" s="80">
        <f>0.0191938/0.000031</f>
        <v>619.15483870967739</v>
      </c>
      <c r="G8" s="72">
        <f>(D8+E8)*F8/1000000</f>
        <v>32.135250607741938</v>
      </c>
      <c r="H8" s="72">
        <f>(D8+E8)*F8/C8/1000000</f>
        <v>1.147687521705069</v>
      </c>
      <c r="I8" s="62">
        <f>E8/C8</f>
        <v>32.207142857142856</v>
      </c>
      <c r="J8" s="33">
        <f>I8/H8/1000000</f>
        <v>2.8062640961098989E-5</v>
      </c>
      <c r="K8" s="73" t="str">
        <f t="shared" ref="K8:M61" si="2">IF(J8&gt;0.00415%,ROUND(J8-0.0041%,6),"")</f>
        <v/>
      </c>
      <c r="L8" s="33">
        <f>'ex8'!D8</f>
        <v>3.1000000000000001E-5</v>
      </c>
      <c r="M8" s="73" t="str">
        <f t="shared" si="2"/>
        <v/>
      </c>
    </row>
    <row r="9" spans="1:13" x14ac:dyDescent="0.25">
      <c r="A9" s="68">
        <f t="shared" si="0"/>
        <v>9</v>
      </c>
      <c r="B9" s="1">
        <v>34394</v>
      </c>
      <c r="C9" s="9">
        <f t="shared" si="1"/>
        <v>31</v>
      </c>
      <c r="D9" s="79">
        <f>filings!C22</f>
        <v>53000</v>
      </c>
      <c r="E9" s="76">
        <f>filings!D22</f>
        <v>729.9</v>
      </c>
      <c r="F9" s="81">
        <f>0.0204886/0.000033</f>
        <v>620.86666666666656</v>
      </c>
      <c r="G9" s="72">
        <f t="shared" ref="G9:G72" si="3">(D9+E9)*F9/1000000</f>
        <v>33.359103913333328</v>
      </c>
      <c r="H9" s="72">
        <f t="shared" ref="H9:H72" si="4">(D9+E9)*F9/C9/1000000</f>
        <v>1.076100126236559</v>
      </c>
      <c r="I9" s="62">
        <f t="shared" ref="I9:I72" si="5">E9/C9</f>
        <v>23.545161290322579</v>
      </c>
      <c r="J9" s="33">
        <f t="shared" ref="J9:J72" si="6">I9/H9/1000000</f>
        <v>2.1880084126248533E-5</v>
      </c>
      <c r="K9" s="73" t="str">
        <f t="shared" si="2"/>
        <v/>
      </c>
      <c r="L9" s="33">
        <f>'ex8'!D9</f>
        <v>3.3000000000000003E-5</v>
      </c>
      <c r="M9" s="73" t="str">
        <f t="shared" si="2"/>
        <v/>
      </c>
    </row>
    <row r="10" spans="1:13" x14ac:dyDescent="0.25">
      <c r="A10" s="68">
        <f t="shared" si="0"/>
        <v>10</v>
      </c>
      <c r="B10" s="1">
        <v>34425</v>
      </c>
      <c r="C10" s="9">
        <f t="shared" si="1"/>
        <v>30</v>
      </c>
      <c r="D10" s="79">
        <f>filings!C23</f>
        <v>49000</v>
      </c>
      <c r="E10" s="76">
        <f>filings!D23</f>
        <v>896.9</v>
      </c>
      <c r="F10" s="81">
        <f>0.0159979/0.000026</f>
        <v>615.30384615384617</v>
      </c>
      <c r="G10" s="72">
        <f t="shared" si="3"/>
        <v>30.701754481153849</v>
      </c>
      <c r="H10" s="72">
        <f t="shared" si="4"/>
        <v>1.0233918160384616</v>
      </c>
      <c r="I10" s="62">
        <f t="shared" si="5"/>
        <v>29.896666666666665</v>
      </c>
      <c r="J10" s="33">
        <f t="shared" si="6"/>
        <v>2.9213314195140167E-5</v>
      </c>
      <c r="K10" s="73" t="str">
        <f t="shared" si="2"/>
        <v/>
      </c>
      <c r="L10" s="33">
        <f>'ex8'!D10</f>
        <v>2.5999999999999998E-5</v>
      </c>
      <c r="M10" s="73" t="str">
        <f t="shared" si="2"/>
        <v/>
      </c>
    </row>
    <row r="11" spans="1:13" x14ac:dyDescent="0.25">
      <c r="A11" s="68">
        <f t="shared" si="0"/>
        <v>11</v>
      </c>
      <c r="B11" s="1">
        <v>34455</v>
      </c>
      <c r="C11" s="9">
        <f t="shared" si="1"/>
        <v>31</v>
      </c>
      <c r="D11" s="79">
        <f>filings!C24</f>
        <v>50000</v>
      </c>
      <c r="E11" s="76">
        <f>filings!D24</f>
        <v>1177</v>
      </c>
      <c r="F11" s="81">
        <f>0.01535/0.000025</f>
        <v>614</v>
      </c>
      <c r="G11" s="72">
        <f t="shared" si="3"/>
        <v>31.422678000000001</v>
      </c>
      <c r="H11" s="72">
        <f t="shared" si="4"/>
        <v>1.0136347741935483</v>
      </c>
      <c r="I11" s="62">
        <f t="shared" si="5"/>
        <v>37.967741935483872</v>
      </c>
      <c r="J11" s="33">
        <f t="shared" si="6"/>
        <v>3.7457023873012993E-5</v>
      </c>
      <c r="K11" s="73" t="str">
        <f t="shared" si="2"/>
        <v/>
      </c>
      <c r="L11" s="33">
        <f>'ex8'!D11</f>
        <v>2.5000000000000001E-5</v>
      </c>
      <c r="M11" s="73" t="str">
        <f t="shared" si="2"/>
        <v/>
      </c>
    </row>
    <row r="12" spans="1:13" x14ac:dyDescent="0.25">
      <c r="A12" s="68">
        <f t="shared" si="0"/>
        <v>12</v>
      </c>
      <c r="B12" s="1">
        <v>34486</v>
      </c>
      <c r="C12" s="9">
        <f t="shared" si="1"/>
        <v>30</v>
      </c>
      <c r="D12" s="79">
        <f>filings!C25</f>
        <v>52000</v>
      </c>
      <c r="E12" s="76">
        <f>filings!D25</f>
        <v>717.5</v>
      </c>
      <c r="F12" s="81">
        <f>0.012224/0.00002</f>
        <v>611.19999999999993</v>
      </c>
      <c r="G12" s="72">
        <f t="shared" si="3"/>
        <v>32.220935999999995</v>
      </c>
      <c r="H12" s="72">
        <f t="shared" si="4"/>
        <v>1.0740311999999999</v>
      </c>
      <c r="I12" s="62">
        <f t="shared" si="5"/>
        <v>23.916666666666668</v>
      </c>
      <c r="J12" s="33">
        <f t="shared" si="6"/>
        <v>2.2268130261641067E-5</v>
      </c>
      <c r="K12" s="73" t="str">
        <f t="shared" si="2"/>
        <v/>
      </c>
      <c r="L12" s="33">
        <f>'ex8'!D12</f>
        <v>2.0000000000000002E-5</v>
      </c>
      <c r="M12" s="73" t="str">
        <f t="shared" si="2"/>
        <v/>
      </c>
    </row>
    <row r="13" spans="1:13" x14ac:dyDescent="0.25">
      <c r="A13" s="68">
        <f t="shared" si="0"/>
        <v>13</v>
      </c>
      <c r="B13" s="1">
        <v>34516</v>
      </c>
      <c r="C13" s="9">
        <f t="shared" si="1"/>
        <v>31</v>
      </c>
      <c r="D13" s="79">
        <f>filings!C26</f>
        <v>60000</v>
      </c>
      <c r="E13" s="76">
        <f>filings!D26</f>
        <v>767.6</v>
      </c>
      <c r="F13" s="81">
        <f>0.012224/0.00002</f>
        <v>611.19999999999993</v>
      </c>
      <c r="G13" s="72">
        <f t="shared" si="3"/>
        <v>37.141157119999995</v>
      </c>
      <c r="H13" s="72">
        <f t="shared" si="4"/>
        <v>1.1981018425806451</v>
      </c>
      <c r="I13" s="62">
        <f t="shared" si="5"/>
        <v>24.761290322580646</v>
      </c>
      <c r="J13" s="33">
        <f t="shared" si="6"/>
        <v>2.0667099776131046E-5</v>
      </c>
      <c r="K13" s="73" t="str">
        <f t="shared" si="2"/>
        <v/>
      </c>
      <c r="L13" s="33">
        <f>'ex8'!D13</f>
        <v>1.6000000000000003E-5</v>
      </c>
      <c r="M13" s="73" t="str">
        <f t="shared" si="2"/>
        <v/>
      </c>
    </row>
    <row r="14" spans="1:13" x14ac:dyDescent="0.25">
      <c r="A14" s="68">
        <f t="shared" si="0"/>
        <v>14</v>
      </c>
      <c r="B14" s="1">
        <v>34547</v>
      </c>
      <c r="C14" s="9">
        <f t="shared" si="1"/>
        <v>31</v>
      </c>
      <c r="D14" s="79">
        <f>filings!C27</f>
        <v>64000</v>
      </c>
      <c r="E14" s="76">
        <f>filings!D27</f>
        <v>935.9</v>
      </c>
      <c r="F14" s="81">
        <f>0.013464/0.000022</f>
        <v>612</v>
      </c>
      <c r="G14" s="72">
        <f t="shared" si="3"/>
        <v>39.740770800000007</v>
      </c>
      <c r="H14" s="72">
        <f t="shared" si="4"/>
        <v>1.2819603483870969</v>
      </c>
      <c r="I14" s="62">
        <f t="shared" si="5"/>
        <v>30.190322580645162</v>
      </c>
      <c r="J14" s="33">
        <f t="shared" si="6"/>
        <v>2.3550121982032619E-5</v>
      </c>
      <c r="K14" s="73" t="str">
        <f t="shared" si="2"/>
        <v/>
      </c>
      <c r="L14" s="33">
        <f>'ex8'!D14</f>
        <v>1.8E-5</v>
      </c>
      <c r="M14" s="73" t="str">
        <f t="shared" si="2"/>
        <v/>
      </c>
    </row>
    <row r="15" spans="1:13" x14ac:dyDescent="0.25">
      <c r="A15" s="68">
        <f t="shared" si="0"/>
        <v>15</v>
      </c>
      <c r="B15" s="1">
        <v>34578</v>
      </c>
      <c r="C15" s="9">
        <f t="shared" si="1"/>
        <v>30</v>
      </c>
      <c r="D15" s="79">
        <f>filings!C28</f>
        <v>64000</v>
      </c>
      <c r="E15" s="76">
        <f>filings!D28</f>
        <v>871.7</v>
      </c>
      <c r="F15" s="81">
        <f>0.017748/0.000029</f>
        <v>612</v>
      </c>
      <c r="G15" s="72">
        <f t="shared" si="3"/>
        <v>39.701480400000001</v>
      </c>
      <c r="H15" s="72">
        <f t="shared" si="4"/>
        <v>1.3233826799999999</v>
      </c>
      <c r="I15" s="62">
        <f t="shared" si="5"/>
        <v>29.056666666666668</v>
      </c>
      <c r="J15" s="33">
        <f t="shared" si="6"/>
        <v>2.1956360095831593E-5</v>
      </c>
      <c r="K15" s="73" t="str">
        <f t="shared" si="2"/>
        <v/>
      </c>
      <c r="L15" s="33">
        <f>'ex8'!D15</f>
        <v>2.5000000000000001E-5</v>
      </c>
      <c r="M15" s="73" t="str">
        <f t="shared" si="2"/>
        <v/>
      </c>
    </row>
    <row r="16" spans="1:13" x14ac:dyDescent="0.25">
      <c r="A16" s="68">
        <f t="shared" si="0"/>
        <v>16</v>
      </c>
      <c r="B16" s="1">
        <v>34608</v>
      </c>
      <c r="C16" s="9">
        <f t="shared" si="1"/>
        <v>31</v>
      </c>
      <c r="D16" s="79">
        <f>filings!C29</f>
        <v>64000</v>
      </c>
      <c r="E16" s="76">
        <f>filings!D29</f>
        <v>701.5</v>
      </c>
      <c r="F16" s="81">
        <f>0.020808/0.000034</f>
        <v>612</v>
      </c>
      <c r="G16" s="72">
        <f t="shared" si="3"/>
        <v>39.597318000000001</v>
      </c>
      <c r="H16" s="72">
        <f t="shared" si="4"/>
        <v>1.2773328387096774</v>
      </c>
      <c r="I16" s="62">
        <f t="shared" si="5"/>
        <v>22.629032258064516</v>
      </c>
      <c r="J16" s="33">
        <f t="shared" si="6"/>
        <v>1.7715846310601137E-5</v>
      </c>
      <c r="K16" s="73" t="str">
        <f t="shared" si="2"/>
        <v/>
      </c>
      <c r="L16" s="33">
        <f>'ex8'!D16</f>
        <v>2.9999999999999997E-5</v>
      </c>
      <c r="M16" s="73" t="str">
        <f t="shared" si="2"/>
        <v/>
      </c>
    </row>
    <row r="17" spans="1:13" x14ac:dyDescent="0.25">
      <c r="A17" s="68">
        <f t="shared" si="0"/>
        <v>17</v>
      </c>
      <c r="B17" s="1">
        <v>34639</v>
      </c>
      <c r="C17" s="9">
        <f t="shared" si="1"/>
        <v>30</v>
      </c>
      <c r="D17" s="79">
        <f>filings!C30</f>
        <v>70163</v>
      </c>
      <c r="E17" s="76">
        <f>filings!D30</f>
        <v>1000</v>
      </c>
      <c r="F17" s="82">
        <f>0.018374/0.000037</f>
        <v>496.59459459459464</v>
      </c>
      <c r="G17" s="72">
        <f t="shared" si="3"/>
        <v>35.339161135135136</v>
      </c>
      <c r="H17" s="72">
        <f t="shared" si="4"/>
        <v>1.1779720378378378</v>
      </c>
      <c r="I17" s="62">
        <f t="shared" si="5"/>
        <v>33.333333333333336</v>
      </c>
      <c r="J17" s="33">
        <f t="shared" si="6"/>
        <v>2.8297219511692752E-5</v>
      </c>
      <c r="K17" s="73" t="str">
        <f t="shared" si="2"/>
        <v/>
      </c>
      <c r="L17" s="33">
        <f>'ex8'!D17</f>
        <v>3.6999999999999998E-5</v>
      </c>
      <c r="M17" s="73" t="str">
        <f t="shared" si="2"/>
        <v/>
      </c>
    </row>
    <row r="18" spans="1:13" x14ac:dyDescent="0.25">
      <c r="A18" s="68">
        <f t="shared" si="0"/>
        <v>18</v>
      </c>
      <c r="B18" s="1">
        <v>34669</v>
      </c>
      <c r="C18" s="9">
        <f t="shared" si="1"/>
        <v>31</v>
      </c>
      <c r="D18" s="79">
        <f>filings!C31</f>
        <v>70000</v>
      </c>
      <c r="E18" s="76">
        <f>filings!D31</f>
        <v>1250.7</v>
      </c>
      <c r="F18" s="81">
        <f>0.022661/0.000037</f>
        <v>612.45945945945948</v>
      </c>
      <c r="G18" s="72">
        <f t="shared" si="3"/>
        <v>43.638165208108106</v>
      </c>
      <c r="H18" s="72">
        <f t="shared" si="4"/>
        <v>1.4076827486486485</v>
      </c>
      <c r="I18" s="62">
        <f t="shared" si="5"/>
        <v>40.345161290322579</v>
      </c>
      <c r="J18" s="33">
        <f t="shared" si="6"/>
        <v>2.8660691714133207E-5</v>
      </c>
      <c r="K18" s="73" t="str">
        <f t="shared" si="2"/>
        <v/>
      </c>
      <c r="L18" s="33">
        <f>'ex8'!D18</f>
        <v>3.6999999999999998E-5</v>
      </c>
      <c r="M18" s="73" t="str">
        <f t="shared" si="2"/>
        <v/>
      </c>
    </row>
    <row r="19" spans="1:13" x14ac:dyDescent="0.25">
      <c r="A19" s="68">
        <f t="shared" si="0"/>
        <v>19</v>
      </c>
      <c r="B19" s="1">
        <v>34700</v>
      </c>
      <c r="C19" s="9">
        <f t="shared" si="1"/>
        <v>31</v>
      </c>
      <c r="D19" s="79">
        <f>filings!C32</f>
        <v>72000</v>
      </c>
      <c r="E19" s="76">
        <f>filings!D32</f>
        <v>1316.6</v>
      </c>
      <c r="F19" s="81">
        <f>0.024498/0.00004</f>
        <v>612.44999999999993</v>
      </c>
      <c r="G19" s="72">
        <f t="shared" si="3"/>
        <v>44.902751670000001</v>
      </c>
      <c r="H19" s="72">
        <f t="shared" si="4"/>
        <v>1.4484758603225807</v>
      </c>
      <c r="I19" s="62">
        <f t="shared" si="5"/>
        <v>42.470967741935482</v>
      </c>
      <c r="J19" s="33">
        <f t="shared" si="6"/>
        <v>2.9321142937430137E-5</v>
      </c>
      <c r="K19" s="73" t="str">
        <f t="shared" si="2"/>
        <v/>
      </c>
      <c r="L19" s="33">
        <f>'ex8'!D19</f>
        <v>4.0000000000000003E-5</v>
      </c>
      <c r="M19" s="73" t="str">
        <f t="shared" si="2"/>
        <v/>
      </c>
    </row>
    <row r="20" spans="1:13" x14ac:dyDescent="0.25">
      <c r="A20" s="68">
        <f t="shared" si="0"/>
        <v>20</v>
      </c>
      <c r="B20" s="1">
        <v>34731</v>
      </c>
      <c r="C20" s="9">
        <f t="shared" si="1"/>
        <v>28</v>
      </c>
      <c r="D20" s="79">
        <f>filings!C33</f>
        <v>73730</v>
      </c>
      <c r="E20" s="76">
        <f>filings!D33</f>
        <v>1420</v>
      </c>
      <c r="F20" s="81">
        <f>0.026948/0.000044</f>
        <v>612.4545454545455</v>
      </c>
      <c r="G20" s="72">
        <f t="shared" si="3"/>
        <v>46.02595909090909</v>
      </c>
      <c r="H20" s="72">
        <f t="shared" si="4"/>
        <v>1.6437842532467533</v>
      </c>
      <c r="I20" s="62">
        <f t="shared" si="5"/>
        <v>50.714285714285715</v>
      </c>
      <c r="J20" s="33">
        <f t="shared" si="6"/>
        <v>3.0852154480806336E-5</v>
      </c>
      <c r="K20" s="73" t="str">
        <f t="shared" si="2"/>
        <v/>
      </c>
      <c r="L20" s="33">
        <f>'ex8'!D20</f>
        <v>4.3999999999999999E-5</v>
      </c>
      <c r="M20" s="73">
        <f t="shared" si="2"/>
        <v>3.0000000000000001E-6</v>
      </c>
    </row>
    <row r="21" spans="1:13" x14ac:dyDescent="0.25">
      <c r="A21" s="68">
        <f t="shared" si="0"/>
        <v>21</v>
      </c>
      <c r="B21" s="1">
        <v>34759</v>
      </c>
      <c r="C21" s="9">
        <f t="shared" si="1"/>
        <v>31</v>
      </c>
      <c r="D21" s="79">
        <f>filings!C34</f>
        <v>71534</v>
      </c>
      <c r="E21" s="76">
        <f>filings!D34</f>
        <v>1275</v>
      </c>
      <c r="F21" s="81">
        <f>0.026948/0.000044</f>
        <v>612.4545454545455</v>
      </c>
      <c r="G21" s="72">
        <f t="shared" si="3"/>
        <v>44.592202999999998</v>
      </c>
      <c r="H21" s="72">
        <f t="shared" si="4"/>
        <v>1.4384581612903227</v>
      </c>
      <c r="I21" s="62">
        <f t="shared" si="5"/>
        <v>41.12903225806452</v>
      </c>
      <c r="J21" s="33">
        <f t="shared" si="6"/>
        <v>2.8592442494935716E-5</v>
      </c>
      <c r="K21" s="73" t="str">
        <f t="shared" si="2"/>
        <v/>
      </c>
      <c r="L21" s="33">
        <f>'ex8'!D21</f>
        <v>4.3999999999999999E-5</v>
      </c>
      <c r="M21" s="73">
        <f t="shared" si="2"/>
        <v>3.0000000000000001E-6</v>
      </c>
    </row>
    <row r="22" spans="1:13" x14ac:dyDescent="0.25">
      <c r="A22" s="68">
        <f t="shared" si="0"/>
        <v>22</v>
      </c>
      <c r="B22" s="1">
        <v>34790</v>
      </c>
      <c r="C22" s="9">
        <f t="shared" si="1"/>
        <v>30</v>
      </c>
      <c r="D22" s="79">
        <f>filings!C35</f>
        <v>47430</v>
      </c>
      <c r="E22" s="76">
        <f>filings!D35</f>
        <v>1490</v>
      </c>
      <c r="F22" s="83">
        <f>0.026948/0.000044</f>
        <v>612.4545454545455</v>
      </c>
      <c r="G22" s="72">
        <f t="shared" si="3"/>
        <v>29.961276363636365</v>
      </c>
      <c r="H22" s="72">
        <f t="shared" si="4"/>
        <v>0.99870921212121222</v>
      </c>
      <c r="I22" s="62">
        <f t="shared" si="5"/>
        <v>49.666666666666664</v>
      </c>
      <c r="J22" s="33">
        <f t="shared" si="6"/>
        <v>4.9730858656221829E-5</v>
      </c>
      <c r="K22" s="73">
        <f t="shared" si="2"/>
        <v>9.0000000000000002E-6</v>
      </c>
      <c r="L22" s="33">
        <f>'ex8'!D22</f>
        <v>4.8000000000000001E-5</v>
      </c>
      <c r="M22" s="73">
        <f t="shared" si="2"/>
        <v>6.9999999999999999E-6</v>
      </c>
    </row>
    <row r="23" spans="1:13" x14ac:dyDescent="0.25">
      <c r="A23" s="68">
        <f t="shared" si="0"/>
        <v>23</v>
      </c>
      <c r="B23" s="1">
        <v>34820</v>
      </c>
      <c r="C23" s="9">
        <f t="shared" si="1"/>
        <v>31</v>
      </c>
      <c r="D23" s="79">
        <f>filings!C36</f>
        <v>66400</v>
      </c>
      <c r="E23" s="76">
        <f>filings!D36</f>
        <v>1825</v>
      </c>
      <c r="F23" s="10">
        <f>filings!K36</f>
        <v>520</v>
      </c>
      <c r="G23" s="72">
        <f t="shared" si="3"/>
        <v>35.476999999999997</v>
      </c>
      <c r="H23" s="72">
        <f t="shared" si="4"/>
        <v>1.1444193548387096</v>
      </c>
      <c r="I23" s="62">
        <f t="shared" si="5"/>
        <v>58.87096774193548</v>
      </c>
      <c r="J23" s="33">
        <f t="shared" si="6"/>
        <v>5.1441779180877755E-5</v>
      </c>
      <c r="K23" s="73">
        <f t="shared" si="2"/>
        <v>1.0000000000000001E-5</v>
      </c>
      <c r="L23" s="33">
        <f>'ex8'!D23</f>
        <v>4.8000000000000001E-5</v>
      </c>
      <c r="M23" s="73">
        <f t="shared" si="2"/>
        <v>6.9999999999999999E-6</v>
      </c>
    </row>
    <row r="24" spans="1:13" x14ac:dyDescent="0.25">
      <c r="A24" s="68">
        <f t="shared" si="0"/>
        <v>24</v>
      </c>
      <c r="B24" s="1">
        <v>34851</v>
      </c>
      <c r="C24" s="9">
        <f t="shared" si="1"/>
        <v>30</v>
      </c>
      <c r="D24" s="79">
        <f>filings!C37</f>
        <v>65500</v>
      </c>
      <c r="E24" s="76">
        <f>filings!D37</f>
        <v>1485</v>
      </c>
      <c r="F24" s="10">
        <f>filings!K37</f>
        <v>520</v>
      </c>
      <c r="G24" s="72">
        <f t="shared" si="3"/>
        <v>34.8322</v>
      </c>
      <c r="H24" s="72">
        <f t="shared" si="4"/>
        <v>1.1610733333333332</v>
      </c>
      <c r="I24" s="62">
        <f t="shared" si="5"/>
        <v>49.5</v>
      </c>
      <c r="J24" s="33">
        <f t="shared" si="6"/>
        <v>4.2632966048656138E-5</v>
      </c>
      <c r="K24" s="73">
        <f t="shared" si="2"/>
        <v>1.9999999999999999E-6</v>
      </c>
      <c r="L24" s="33">
        <f>'ex8'!D24</f>
        <v>4.8000000000000001E-5</v>
      </c>
      <c r="M24" s="73">
        <f t="shared" si="2"/>
        <v>6.9999999999999999E-6</v>
      </c>
    </row>
    <row r="25" spans="1:13" x14ac:dyDescent="0.25">
      <c r="A25" s="68">
        <f t="shared" si="0"/>
        <v>25</v>
      </c>
      <c r="B25" s="1">
        <v>34881</v>
      </c>
      <c r="C25" s="9">
        <f t="shared" si="1"/>
        <v>31</v>
      </c>
      <c r="D25" s="79">
        <f>filings!C38</f>
        <v>66000</v>
      </c>
      <c r="E25" s="76">
        <f>filings!D38</f>
        <v>1580</v>
      </c>
      <c r="F25" s="10">
        <f>filings!K38</f>
        <v>520</v>
      </c>
      <c r="G25" s="72">
        <f t="shared" si="3"/>
        <v>35.141599999999997</v>
      </c>
      <c r="H25" s="72">
        <f t="shared" si="4"/>
        <v>1.1335999999999999</v>
      </c>
      <c r="I25" s="62">
        <f t="shared" si="5"/>
        <v>50.967741935483872</v>
      </c>
      <c r="J25" s="33">
        <f t="shared" si="6"/>
        <v>4.4960957952967429E-5</v>
      </c>
      <c r="K25" s="73">
        <f t="shared" si="2"/>
        <v>3.9999999999999998E-6</v>
      </c>
      <c r="L25" s="33">
        <f>'ex8'!D25</f>
        <v>4.6999999999999997E-5</v>
      </c>
      <c r="M25" s="73">
        <f t="shared" si="2"/>
        <v>6.0000000000000002E-6</v>
      </c>
    </row>
    <row r="26" spans="1:13" x14ac:dyDescent="0.25">
      <c r="A26" s="68">
        <f t="shared" si="0"/>
        <v>26</v>
      </c>
      <c r="B26" s="1">
        <v>34912</v>
      </c>
      <c r="C26" s="9">
        <f t="shared" si="1"/>
        <v>31</v>
      </c>
      <c r="D26" s="79">
        <f>filings!C39</f>
        <v>70600</v>
      </c>
      <c r="E26" s="76">
        <f>filings!D39</f>
        <v>1800</v>
      </c>
      <c r="F26" s="10">
        <f>filings!K39</f>
        <v>520</v>
      </c>
      <c r="G26" s="72">
        <f t="shared" si="3"/>
        <v>37.648000000000003</v>
      </c>
      <c r="H26" s="72">
        <f t="shared" si="4"/>
        <v>1.2144516129032257</v>
      </c>
      <c r="I26" s="62">
        <f t="shared" si="5"/>
        <v>58.064516129032256</v>
      </c>
      <c r="J26" s="33">
        <f t="shared" si="6"/>
        <v>4.7811304717382071E-5</v>
      </c>
      <c r="K26" s="73">
        <f t="shared" si="2"/>
        <v>6.9999999999999999E-6</v>
      </c>
      <c r="L26" s="33">
        <f>'ex8'!D26</f>
        <v>4.6999999999999997E-5</v>
      </c>
      <c r="M26" s="73">
        <f t="shared" si="2"/>
        <v>6.0000000000000002E-6</v>
      </c>
    </row>
    <row r="27" spans="1:13" x14ac:dyDescent="0.25">
      <c r="A27" s="68">
        <f t="shared" si="0"/>
        <v>27</v>
      </c>
      <c r="B27" s="1">
        <v>34943</v>
      </c>
      <c r="C27" s="9">
        <f t="shared" si="1"/>
        <v>30</v>
      </c>
      <c r="D27" s="79">
        <f>filings!C40</f>
        <v>68000</v>
      </c>
      <c r="E27" s="76">
        <f>filings!D40</f>
        <v>1575</v>
      </c>
      <c r="F27" s="10">
        <f>filings!K40</f>
        <v>520</v>
      </c>
      <c r="G27" s="72">
        <f t="shared" si="3"/>
        <v>36.179000000000002</v>
      </c>
      <c r="H27" s="72">
        <f t="shared" si="4"/>
        <v>1.2059666666666669</v>
      </c>
      <c r="I27" s="62">
        <f t="shared" si="5"/>
        <v>52.5</v>
      </c>
      <c r="J27" s="33">
        <f t="shared" si="6"/>
        <v>4.353354155725697E-5</v>
      </c>
      <c r="K27" s="73">
        <f t="shared" si="2"/>
        <v>3.0000000000000001E-6</v>
      </c>
      <c r="L27" s="33">
        <f>'ex8'!D27</f>
        <v>4.6999999999999997E-5</v>
      </c>
      <c r="M27" s="73">
        <f t="shared" si="2"/>
        <v>6.0000000000000002E-6</v>
      </c>
    </row>
    <row r="28" spans="1:13" x14ac:dyDescent="0.25">
      <c r="A28" s="68">
        <f t="shared" si="0"/>
        <v>28</v>
      </c>
      <c r="B28" s="1">
        <v>34973</v>
      </c>
      <c r="C28" s="9">
        <f t="shared" si="1"/>
        <v>31</v>
      </c>
      <c r="D28" s="79">
        <f>filings!C41</f>
        <v>74500</v>
      </c>
      <c r="E28" s="76">
        <f>filings!D41</f>
        <v>1485</v>
      </c>
      <c r="F28" s="10">
        <f>filings!K41</f>
        <v>520</v>
      </c>
      <c r="G28" s="72">
        <f t="shared" si="3"/>
        <v>39.5122</v>
      </c>
      <c r="H28" s="72">
        <f t="shared" si="4"/>
        <v>1.2745870967741935</v>
      </c>
      <c r="I28" s="62">
        <f t="shared" si="5"/>
        <v>47.903225806451616</v>
      </c>
      <c r="J28" s="33">
        <f t="shared" si="6"/>
        <v>3.758332869341621E-5</v>
      </c>
      <c r="K28" s="73" t="str">
        <f t="shared" si="2"/>
        <v/>
      </c>
      <c r="L28" s="33">
        <f>'ex8'!D28</f>
        <v>4.0000000000000003E-5</v>
      </c>
      <c r="M28" s="73" t="str">
        <f t="shared" si="2"/>
        <v/>
      </c>
    </row>
    <row r="29" spans="1:13" x14ac:dyDescent="0.25">
      <c r="A29" s="68">
        <f t="shared" si="0"/>
        <v>29</v>
      </c>
      <c r="B29" s="1">
        <v>35004</v>
      </c>
      <c r="C29" s="9">
        <f t="shared" si="1"/>
        <v>30</v>
      </c>
      <c r="D29" s="79">
        <f>filings!C42</f>
        <v>71000</v>
      </c>
      <c r="E29" s="76">
        <f>filings!D42</f>
        <v>1425</v>
      </c>
      <c r="F29" s="10">
        <f>filings!K42</f>
        <v>520</v>
      </c>
      <c r="G29" s="72">
        <f t="shared" si="3"/>
        <v>37.661000000000001</v>
      </c>
      <c r="H29" s="72">
        <f t="shared" si="4"/>
        <v>1.2553666666666667</v>
      </c>
      <c r="I29" s="62">
        <f t="shared" si="5"/>
        <v>47.5</v>
      </c>
      <c r="J29" s="33">
        <f t="shared" si="6"/>
        <v>3.7837550781976048E-5</v>
      </c>
      <c r="K29" s="73" t="str">
        <f t="shared" si="2"/>
        <v/>
      </c>
      <c r="L29" s="33">
        <f>'ex8'!D29</f>
        <v>4.1E-5</v>
      </c>
      <c r="M29" s="73" t="str">
        <f t="shared" si="2"/>
        <v/>
      </c>
    </row>
    <row r="30" spans="1:13" x14ac:dyDescent="0.25">
      <c r="A30" s="68">
        <f t="shared" si="0"/>
        <v>30</v>
      </c>
      <c r="B30" s="1">
        <v>35034</v>
      </c>
      <c r="C30" s="9">
        <f t="shared" si="1"/>
        <v>31</v>
      </c>
      <c r="D30" s="79">
        <f>filings!C43</f>
        <v>73000</v>
      </c>
      <c r="E30" s="76">
        <f>filings!D43</f>
        <v>1175</v>
      </c>
      <c r="F30" s="10">
        <f>filings!K43</f>
        <v>520</v>
      </c>
      <c r="G30" s="72">
        <f t="shared" si="3"/>
        <v>38.570999999999998</v>
      </c>
      <c r="H30" s="72">
        <f t="shared" si="4"/>
        <v>1.244225806451613</v>
      </c>
      <c r="I30" s="62">
        <f t="shared" si="5"/>
        <v>37.903225806451616</v>
      </c>
      <c r="J30" s="33">
        <f t="shared" si="6"/>
        <v>3.0463301444090121E-5</v>
      </c>
      <c r="K30" s="73" t="str">
        <f t="shared" si="2"/>
        <v/>
      </c>
      <c r="L30" s="33">
        <f>'ex8'!D30</f>
        <v>4.3000000000000002E-5</v>
      </c>
      <c r="M30" s="73">
        <f t="shared" si="2"/>
        <v>1.9999999999999999E-6</v>
      </c>
    </row>
    <row r="31" spans="1:13" x14ac:dyDescent="0.25">
      <c r="A31" s="68">
        <f t="shared" si="0"/>
        <v>31</v>
      </c>
      <c r="B31" s="1">
        <v>35065</v>
      </c>
      <c r="C31" s="9">
        <f t="shared" si="1"/>
        <v>31</v>
      </c>
      <c r="D31" s="79">
        <f>filings!C44</f>
        <v>69000</v>
      </c>
      <c r="E31" s="76">
        <f>filings!D44</f>
        <v>1250</v>
      </c>
      <c r="F31" s="10">
        <f>filings!K44</f>
        <v>520</v>
      </c>
      <c r="G31" s="72">
        <f t="shared" si="3"/>
        <v>36.53</v>
      </c>
      <c r="H31" s="72">
        <f t="shared" si="4"/>
        <v>1.1783870967741934</v>
      </c>
      <c r="I31" s="62">
        <f t="shared" si="5"/>
        <v>40.322580645161288</v>
      </c>
      <c r="J31" s="33">
        <f t="shared" si="6"/>
        <v>3.4218450588557355E-5</v>
      </c>
      <c r="K31" s="73" t="str">
        <f t="shared" si="2"/>
        <v/>
      </c>
      <c r="L31" s="33">
        <f>'ex8'!D31</f>
        <v>4.3000000000000002E-5</v>
      </c>
      <c r="M31" s="73">
        <f t="shared" si="2"/>
        <v>1.9999999999999999E-6</v>
      </c>
    </row>
    <row r="32" spans="1:13" x14ac:dyDescent="0.25">
      <c r="A32" s="68">
        <f t="shared" si="0"/>
        <v>32</v>
      </c>
      <c r="B32" s="1">
        <v>35096</v>
      </c>
      <c r="C32" s="9">
        <f t="shared" si="1"/>
        <v>29</v>
      </c>
      <c r="D32" s="79">
        <f>filings!C45</f>
        <v>67000</v>
      </c>
      <c r="E32" s="76">
        <f>filings!D45</f>
        <v>1100</v>
      </c>
      <c r="F32" s="10">
        <f>filings!K45</f>
        <v>520</v>
      </c>
      <c r="G32" s="72">
        <f t="shared" si="3"/>
        <v>35.411999999999999</v>
      </c>
      <c r="H32" s="72">
        <f t="shared" si="4"/>
        <v>1.221103448275862</v>
      </c>
      <c r="I32" s="62">
        <f t="shared" si="5"/>
        <v>37.931034482758619</v>
      </c>
      <c r="J32" s="33">
        <f t="shared" si="6"/>
        <v>3.1062916525471594E-5</v>
      </c>
      <c r="K32" s="73" t="str">
        <f t="shared" si="2"/>
        <v/>
      </c>
      <c r="L32" s="33">
        <f>'ex8'!D32</f>
        <v>4.3000000000000002E-5</v>
      </c>
      <c r="M32" s="73">
        <f t="shared" si="2"/>
        <v>1.9999999999999999E-6</v>
      </c>
    </row>
    <row r="33" spans="1:13" x14ac:dyDescent="0.25">
      <c r="A33" s="68">
        <f t="shared" si="0"/>
        <v>33</v>
      </c>
      <c r="B33" s="1">
        <v>35125</v>
      </c>
      <c r="C33" s="9">
        <f t="shared" si="1"/>
        <v>31</v>
      </c>
      <c r="D33" s="79">
        <f>filings!C46</f>
        <v>68000</v>
      </c>
      <c r="E33" s="76">
        <f>filings!D46</f>
        <v>1350</v>
      </c>
      <c r="F33" s="10">
        <f>filings!K46</f>
        <v>520</v>
      </c>
      <c r="G33" s="72">
        <f t="shared" si="3"/>
        <v>36.061999999999998</v>
      </c>
      <c r="H33" s="72">
        <f t="shared" si="4"/>
        <v>1.163290322580645</v>
      </c>
      <c r="I33" s="62">
        <f t="shared" si="5"/>
        <v>43.548387096774192</v>
      </c>
      <c r="J33" s="33">
        <f t="shared" si="6"/>
        <v>3.7435527702290498E-5</v>
      </c>
      <c r="K33" s="73" t="str">
        <f t="shared" si="2"/>
        <v/>
      </c>
      <c r="L33" s="33">
        <f>'ex8'!D33</f>
        <v>4.3000000000000002E-5</v>
      </c>
      <c r="M33" s="73">
        <f t="shared" si="2"/>
        <v>1.9999999999999999E-6</v>
      </c>
    </row>
    <row r="34" spans="1:13" x14ac:dyDescent="0.25">
      <c r="A34" s="68">
        <f t="shared" si="0"/>
        <v>34</v>
      </c>
      <c r="B34" s="1">
        <v>35156</v>
      </c>
      <c r="C34" s="9">
        <f t="shared" si="1"/>
        <v>30</v>
      </c>
      <c r="D34" s="79">
        <f>filings!C47</f>
        <v>72000</v>
      </c>
      <c r="E34" s="76">
        <f>filings!D47</f>
        <v>1375</v>
      </c>
      <c r="F34" s="10">
        <f>filings!K47</f>
        <v>520</v>
      </c>
      <c r="G34" s="72">
        <f t="shared" si="3"/>
        <v>38.155000000000001</v>
      </c>
      <c r="H34" s="72">
        <f t="shared" si="4"/>
        <v>1.2718333333333331</v>
      </c>
      <c r="I34" s="62">
        <f t="shared" si="5"/>
        <v>45.833333333333336</v>
      </c>
      <c r="J34" s="33">
        <f t="shared" si="6"/>
        <v>3.6037216616432976E-5</v>
      </c>
      <c r="K34" s="73" t="str">
        <f t="shared" si="2"/>
        <v/>
      </c>
      <c r="L34" s="33">
        <f>'ex8'!D34</f>
        <v>3.4999999999999997E-5</v>
      </c>
      <c r="M34" s="73" t="str">
        <f t="shared" si="2"/>
        <v/>
      </c>
    </row>
    <row r="35" spans="1:13" x14ac:dyDescent="0.25">
      <c r="A35" s="68">
        <f t="shared" si="0"/>
        <v>35</v>
      </c>
      <c r="B35" s="1">
        <v>35186</v>
      </c>
      <c r="C35" s="9">
        <f t="shared" si="1"/>
        <v>31</v>
      </c>
      <c r="D35" s="79">
        <f>filings!C48</f>
        <v>78700</v>
      </c>
      <c r="E35" s="76">
        <f>filings!D48</f>
        <v>1525</v>
      </c>
      <c r="F35" s="10">
        <f>filings!K48</f>
        <v>520</v>
      </c>
      <c r="G35" s="72">
        <f t="shared" si="3"/>
        <v>41.716999999999999</v>
      </c>
      <c r="H35" s="72">
        <f t="shared" si="4"/>
        <v>1.3457096774193549</v>
      </c>
      <c r="I35" s="62">
        <f t="shared" si="5"/>
        <v>49.193548387096776</v>
      </c>
      <c r="J35" s="33">
        <f t="shared" si="6"/>
        <v>3.6555840544622103E-5</v>
      </c>
      <c r="K35" s="73" t="str">
        <f t="shared" si="2"/>
        <v/>
      </c>
      <c r="L35" s="33">
        <f>'ex8'!D35</f>
        <v>3.4999999999999997E-5</v>
      </c>
      <c r="M35" s="73" t="str">
        <f t="shared" si="2"/>
        <v/>
      </c>
    </row>
    <row r="36" spans="1:13" x14ac:dyDescent="0.25">
      <c r="A36" s="68">
        <f t="shared" si="0"/>
        <v>36</v>
      </c>
      <c r="B36" s="1">
        <v>35217</v>
      </c>
      <c r="C36" s="9">
        <f t="shared" si="1"/>
        <v>30</v>
      </c>
      <c r="D36" s="79">
        <f>filings!C49</f>
        <v>76600</v>
      </c>
      <c r="E36" s="76">
        <f>filings!D49</f>
        <v>1482</v>
      </c>
      <c r="F36" s="10">
        <f>filings!K49</f>
        <v>520</v>
      </c>
      <c r="G36" s="72">
        <f t="shared" si="3"/>
        <v>40.602640000000001</v>
      </c>
      <c r="H36" s="72">
        <f t="shared" si="4"/>
        <v>1.3534213333333334</v>
      </c>
      <c r="I36" s="62">
        <f t="shared" si="5"/>
        <v>49.4</v>
      </c>
      <c r="J36" s="33">
        <f t="shared" si="6"/>
        <v>3.6500089649342996E-5</v>
      </c>
      <c r="K36" s="73" t="str">
        <f t="shared" si="2"/>
        <v/>
      </c>
      <c r="L36" s="33">
        <f>'ex8'!D36</f>
        <v>3.8000000000000002E-5</v>
      </c>
      <c r="M36" s="73" t="str">
        <f t="shared" si="2"/>
        <v/>
      </c>
    </row>
    <row r="37" spans="1:13" x14ac:dyDescent="0.25">
      <c r="A37" s="68">
        <f t="shared" si="0"/>
        <v>37</v>
      </c>
      <c r="B37" s="1">
        <v>35247</v>
      </c>
      <c r="C37" s="9">
        <f t="shared" ref="C37:C68" si="7">DAY(EOMONTH(B37,0))</f>
        <v>31</v>
      </c>
      <c r="D37" s="79">
        <f>filings!C50</f>
        <v>81000</v>
      </c>
      <c r="E37" s="76">
        <f>filings!D50</f>
        <v>1370</v>
      </c>
      <c r="F37" s="10">
        <f>filings!K50</f>
        <v>520</v>
      </c>
      <c r="G37" s="72">
        <f t="shared" si="3"/>
        <v>42.8324</v>
      </c>
      <c r="H37" s="72">
        <f t="shared" si="4"/>
        <v>1.3816903225806452</v>
      </c>
      <c r="I37" s="62">
        <f t="shared" si="5"/>
        <v>44.193548387096776</v>
      </c>
      <c r="J37" s="33">
        <f t="shared" si="6"/>
        <v>3.1985132749974322E-5</v>
      </c>
      <c r="K37" s="73" t="str">
        <f t="shared" si="2"/>
        <v/>
      </c>
      <c r="L37" s="33">
        <f>'ex8'!D37</f>
        <v>4.0000000000000003E-5</v>
      </c>
      <c r="M37" s="73" t="str">
        <f t="shared" si="2"/>
        <v/>
      </c>
    </row>
    <row r="38" spans="1:13" x14ac:dyDescent="0.25">
      <c r="A38" s="68">
        <f t="shared" si="0"/>
        <v>38</v>
      </c>
      <c r="B38" s="1">
        <v>35278</v>
      </c>
      <c r="C38" s="9">
        <f t="shared" si="7"/>
        <v>31</v>
      </c>
      <c r="D38" s="79">
        <f>filings!C51</f>
        <v>82000</v>
      </c>
      <c r="E38" s="76">
        <f>filings!D51</f>
        <v>1540</v>
      </c>
      <c r="F38" s="10">
        <f>filings!K51</f>
        <v>520</v>
      </c>
      <c r="G38" s="72">
        <f t="shared" si="3"/>
        <v>43.440800000000003</v>
      </c>
      <c r="H38" s="72">
        <f t="shared" si="4"/>
        <v>1.4013161290322582</v>
      </c>
      <c r="I38" s="62">
        <f t="shared" si="5"/>
        <v>49.677419354838712</v>
      </c>
      <c r="J38" s="33">
        <f t="shared" si="6"/>
        <v>3.545054418887313E-5</v>
      </c>
      <c r="K38" s="73" t="str">
        <f t="shared" si="2"/>
        <v/>
      </c>
      <c r="L38" s="33">
        <f>'ex8'!D38</f>
        <v>4.3000000000000002E-5</v>
      </c>
      <c r="M38" s="73">
        <f t="shared" si="2"/>
        <v>1.9999999999999999E-6</v>
      </c>
    </row>
    <row r="39" spans="1:13" x14ac:dyDescent="0.25">
      <c r="A39" s="68">
        <f t="shared" si="0"/>
        <v>39</v>
      </c>
      <c r="B39" s="1">
        <v>35309</v>
      </c>
      <c r="C39" s="9">
        <f t="shared" si="7"/>
        <v>30</v>
      </c>
      <c r="D39" s="79">
        <f>filings!C52</f>
        <v>84550</v>
      </c>
      <c r="E39" s="76">
        <f>filings!D52</f>
        <v>1300</v>
      </c>
      <c r="F39" s="10">
        <f>filings!K52</f>
        <v>520</v>
      </c>
      <c r="G39" s="72">
        <f t="shared" si="3"/>
        <v>44.642000000000003</v>
      </c>
      <c r="H39" s="72">
        <f t="shared" si="4"/>
        <v>1.4880666666666666</v>
      </c>
      <c r="I39" s="62">
        <f t="shared" si="5"/>
        <v>43.333333333333336</v>
      </c>
      <c r="J39" s="33">
        <f t="shared" si="6"/>
        <v>2.9120559114735005E-5</v>
      </c>
      <c r="K39" s="73" t="str">
        <f t="shared" si="2"/>
        <v/>
      </c>
      <c r="L39" s="33">
        <f>'ex8'!D39</f>
        <v>4.3999999999999999E-5</v>
      </c>
      <c r="M39" s="73">
        <f t="shared" si="2"/>
        <v>3.0000000000000001E-6</v>
      </c>
    </row>
    <row r="40" spans="1:13" x14ac:dyDescent="0.25">
      <c r="A40" s="68">
        <f t="shared" si="0"/>
        <v>40</v>
      </c>
      <c r="B40" s="1">
        <v>35339</v>
      </c>
      <c r="C40" s="9">
        <f t="shared" si="7"/>
        <v>31</v>
      </c>
      <c r="D40" s="79">
        <f>filings!C53</f>
        <v>80475</v>
      </c>
      <c r="E40" s="76">
        <f>filings!D53</f>
        <v>1375</v>
      </c>
      <c r="F40" s="10">
        <f>filings!K53</f>
        <v>520</v>
      </c>
      <c r="G40" s="72">
        <f t="shared" si="3"/>
        <v>42.561999999999998</v>
      </c>
      <c r="H40" s="72">
        <f t="shared" si="4"/>
        <v>1.372967741935484</v>
      </c>
      <c r="I40" s="62">
        <f t="shared" si="5"/>
        <v>44.354838709677416</v>
      </c>
      <c r="J40" s="33">
        <f t="shared" si="6"/>
        <v>3.230581269677176E-5</v>
      </c>
      <c r="K40" s="73" t="str">
        <f t="shared" si="2"/>
        <v/>
      </c>
      <c r="L40" s="33">
        <f>'ex8'!D40</f>
        <v>4.5000000000000003E-5</v>
      </c>
      <c r="M40" s="73">
        <f t="shared" si="2"/>
        <v>3.9999999999999998E-6</v>
      </c>
    </row>
    <row r="41" spans="1:13" x14ac:dyDescent="0.25">
      <c r="A41" s="68">
        <f t="shared" si="0"/>
        <v>41</v>
      </c>
      <c r="B41" s="1">
        <v>35370</v>
      </c>
      <c r="C41" s="9">
        <f t="shared" si="7"/>
        <v>30</v>
      </c>
      <c r="D41" s="79">
        <f>filings!C54</f>
        <v>78600</v>
      </c>
      <c r="E41" s="76">
        <f>filings!D54</f>
        <v>1295</v>
      </c>
      <c r="F41" s="10">
        <f>filings!K54</f>
        <v>520</v>
      </c>
      <c r="G41" s="72">
        <f t="shared" si="3"/>
        <v>41.545400000000001</v>
      </c>
      <c r="H41" s="72">
        <f t="shared" si="4"/>
        <v>1.3848466666666668</v>
      </c>
      <c r="I41" s="62">
        <f t="shared" si="5"/>
        <v>43.166666666666664</v>
      </c>
      <c r="J41" s="33">
        <f t="shared" si="6"/>
        <v>3.1170719261338194E-5</v>
      </c>
      <c r="K41" s="73" t="str">
        <f t="shared" si="2"/>
        <v/>
      </c>
      <c r="L41" s="33">
        <f>'ex8'!D41</f>
        <v>4.5000000000000003E-5</v>
      </c>
      <c r="M41" s="73">
        <f t="shared" si="2"/>
        <v>3.9999999999999998E-6</v>
      </c>
    </row>
    <row r="42" spans="1:13" x14ac:dyDescent="0.25">
      <c r="A42" s="68">
        <f t="shared" si="0"/>
        <v>42</v>
      </c>
      <c r="B42" s="1">
        <v>35400</v>
      </c>
      <c r="C42" s="9">
        <f t="shared" si="7"/>
        <v>31</v>
      </c>
      <c r="D42" s="79">
        <f>filings!C55</f>
        <v>78500</v>
      </c>
      <c r="E42" s="76">
        <f>filings!D55</f>
        <v>1400</v>
      </c>
      <c r="F42" s="10">
        <f>filings!K55</f>
        <v>520</v>
      </c>
      <c r="G42" s="72">
        <f t="shared" si="3"/>
        <v>41.548000000000002</v>
      </c>
      <c r="H42" s="72">
        <f t="shared" si="4"/>
        <v>1.3402580645161291</v>
      </c>
      <c r="I42" s="62">
        <f t="shared" si="5"/>
        <v>45.161290322580648</v>
      </c>
      <c r="J42" s="33">
        <f t="shared" si="6"/>
        <v>3.3695966111485512E-5</v>
      </c>
      <c r="K42" s="73" t="str">
        <f t="shared" si="2"/>
        <v/>
      </c>
      <c r="L42" s="33">
        <f>'ex8'!D42</f>
        <v>4.5000000000000003E-5</v>
      </c>
      <c r="M42" s="73">
        <f t="shared" si="2"/>
        <v>3.9999999999999998E-6</v>
      </c>
    </row>
    <row r="43" spans="1:13" x14ac:dyDescent="0.25">
      <c r="A43" s="68">
        <f t="shared" si="0"/>
        <v>43</v>
      </c>
      <c r="B43" s="1">
        <v>35431</v>
      </c>
      <c r="C43" s="9">
        <f t="shared" si="7"/>
        <v>31</v>
      </c>
      <c r="D43" s="79">
        <f>filings!C56</f>
        <v>77000</v>
      </c>
      <c r="E43" s="76">
        <f>filings!D56</f>
        <v>1650</v>
      </c>
      <c r="F43" s="10">
        <f>filings!K56</f>
        <v>520</v>
      </c>
      <c r="G43" s="72">
        <f t="shared" si="3"/>
        <v>40.898000000000003</v>
      </c>
      <c r="H43" s="72">
        <f t="shared" si="4"/>
        <v>1.3192903225806452</v>
      </c>
      <c r="I43" s="62">
        <f t="shared" si="5"/>
        <v>53.225806451612904</v>
      </c>
      <c r="J43" s="33">
        <f t="shared" si="6"/>
        <v>4.034427111350188E-5</v>
      </c>
      <c r="K43" s="73" t="str">
        <f t="shared" si="2"/>
        <v/>
      </c>
      <c r="L43" s="33">
        <f>'ex8'!D43</f>
        <v>5.7000000000000003E-5</v>
      </c>
      <c r="M43" s="73">
        <f t="shared" si="2"/>
        <v>1.5999999999999999E-5</v>
      </c>
    </row>
    <row r="44" spans="1:13" x14ac:dyDescent="0.25">
      <c r="A44" s="68">
        <f t="shared" si="0"/>
        <v>44</v>
      </c>
      <c r="B44" s="1">
        <v>35462</v>
      </c>
      <c r="C44" s="9">
        <f t="shared" si="7"/>
        <v>28</v>
      </c>
      <c r="D44" s="79">
        <f>filings!C57</f>
        <v>71000</v>
      </c>
      <c r="E44" s="76">
        <f>filings!D57</f>
        <v>1700</v>
      </c>
      <c r="F44" s="10">
        <f>filings!K57</f>
        <v>520</v>
      </c>
      <c r="G44" s="72">
        <f t="shared" si="3"/>
        <v>37.804000000000002</v>
      </c>
      <c r="H44" s="72">
        <f t="shared" si="4"/>
        <v>1.3501428571428571</v>
      </c>
      <c r="I44" s="62">
        <f t="shared" si="5"/>
        <v>60.714285714285715</v>
      </c>
      <c r="J44" s="33">
        <f t="shared" si="6"/>
        <v>4.4968786371812509E-5</v>
      </c>
      <c r="K44" s="73">
        <f t="shared" si="2"/>
        <v>3.9999999999999998E-6</v>
      </c>
      <c r="L44" s="33">
        <f>'ex8'!D44</f>
        <v>5.7000000000000003E-5</v>
      </c>
      <c r="M44" s="73">
        <f t="shared" si="2"/>
        <v>1.5999999999999999E-5</v>
      </c>
    </row>
    <row r="45" spans="1:13" x14ac:dyDescent="0.25">
      <c r="A45" s="68">
        <f t="shared" si="0"/>
        <v>45</v>
      </c>
      <c r="B45" s="1">
        <v>35490</v>
      </c>
      <c r="C45" s="9">
        <f t="shared" si="7"/>
        <v>31</v>
      </c>
      <c r="D45" s="79">
        <f>filings!C58</f>
        <v>70000</v>
      </c>
      <c r="E45" s="76">
        <f>filings!D58</f>
        <v>1850</v>
      </c>
      <c r="F45" s="10">
        <f>filings!K58</f>
        <v>520</v>
      </c>
      <c r="G45" s="72">
        <f t="shared" si="3"/>
        <v>37.362000000000002</v>
      </c>
      <c r="H45" s="72">
        <f t="shared" si="4"/>
        <v>1.2052258064516128</v>
      </c>
      <c r="I45" s="62">
        <f t="shared" si="5"/>
        <v>59.677419354838712</v>
      </c>
      <c r="J45" s="33">
        <f t="shared" si="6"/>
        <v>4.9515550559391896E-5</v>
      </c>
      <c r="K45" s="73">
        <f t="shared" si="2"/>
        <v>9.0000000000000002E-6</v>
      </c>
      <c r="L45" s="33">
        <f>'ex8'!D45</f>
        <v>5.1999999999999997E-5</v>
      </c>
      <c r="M45" s="73">
        <f t="shared" si="2"/>
        <v>1.1E-5</v>
      </c>
    </row>
    <row r="46" spans="1:13" x14ac:dyDescent="0.25">
      <c r="A46" s="68">
        <f t="shared" si="0"/>
        <v>46</v>
      </c>
      <c r="B46" s="1">
        <v>35521</v>
      </c>
      <c r="C46" s="9">
        <f t="shared" si="7"/>
        <v>30</v>
      </c>
      <c r="D46" s="79">
        <f>filings!C59</f>
        <v>69500</v>
      </c>
      <c r="E46" s="76">
        <f>filings!D59</f>
        <v>1825</v>
      </c>
      <c r="F46" s="10">
        <f>filings!K59</f>
        <v>520</v>
      </c>
      <c r="G46" s="72">
        <f t="shared" si="3"/>
        <v>37.088999999999999</v>
      </c>
      <c r="H46" s="72">
        <f t="shared" si="4"/>
        <v>1.2363</v>
      </c>
      <c r="I46" s="62">
        <f t="shared" si="5"/>
        <v>60.833333333333336</v>
      </c>
      <c r="J46" s="33">
        <f t="shared" si="6"/>
        <v>4.9205964032462461E-5</v>
      </c>
      <c r="K46" s="73">
        <f t="shared" si="2"/>
        <v>7.9999999999999996E-6</v>
      </c>
      <c r="L46" s="33">
        <f>'ex8'!D46</f>
        <v>4.8999999999999998E-5</v>
      </c>
      <c r="M46" s="73">
        <f t="shared" si="2"/>
        <v>7.9999999999999996E-6</v>
      </c>
    </row>
    <row r="47" spans="1:13" x14ac:dyDescent="0.25">
      <c r="A47" s="68">
        <f t="shared" si="0"/>
        <v>47</v>
      </c>
      <c r="B47" s="1">
        <v>35551</v>
      </c>
      <c r="C47" s="9">
        <f t="shared" si="7"/>
        <v>31</v>
      </c>
      <c r="D47" s="79">
        <f>filings!C60</f>
        <v>69100</v>
      </c>
      <c r="E47" s="76">
        <f>filings!D60</f>
        <v>1750</v>
      </c>
      <c r="F47" s="10">
        <f>filings!K60</f>
        <v>520</v>
      </c>
      <c r="G47" s="72">
        <f t="shared" si="3"/>
        <v>36.841999999999999</v>
      </c>
      <c r="H47" s="72">
        <f t="shared" si="4"/>
        <v>1.1884516129032257</v>
      </c>
      <c r="I47" s="62">
        <f t="shared" si="5"/>
        <v>56.451612903225808</v>
      </c>
      <c r="J47" s="33">
        <f t="shared" si="6"/>
        <v>4.7500135714673477E-5</v>
      </c>
      <c r="K47" s="73">
        <f t="shared" si="2"/>
        <v>6.9999999999999999E-6</v>
      </c>
      <c r="L47" s="33">
        <f>'ex8'!D47</f>
        <v>4.8999999999999998E-5</v>
      </c>
      <c r="M47" s="73">
        <f t="shared" si="2"/>
        <v>7.9999999999999996E-6</v>
      </c>
    </row>
    <row r="48" spans="1:13" x14ac:dyDescent="0.25">
      <c r="A48" s="68">
        <f t="shared" si="0"/>
        <v>48</v>
      </c>
      <c r="B48" s="1">
        <v>35582</v>
      </c>
      <c r="C48" s="9">
        <f t="shared" si="7"/>
        <v>30</v>
      </c>
      <c r="D48" s="79">
        <f>filings!C61</f>
        <v>72700</v>
      </c>
      <c r="E48" s="76">
        <f>filings!D61</f>
        <v>1460</v>
      </c>
      <c r="F48" s="10">
        <f>filings!K61</f>
        <v>520</v>
      </c>
      <c r="G48" s="72">
        <f t="shared" si="3"/>
        <v>38.563200000000002</v>
      </c>
      <c r="H48" s="72">
        <f t="shared" si="4"/>
        <v>1.2854399999999999</v>
      </c>
      <c r="I48" s="62">
        <f t="shared" si="5"/>
        <v>48.666666666666664</v>
      </c>
      <c r="J48" s="33">
        <f t="shared" si="6"/>
        <v>3.7859928636627662E-5</v>
      </c>
      <c r="K48" s="73" t="str">
        <f t="shared" si="2"/>
        <v/>
      </c>
      <c r="L48" s="33">
        <f>'ex8'!D48</f>
        <v>4.3999999999999999E-5</v>
      </c>
      <c r="M48" s="73">
        <f t="shared" si="2"/>
        <v>3.0000000000000001E-6</v>
      </c>
    </row>
    <row r="49" spans="1:13" x14ac:dyDescent="0.25">
      <c r="A49" s="68">
        <f t="shared" si="0"/>
        <v>49</v>
      </c>
      <c r="B49" s="1">
        <v>35612</v>
      </c>
      <c r="C49" s="9">
        <f t="shared" si="7"/>
        <v>31</v>
      </c>
      <c r="D49" s="79">
        <f>filings!C62</f>
        <v>75000</v>
      </c>
      <c r="E49" s="76">
        <f>filings!D62</f>
        <v>1640</v>
      </c>
      <c r="F49" s="10">
        <f>filings!K62</f>
        <v>520</v>
      </c>
      <c r="G49" s="72">
        <f t="shared" si="3"/>
        <v>39.852800000000002</v>
      </c>
      <c r="H49" s="72">
        <f t="shared" si="4"/>
        <v>1.2855741935483871</v>
      </c>
      <c r="I49" s="62">
        <f t="shared" si="5"/>
        <v>52.903225806451616</v>
      </c>
      <c r="J49" s="33">
        <f t="shared" si="6"/>
        <v>4.1151437289224348E-5</v>
      </c>
      <c r="K49" s="73" t="str">
        <f t="shared" si="2"/>
        <v/>
      </c>
      <c r="L49" s="33">
        <f>'ex8'!D49</f>
        <v>4.3999999999999999E-5</v>
      </c>
      <c r="M49" s="73">
        <f t="shared" si="2"/>
        <v>3.0000000000000001E-6</v>
      </c>
    </row>
    <row r="50" spans="1:13" x14ac:dyDescent="0.25">
      <c r="A50" s="68">
        <f t="shared" si="0"/>
        <v>50</v>
      </c>
      <c r="B50" s="1">
        <v>35643</v>
      </c>
      <c r="C50" s="9">
        <f t="shared" si="7"/>
        <v>31</v>
      </c>
      <c r="D50" s="79">
        <f>filings!C63</f>
        <v>79000</v>
      </c>
      <c r="E50" s="76">
        <f>filings!D63</f>
        <v>1540</v>
      </c>
      <c r="F50" s="10">
        <f>filings!K63</f>
        <v>520</v>
      </c>
      <c r="G50" s="72">
        <f t="shared" si="3"/>
        <v>41.880800000000001</v>
      </c>
      <c r="H50" s="72">
        <f t="shared" si="4"/>
        <v>1.3509935483870967</v>
      </c>
      <c r="I50" s="62">
        <f t="shared" si="5"/>
        <v>49.677419354838712</v>
      </c>
      <c r="J50" s="33">
        <f t="shared" si="6"/>
        <v>3.6771026341426142E-5</v>
      </c>
      <c r="K50" s="73" t="str">
        <f t="shared" si="2"/>
        <v/>
      </c>
      <c r="L50" s="33">
        <f>'ex8'!D50</f>
        <v>4.6E-5</v>
      </c>
      <c r="M50" s="73">
        <f t="shared" si="2"/>
        <v>5.0000000000000004E-6</v>
      </c>
    </row>
    <row r="51" spans="1:13" x14ac:dyDescent="0.25">
      <c r="A51" s="68">
        <f t="shared" si="0"/>
        <v>51</v>
      </c>
      <c r="B51" s="1">
        <v>35674</v>
      </c>
      <c r="C51" s="9">
        <f t="shared" si="7"/>
        <v>30</v>
      </c>
      <c r="D51" s="79">
        <f>filings!C64</f>
        <v>78000</v>
      </c>
      <c r="E51" s="76">
        <f>filings!D64</f>
        <v>1550</v>
      </c>
      <c r="F51" s="10">
        <f>filings!K64</f>
        <v>520</v>
      </c>
      <c r="G51" s="72">
        <f t="shared" si="3"/>
        <v>41.366</v>
      </c>
      <c r="H51" s="72">
        <f t="shared" si="4"/>
        <v>1.3788666666666667</v>
      </c>
      <c r="I51" s="62">
        <f t="shared" si="5"/>
        <v>51.666666666666664</v>
      </c>
      <c r="J51" s="33">
        <f t="shared" si="6"/>
        <v>3.7470386307595612E-5</v>
      </c>
      <c r="K51" s="73" t="str">
        <f t="shared" si="2"/>
        <v/>
      </c>
      <c r="L51" s="33">
        <f>'ex8'!D51</f>
        <v>4.6E-5</v>
      </c>
      <c r="M51" s="73">
        <f t="shared" si="2"/>
        <v>5.0000000000000004E-6</v>
      </c>
    </row>
    <row r="52" spans="1:13" x14ac:dyDescent="0.25">
      <c r="A52" s="68">
        <f t="shared" si="0"/>
        <v>52</v>
      </c>
      <c r="B52" s="1">
        <v>35704</v>
      </c>
      <c r="C52" s="9">
        <f t="shared" si="7"/>
        <v>31</v>
      </c>
      <c r="D52" s="79">
        <f>filings!C65</f>
        <v>76000</v>
      </c>
      <c r="E52" s="76">
        <f>filings!D65</f>
        <v>1720</v>
      </c>
      <c r="F52" s="10">
        <f>filings!K65</f>
        <v>520</v>
      </c>
      <c r="G52" s="72">
        <f t="shared" si="3"/>
        <v>40.414400000000001</v>
      </c>
      <c r="H52" s="72">
        <f t="shared" si="4"/>
        <v>1.3036903225806451</v>
      </c>
      <c r="I52" s="62">
        <f t="shared" si="5"/>
        <v>55.483870967741936</v>
      </c>
      <c r="J52" s="33">
        <f t="shared" si="6"/>
        <v>4.25590878498753E-5</v>
      </c>
      <c r="K52" s="73">
        <f t="shared" si="2"/>
        <v>1.9999999999999999E-6</v>
      </c>
      <c r="L52" s="33">
        <f>'ex8'!D52</f>
        <v>4.8999999999999998E-5</v>
      </c>
      <c r="M52" s="73">
        <f t="shared" si="2"/>
        <v>7.9999999999999996E-6</v>
      </c>
    </row>
    <row r="53" spans="1:13" x14ac:dyDescent="0.25">
      <c r="A53" s="68">
        <f t="shared" si="0"/>
        <v>53</v>
      </c>
      <c r="B53" s="1">
        <v>35735</v>
      </c>
      <c r="C53" s="9">
        <f t="shared" si="7"/>
        <v>30</v>
      </c>
      <c r="D53" s="79">
        <f>filings!C66</f>
        <v>78900</v>
      </c>
      <c r="E53" s="76">
        <f>filings!D66</f>
        <v>1473.5</v>
      </c>
      <c r="F53" s="10">
        <f>filings!K66</f>
        <v>520</v>
      </c>
      <c r="G53" s="72">
        <f t="shared" si="3"/>
        <v>41.794220000000003</v>
      </c>
      <c r="H53" s="72">
        <f t="shared" si="4"/>
        <v>1.3931406666666668</v>
      </c>
      <c r="I53" s="62">
        <f t="shared" si="5"/>
        <v>49.116666666666667</v>
      </c>
      <c r="J53" s="33">
        <f t="shared" si="6"/>
        <v>3.5256071294068891E-5</v>
      </c>
      <c r="K53" s="73" t="str">
        <f t="shared" si="2"/>
        <v/>
      </c>
      <c r="L53" s="33">
        <f>'ex8'!D53</f>
        <v>4.8000000000000001E-5</v>
      </c>
      <c r="M53" s="73">
        <f t="shared" si="2"/>
        <v>6.9999999999999999E-6</v>
      </c>
    </row>
    <row r="54" spans="1:13" x14ac:dyDescent="0.25">
      <c r="A54" s="68">
        <f t="shared" si="0"/>
        <v>54</v>
      </c>
      <c r="B54" s="1">
        <v>35765</v>
      </c>
      <c r="C54" s="9">
        <f t="shared" si="7"/>
        <v>31</v>
      </c>
      <c r="D54" s="79">
        <f>filings!C67</f>
        <v>81000</v>
      </c>
      <c r="E54" s="76">
        <f>filings!D67</f>
        <v>1825</v>
      </c>
      <c r="F54" s="10">
        <f>filings!K67</f>
        <v>520</v>
      </c>
      <c r="G54" s="72">
        <f t="shared" si="3"/>
        <v>43.069000000000003</v>
      </c>
      <c r="H54" s="72">
        <f t="shared" si="4"/>
        <v>1.3893225806451612</v>
      </c>
      <c r="I54" s="62">
        <f t="shared" si="5"/>
        <v>58.87096774193548</v>
      </c>
      <c r="J54" s="33">
        <f t="shared" si="6"/>
        <v>4.237386519306229E-5</v>
      </c>
      <c r="K54" s="73">
        <f t="shared" si="2"/>
        <v>9.9999999999999995E-7</v>
      </c>
      <c r="L54" s="33">
        <f>'ex8'!D54</f>
        <v>4.8000000000000001E-5</v>
      </c>
      <c r="M54" s="73">
        <f t="shared" si="2"/>
        <v>6.9999999999999999E-6</v>
      </c>
    </row>
    <row r="55" spans="1:13" x14ac:dyDescent="0.25">
      <c r="A55" s="68">
        <f t="shared" si="0"/>
        <v>55</v>
      </c>
      <c r="B55" s="1">
        <v>35796</v>
      </c>
      <c r="C55" s="9">
        <f t="shared" si="7"/>
        <v>31</v>
      </c>
      <c r="D55" s="79">
        <f>filings!C68</f>
        <v>78500</v>
      </c>
      <c r="E55" s="76">
        <f>filings!D68</f>
        <v>1560</v>
      </c>
      <c r="F55" s="10">
        <f>filings!K68</f>
        <v>520</v>
      </c>
      <c r="G55" s="72">
        <f t="shared" si="3"/>
        <v>41.6312</v>
      </c>
      <c r="H55" s="72">
        <f t="shared" si="4"/>
        <v>1.342941935483871</v>
      </c>
      <c r="I55" s="62">
        <f t="shared" si="5"/>
        <v>50.322580645161288</v>
      </c>
      <c r="J55" s="33">
        <f t="shared" si="6"/>
        <v>3.7471896077941544E-5</v>
      </c>
      <c r="K55" s="73" t="str">
        <f t="shared" si="2"/>
        <v/>
      </c>
      <c r="L55" s="33">
        <f>'ex8'!D55</f>
        <v>4.8000000000000001E-5</v>
      </c>
      <c r="M55" s="73">
        <f t="shared" si="2"/>
        <v>6.9999999999999999E-6</v>
      </c>
    </row>
    <row r="56" spans="1:13" x14ac:dyDescent="0.25">
      <c r="A56" s="68">
        <f t="shared" si="0"/>
        <v>56</v>
      </c>
      <c r="B56" s="1">
        <v>35827</v>
      </c>
      <c r="C56" s="9">
        <f t="shared" si="7"/>
        <v>28</v>
      </c>
      <c r="D56" s="79">
        <f>filings!C69</f>
        <v>79500</v>
      </c>
      <c r="E56" s="76">
        <f>filings!D69</f>
        <v>1810</v>
      </c>
      <c r="F56" s="10">
        <f>filings!K69</f>
        <v>520</v>
      </c>
      <c r="G56" s="72">
        <f t="shared" si="3"/>
        <v>42.281199999999998</v>
      </c>
      <c r="H56" s="72">
        <f t="shared" si="4"/>
        <v>1.510042857142857</v>
      </c>
      <c r="I56" s="62">
        <f t="shared" si="5"/>
        <v>64.642857142857139</v>
      </c>
      <c r="J56" s="33">
        <f t="shared" si="6"/>
        <v>4.2808624163931017E-5</v>
      </c>
      <c r="K56" s="73">
        <f t="shared" si="2"/>
        <v>1.9999999999999999E-6</v>
      </c>
      <c r="L56" s="33">
        <f>'ex8'!D56</f>
        <v>4.8000000000000001E-5</v>
      </c>
      <c r="M56" s="73">
        <f t="shared" si="2"/>
        <v>6.9999999999999999E-6</v>
      </c>
    </row>
    <row r="57" spans="1:13" x14ac:dyDescent="0.25">
      <c r="A57" s="68">
        <f t="shared" si="0"/>
        <v>57</v>
      </c>
      <c r="B57" s="1">
        <v>35855</v>
      </c>
      <c r="C57" s="9">
        <f t="shared" si="7"/>
        <v>31</v>
      </c>
      <c r="D57" s="79">
        <f>filings!C70</f>
        <v>81250</v>
      </c>
      <c r="E57" s="76">
        <f>filings!D70</f>
        <v>1700</v>
      </c>
      <c r="F57" s="10">
        <f>filings!K70</f>
        <v>520</v>
      </c>
      <c r="G57" s="72">
        <f t="shared" si="3"/>
        <v>43.134</v>
      </c>
      <c r="H57" s="72">
        <f t="shared" si="4"/>
        <v>1.3914193548387095</v>
      </c>
      <c r="I57" s="62">
        <f t="shared" si="5"/>
        <v>54.838709677419352</v>
      </c>
      <c r="J57" s="33">
        <f t="shared" si="6"/>
        <v>3.9412064728520424E-5</v>
      </c>
      <c r="K57" s="73" t="str">
        <f t="shared" si="2"/>
        <v/>
      </c>
      <c r="L57" s="33">
        <f>'ex8'!D57</f>
        <v>4.5000000000000003E-5</v>
      </c>
      <c r="M57" s="73">
        <f t="shared" si="2"/>
        <v>3.9999999999999998E-6</v>
      </c>
    </row>
    <row r="58" spans="1:13" x14ac:dyDescent="0.25">
      <c r="A58" s="68">
        <f t="shared" si="0"/>
        <v>58</v>
      </c>
      <c r="B58" s="1">
        <v>35886</v>
      </c>
      <c r="C58" s="9">
        <f t="shared" si="7"/>
        <v>30</v>
      </c>
      <c r="D58" s="79">
        <f>filings!C71</f>
        <v>76000</v>
      </c>
      <c r="E58" s="76">
        <f>filings!D71</f>
        <v>1575</v>
      </c>
      <c r="F58" s="10">
        <f>filings!K71</f>
        <v>520</v>
      </c>
      <c r="G58" s="72">
        <f t="shared" si="3"/>
        <v>40.338999999999999</v>
      </c>
      <c r="H58" s="72">
        <f t="shared" si="4"/>
        <v>1.3446333333333333</v>
      </c>
      <c r="I58" s="62">
        <f t="shared" si="5"/>
        <v>52.5</v>
      </c>
      <c r="J58" s="33">
        <f t="shared" si="6"/>
        <v>3.9044101241974271E-5</v>
      </c>
      <c r="K58" s="73" t="str">
        <f t="shared" si="2"/>
        <v/>
      </c>
      <c r="L58" s="33">
        <f>'ex8'!D58</f>
        <v>4.3000000000000002E-5</v>
      </c>
      <c r="M58" s="73">
        <f t="shared" si="2"/>
        <v>1.9999999999999999E-6</v>
      </c>
    </row>
    <row r="59" spans="1:13" x14ac:dyDescent="0.25">
      <c r="A59" s="68">
        <f t="shared" si="0"/>
        <v>59</v>
      </c>
      <c r="B59" s="1">
        <v>35916</v>
      </c>
      <c r="C59" s="9">
        <f t="shared" si="7"/>
        <v>31</v>
      </c>
      <c r="D59" s="79">
        <f>filings!C72</f>
        <v>81585</v>
      </c>
      <c r="E59" s="76">
        <f>filings!D72</f>
        <v>1600</v>
      </c>
      <c r="F59" s="10">
        <f>filings!K72</f>
        <v>520</v>
      </c>
      <c r="G59" s="72">
        <f t="shared" si="3"/>
        <v>43.2562</v>
      </c>
      <c r="H59" s="72">
        <f t="shared" si="4"/>
        <v>1.3953612903225807</v>
      </c>
      <c r="I59" s="62">
        <f t="shared" si="5"/>
        <v>51.612903225806448</v>
      </c>
      <c r="J59" s="33">
        <f t="shared" si="6"/>
        <v>3.6988917195685238E-5</v>
      </c>
      <c r="K59" s="73" t="str">
        <f t="shared" si="2"/>
        <v/>
      </c>
      <c r="L59" s="33">
        <f>'ex8'!D59</f>
        <v>4.3999999999999999E-5</v>
      </c>
      <c r="M59" s="73">
        <f t="shared" si="2"/>
        <v>3.0000000000000001E-6</v>
      </c>
    </row>
    <row r="60" spans="1:13" x14ac:dyDescent="0.25">
      <c r="A60" s="68">
        <f t="shared" si="0"/>
        <v>60</v>
      </c>
      <c r="B60" s="1">
        <v>35947</v>
      </c>
      <c r="C60" s="9">
        <f t="shared" si="7"/>
        <v>30</v>
      </c>
      <c r="D60" s="79">
        <f>filings!C73</f>
        <v>86500</v>
      </c>
      <c r="E60" s="76">
        <f>filings!D73</f>
        <v>1530</v>
      </c>
      <c r="F60" s="10">
        <f>filings!K73</f>
        <v>520</v>
      </c>
      <c r="G60" s="72">
        <f t="shared" si="3"/>
        <v>45.775599999999997</v>
      </c>
      <c r="H60" s="72">
        <f t="shared" si="4"/>
        <v>1.5258533333333333</v>
      </c>
      <c r="I60" s="62">
        <f t="shared" si="5"/>
        <v>51</v>
      </c>
      <c r="J60" s="33">
        <f t="shared" si="6"/>
        <v>3.3423920167075912E-5</v>
      </c>
      <c r="K60" s="73" t="str">
        <f t="shared" si="2"/>
        <v/>
      </c>
      <c r="L60" s="33">
        <f>'ex8'!D60</f>
        <v>4.3999999999999999E-5</v>
      </c>
      <c r="M60" s="73">
        <f t="shared" si="2"/>
        <v>3.0000000000000001E-6</v>
      </c>
    </row>
    <row r="61" spans="1:13" x14ac:dyDescent="0.25">
      <c r="A61" s="68">
        <f t="shared" si="0"/>
        <v>61</v>
      </c>
      <c r="B61" s="1">
        <v>35977</v>
      </c>
      <c r="C61" s="9">
        <f t="shared" si="7"/>
        <v>31</v>
      </c>
      <c r="D61" s="79">
        <f>filings!C74</f>
        <v>86150</v>
      </c>
      <c r="E61" s="76">
        <f>filings!D74</f>
        <v>1500</v>
      </c>
      <c r="F61" s="10">
        <f>filings!K74</f>
        <v>520</v>
      </c>
      <c r="G61" s="72">
        <f t="shared" si="3"/>
        <v>45.578000000000003</v>
      </c>
      <c r="H61" s="72">
        <f t="shared" si="4"/>
        <v>1.4702580645161289</v>
      </c>
      <c r="I61" s="62">
        <f t="shared" si="5"/>
        <v>48.387096774193552</v>
      </c>
      <c r="J61" s="33">
        <f t="shared" si="6"/>
        <v>3.2910614770283917E-5</v>
      </c>
      <c r="K61" s="73" t="str">
        <f t="shared" si="2"/>
        <v/>
      </c>
      <c r="L61" s="33">
        <f>'ex8'!D61</f>
        <v>4.3999999999999999E-5</v>
      </c>
      <c r="M61" s="73">
        <f t="shared" si="2"/>
        <v>3.0000000000000001E-6</v>
      </c>
    </row>
    <row r="62" spans="1:13" x14ac:dyDescent="0.25">
      <c r="A62" s="68">
        <f t="shared" si="0"/>
        <v>62</v>
      </c>
      <c r="B62" s="1">
        <v>36008</v>
      </c>
      <c r="C62" s="9">
        <f t="shared" si="7"/>
        <v>31</v>
      </c>
      <c r="D62" s="79">
        <f>filings!C75</f>
        <v>70550</v>
      </c>
      <c r="E62" s="76">
        <f>filings!D75</f>
        <v>1650</v>
      </c>
      <c r="F62" s="10">
        <f>filings!K75</f>
        <v>520</v>
      </c>
      <c r="G62" s="72">
        <f t="shared" si="3"/>
        <v>37.543999999999997</v>
      </c>
      <c r="H62" s="72">
        <f t="shared" si="4"/>
        <v>1.2110967741935483</v>
      </c>
      <c r="I62" s="62">
        <f t="shared" si="5"/>
        <v>53.225806451612904</v>
      </c>
      <c r="J62" s="33">
        <f t="shared" si="6"/>
        <v>4.394843383763052E-5</v>
      </c>
      <c r="K62" s="73">
        <f>IF(J62&gt;0.00415%,ROUND(J62-0.0041%,6),"")</f>
        <v>3.0000000000000001E-6</v>
      </c>
      <c r="L62" s="33">
        <f>'ex8'!D62</f>
        <v>4.8000000000000001E-5</v>
      </c>
      <c r="M62" s="73">
        <f>IF(L62&gt;0.00415%,ROUND(L62-0.0041%,6),"")</f>
        <v>6.9999999999999999E-6</v>
      </c>
    </row>
    <row r="63" spans="1:13" x14ac:dyDescent="0.25">
      <c r="A63" s="68">
        <f t="shared" si="0"/>
        <v>63</v>
      </c>
      <c r="B63" s="1">
        <v>36039</v>
      </c>
      <c r="C63" s="9">
        <f t="shared" si="7"/>
        <v>30</v>
      </c>
      <c r="D63" s="79">
        <f>filings!C76</f>
        <v>78950</v>
      </c>
      <c r="E63" s="76">
        <f>filings!D76</f>
        <v>1500</v>
      </c>
      <c r="F63" s="10">
        <f>filings!K76</f>
        <v>520</v>
      </c>
      <c r="G63" s="72">
        <f t="shared" si="3"/>
        <v>41.834000000000003</v>
      </c>
      <c r="H63" s="72">
        <f t="shared" si="4"/>
        <v>1.3944666666666667</v>
      </c>
      <c r="I63" s="62">
        <f t="shared" si="5"/>
        <v>50</v>
      </c>
      <c r="J63" s="33">
        <f t="shared" si="6"/>
        <v>3.5856002294784144E-5</v>
      </c>
      <c r="K63" s="73" t="str">
        <f t="shared" ref="K63:M82" si="8">IF(J63&gt;0.00415%,ROUND(J63-0.0041%,6),"")</f>
        <v/>
      </c>
      <c r="L63" s="33">
        <f>'ex8'!D63</f>
        <v>4.8000000000000001E-5</v>
      </c>
      <c r="M63" s="73">
        <f t="shared" si="8"/>
        <v>6.9999999999999999E-6</v>
      </c>
    </row>
    <row r="64" spans="1:13" x14ac:dyDescent="0.25">
      <c r="A64" s="68">
        <f t="shared" si="0"/>
        <v>64</v>
      </c>
      <c r="B64" s="1">
        <v>36069</v>
      </c>
      <c r="C64" s="9">
        <f t="shared" si="7"/>
        <v>31</v>
      </c>
      <c r="D64" s="79">
        <f>filings!C77</f>
        <v>77150.2</v>
      </c>
      <c r="E64" s="76">
        <f>filings!D77</f>
        <v>1695</v>
      </c>
      <c r="F64" s="10">
        <f>filings!K77</f>
        <v>520</v>
      </c>
      <c r="G64" s="72">
        <f t="shared" si="3"/>
        <v>40.999504000000002</v>
      </c>
      <c r="H64" s="72">
        <f t="shared" si="4"/>
        <v>1.3225646451612905</v>
      </c>
      <c r="I64" s="62">
        <f t="shared" si="5"/>
        <v>54.677419354838712</v>
      </c>
      <c r="J64" s="33">
        <f t="shared" si="6"/>
        <v>4.134196355155906E-5</v>
      </c>
      <c r="K64" s="73" t="str">
        <f t="shared" si="8"/>
        <v/>
      </c>
      <c r="L64" s="33">
        <f>'ex8'!D64</f>
        <v>4.8000000000000001E-5</v>
      </c>
      <c r="M64" s="73">
        <f t="shared" si="8"/>
        <v>6.9999999999999999E-6</v>
      </c>
    </row>
    <row r="65" spans="1:13" x14ac:dyDescent="0.25">
      <c r="A65" s="68">
        <f t="shared" si="0"/>
        <v>65</v>
      </c>
      <c r="B65" s="1">
        <v>36100</v>
      </c>
      <c r="C65" s="9">
        <f t="shared" si="7"/>
        <v>30</v>
      </c>
      <c r="D65" s="79">
        <f>filings!C78</f>
        <v>76000</v>
      </c>
      <c r="E65" s="76">
        <f>filings!D78</f>
        <v>1600</v>
      </c>
      <c r="F65" s="10">
        <f>filings!K78</f>
        <v>520</v>
      </c>
      <c r="G65" s="72">
        <f t="shared" si="3"/>
        <v>40.351999999999997</v>
      </c>
      <c r="H65" s="72">
        <f t="shared" si="4"/>
        <v>1.3450666666666669</v>
      </c>
      <c r="I65" s="62">
        <f t="shared" si="5"/>
        <v>53.333333333333336</v>
      </c>
      <c r="J65" s="33">
        <f t="shared" si="6"/>
        <v>3.9651070578905625E-5</v>
      </c>
      <c r="K65" s="73" t="str">
        <f t="shared" si="8"/>
        <v/>
      </c>
      <c r="L65" s="33">
        <f>'ex8'!D65</f>
        <v>4.8000000000000001E-5</v>
      </c>
      <c r="M65" s="73">
        <f t="shared" si="8"/>
        <v>6.9999999999999999E-6</v>
      </c>
    </row>
    <row r="66" spans="1:13" x14ac:dyDescent="0.25">
      <c r="A66" s="68">
        <f t="shared" si="0"/>
        <v>66</v>
      </c>
      <c r="B66" s="1">
        <v>36130</v>
      </c>
      <c r="C66" s="9">
        <f t="shared" si="7"/>
        <v>31</v>
      </c>
      <c r="D66" s="79">
        <f>filings!C79</f>
        <v>72450</v>
      </c>
      <c r="E66" s="76">
        <f>filings!D79</f>
        <v>1950</v>
      </c>
      <c r="F66" s="10">
        <f>filings!K79</f>
        <v>520</v>
      </c>
      <c r="G66" s="72">
        <f t="shared" si="3"/>
        <v>38.688000000000002</v>
      </c>
      <c r="H66" s="72">
        <f t="shared" si="4"/>
        <v>1.248</v>
      </c>
      <c r="I66" s="62">
        <f t="shared" si="5"/>
        <v>62.903225806451616</v>
      </c>
      <c r="J66" s="33">
        <f t="shared" si="6"/>
        <v>5.0403225806451613E-5</v>
      </c>
      <c r="K66" s="73">
        <f t="shared" si="8"/>
        <v>9.0000000000000002E-6</v>
      </c>
      <c r="L66" s="33">
        <f>'ex8'!D66</f>
        <v>4.8000000000000001E-5</v>
      </c>
      <c r="M66" s="73">
        <f t="shared" si="8"/>
        <v>6.9999999999999999E-6</v>
      </c>
    </row>
    <row r="67" spans="1:13" x14ac:dyDescent="0.25">
      <c r="A67" s="68">
        <f t="shared" si="0"/>
        <v>67</v>
      </c>
      <c r="B67" s="1">
        <v>36161</v>
      </c>
      <c r="C67" s="9">
        <f t="shared" si="7"/>
        <v>31</v>
      </c>
      <c r="D67" s="79">
        <f>filings!C80</f>
        <v>77500</v>
      </c>
      <c r="E67" s="76">
        <f>filings!D80</f>
        <v>1875</v>
      </c>
      <c r="F67" s="10">
        <f>filings!K80</f>
        <v>520</v>
      </c>
      <c r="G67" s="72">
        <f t="shared" si="3"/>
        <v>41.274999999999999</v>
      </c>
      <c r="H67" s="72">
        <f t="shared" si="4"/>
        <v>1.3314516129032257</v>
      </c>
      <c r="I67" s="62">
        <f t="shared" si="5"/>
        <v>60.483870967741936</v>
      </c>
      <c r="J67" s="33">
        <f t="shared" si="6"/>
        <v>4.542701393095094E-5</v>
      </c>
      <c r="K67" s="73">
        <f t="shared" si="8"/>
        <v>3.9999999999999998E-6</v>
      </c>
      <c r="L67" s="33">
        <f>'ex8'!D67</f>
        <v>4.8000000000000001E-5</v>
      </c>
      <c r="M67" s="73">
        <f t="shared" si="8"/>
        <v>6.9999999999999999E-6</v>
      </c>
    </row>
    <row r="68" spans="1:13" x14ac:dyDescent="0.25">
      <c r="A68" s="68">
        <f t="shared" ref="A68:A100" si="9">A67+1</f>
        <v>68</v>
      </c>
      <c r="B68" s="1">
        <v>36192</v>
      </c>
      <c r="C68" s="9">
        <f t="shared" si="7"/>
        <v>28</v>
      </c>
      <c r="D68" s="79">
        <f>filings!C81</f>
        <v>66000</v>
      </c>
      <c r="E68" s="76">
        <f>filings!D81</f>
        <v>1455</v>
      </c>
      <c r="F68" s="10">
        <f>filings!K81</f>
        <v>520</v>
      </c>
      <c r="G68" s="72">
        <f t="shared" si="3"/>
        <v>35.076599999999999</v>
      </c>
      <c r="H68" s="72">
        <f t="shared" si="4"/>
        <v>1.2527357142857143</v>
      </c>
      <c r="I68" s="62">
        <f t="shared" si="5"/>
        <v>51.964285714285715</v>
      </c>
      <c r="J68" s="33">
        <f t="shared" si="6"/>
        <v>4.1480645216469102E-5</v>
      </c>
      <c r="K68" s="73" t="str">
        <f t="shared" si="8"/>
        <v/>
      </c>
      <c r="L68" s="33">
        <f>'ex8'!D68</f>
        <v>4.1999999999999998E-5</v>
      </c>
      <c r="M68" s="73">
        <f t="shared" si="8"/>
        <v>9.9999999999999995E-7</v>
      </c>
    </row>
    <row r="69" spans="1:13" x14ac:dyDescent="0.25">
      <c r="A69" s="68">
        <f t="shared" si="9"/>
        <v>69</v>
      </c>
      <c r="B69" s="1">
        <v>36220</v>
      </c>
      <c r="C69" s="9">
        <f t="shared" ref="C69:C100" si="10">DAY(EOMONTH(B69,0))</f>
        <v>31</v>
      </c>
      <c r="D69" s="79">
        <f>filings!C82</f>
        <v>64000</v>
      </c>
      <c r="E69" s="76">
        <f>filings!D82</f>
        <v>1470</v>
      </c>
      <c r="F69" s="10">
        <f>filings!K82</f>
        <v>520</v>
      </c>
      <c r="G69" s="72">
        <f t="shared" si="3"/>
        <v>34.044400000000003</v>
      </c>
      <c r="H69" s="72">
        <f t="shared" si="4"/>
        <v>1.0982064516129033</v>
      </c>
      <c r="I69" s="62">
        <f t="shared" si="5"/>
        <v>47.41935483870968</v>
      </c>
      <c r="J69" s="33">
        <f t="shared" si="6"/>
        <v>4.3178907544265716E-5</v>
      </c>
      <c r="K69" s="73">
        <f t="shared" si="8"/>
        <v>1.9999999999999999E-6</v>
      </c>
      <c r="L69" s="33">
        <f>'ex8'!D69</f>
        <v>3.6000000000000001E-5</v>
      </c>
      <c r="M69" s="73" t="str">
        <f t="shared" si="8"/>
        <v/>
      </c>
    </row>
    <row r="70" spans="1:13" x14ac:dyDescent="0.25">
      <c r="A70" s="68">
        <f t="shared" si="9"/>
        <v>70</v>
      </c>
      <c r="B70" s="1">
        <v>36251</v>
      </c>
      <c r="C70" s="9">
        <f t="shared" si="10"/>
        <v>30</v>
      </c>
      <c r="D70" s="79">
        <f>filings!C83</f>
        <v>79000</v>
      </c>
      <c r="E70" s="76">
        <f>filings!D83</f>
        <v>1635</v>
      </c>
      <c r="F70" s="10">
        <f>filings!K83</f>
        <v>520</v>
      </c>
      <c r="G70" s="72">
        <f t="shared" si="3"/>
        <v>41.930199999999999</v>
      </c>
      <c r="H70" s="72">
        <f t="shared" si="4"/>
        <v>1.3976733333333333</v>
      </c>
      <c r="I70" s="62">
        <f t="shared" si="5"/>
        <v>54.5</v>
      </c>
      <c r="J70" s="33">
        <f t="shared" si="6"/>
        <v>3.89933747036742E-5</v>
      </c>
      <c r="K70" s="73" t="str">
        <f t="shared" si="8"/>
        <v/>
      </c>
      <c r="L70" s="33">
        <f>'ex8'!D70</f>
        <v>3.4999999999999997E-5</v>
      </c>
      <c r="M70" s="73" t="str">
        <f t="shared" si="8"/>
        <v/>
      </c>
    </row>
    <row r="71" spans="1:13" x14ac:dyDescent="0.25">
      <c r="A71" s="68">
        <f t="shared" si="9"/>
        <v>71</v>
      </c>
      <c r="B71" s="1">
        <v>36281</v>
      </c>
      <c r="C71" s="9">
        <f t="shared" si="10"/>
        <v>31</v>
      </c>
      <c r="D71" s="79">
        <f>filings!C84</f>
        <v>67000</v>
      </c>
      <c r="E71" s="76">
        <f>filings!D84</f>
        <v>1300</v>
      </c>
      <c r="F71" s="10">
        <f>filings!K84</f>
        <v>520</v>
      </c>
      <c r="G71" s="72">
        <f t="shared" si="3"/>
        <v>35.515999999999998</v>
      </c>
      <c r="H71" s="72">
        <f t="shared" si="4"/>
        <v>1.1456774193548387</v>
      </c>
      <c r="I71" s="62">
        <f t="shared" si="5"/>
        <v>41.935483870967744</v>
      </c>
      <c r="J71" s="33">
        <f t="shared" si="6"/>
        <v>3.6603221083455344E-5</v>
      </c>
      <c r="K71" s="73" t="str">
        <f t="shared" si="8"/>
        <v/>
      </c>
      <c r="L71" s="33">
        <f>'ex8'!D71</f>
        <v>3.4999999999999997E-5</v>
      </c>
      <c r="M71" s="73" t="str">
        <f t="shared" si="8"/>
        <v/>
      </c>
    </row>
    <row r="72" spans="1:13" x14ac:dyDescent="0.25">
      <c r="A72" s="68">
        <f t="shared" si="9"/>
        <v>72</v>
      </c>
      <c r="B72" s="1">
        <v>36312</v>
      </c>
      <c r="C72" s="9">
        <f t="shared" si="10"/>
        <v>30</v>
      </c>
      <c r="D72" s="79">
        <f>filings!C85</f>
        <v>70000</v>
      </c>
      <c r="E72" s="76">
        <f>filings!D85</f>
        <v>1000</v>
      </c>
      <c r="F72" s="10">
        <f>filings!K85</f>
        <v>520</v>
      </c>
      <c r="G72" s="72">
        <f t="shared" si="3"/>
        <v>36.92</v>
      </c>
      <c r="H72" s="72">
        <f t="shared" si="4"/>
        <v>1.2306666666666668</v>
      </c>
      <c r="I72" s="62">
        <f t="shared" si="5"/>
        <v>33.333333333333336</v>
      </c>
      <c r="J72" s="33">
        <f t="shared" si="6"/>
        <v>2.7085590465872156E-5</v>
      </c>
      <c r="K72" s="73" t="str">
        <f t="shared" si="8"/>
        <v/>
      </c>
      <c r="L72" s="33">
        <f>'ex8'!D72</f>
        <v>3.8000000000000002E-5</v>
      </c>
      <c r="M72" s="73" t="str">
        <f t="shared" si="8"/>
        <v/>
      </c>
    </row>
    <row r="73" spans="1:13" x14ac:dyDescent="0.25">
      <c r="A73" s="68">
        <f t="shared" si="9"/>
        <v>73</v>
      </c>
      <c r="B73" s="1">
        <v>36342</v>
      </c>
      <c r="C73" s="9">
        <f t="shared" si="10"/>
        <v>31</v>
      </c>
      <c r="D73" s="79">
        <f>filings!C86</f>
        <v>79500</v>
      </c>
      <c r="E73" s="76">
        <f>filings!D86</f>
        <v>925</v>
      </c>
      <c r="F73" s="10">
        <f>filings!K86</f>
        <v>520</v>
      </c>
      <c r="G73" s="72">
        <f t="shared" ref="G73:G82" si="11">(D73+E73)*F73/1000000</f>
        <v>41.820999999999998</v>
      </c>
      <c r="H73" s="72">
        <f t="shared" ref="H73:H82" si="12">(D73+E73)*F73/C73/1000000</f>
        <v>1.3490645161290322</v>
      </c>
      <c r="I73" s="62">
        <f t="shared" ref="I73:I82" si="13">E73/C73</f>
        <v>29.838709677419356</v>
      </c>
      <c r="J73" s="33">
        <f t="shared" ref="J73:J82" si="14">I73/H73/1000000</f>
        <v>2.2118074651490878E-5</v>
      </c>
      <c r="K73" s="73" t="str">
        <f t="shared" si="8"/>
        <v/>
      </c>
      <c r="L73" s="33">
        <f>'ex8'!D73</f>
        <v>3.0000000000000001E-5</v>
      </c>
      <c r="M73" s="73" t="str">
        <f t="shared" si="8"/>
        <v/>
      </c>
    </row>
    <row r="74" spans="1:13" x14ac:dyDescent="0.25">
      <c r="A74" s="68">
        <f t="shared" si="9"/>
        <v>74</v>
      </c>
      <c r="B74" s="1">
        <v>36373</v>
      </c>
      <c r="C74" s="9">
        <f t="shared" si="10"/>
        <v>31</v>
      </c>
      <c r="D74" s="79">
        <f>filings!C87</f>
        <v>68000</v>
      </c>
      <c r="E74" s="76">
        <f>filings!D87</f>
        <v>1100</v>
      </c>
      <c r="F74" s="10">
        <f>filings!K87</f>
        <v>520</v>
      </c>
      <c r="G74" s="72">
        <f t="shared" si="11"/>
        <v>35.932000000000002</v>
      </c>
      <c r="H74" s="72">
        <f t="shared" si="12"/>
        <v>1.1590967741935483</v>
      </c>
      <c r="I74" s="62">
        <f t="shared" si="13"/>
        <v>35.483870967741936</v>
      </c>
      <c r="J74" s="33">
        <f t="shared" si="14"/>
        <v>3.0613380830457535E-5</v>
      </c>
      <c r="K74" s="73" t="str">
        <f t="shared" si="8"/>
        <v/>
      </c>
      <c r="L74" s="33">
        <f>'ex8'!D74</f>
        <v>3.0000000000000001E-5</v>
      </c>
      <c r="M74" s="73" t="str">
        <f t="shared" si="8"/>
        <v/>
      </c>
    </row>
    <row r="75" spans="1:13" x14ac:dyDescent="0.25">
      <c r="A75" s="68">
        <f t="shared" si="9"/>
        <v>75</v>
      </c>
      <c r="B75" s="1">
        <v>36404</v>
      </c>
      <c r="C75" s="9">
        <f t="shared" si="10"/>
        <v>30</v>
      </c>
      <c r="D75" s="79">
        <f>filings!C88</f>
        <v>70000</v>
      </c>
      <c r="E75" s="76">
        <f>filings!D88</f>
        <v>1410</v>
      </c>
      <c r="F75" s="10">
        <f>filings!K88</f>
        <v>520</v>
      </c>
      <c r="G75" s="72">
        <f t="shared" si="11"/>
        <v>37.133200000000002</v>
      </c>
      <c r="H75" s="72">
        <f t="shared" si="12"/>
        <v>1.2377733333333332</v>
      </c>
      <c r="I75" s="62">
        <f t="shared" si="13"/>
        <v>47</v>
      </c>
      <c r="J75" s="33">
        <f t="shared" si="14"/>
        <v>3.7971411028405857E-5</v>
      </c>
      <c r="K75" s="73" t="str">
        <f t="shared" si="8"/>
        <v/>
      </c>
      <c r="L75" s="33">
        <f>'ex8'!D75</f>
        <v>4.0000000000000003E-5</v>
      </c>
      <c r="M75" s="73" t="str">
        <f t="shared" si="8"/>
        <v/>
      </c>
    </row>
    <row r="76" spans="1:13" x14ac:dyDescent="0.25">
      <c r="A76" s="68">
        <f t="shared" si="9"/>
        <v>76</v>
      </c>
      <c r="B76" s="1">
        <v>36434</v>
      </c>
      <c r="C76" s="9">
        <f t="shared" si="10"/>
        <v>31</v>
      </c>
      <c r="D76" s="79">
        <f>filings!C89</f>
        <v>71125</v>
      </c>
      <c r="E76" s="76">
        <f>filings!D89</f>
        <v>1210</v>
      </c>
      <c r="F76" s="10">
        <f>filings!K89</f>
        <v>520</v>
      </c>
      <c r="G76" s="72">
        <f t="shared" si="11"/>
        <v>37.614199999999997</v>
      </c>
      <c r="H76" s="72">
        <f t="shared" si="12"/>
        <v>1.2133612903225806</v>
      </c>
      <c r="I76" s="62">
        <f t="shared" si="13"/>
        <v>39.032258064516128</v>
      </c>
      <c r="J76" s="33">
        <f t="shared" si="14"/>
        <v>3.2168702245428591E-5</v>
      </c>
      <c r="K76" s="73" t="str">
        <f t="shared" si="8"/>
        <v/>
      </c>
      <c r="L76" s="33">
        <f>'ex8'!D76</f>
        <v>4.0000000000000003E-5</v>
      </c>
      <c r="M76" s="73" t="str">
        <f t="shared" si="8"/>
        <v/>
      </c>
    </row>
    <row r="77" spans="1:13" x14ac:dyDescent="0.25">
      <c r="A77" s="68">
        <f t="shared" si="9"/>
        <v>77</v>
      </c>
      <c r="B77" s="1">
        <v>36465</v>
      </c>
      <c r="C77" s="9">
        <f t="shared" si="10"/>
        <v>30</v>
      </c>
      <c r="D77" s="79">
        <f>filings!C90</f>
        <v>72500</v>
      </c>
      <c r="E77" s="76">
        <f>filings!D90</f>
        <v>1300</v>
      </c>
      <c r="F77" s="10">
        <f>filings!K90</f>
        <v>520</v>
      </c>
      <c r="G77" s="72">
        <f t="shared" si="11"/>
        <v>38.375999999999998</v>
      </c>
      <c r="H77" s="72">
        <f t="shared" si="12"/>
        <v>1.2791999999999999</v>
      </c>
      <c r="I77" s="62">
        <f t="shared" si="13"/>
        <v>43.333333333333336</v>
      </c>
      <c r="J77" s="33">
        <f t="shared" si="14"/>
        <v>3.3875338753387541E-5</v>
      </c>
      <c r="K77" s="73" t="str">
        <f t="shared" si="8"/>
        <v/>
      </c>
      <c r="L77" s="33">
        <f>'ex8'!D77</f>
        <v>4.0000000000000003E-5</v>
      </c>
      <c r="M77" s="73" t="str">
        <f t="shared" si="8"/>
        <v/>
      </c>
    </row>
    <row r="78" spans="1:13" x14ac:dyDescent="0.25">
      <c r="A78" s="68">
        <f t="shared" si="9"/>
        <v>78</v>
      </c>
      <c r="B78" s="1">
        <v>36495</v>
      </c>
      <c r="C78" s="9">
        <f t="shared" si="10"/>
        <v>31</v>
      </c>
      <c r="D78" s="79">
        <f>filings!C91</f>
        <v>83000</v>
      </c>
      <c r="E78" s="76">
        <f>filings!D91</f>
        <v>1225</v>
      </c>
      <c r="F78" s="10">
        <f>filings!K91</f>
        <v>520</v>
      </c>
      <c r="G78" s="72">
        <f t="shared" si="11"/>
        <v>43.796999999999997</v>
      </c>
      <c r="H78" s="72">
        <f t="shared" si="12"/>
        <v>1.4128064516129033</v>
      </c>
      <c r="I78" s="62">
        <f t="shared" si="13"/>
        <v>39.516129032258064</v>
      </c>
      <c r="J78" s="33">
        <f t="shared" si="14"/>
        <v>2.7969952279836515E-5</v>
      </c>
      <c r="K78" s="73" t="str">
        <f t="shared" si="8"/>
        <v/>
      </c>
      <c r="L78" s="33">
        <f>'ex8'!D78</f>
        <v>4.0000000000000003E-5</v>
      </c>
      <c r="M78" s="73" t="str">
        <f t="shared" si="8"/>
        <v/>
      </c>
    </row>
    <row r="79" spans="1:13" x14ac:dyDescent="0.25">
      <c r="A79" s="68">
        <f t="shared" si="9"/>
        <v>79</v>
      </c>
      <c r="B79" s="1">
        <v>36526</v>
      </c>
      <c r="C79" s="9">
        <f t="shared" si="10"/>
        <v>31</v>
      </c>
      <c r="D79" s="79">
        <f>filings!C92</f>
        <v>78000</v>
      </c>
      <c r="E79" s="76">
        <f>filings!D92</f>
        <v>1800</v>
      </c>
      <c r="F79" s="10">
        <f>filings!K92</f>
        <v>520</v>
      </c>
      <c r="G79" s="72">
        <f t="shared" si="11"/>
        <v>41.496000000000002</v>
      </c>
      <c r="H79" s="72">
        <f t="shared" si="12"/>
        <v>1.3385806451612905</v>
      </c>
      <c r="I79" s="62">
        <f t="shared" si="13"/>
        <v>58.064516129032256</v>
      </c>
      <c r="J79" s="33">
        <f t="shared" si="14"/>
        <v>4.3377674956622319E-5</v>
      </c>
      <c r="K79" s="73">
        <f t="shared" si="8"/>
        <v>1.9999999999999999E-6</v>
      </c>
      <c r="L79" s="33">
        <f>'ex8'!D79</f>
        <v>4.6E-5</v>
      </c>
      <c r="M79" s="73">
        <f t="shared" si="8"/>
        <v>5.0000000000000004E-6</v>
      </c>
    </row>
    <row r="80" spans="1:13" x14ac:dyDescent="0.25">
      <c r="A80" s="68">
        <f t="shared" si="9"/>
        <v>80</v>
      </c>
      <c r="B80" s="1">
        <v>36557</v>
      </c>
      <c r="C80" s="9">
        <f t="shared" si="10"/>
        <v>29</v>
      </c>
      <c r="D80" s="79">
        <f>filings!C93</f>
        <v>74500</v>
      </c>
      <c r="E80" s="76">
        <f>filings!D93</f>
        <v>1635</v>
      </c>
      <c r="F80" s="10">
        <f>filings!K93</f>
        <v>520</v>
      </c>
      <c r="G80" s="72">
        <f t="shared" si="11"/>
        <v>39.590200000000003</v>
      </c>
      <c r="H80" s="72">
        <f t="shared" si="12"/>
        <v>1.3651793103448275</v>
      </c>
      <c r="I80" s="62">
        <f t="shared" si="13"/>
        <v>56.379310344827587</v>
      </c>
      <c r="J80" s="33">
        <f t="shared" si="14"/>
        <v>4.1298099024506067E-5</v>
      </c>
      <c r="K80" s="73" t="str">
        <f t="shared" si="8"/>
        <v/>
      </c>
      <c r="L80" s="33">
        <f>'ex8'!D80</f>
        <v>4.6E-5</v>
      </c>
      <c r="M80" s="73">
        <f t="shared" si="8"/>
        <v>5.0000000000000004E-6</v>
      </c>
    </row>
    <row r="81" spans="1:13" x14ac:dyDescent="0.25">
      <c r="A81" s="68">
        <f t="shared" si="9"/>
        <v>81</v>
      </c>
      <c r="B81" s="1">
        <v>36586</v>
      </c>
      <c r="C81" s="9">
        <f t="shared" si="10"/>
        <v>31</v>
      </c>
      <c r="D81" s="79">
        <f>filings!C94</f>
        <v>70000</v>
      </c>
      <c r="E81" s="76">
        <f>filings!D94</f>
        <v>1350</v>
      </c>
      <c r="F81" s="10">
        <f>filings!K94</f>
        <v>520</v>
      </c>
      <c r="G81" s="72">
        <f t="shared" si="11"/>
        <v>37.101999999999997</v>
      </c>
      <c r="H81" s="72">
        <f t="shared" si="12"/>
        <v>1.1968387096774193</v>
      </c>
      <c r="I81" s="62">
        <f t="shared" si="13"/>
        <v>43.548387096774192</v>
      </c>
      <c r="J81" s="33">
        <f t="shared" si="14"/>
        <v>3.638617864266077E-5</v>
      </c>
      <c r="K81" s="73" t="str">
        <f t="shared" si="8"/>
        <v/>
      </c>
      <c r="L81" s="33">
        <f>'ex8'!D81</f>
        <v>3.4E-5</v>
      </c>
      <c r="M81" s="73" t="str">
        <f t="shared" si="8"/>
        <v/>
      </c>
    </row>
    <row r="82" spans="1:13" x14ac:dyDescent="0.25">
      <c r="A82" s="68">
        <f t="shared" si="9"/>
        <v>82</v>
      </c>
      <c r="B82" s="1">
        <v>36617</v>
      </c>
      <c r="C82" s="9">
        <f t="shared" si="10"/>
        <v>30</v>
      </c>
      <c r="D82" s="79">
        <f>filings!C95</f>
        <v>73269</v>
      </c>
      <c r="E82" s="76">
        <f>filings!D95</f>
        <v>1450</v>
      </c>
      <c r="F82" s="10">
        <f>filings!K95</f>
        <v>520</v>
      </c>
      <c r="G82" s="72">
        <f t="shared" si="11"/>
        <v>38.853879999999997</v>
      </c>
      <c r="H82" s="72">
        <f t="shared" si="12"/>
        <v>1.2951293333333334</v>
      </c>
      <c r="I82" s="62">
        <f t="shared" si="13"/>
        <v>48.333333333333336</v>
      </c>
      <c r="J82" s="33">
        <f t="shared" si="14"/>
        <v>3.7319310195017851E-5</v>
      </c>
      <c r="K82" s="73" t="str">
        <f t="shared" si="8"/>
        <v/>
      </c>
      <c r="L82" s="33">
        <f>'ex8'!D82</f>
        <v>3.1999999999999999E-5</v>
      </c>
      <c r="M82" s="73" t="str">
        <f t="shared" si="8"/>
        <v/>
      </c>
    </row>
    <row r="83" spans="1:13" x14ac:dyDescent="0.25">
      <c r="A83" s="68">
        <f t="shared" si="9"/>
        <v>83</v>
      </c>
      <c r="B83" s="1">
        <v>36647</v>
      </c>
      <c r="C83" s="9">
        <f t="shared" si="10"/>
        <v>31</v>
      </c>
      <c r="D83" s="79">
        <f>filings!C96</f>
        <v>70000</v>
      </c>
      <c r="E83" s="76">
        <f>filings!D96</f>
        <v>800</v>
      </c>
      <c r="F83" s="10">
        <f>filings!K96</f>
        <v>520</v>
      </c>
      <c r="G83" s="72">
        <f t="shared" ref="G83:G88" si="15">(D83+E83)*F83/1000000</f>
        <v>36.816000000000003</v>
      </c>
      <c r="H83" s="72">
        <f t="shared" ref="H83:H88" si="16">(D83+E83)*F83/C83/1000000</f>
        <v>1.1876129032258065</v>
      </c>
      <c r="I83" s="62">
        <f t="shared" ref="I83:I88" si="17">E83/C83</f>
        <v>25.806451612903224</v>
      </c>
      <c r="J83" s="33">
        <f t="shared" ref="J83:J88" si="18">I83/H83/1000000</f>
        <v>2.17296827466319E-5</v>
      </c>
      <c r="K83" s="73" t="str">
        <f t="shared" ref="K83:K88" si="19">IF(J83&gt;0.00415%,ROUND(J83-0.0041%,6),"")</f>
        <v/>
      </c>
      <c r="L83" s="33">
        <f>'ex8'!D83</f>
        <v>3.1999999999999999E-5</v>
      </c>
      <c r="M83" s="73" t="str">
        <f t="shared" ref="M83:M95" si="20">IF(L83&gt;0.00415%,ROUND(L83-0.0041%,6),"")</f>
        <v/>
      </c>
    </row>
    <row r="84" spans="1:13" x14ac:dyDescent="0.25">
      <c r="A84" s="68">
        <f t="shared" si="9"/>
        <v>84</v>
      </c>
      <c r="B84" s="1">
        <v>36678</v>
      </c>
      <c r="C84" s="9">
        <f t="shared" si="10"/>
        <v>30</v>
      </c>
      <c r="D84" s="79">
        <f>filings!C97</f>
        <v>73000</v>
      </c>
      <c r="E84" s="76">
        <f>filings!D97</f>
        <v>1025</v>
      </c>
      <c r="F84" s="10">
        <f>filings!K97</f>
        <v>520</v>
      </c>
      <c r="G84" s="72">
        <f t="shared" si="15"/>
        <v>38.493000000000002</v>
      </c>
      <c r="H84" s="72">
        <f t="shared" si="16"/>
        <v>1.2830999999999999</v>
      </c>
      <c r="I84" s="62">
        <f t="shared" si="17"/>
        <v>34.166666666666664</v>
      </c>
      <c r="J84" s="33">
        <f t="shared" si="18"/>
        <v>2.6628218117579821E-5</v>
      </c>
      <c r="K84" s="73" t="str">
        <f t="shared" si="19"/>
        <v/>
      </c>
      <c r="L84" s="33">
        <f>'ex8'!D84</f>
        <v>3.4E-5</v>
      </c>
      <c r="M84" s="73" t="str">
        <f t="shared" si="20"/>
        <v/>
      </c>
    </row>
    <row r="85" spans="1:13" x14ac:dyDescent="0.25">
      <c r="A85" s="68">
        <f t="shared" si="9"/>
        <v>85</v>
      </c>
      <c r="B85" s="1">
        <v>36708</v>
      </c>
      <c r="C85" s="9">
        <f t="shared" si="10"/>
        <v>31</v>
      </c>
      <c r="D85" s="79">
        <f>filings!C98</f>
        <v>75000</v>
      </c>
      <c r="E85" s="76">
        <f>filings!D98</f>
        <v>1178.5</v>
      </c>
      <c r="F85" s="10">
        <f>filings!K98</f>
        <v>520</v>
      </c>
      <c r="G85" s="72">
        <f t="shared" si="15"/>
        <v>39.612819999999999</v>
      </c>
      <c r="H85" s="72">
        <f t="shared" si="16"/>
        <v>1.2778329032258064</v>
      </c>
      <c r="I85" s="62">
        <f t="shared" si="17"/>
        <v>38.016129032258064</v>
      </c>
      <c r="J85" s="33">
        <f t="shared" si="18"/>
        <v>2.975046967118221E-5</v>
      </c>
      <c r="K85" s="73" t="str">
        <f t="shared" si="19"/>
        <v/>
      </c>
      <c r="L85" s="33">
        <f>'ex8'!D85</f>
        <v>4.3000000000000002E-5</v>
      </c>
      <c r="M85" s="73">
        <f t="shared" si="20"/>
        <v>1.9999999999999999E-6</v>
      </c>
    </row>
    <row r="86" spans="1:13" x14ac:dyDescent="0.25">
      <c r="A86" s="68">
        <f t="shared" si="9"/>
        <v>86</v>
      </c>
      <c r="B86" s="1">
        <v>36739</v>
      </c>
      <c r="C86" s="9">
        <f t="shared" si="10"/>
        <v>31</v>
      </c>
      <c r="D86" s="79">
        <f>filings!C99</f>
        <v>71000</v>
      </c>
      <c r="E86" s="76">
        <f>filings!D99</f>
        <v>1165</v>
      </c>
      <c r="F86" s="10">
        <f>filings!K99</f>
        <v>520</v>
      </c>
      <c r="G86" s="72">
        <f t="shared" si="15"/>
        <v>37.525799999999997</v>
      </c>
      <c r="H86" s="72">
        <f t="shared" si="16"/>
        <v>1.2105096774193549</v>
      </c>
      <c r="I86" s="62">
        <f t="shared" si="17"/>
        <v>37.58064516129032</v>
      </c>
      <c r="J86" s="33">
        <f t="shared" si="18"/>
        <v>3.1045307495110028E-5</v>
      </c>
      <c r="K86" s="73" t="str">
        <f t="shared" si="19"/>
        <v/>
      </c>
      <c r="L86" s="33">
        <f>'ex8'!D86</f>
        <v>4.6999999999999997E-5</v>
      </c>
      <c r="M86" s="73">
        <f t="shared" si="20"/>
        <v>6.0000000000000002E-6</v>
      </c>
    </row>
    <row r="87" spans="1:13" x14ac:dyDescent="0.25">
      <c r="A87" s="68">
        <f t="shared" si="9"/>
        <v>87</v>
      </c>
      <c r="B87" s="1">
        <v>36770</v>
      </c>
      <c r="C87" s="9">
        <f t="shared" si="10"/>
        <v>30</v>
      </c>
      <c r="D87" s="79">
        <f>filings!C100</f>
        <v>72000</v>
      </c>
      <c r="E87" s="76">
        <f>filings!D100</f>
        <v>1250</v>
      </c>
      <c r="F87" s="10">
        <f>filings!K100</f>
        <v>520</v>
      </c>
      <c r="G87" s="72">
        <f t="shared" si="15"/>
        <v>38.090000000000003</v>
      </c>
      <c r="H87" s="72">
        <f t="shared" si="16"/>
        <v>1.2696666666666667</v>
      </c>
      <c r="I87" s="62">
        <f t="shared" si="17"/>
        <v>41.666666666666664</v>
      </c>
      <c r="J87" s="33">
        <f t="shared" si="18"/>
        <v>3.2817012339196635E-5</v>
      </c>
      <c r="K87" s="73" t="str">
        <f t="shared" si="19"/>
        <v/>
      </c>
      <c r="L87" s="33">
        <f>'ex8'!D87</f>
        <v>4.6999999999999997E-5</v>
      </c>
      <c r="M87" s="73">
        <f t="shared" si="20"/>
        <v>6.0000000000000002E-6</v>
      </c>
    </row>
    <row r="88" spans="1:13" ht="13.8" thickBot="1" x14ac:dyDescent="0.3">
      <c r="A88" s="68">
        <f t="shared" si="9"/>
        <v>88</v>
      </c>
      <c r="B88" s="1">
        <v>36800</v>
      </c>
      <c r="C88" s="9">
        <f t="shared" si="10"/>
        <v>31</v>
      </c>
      <c r="D88" s="79">
        <f>filings!C101</f>
        <v>68000</v>
      </c>
      <c r="E88" s="76">
        <f>filings!D101</f>
        <v>1325</v>
      </c>
      <c r="F88" s="10">
        <f>filings!K101</f>
        <v>520</v>
      </c>
      <c r="G88" s="72">
        <f t="shared" si="15"/>
        <v>36.048999999999999</v>
      </c>
      <c r="H88" s="72">
        <f t="shared" si="16"/>
        <v>1.1628709677419355</v>
      </c>
      <c r="I88" s="62">
        <f t="shared" si="17"/>
        <v>42.741935483870968</v>
      </c>
      <c r="J88" s="33">
        <f t="shared" si="18"/>
        <v>3.6755527199090125E-5</v>
      </c>
      <c r="K88" s="73" t="str">
        <f t="shared" si="19"/>
        <v/>
      </c>
      <c r="L88" s="33">
        <f>'ex8'!D88</f>
        <v>4.6999999999999997E-5</v>
      </c>
      <c r="M88" s="73">
        <f t="shared" si="20"/>
        <v>6.0000000000000002E-6</v>
      </c>
    </row>
    <row r="89" spans="1:13" ht="13.8" thickTop="1" x14ac:dyDescent="0.25">
      <c r="A89" s="68">
        <f t="shared" si="9"/>
        <v>89</v>
      </c>
      <c r="B89" s="1">
        <v>36831</v>
      </c>
      <c r="C89" s="9">
        <f t="shared" si="10"/>
        <v>30</v>
      </c>
      <c r="D89" s="91"/>
      <c r="E89" s="92"/>
      <c r="F89" s="93"/>
      <c r="G89" s="72">
        <f t="shared" ref="G89:G94" si="21">(D89+E89)*F89/1000000</f>
        <v>0</v>
      </c>
      <c r="H89" s="72">
        <f t="shared" ref="H89:H94" si="22">(D89+E89)*F89/C89/1000000</f>
        <v>0</v>
      </c>
      <c r="I89" s="62">
        <f t="shared" ref="I89:I94" si="23">E89/C89</f>
        <v>0</v>
      </c>
      <c r="J89" s="33" t="str">
        <f t="shared" ref="J89:J94" si="24">IF(H89&gt;0,I89/H89/1000000,"")</f>
        <v/>
      </c>
      <c r="K89" s="73"/>
      <c r="L89" s="33">
        <f>'ex8'!D89</f>
        <v>4.6999999999999997E-5</v>
      </c>
      <c r="M89" s="73">
        <f t="shared" si="20"/>
        <v>6.0000000000000002E-6</v>
      </c>
    </row>
    <row r="90" spans="1:13" x14ac:dyDescent="0.25">
      <c r="A90" s="68">
        <f t="shared" si="9"/>
        <v>90</v>
      </c>
      <c r="B90" s="1">
        <v>36861</v>
      </c>
      <c r="C90" s="9">
        <f t="shared" si="10"/>
        <v>31</v>
      </c>
      <c r="D90" s="94"/>
      <c r="E90" s="10"/>
      <c r="F90" s="95"/>
      <c r="G90" s="72">
        <f t="shared" si="21"/>
        <v>0</v>
      </c>
      <c r="H90" s="72">
        <f t="shared" si="22"/>
        <v>0</v>
      </c>
      <c r="I90" s="62">
        <f t="shared" si="23"/>
        <v>0</v>
      </c>
      <c r="J90" s="33" t="str">
        <f t="shared" si="24"/>
        <v/>
      </c>
      <c r="K90" s="73"/>
      <c r="L90" s="33">
        <f>'ex8'!D90</f>
        <v>4.6999999999999997E-5</v>
      </c>
      <c r="M90" s="73">
        <f t="shared" si="20"/>
        <v>6.0000000000000002E-6</v>
      </c>
    </row>
    <row r="91" spans="1:13" x14ac:dyDescent="0.25">
      <c r="A91" s="68">
        <f t="shared" ref="A91:A97" si="25">A90+1</f>
        <v>91</v>
      </c>
      <c r="B91" s="1">
        <v>36892</v>
      </c>
      <c r="C91" s="9">
        <f t="shared" si="10"/>
        <v>31</v>
      </c>
      <c r="D91" s="94"/>
      <c r="E91" s="10"/>
      <c r="F91" s="95"/>
      <c r="G91" s="72">
        <f t="shared" si="21"/>
        <v>0</v>
      </c>
      <c r="H91" s="72">
        <f t="shared" si="22"/>
        <v>0</v>
      </c>
      <c r="I91" s="62">
        <f t="shared" si="23"/>
        <v>0</v>
      </c>
      <c r="J91" s="33" t="str">
        <f t="shared" si="24"/>
        <v/>
      </c>
      <c r="K91" s="73"/>
      <c r="L91" s="33">
        <f>'ex8'!D91</f>
        <v>5.1E-5</v>
      </c>
      <c r="M91" s="73">
        <f t="shared" si="20"/>
        <v>1.0000000000000001E-5</v>
      </c>
    </row>
    <row r="92" spans="1:13" x14ac:dyDescent="0.25">
      <c r="A92" s="68">
        <f t="shared" si="25"/>
        <v>92</v>
      </c>
      <c r="B92" s="1">
        <v>36923</v>
      </c>
      <c r="C92" s="9">
        <f t="shared" si="10"/>
        <v>28</v>
      </c>
      <c r="D92" s="94"/>
      <c r="E92" s="10"/>
      <c r="F92" s="95"/>
      <c r="G92" s="72">
        <f t="shared" si="21"/>
        <v>0</v>
      </c>
      <c r="H92" s="72">
        <f t="shared" si="22"/>
        <v>0</v>
      </c>
      <c r="I92" s="62">
        <f t="shared" si="23"/>
        <v>0</v>
      </c>
      <c r="J92" s="33" t="str">
        <f t="shared" si="24"/>
        <v/>
      </c>
      <c r="K92" s="73"/>
      <c r="L92" s="33">
        <f>'ex8'!D92</f>
        <v>5.8E-5</v>
      </c>
      <c r="M92" s="73">
        <f t="shared" si="20"/>
        <v>1.7E-5</v>
      </c>
    </row>
    <row r="93" spans="1:13" x14ac:dyDescent="0.25">
      <c r="A93" s="68">
        <f t="shared" si="25"/>
        <v>93</v>
      </c>
      <c r="B93" s="1">
        <v>36951</v>
      </c>
      <c r="C93" s="9">
        <f t="shared" si="10"/>
        <v>31</v>
      </c>
      <c r="D93" s="94"/>
      <c r="E93" s="10"/>
      <c r="F93" s="95"/>
      <c r="G93" s="72">
        <f t="shared" si="21"/>
        <v>0</v>
      </c>
      <c r="H93" s="72">
        <f t="shared" si="22"/>
        <v>0</v>
      </c>
      <c r="I93" s="62">
        <f t="shared" si="23"/>
        <v>0</v>
      </c>
      <c r="J93" s="33" t="str">
        <f t="shared" si="24"/>
        <v/>
      </c>
      <c r="K93" s="73"/>
      <c r="L93" s="33">
        <f>'ex8'!D93</f>
        <v>5.5999999999999999E-5</v>
      </c>
      <c r="M93" s="73">
        <f t="shared" si="20"/>
        <v>1.5E-5</v>
      </c>
    </row>
    <row r="94" spans="1:13" ht="13.8" thickBot="1" x14ac:dyDescent="0.3">
      <c r="A94" s="68">
        <f t="shared" si="25"/>
        <v>94</v>
      </c>
      <c r="B94" s="1">
        <v>36982</v>
      </c>
      <c r="C94" s="9">
        <f t="shared" si="10"/>
        <v>30</v>
      </c>
      <c r="D94" s="96"/>
      <c r="E94" s="97"/>
      <c r="F94" s="98"/>
      <c r="G94" s="72">
        <f t="shared" si="21"/>
        <v>0</v>
      </c>
      <c r="H94" s="72">
        <f t="shared" si="22"/>
        <v>0</v>
      </c>
      <c r="I94" s="62">
        <f t="shared" si="23"/>
        <v>0</v>
      </c>
      <c r="J94" s="33" t="str">
        <f t="shared" si="24"/>
        <v/>
      </c>
      <c r="K94" s="73"/>
      <c r="L94" s="33">
        <f>'ex8'!D94</f>
        <v>5.1E-5</v>
      </c>
      <c r="M94" s="73">
        <f t="shared" si="20"/>
        <v>1.0000000000000001E-5</v>
      </c>
    </row>
    <row r="95" spans="1:13" ht="13.8" thickTop="1" x14ac:dyDescent="0.25">
      <c r="A95" s="68">
        <f t="shared" si="25"/>
        <v>95</v>
      </c>
      <c r="B95" s="1">
        <v>37012</v>
      </c>
      <c r="C95" s="9">
        <f t="shared" si="10"/>
        <v>31</v>
      </c>
      <c r="D95" s="69"/>
      <c r="K95" s="73"/>
      <c r="L95" s="33">
        <f>'ex8'!D95</f>
        <v>4.3000000000000002E-5</v>
      </c>
      <c r="M95" s="73">
        <f t="shared" si="20"/>
        <v>1.9999999999999999E-6</v>
      </c>
    </row>
    <row r="96" spans="1:13" x14ac:dyDescent="0.25">
      <c r="A96" s="68">
        <f t="shared" si="25"/>
        <v>96</v>
      </c>
      <c r="B96" s="1">
        <v>37043</v>
      </c>
      <c r="C96" s="9">
        <f t="shared" si="10"/>
        <v>30</v>
      </c>
      <c r="D96" s="69"/>
      <c r="K96" s="73"/>
      <c r="M96" s="73"/>
    </row>
    <row r="97" spans="1:13" x14ac:dyDescent="0.25">
      <c r="A97" s="68">
        <f t="shared" si="25"/>
        <v>97</v>
      </c>
      <c r="B97" s="1">
        <v>37073</v>
      </c>
      <c r="C97" s="9">
        <f t="shared" si="10"/>
        <v>31</v>
      </c>
      <c r="D97" s="69"/>
    </row>
    <row r="98" spans="1:13" x14ac:dyDescent="0.25">
      <c r="A98" s="68">
        <f t="shared" si="9"/>
        <v>98</v>
      </c>
      <c r="B98" t="s">
        <v>132</v>
      </c>
      <c r="J98">
        <f>COUNT(J8:J97)</f>
        <v>81</v>
      </c>
      <c r="K98">
        <f>COUNTIF(K8:K97,"&gt;0")</f>
        <v>18</v>
      </c>
      <c r="L98">
        <f>COUNT(L8:L97)</f>
        <v>88</v>
      </c>
      <c r="M98">
        <f>COUNTIF(M8:M97,"&gt;0")</f>
        <v>56</v>
      </c>
    </row>
    <row r="99" spans="1:13" x14ac:dyDescent="0.25">
      <c r="A99" s="68">
        <f t="shared" si="9"/>
        <v>99</v>
      </c>
      <c r="B99" t="s">
        <v>151</v>
      </c>
      <c r="J99">
        <f>COUNTIF(J8:J97,"&gt;0.00415%")</f>
        <v>18</v>
      </c>
      <c r="L99">
        <f>COUNTIF(L8:L97,"&gt;0.00415%")</f>
        <v>56</v>
      </c>
    </row>
    <row r="100" spans="1:13" x14ac:dyDescent="0.25">
      <c r="A100" s="68">
        <f t="shared" si="9"/>
        <v>100</v>
      </c>
      <c r="J100" s="86">
        <f>J99/J98</f>
        <v>0.22222222222222221</v>
      </c>
      <c r="L100" s="86">
        <f>L99/L98</f>
        <v>0.63636363636363635</v>
      </c>
    </row>
  </sheetData>
  <conditionalFormatting sqref="J8:J94 L8:L95">
    <cfRule type="cellIs" dxfId="1" priority="1" stopIfTrue="1" operator="greaterThanOrEqual">
      <formula>0.0000415</formula>
    </cfRule>
  </conditionalFormatting>
  <pageMargins left="0.75" right="0.75" top="1" bottom="1" header="0.5" footer="0.5"/>
  <pageSetup orientation="landscape" r:id="rId1"/>
  <headerFooter alignWithMargins="0">
    <oddHeader>&amp;RExhibit 9, Page &amp;P of   &amp;N</oddHeader>
    <oddFooter>&amp;LSource: PGT Filings with FERC, TM94-3-86 et al.&amp;C|&amp;RSource: Computations with the columns from the left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17"/>
  <sheetViews>
    <sheetView zoomScale="75" workbookViewId="0">
      <pane xSplit="2" ySplit="7" topLeftCell="C91" activePane="bottomRight" state="frozen"/>
      <selection pane="topRight" activeCell="B1" sqref="B1"/>
      <selection pane="bottomLeft" activeCell="A5" sqref="A5"/>
      <selection pane="bottomRight" activeCell="H110" sqref="H110"/>
    </sheetView>
  </sheetViews>
  <sheetFormatPr defaultRowHeight="13.2" x14ac:dyDescent="0.25"/>
  <cols>
    <col min="1" max="1" width="3.5546875" bestFit="1" customWidth="1"/>
    <col min="2" max="2" width="8.109375" bestFit="1" customWidth="1"/>
    <col min="3" max="3" width="9.88671875" bestFit="1" customWidth="1"/>
    <col min="4" max="4" width="9.5546875" bestFit="1" customWidth="1"/>
    <col min="7" max="7" width="10.33203125" bestFit="1" customWidth="1"/>
    <col min="10" max="10" width="9.88671875" bestFit="1" customWidth="1"/>
    <col min="11" max="11" width="12.5546875" bestFit="1" customWidth="1"/>
    <col min="12" max="12" width="11.6640625" bestFit="1" customWidth="1"/>
    <col min="13" max="13" width="10.88671875" bestFit="1" customWidth="1"/>
    <col min="15" max="16" width="6" bestFit="1" customWidth="1"/>
    <col min="17" max="17" width="7.5546875" bestFit="1" customWidth="1"/>
    <col min="18" max="18" width="6" bestFit="1" customWidth="1"/>
    <col min="19" max="19" width="6.6640625" bestFit="1" customWidth="1"/>
    <col min="21" max="22" width="9.88671875" bestFit="1" customWidth="1"/>
    <col min="23" max="23" width="9.88671875" customWidth="1"/>
    <col min="25" max="25" width="9.33203125" bestFit="1" customWidth="1"/>
    <col min="29" max="29" width="9.88671875" bestFit="1" customWidth="1"/>
  </cols>
  <sheetData>
    <row r="1" spans="1:29" x14ac:dyDescent="0.25">
      <c r="A1">
        <v>4.1E-5</v>
      </c>
      <c r="B1">
        <v>0</v>
      </c>
      <c r="C1" s="18">
        <f>MAX(C18:C117)</f>
        <v>1.6437842532467533</v>
      </c>
      <c r="J1" s="2">
        <f>MAX(J$18:J$117)</f>
        <v>5.1441779180877755E-5</v>
      </c>
      <c r="L1" s="2">
        <f>MAX(L$18:L$117)</f>
        <v>5.8E-5</v>
      </c>
      <c r="M1" s="2">
        <f>MAX(M$18:M$117)</f>
        <v>1.5999999999999999E-5</v>
      </c>
      <c r="T1" s="18">
        <f>MAX(T18:T117)</f>
        <v>1.3848506944444443</v>
      </c>
      <c r="U1" s="2">
        <f>MAX(U$18:U$117)</f>
        <v>5.0787243324141177E-5</v>
      </c>
      <c r="V1" s="2">
        <f>MAX(V$18:V$117)</f>
        <v>5.7898962354419034E-5</v>
      </c>
      <c r="W1" s="2"/>
      <c r="X1" s="18">
        <f>C1</f>
        <v>1.6437842532467533</v>
      </c>
      <c r="Y1" s="4">
        <f>0.000041*X1*1000000</f>
        <v>67.395154383116889</v>
      </c>
      <c r="Z1" s="4">
        <f>0.00005*$X1*1000000</f>
        <v>82.189212662337667</v>
      </c>
      <c r="AA1" s="4">
        <f>0.000022*$X1*1000000</f>
        <v>36.163253571428569</v>
      </c>
    </row>
    <row r="2" spans="1:29" x14ac:dyDescent="0.25">
      <c r="A2">
        <v>4.1E-5</v>
      </c>
      <c r="B2" s="3" t="s">
        <v>12</v>
      </c>
      <c r="C2" s="18">
        <f>MIN(C30:C117)</f>
        <v>0.99870921212121222</v>
      </c>
      <c r="J2" s="2">
        <f>MIN(J$18:J$117)</f>
        <v>1.7715846310601137E-5</v>
      </c>
      <c r="L2" s="2">
        <f>MIN(L$18:L$117)</f>
        <v>1.0000000000000001E-5</v>
      </c>
      <c r="M2" s="2">
        <f>MIN(M$18:M$117)</f>
        <v>-3.9999999999999998E-6</v>
      </c>
      <c r="N2" s="3"/>
      <c r="O2" s="3"/>
      <c r="P2" s="3"/>
      <c r="T2" s="18">
        <f>MIN(T18:T117)</f>
        <v>0.96440129032258048</v>
      </c>
      <c r="U2" s="2">
        <f>MIN(U$18:U$117)</f>
        <v>2.5273945660419773E-5</v>
      </c>
      <c r="V2" s="2">
        <f>MIN(V$18:V$117)</f>
        <v>1.7612183276789267E-5</v>
      </c>
      <c r="W2" s="2"/>
      <c r="X2">
        <v>0</v>
      </c>
      <c r="Y2" s="4">
        <f>0.000041*X2*1000000</f>
        <v>0</v>
      </c>
      <c r="Z2" s="4">
        <f>0.00005*$X2*1000000</f>
        <v>0</v>
      </c>
      <c r="AA2" s="4">
        <f>0.00002*$X2*1000000</f>
        <v>0</v>
      </c>
    </row>
    <row r="3" spans="1:29" x14ac:dyDescent="0.25">
      <c r="B3" s="3" t="s">
        <v>13</v>
      </c>
      <c r="C3" s="3" t="s">
        <v>86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11" t="s">
        <v>84</v>
      </c>
      <c r="K3" s="11" t="s">
        <v>84</v>
      </c>
      <c r="L3" s="11" t="s">
        <v>84</v>
      </c>
      <c r="M3" s="11"/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86</v>
      </c>
      <c r="U3" s="11" t="s">
        <v>84</v>
      </c>
      <c r="V3" s="11" t="s">
        <v>84</v>
      </c>
      <c r="W3" s="11"/>
      <c r="X3" s="3" t="s">
        <v>31</v>
      </c>
      <c r="Y3" s="3" t="s">
        <v>94</v>
      </c>
      <c r="Z3" s="3" t="s">
        <v>152</v>
      </c>
      <c r="AA3" s="3" t="s">
        <v>95</v>
      </c>
    </row>
    <row r="4" spans="1:29" x14ac:dyDescent="0.25">
      <c r="B4" s="3" t="s">
        <v>14</v>
      </c>
      <c r="C4" s="3"/>
      <c r="E4" s="3"/>
      <c r="F4" s="3"/>
      <c r="G4" s="3"/>
      <c r="H4" s="5"/>
      <c r="I4" s="5"/>
      <c r="J4" s="3"/>
      <c r="K4" s="5"/>
      <c r="L4" s="2">
        <f>AVERAGE(L18:L117)</f>
        <v>4.1362637362637367E-5</v>
      </c>
      <c r="M4" s="2">
        <f>AVERAGE(M18:M117)</f>
        <v>6.071428571428572E-6</v>
      </c>
      <c r="N4" s="3"/>
      <c r="O4" s="3"/>
      <c r="P4" s="3"/>
      <c r="T4" s="5"/>
      <c r="U4" s="2">
        <f>AVERAGE(U18:U117)</f>
        <v>4.020692609837255E-5</v>
      </c>
      <c r="V4" s="2">
        <f>AVERAGE(V18:V117)</f>
        <v>4.0986133080124798E-5</v>
      </c>
      <c r="W4" s="5"/>
    </row>
    <row r="5" spans="1:29" x14ac:dyDescent="0.25">
      <c r="B5" s="3"/>
      <c r="C5" s="3" t="s">
        <v>22</v>
      </c>
      <c r="D5" s="3" t="s">
        <v>22</v>
      </c>
      <c r="E5" s="3" t="s">
        <v>11</v>
      </c>
      <c r="F5" s="3" t="s">
        <v>11</v>
      </c>
      <c r="G5" s="3"/>
      <c r="H5" s="5"/>
      <c r="I5" s="5"/>
      <c r="J5" s="3" t="s">
        <v>22</v>
      </c>
      <c r="K5" s="5"/>
      <c r="L5" s="11" t="s">
        <v>25</v>
      </c>
      <c r="M5" s="11"/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/>
      <c r="X5" s="3" t="s">
        <v>62</v>
      </c>
    </row>
    <row r="6" spans="1:29" x14ac:dyDescent="0.25">
      <c r="A6" s="3" t="s">
        <v>23</v>
      </c>
      <c r="B6" s="3" t="s">
        <v>24</v>
      </c>
      <c r="C6" s="3"/>
      <c r="E6" s="3"/>
      <c r="F6" s="3"/>
      <c r="G6" s="3" t="s">
        <v>41</v>
      </c>
      <c r="H6" s="3"/>
      <c r="I6" s="3" t="s">
        <v>4</v>
      </c>
      <c r="J6" s="3"/>
      <c r="K6" s="3"/>
      <c r="L6" s="13" t="s">
        <v>7</v>
      </c>
      <c r="M6" s="11"/>
      <c r="N6" s="3" t="s">
        <v>26</v>
      </c>
      <c r="O6" s="3" t="s">
        <v>27</v>
      </c>
      <c r="P6" s="3" t="s">
        <v>33</v>
      </c>
      <c r="Q6" s="3" t="s">
        <v>5</v>
      </c>
      <c r="R6" s="3" t="s">
        <v>32</v>
      </c>
      <c r="S6" s="3" t="s">
        <v>29</v>
      </c>
      <c r="T6" s="3" t="s">
        <v>8</v>
      </c>
      <c r="U6" s="3" t="s">
        <v>26</v>
      </c>
      <c r="V6" s="3" t="s">
        <v>20</v>
      </c>
      <c r="W6" s="3"/>
      <c r="X6" s="3" t="s">
        <v>37</v>
      </c>
    </row>
    <row r="7" spans="1:29" x14ac:dyDescent="0.25">
      <c r="A7" s="3" t="s">
        <v>23</v>
      </c>
      <c r="B7" s="3" t="s">
        <v>24</v>
      </c>
      <c r="C7" s="3" t="s">
        <v>0</v>
      </c>
      <c r="D7" s="3" t="s">
        <v>37</v>
      </c>
      <c r="E7" s="3" t="s">
        <v>1</v>
      </c>
      <c r="F7" s="3" t="s">
        <v>2</v>
      </c>
      <c r="G7" s="3" t="s">
        <v>32</v>
      </c>
      <c r="H7" s="3" t="s">
        <v>6</v>
      </c>
      <c r="I7" s="3" t="s">
        <v>42</v>
      </c>
      <c r="J7" s="3" t="s">
        <v>37</v>
      </c>
      <c r="K7" s="3" t="s">
        <v>42</v>
      </c>
      <c r="L7" s="13" t="s">
        <v>1</v>
      </c>
      <c r="M7" s="11"/>
      <c r="N7" s="3" t="s">
        <v>54</v>
      </c>
      <c r="O7" s="3"/>
      <c r="P7" s="3" t="s">
        <v>55</v>
      </c>
      <c r="T7" s="3" t="s">
        <v>89</v>
      </c>
      <c r="U7" s="3" t="s">
        <v>35</v>
      </c>
      <c r="V7" s="3" t="s">
        <v>34</v>
      </c>
      <c r="W7" s="3" t="s">
        <v>87</v>
      </c>
      <c r="X7" s="3" t="s">
        <v>61</v>
      </c>
      <c r="Y7" s="4">
        <f>0.000041*IF(ISNUMBER(C7),C7,0)*1000000</f>
        <v>0</v>
      </c>
      <c r="Z7" t="s">
        <v>24</v>
      </c>
      <c r="AB7" t="s">
        <v>104</v>
      </c>
      <c r="AC7" t="s">
        <v>104</v>
      </c>
    </row>
    <row r="8" spans="1:29" x14ac:dyDescent="0.25">
      <c r="A8">
        <f t="shared" ref="A8:A17" si="0">DAY((B9-1))</f>
        <v>31</v>
      </c>
      <c r="B8" s="1">
        <v>33970</v>
      </c>
      <c r="C8" s="3"/>
      <c r="D8" s="3"/>
      <c r="E8" s="3"/>
      <c r="F8" s="3"/>
      <c r="G8" s="3"/>
      <c r="H8" s="3"/>
      <c r="I8" s="3"/>
      <c r="J8" s="3"/>
      <c r="K8" s="3"/>
      <c r="L8" s="13"/>
      <c r="M8" s="11"/>
      <c r="N8" s="3"/>
      <c r="O8" s="3"/>
      <c r="P8" s="3"/>
      <c r="T8" s="3"/>
      <c r="U8" s="3"/>
      <c r="V8" s="3"/>
      <c r="W8" s="3"/>
      <c r="X8" s="3"/>
      <c r="Y8" s="4"/>
    </row>
    <row r="9" spans="1:29" x14ac:dyDescent="0.25">
      <c r="A9">
        <f t="shared" si="0"/>
        <v>28</v>
      </c>
      <c r="B9" s="1">
        <v>34001</v>
      </c>
      <c r="C9" s="3"/>
      <c r="D9" s="3"/>
      <c r="E9" s="3"/>
      <c r="F9" s="3"/>
      <c r="G9" s="3"/>
      <c r="H9" s="3"/>
      <c r="I9" s="3"/>
      <c r="J9" s="3"/>
      <c r="K9" s="3"/>
      <c r="L9" s="13"/>
      <c r="M9" s="11"/>
      <c r="N9" s="3"/>
      <c r="O9" s="3"/>
      <c r="P9" s="3"/>
      <c r="T9" s="3"/>
      <c r="U9" s="3"/>
      <c r="V9" s="3"/>
      <c r="W9" s="3"/>
      <c r="X9" s="3"/>
      <c r="Y9" s="4"/>
    </row>
    <row r="10" spans="1:29" x14ac:dyDescent="0.25">
      <c r="A10">
        <f t="shared" si="0"/>
        <v>31</v>
      </c>
      <c r="B10" s="1">
        <v>34029</v>
      </c>
      <c r="C10" s="3"/>
      <c r="D10" s="3"/>
      <c r="E10" s="3"/>
      <c r="F10" s="3"/>
      <c r="G10" s="3"/>
      <c r="H10" s="3"/>
      <c r="I10" s="3"/>
      <c r="J10" s="3"/>
      <c r="K10" s="3"/>
      <c r="L10" s="13"/>
      <c r="M10" s="11"/>
      <c r="N10" s="3"/>
      <c r="O10" s="3"/>
      <c r="P10" s="3"/>
      <c r="T10" s="3"/>
      <c r="U10" s="3"/>
      <c r="V10" s="3"/>
      <c r="W10" s="3"/>
      <c r="X10" s="3"/>
      <c r="Y10" s="4"/>
    </row>
    <row r="11" spans="1:29" x14ac:dyDescent="0.25">
      <c r="A11">
        <f t="shared" si="0"/>
        <v>30</v>
      </c>
      <c r="B11" s="1">
        <v>34060</v>
      </c>
      <c r="C11" s="3"/>
      <c r="D11" s="3"/>
      <c r="E11" s="3"/>
      <c r="F11" s="3"/>
      <c r="G11" s="3"/>
      <c r="H11" s="3"/>
      <c r="I11" s="3"/>
      <c r="J11" s="3"/>
      <c r="K11" s="3"/>
      <c r="L11" s="13"/>
      <c r="M11" s="11"/>
      <c r="N11" s="3"/>
      <c r="O11" s="3"/>
      <c r="P11" s="3"/>
      <c r="T11" s="3"/>
      <c r="U11" s="3"/>
      <c r="V11" s="3"/>
      <c r="W11" s="3"/>
      <c r="X11" s="3"/>
      <c r="Y11" s="4"/>
    </row>
    <row r="12" spans="1:29" x14ac:dyDescent="0.25">
      <c r="A12">
        <f t="shared" si="0"/>
        <v>31</v>
      </c>
      <c r="B12" s="1">
        <v>34090</v>
      </c>
      <c r="C12" s="3"/>
      <c r="D12" s="3"/>
      <c r="E12" s="3"/>
      <c r="F12" s="3"/>
      <c r="G12" s="3"/>
      <c r="H12" s="3"/>
      <c r="I12" s="3"/>
      <c r="J12" s="3"/>
      <c r="K12" s="3"/>
      <c r="L12" s="13"/>
      <c r="M12" s="11"/>
      <c r="N12" s="3"/>
      <c r="O12" s="3"/>
      <c r="P12" s="3"/>
      <c r="T12" s="3"/>
      <c r="U12" s="3"/>
      <c r="V12" s="3"/>
      <c r="W12" s="3"/>
      <c r="X12" s="3"/>
      <c r="Y12" s="4"/>
    </row>
    <row r="13" spans="1:29" x14ac:dyDescent="0.25">
      <c r="A13">
        <f t="shared" si="0"/>
        <v>30</v>
      </c>
      <c r="B13" s="1">
        <v>34121</v>
      </c>
      <c r="C13" s="3"/>
      <c r="D13" s="3"/>
      <c r="E13" s="3"/>
      <c r="F13" s="3"/>
      <c r="G13" s="3"/>
      <c r="H13" s="3"/>
      <c r="I13" s="3"/>
      <c r="J13" s="3"/>
      <c r="K13" s="3"/>
      <c r="L13" s="13"/>
      <c r="M13" s="11"/>
      <c r="N13" s="3"/>
      <c r="O13" s="3"/>
      <c r="P13" s="3"/>
      <c r="T13" s="3"/>
      <c r="U13" s="3"/>
      <c r="V13" s="3"/>
      <c r="W13" s="3"/>
      <c r="X13" s="3"/>
      <c r="Y13" s="4"/>
    </row>
    <row r="14" spans="1:29" x14ac:dyDescent="0.25">
      <c r="A14">
        <f t="shared" si="0"/>
        <v>31</v>
      </c>
      <c r="B14" s="1">
        <v>34151</v>
      </c>
      <c r="C14" s="3"/>
      <c r="D14" s="3"/>
      <c r="E14" s="3"/>
      <c r="F14" s="3"/>
      <c r="G14" s="3"/>
      <c r="H14" s="3"/>
      <c r="I14" s="3"/>
      <c r="J14" s="3"/>
      <c r="K14" s="3"/>
      <c r="L14" s="13"/>
      <c r="M14" s="11"/>
      <c r="N14" s="3"/>
      <c r="O14" s="3"/>
      <c r="P14" s="3"/>
      <c r="T14" s="3"/>
      <c r="U14" s="3"/>
      <c r="V14" s="3"/>
      <c r="W14" s="3"/>
      <c r="X14" s="3"/>
      <c r="Y14" s="4"/>
    </row>
    <row r="15" spans="1:29" x14ac:dyDescent="0.25">
      <c r="A15">
        <f t="shared" si="0"/>
        <v>31</v>
      </c>
      <c r="B15" s="1">
        <v>34182</v>
      </c>
      <c r="C15" s="3"/>
      <c r="D15" s="3"/>
      <c r="E15" s="3"/>
      <c r="F15" s="3"/>
      <c r="G15" s="3"/>
      <c r="H15" s="3"/>
      <c r="I15" s="3"/>
      <c r="J15" s="3"/>
      <c r="K15" s="3"/>
      <c r="L15" s="13"/>
      <c r="M15" s="11"/>
      <c r="N15" s="3"/>
      <c r="O15" s="3"/>
      <c r="P15" s="3"/>
      <c r="T15" s="3"/>
      <c r="U15" s="3"/>
      <c r="V15" s="3"/>
      <c r="W15" s="3"/>
      <c r="X15" s="3"/>
      <c r="Y15" s="4"/>
    </row>
    <row r="16" spans="1:29" x14ac:dyDescent="0.25">
      <c r="A16">
        <f t="shared" si="0"/>
        <v>30</v>
      </c>
      <c r="B16" s="1">
        <v>34213</v>
      </c>
      <c r="C16" s="3"/>
      <c r="D16" s="3"/>
      <c r="E16" s="3"/>
      <c r="F16" s="3"/>
      <c r="G16" s="3"/>
      <c r="H16" s="3"/>
      <c r="I16" s="3"/>
      <c r="J16" s="3"/>
      <c r="K16" s="3"/>
      <c r="L16" s="13"/>
      <c r="M16" s="11"/>
      <c r="N16" s="3"/>
      <c r="O16" s="3"/>
      <c r="P16" s="3"/>
      <c r="T16" s="3"/>
      <c r="U16" s="3"/>
      <c r="V16" s="3"/>
      <c r="W16" s="3"/>
      <c r="X16" s="3"/>
      <c r="Y16" s="4"/>
    </row>
    <row r="17" spans="1:29" x14ac:dyDescent="0.25">
      <c r="A17">
        <f t="shared" si="0"/>
        <v>31</v>
      </c>
      <c r="B17" s="1">
        <v>34243</v>
      </c>
      <c r="C17" s="3"/>
      <c r="D17" s="3"/>
      <c r="E17" s="3"/>
      <c r="F17" s="3"/>
      <c r="G17" s="3"/>
      <c r="H17" s="3"/>
      <c r="I17" s="3"/>
      <c r="J17" s="3"/>
      <c r="K17" s="3"/>
      <c r="L17" s="13"/>
      <c r="M17" s="11"/>
      <c r="N17" s="4"/>
      <c r="O17" s="3"/>
      <c r="P17" s="3"/>
      <c r="T17" s="3"/>
      <c r="U17" s="3"/>
      <c r="V17" s="3"/>
      <c r="W17" s="2"/>
      <c r="X17" s="3"/>
      <c r="Y17" s="4"/>
    </row>
    <row r="18" spans="1:29" x14ac:dyDescent="0.25">
      <c r="A18">
        <f t="shared" ref="A18:A41" si="1">DAY((B19-1))</f>
        <v>30</v>
      </c>
      <c r="B18" s="1">
        <v>34274</v>
      </c>
      <c r="C18" s="3"/>
      <c r="E18" s="4"/>
      <c r="F18" s="4"/>
      <c r="G18" s="4"/>
      <c r="H18" s="4"/>
      <c r="I18" s="3"/>
      <c r="J18" s="3"/>
      <c r="K18" s="3"/>
      <c r="L18" s="16">
        <v>4.1E-5</v>
      </c>
      <c r="M18" s="17"/>
      <c r="N18" s="4">
        <f>filings!O18/daily!$A18</f>
        <v>26.102566666666668</v>
      </c>
      <c r="O18" s="4">
        <f>filings!P18/daily!$A18</f>
        <v>-4.0597666666666665</v>
      </c>
      <c r="P18" s="4">
        <f>filings!Q18/daily!$A18</f>
        <v>22.0428</v>
      </c>
      <c r="Q18" s="4">
        <f>filings!R18/daily!$A18</f>
        <v>40.1494</v>
      </c>
      <c r="R18" s="4">
        <f>filings!S18/daily!$A18</f>
        <v>0</v>
      </c>
      <c r="S18" s="4">
        <f>Q18-R18</f>
        <v>40.1494</v>
      </c>
      <c r="T18" s="18">
        <f>Q18/L18/1000000</f>
        <v>0.97925365853658541</v>
      </c>
      <c r="U18" s="2">
        <f>N18/$T18/1000000</f>
        <v>2.6655572270901516E-5</v>
      </c>
      <c r="V18" s="31">
        <f>P18/$T18/1000000</f>
        <v>2.250979591226768E-5</v>
      </c>
      <c r="W18" s="2">
        <f t="shared" ref="W18:W25" si="2">M18+0.000041</f>
        <v>4.1E-5</v>
      </c>
      <c r="Y18" s="4">
        <f t="shared" ref="Y18:Y30" si="3">0.000041*C18*1000000</f>
        <v>0</v>
      </c>
      <c r="Z18">
        <f>MONTH(B18)</f>
        <v>11</v>
      </c>
      <c r="AA18" s="18">
        <f>T25</f>
        <v>1.0360649999999998</v>
      </c>
      <c r="AB18" s="4">
        <f>P25</f>
        <v>18.247366666666668</v>
      </c>
      <c r="AC18" s="2">
        <f>V25</f>
        <v>1.7612183276789267E-5</v>
      </c>
    </row>
    <row r="19" spans="1:29" x14ac:dyDescent="0.25">
      <c r="A19">
        <f t="shared" si="1"/>
        <v>31</v>
      </c>
      <c r="B19" s="1">
        <v>34304</v>
      </c>
      <c r="C19" s="3"/>
      <c r="E19" s="4">
        <f>filings!E21/daily!$A19</f>
        <v>18.874193548387098</v>
      </c>
      <c r="F19" s="4">
        <f>filings!F21/daily!$A19</f>
        <v>21.451612903225808</v>
      </c>
      <c r="G19" s="4">
        <f>filings!G21/daily!$A19</f>
        <v>0</v>
      </c>
      <c r="H19" s="4">
        <f>filings!H21/daily!$A19</f>
        <v>-2.577419354838709</v>
      </c>
      <c r="I19" s="3"/>
      <c r="J19" s="3"/>
      <c r="K19" s="3"/>
      <c r="L19" s="16">
        <f>(41*9+10*22)/31/1000000</f>
        <v>1.9000000000000001E-5</v>
      </c>
      <c r="M19" s="17"/>
      <c r="N19" s="4">
        <f>filings!O19/daily!$A19</f>
        <v>29.328967741935482</v>
      </c>
      <c r="O19" s="4">
        <f>filings!P19/daily!$A19</f>
        <v>-4.8492580645161292</v>
      </c>
      <c r="P19" s="4">
        <f>filings!Q19/daily!$A19</f>
        <v>24.479709677419354</v>
      </c>
      <c r="Q19" s="4">
        <f>filings!R19/daily!$A19</f>
        <v>18.874193548387098</v>
      </c>
      <c r="R19" s="4">
        <f>filings!S19/daily!$A19</f>
        <v>0</v>
      </c>
      <c r="S19" s="4">
        <f t="shared" ref="S19:S29" si="4">Q19-R19</f>
        <v>18.874193548387098</v>
      </c>
      <c r="T19" s="18">
        <f t="shared" ref="T19:T25" si="5">Q19/L19/1000000</f>
        <v>0.99337860780984721</v>
      </c>
      <c r="U19" s="2">
        <f t="shared" ref="U19:U25" si="6">N19/$T19/1000000</f>
        <v>2.9524460775935738E-5</v>
      </c>
      <c r="V19" s="31">
        <f t="shared" ref="V19:V27" si="7">P19/$T19/1000000</f>
        <v>2.4642879849598359E-5</v>
      </c>
      <c r="W19" s="2">
        <f t="shared" si="2"/>
        <v>4.1E-5</v>
      </c>
      <c r="Y19" s="4">
        <f t="shared" si="3"/>
        <v>0</v>
      </c>
      <c r="Z19">
        <f t="shared" ref="Z19:Z82" si="8">MONTH(B19)</f>
        <v>12</v>
      </c>
      <c r="AA19" s="18">
        <f>T81</f>
        <v>1.248281462585034</v>
      </c>
      <c r="AB19" s="4">
        <f>P81</f>
        <v>33.244321428571425</v>
      </c>
      <c r="AC19" s="2">
        <f>V81</f>
        <v>2.6632071712197516E-5</v>
      </c>
    </row>
    <row r="20" spans="1:29" x14ac:dyDescent="0.25">
      <c r="A20">
        <f t="shared" si="1"/>
        <v>31</v>
      </c>
      <c r="B20" s="1">
        <v>34335</v>
      </c>
      <c r="C20" s="3"/>
      <c r="E20" s="4">
        <f>filings!E22/daily!$A20</f>
        <v>10.161290322580646</v>
      </c>
      <c r="F20" s="4">
        <f>filings!F22/daily!$A20</f>
        <v>21.64516129032258</v>
      </c>
      <c r="G20" s="4">
        <f>filings!G22/daily!$A20</f>
        <v>0</v>
      </c>
      <c r="H20" s="4">
        <f>filings!H22/daily!$A20</f>
        <v>-11.483870967741936</v>
      </c>
      <c r="I20" s="3"/>
      <c r="J20" s="3"/>
      <c r="K20" s="3"/>
      <c r="L20" s="16">
        <v>1.0000000000000001E-5</v>
      </c>
      <c r="M20" s="17"/>
      <c r="N20" s="4">
        <f>filings!O20/daily!$A20</f>
        <v>29.713806451612903</v>
      </c>
      <c r="O20" s="4">
        <f>filings!P20/daily!$A20</f>
        <v>-5.1542258064516133</v>
      </c>
      <c r="P20" s="4">
        <f>filings!Q20/daily!$A20</f>
        <v>24.55958064516129</v>
      </c>
      <c r="Q20" s="4">
        <f>filings!R20/daily!$A20</f>
        <v>10.161290322580646</v>
      </c>
      <c r="R20" s="4">
        <f>filings!S20/daily!$A20</f>
        <v>0</v>
      </c>
      <c r="S20" s="4">
        <f t="shared" si="4"/>
        <v>10.161290322580646</v>
      </c>
      <c r="T20" s="18">
        <f t="shared" si="5"/>
        <v>1.0161290322580645</v>
      </c>
      <c r="U20" s="2">
        <f t="shared" si="6"/>
        <v>2.9242158730158732E-5</v>
      </c>
      <c r="V20" s="31">
        <f t="shared" si="7"/>
        <v>2.4169746031746032E-5</v>
      </c>
      <c r="W20" s="2">
        <f t="shared" si="2"/>
        <v>4.1E-5</v>
      </c>
      <c r="Y20" s="4">
        <f t="shared" si="3"/>
        <v>0</v>
      </c>
      <c r="Z20">
        <f t="shared" si="8"/>
        <v>1</v>
      </c>
      <c r="AA20" s="18">
        <f>T93</f>
        <v>1.3234220389805096</v>
      </c>
      <c r="AB20" s="4">
        <f>P93</f>
        <v>47.670551724137937</v>
      </c>
      <c r="AC20" s="2">
        <f>V93</f>
        <v>3.6020672408372963E-5</v>
      </c>
    </row>
    <row r="21" spans="1:29" x14ac:dyDescent="0.25">
      <c r="A21">
        <f t="shared" si="1"/>
        <v>28</v>
      </c>
      <c r="B21" s="1">
        <v>34366</v>
      </c>
      <c r="C21" s="18">
        <f>(filings!C21+filings!D21)*filings!K21/daily!$A21/1000000</f>
        <v>1.147687521705069</v>
      </c>
      <c r="D21" s="4">
        <f>filings!$D21/daily!$A21</f>
        <v>32.207142857142856</v>
      </c>
      <c r="E21" s="4">
        <f>filings!E23/daily!$A21</f>
        <v>32.174999999999997</v>
      </c>
      <c r="F21" s="4">
        <f>filings!F23/daily!$A21</f>
        <v>28.139285714285712</v>
      </c>
      <c r="G21" s="4">
        <f>filings!G23/daily!$A21</f>
        <v>0</v>
      </c>
      <c r="H21" s="4">
        <f>filings!H23/daily!$A21</f>
        <v>4.0357142857142856</v>
      </c>
      <c r="I21" s="4">
        <f>filings!I21/daily!$A21</f>
        <v>35.060714285714283</v>
      </c>
      <c r="J21" s="12">
        <f t="shared" ref="J21:J29" si="9">$D21/$C21/1000000</f>
        <v>2.8062640961098989E-5</v>
      </c>
      <c r="K21" s="25">
        <f t="shared" ref="K21:K29" si="10">$I21/$C21/1000000</f>
        <v>3.0549007131859477E-5</v>
      </c>
      <c r="L21" s="16">
        <v>3.1000000000000001E-5</v>
      </c>
      <c r="M21" s="17"/>
      <c r="N21" s="4">
        <f>filings!O21/daily!$A21</f>
        <v>31.8445</v>
      </c>
      <c r="O21" s="4">
        <f>filings!P21/daily!$A21</f>
        <v>-8.7255000000000003</v>
      </c>
      <c r="P21" s="4">
        <f>filings!Q21/daily!$A21</f>
        <v>23.119</v>
      </c>
      <c r="Q21" s="4">
        <f>filings!R21/daily!$A21</f>
        <v>32.174999999999997</v>
      </c>
      <c r="R21" s="4">
        <f>filings!S21/daily!$A21</f>
        <v>0</v>
      </c>
      <c r="S21" s="4">
        <f t="shared" si="4"/>
        <v>32.174999999999997</v>
      </c>
      <c r="T21" s="18">
        <f t="shared" si="5"/>
        <v>1.0379032258064516</v>
      </c>
      <c r="U21" s="2">
        <f t="shared" si="6"/>
        <v>3.0681569541569546E-5</v>
      </c>
      <c r="V21" s="31">
        <f t="shared" si="7"/>
        <v>2.2274716394716397E-5</v>
      </c>
      <c r="W21" s="2">
        <f t="shared" si="2"/>
        <v>4.1E-5</v>
      </c>
      <c r="X21" s="4">
        <f>D21-filings!N21*C21*1000000</f>
        <v>32.207142857142856</v>
      </c>
      <c r="Y21" s="4">
        <f t="shared" si="3"/>
        <v>47.055188389907826</v>
      </c>
      <c r="Z21">
        <f t="shared" si="8"/>
        <v>2</v>
      </c>
      <c r="AA21" s="18">
        <f>T70</f>
        <v>1.3798293906810037</v>
      </c>
      <c r="AB21" s="4">
        <f>P70</f>
        <v>62.659193548387094</v>
      </c>
      <c r="AC21" s="2">
        <f>V70</f>
        <v>4.5410826854080959E-5</v>
      </c>
    </row>
    <row r="22" spans="1:29" x14ac:dyDescent="0.25">
      <c r="A22">
        <f t="shared" si="1"/>
        <v>31</v>
      </c>
      <c r="B22" s="1">
        <v>34394</v>
      </c>
      <c r="C22" s="18">
        <f>(filings!C22+filings!D22)*filings!K22/daily!$A22/1000000</f>
        <v>1.076100126236559</v>
      </c>
      <c r="D22" s="4">
        <f>filings!$D22/daily!$A22</f>
        <v>23.545161290322579</v>
      </c>
      <c r="E22" s="4">
        <f>filings!E24/daily!$A22</f>
        <v>32.089129032258064</v>
      </c>
      <c r="F22" s="4">
        <f>filings!F24/daily!$A22</f>
        <v>18.876354838709677</v>
      </c>
      <c r="G22" s="4">
        <f>filings!G24/daily!$A22</f>
        <v>0</v>
      </c>
      <c r="H22" s="4">
        <f>filings!H24/daily!$A22</f>
        <v>13.212774193548388</v>
      </c>
      <c r="I22" s="4">
        <f>filings!I22/daily!$A22</f>
        <v>35.029032258064518</v>
      </c>
      <c r="J22" s="12">
        <f t="shared" si="9"/>
        <v>2.1880084126248533E-5</v>
      </c>
      <c r="K22" s="25">
        <f t="shared" si="10"/>
        <v>3.2551833611033406E-5</v>
      </c>
      <c r="L22" s="16">
        <v>3.3000000000000003E-5</v>
      </c>
      <c r="M22" s="17"/>
      <c r="N22" s="4">
        <f>filings!O22/daily!$A22</f>
        <v>25.274225806451611</v>
      </c>
      <c r="O22" s="4">
        <f>filings!P22/daily!$A22</f>
        <v>-6.3978709677419356</v>
      </c>
      <c r="P22" s="4">
        <f>filings!Q22/daily!$A22</f>
        <v>18.876354838709673</v>
      </c>
      <c r="Q22" s="4">
        <f>filings!R22/daily!$A22</f>
        <v>32.089129032258064</v>
      </c>
      <c r="R22" s="4">
        <f>filings!S22/daily!$A22</f>
        <v>0</v>
      </c>
      <c r="S22" s="4">
        <f t="shared" si="4"/>
        <v>32.089129032258064</v>
      </c>
      <c r="T22" s="18">
        <f t="shared" si="5"/>
        <v>0.97239784946236552</v>
      </c>
      <c r="U22" s="2">
        <f t="shared" si="6"/>
        <v>2.5991651277741531E-5</v>
      </c>
      <c r="V22" s="31">
        <f t="shared" si="7"/>
        <v>1.9412172547631947E-5</v>
      </c>
      <c r="W22" s="2">
        <f t="shared" si="2"/>
        <v>4.1E-5</v>
      </c>
      <c r="X22" s="4">
        <f>D22-filings!N22*C22*1000000</f>
        <v>23.545161290322579</v>
      </c>
      <c r="Y22" s="4">
        <f t="shared" si="3"/>
        <v>44.120105175698924</v>
      </c>
      <c r="Z22">
        <f t="shared" si="8"/>
        <v>3</v>
      </c>
      <c r="AA22" s="18">
        <f>T66</f>
        <v>1.3848506944444443</v>
      </c>
      <c r="AB22" s="4">
        <f>P66</f>
        <v>66.615100000000012</v>
      </c>
      <c r="AC22" s="2">
        <f>V66</f>
        <v>4.8102730689479681E-5</v>
      </c>
    </row>
    <row r="23" spans="1:29" x14ac:dyDescent="0.25">
      <c r="A23">
        <f t="shared" si="1"/>
        <v>30</v>
      </c>
      <c r="B23" s="1">
        <v>34425</v>
      </c>
      <c r="C23" s="18">
        <f>(filings!C23+filings!D23)*filings!K23/daily!$A23/1000000</f>
        <v>1.0233918160384616</v>
      </c>
      <c r="D23" s="4">
        <f>filings!$D23/daily!$A23</f>
        <v>29.896666666666665</v>
      </c>
      <c r="E23" s="4">
        <f>filings!E25/daily!$A23</f>
        <v>26.794500000000003</v>
      </c>
      <c r="F23" s="4">
        <f>filings!F25/daily!$A23</f>
        <v>24.079699999999999</v>
      </c>
      <c r="G23" s="4">
        <f>filings!G25/daily!$A23</f>
        <v>0</v>
      </c>
      <c r="H23" s="4">
        <f>filings!H25/daily!$A23</f>
        <v>2.7148000000000025</v>
      </c>
      <c r="I23" s="4">
        <f>filings!I23/daily!$A23</f>
        <v>26.13</v>
      </c>
      <c r="J23" s="12">
        <f t="shared" si="9"/>
        <v>2.9213314195140167E-5</v>
      </c>
      <c r="K23" s="25">
        <f t="shared" si="10"/>
        <v>2.553274277798013E-5</v>
      </c>
      <c r="L23" s="16">
        <v>2.5999999999999998E-5</v>
      </c>
      <c r="M23" s="17"/>
      <c r="N23" s="4">
        <f>filings!O23/daily!$A23</f>
        <v>27.060799999999997</v>
      </c>
      <c r="O23" s="4">
        <f>filings!P23/daily!$A23</f>
        <v>-2.9812000000000003</v>
      </c>
      <c r="P23" s="4">
        <f>filings!Q23/daily!$A23</f>
        <v>24.079599999999996</v>
      </c>
      <c r="Q23" s="4">
        <f>filings!R23/daily!$A23</f>
        <v>26.794500000000003</v>
      </c>
      <c r="R23" s="4">
        <f>filings!S23/daily!$A23</f>
        <v>0</v>
      </c>
      <c r="S23" s="4">
        <f t="shared" si="4"/>
        <v>26.794500000000003</v>
      </c>
      <c r="T23" s="18">
        <f t="shared" si="5"/>
        <v>1.0305576923076925</v>
      </c>
      <c r="U23" s="2">
        <f t="shared" si="6"/>
        <v>2.6258403776894503E-5</v>
      </c>
      <c r="V23" s="31">
        <f t="shared" si="7"/>
        <v>2.3365601149489628E-5</v>
      </c>
      <c r="W23" s="2">
        <f t="shared" si="2"/>
        <v>4.1E-5</v>
      </c>
      <c r="X23" s="4">
        <f>D23-filings!N23*C23*1000000</f>
        <v>29.896666666666665</v>
      </c>
      <c r="Y23" s="4">
        <f t="shared" si="3"/>
        <v>41.959064457576929</v>
      </c>
      <c r="Z23">
        <f t="shared" si="8"/>
        <v>4</v>
      </c>
      <c r="AA23" s="67" t="s">
        <v>105</v>
      </c>
      <c r="AB23" s="67" t="s">
        <v>106</v>
      </c>
      <c r="AC23" s="67" t="s">
        <v>107</v>
      </c>
    </row>
    <row r="24" spans="1:29" x14ac:dyDescent="0.25">
      <c r="A24">
        <f t="shared" si="1"/>
        <v>31</v>
      </c>
      <c r="B24" s="1">
        <v>34455</v>
      </c>
      <c r="C24" s="18">
        <f>(filings!C24+filings!D24)*filings!K24/daily!$A24/1000000</f>
        <v>1.0136347741935483</v>
      </c>
      <c r="D24" s="4">
        <f>filings!$D24/daily!$A24</f>
        <v>37.967741935483872</v>
      </c>
      <c r="E24" s="4">
        <f>filings!E26/daily!$A24</f>
        <v>24.110032258064514</v>
      </c>
      <c r="F24" s="4">
        <f>filings!F26/daily!$A24</f>
        <v>23.00922580645161</v>
      </c>
      <c r="G24" s="4">
        <f>filings!G26/daily!$A24</f>
        <v>0</v>
      </c>
      <c r="H24" s="4">
        <f>filings!H26/daily!$A24</f>
        <v>1.1008064516129032</v>
      </c>
      <c r="I24" s="4">
        <f>filings!I24/daily!$A24</f>
        <v>24.754967741935484</v>
      </c>
      <c r="J24" s="12">
        <f t="shared" si="9"/>
        <v>3.7457023873012993E-5</v>
      </c>
      <c r="K24" s="25">
        <f t="shared" si="10"/>
        <v>2.4421979565204469E-5</v>
      </c>
      <c r="L24" s="16">
        <v>2.5000000000000001E-5</v>
      </c>
      <c r="M24" s="17"/>
      <c r="N24" s="4">
        <f>filings!O24/daily!$A24</f>
        <v>24.374225806451612</v>
      </c>
      <c r="O24" s="4">
        <f>filings!P24/daily!$A24</f>
        <v>-1.3475806451612902</v>
      </c>
      <c r="P24" s="4">
        <f>filings!Q24/daily!$A24</f>
        <v>23.026645161290322</v>
      </c>
      <c r="Q24" s="4">
        <f>filings!R24/daily!$A24</f>
        <v>24.110032258064514</v>
      </c>
      <c r="R24" s="4">
        <f>filings!S24/daily!$A24</f>
        <v>0</v>
      </c>
      <c r="S24" s="4">
        <f t="shared" si="4"/>
        <v>24.110032258064514</v>
      </c>
      <c r="T24" s="18">
        <f t="shared" si="5"/>
        <v>0.96440129032258048</v>
      </c>
      <c r="U24" s="2">
        <f t="shared" si="6"/>
        <v>2.5273945660419773E-5</v>
      </c>
      <c r="V24" s="31">
        <f t="shared" si="7"/>
        <v>2.3876622099487436E-5</v>
      </c>
      <c r="W24" s="2">
        <f t="shared" si="2"/>
        <v>4.1E-5</v>
      </c>
      <c r="X24" s="4">
        <f>D24-filings!N24*C24*1000000</f>
        <v>37.967741935483872</v>
      </c>
      <c r="Y24" s="4">
        <f t="shared" si="3"/>
        <v>41.559025741935478</v>
      </c>
      <c r="Z24">
        <f t="shared" si="8"/>
        <v>5</v>
      </c>
      <c r="AB24" t="s">
        <v>126</v>
      </c>
      <c r="AC24" t="s">
        <v>126</v>
      </c>
    </row>
    <row r="25" spans="1:29" x14ac:dyDescent="0.25">
      <c r="A25">
        <f t="shared" si="1"/>
        <v>30</v>
      </c>
      <c r="B25" s="1">
        <v>34486</v>
      </c>
      <c r="C25" s="18">
        <f>(filings!C25+filings!D25)*filings!K25/daily!$A25/1000000</f>
        <v>1.0740311999999999</v>
      </c>
      <c r="D25" s="4">
        <f>filings!$D25/daily!$A25</f>
        <v>23.916666666666668</v>
      </c>
      <c r="E25" s="4">
        <f>filings!E27/daily!$A25</f>
        <v>20.721299999999999</v>
      </c>
      <c r="F25" s="4">
        <f>filings!F27/daily!$A25</f>
        <v>18.247033333333331</v>
      </c>
      <c r="G25" s="4">
        <f>filings!G27/daily!$A25</f>
        <v>0</v>
      </c>
      <c r="H25" s="4">
        <f>filings!H27/daily!$A25</f>
        <v>2.4742666666666691</v>
      </c>
      <c r="I25" s="4">
        <f>filings!I25/daily!$A25</f>
        <v>21.201866666666664</v>
      </c>
      <c r="J25" s="12">
        <f t="shared" si="9"/>
        <v>2.2268130261641067E-5</v>
      </c>
      <c r="K25" s="25">
        <f t="shared" si="10"/>
        <v>1.9740456950102256E-5</v>
      </c>
      <c r="L25" s="16">
        <v>2.0000000000000002E-5</v>
      </c>
      <c r="M25" s="17"/>
      <c r="N25" s="4">
        <f>filings!O25/daily!$A25</f>
        <v>28.431066666666666</v>
      </c>
      <c r="O25" s="4">
        <f>filings!P25/daily!$A25</f>
        <v>-10.1837</v>
      </c>
      <c r="P25" s="4">
        <f>filings!Q25/daily!$A25</f>
        <v>18.247366666666668</v>
      </c>
      <c r="Q25" s="4">
        <f>filings!R25/daily!$A25</f>
        <v>20.721299999999999</v>
      </c>
      <c r="R25" s="4">
        <f>filings!S25/daily!$A25</f>
        <v>0</v>
      </c>
      <c r="S25" s="4">
        <f t="shared" si="4"/>
        <v>20.721299999999999</v>
      </c>
      <c r="T25" s="18">
        <f t="shared" si="5"/>
        <v>1.0360649999999998</v>
      </c>
      <c r="U25" s="2">
        <f t="shared" si="6"/>
        <v>2.7441392834104686E-5</v>
      </c>
      <c r="V25" s="31">
        <f t="shared" si="7"/>
        <v>1.7612183276789267E-5</v>
      </c>
      <c r="W25" s="2">
        <f t="shared" si="2"/>
        <v>4.1E-5</v>
      </c>
      <c r="X25" s="4">
        <f>D25-filings!N25*C25*1000000</f>
        <v>23.916666666666668</v>
      </c>
      <c r="Y25" s="4">
        <f t="shared" si="3"/>
        <v>44.035279199999991</v>
      </c>
      <c r="Z25">
        <f t="shared" si="8"/>
        <v>6</v>
      </c>
      <c r="AA25" s="18">
        <f>T22</f>
        <v>0.97239784946236552</v>
      </c>
      <c r="AB25" s="4">
        <f>P22</f>
        <v>18.876354838709673</v>
      </c>
      <c r="AC25" s="2">
        <f>V22</f>
        <v>1.9412172547631947E-5</v>
      </c>
    </row>
    <row r="26" spans="1:29" x14ac:dyDescent="0.25">
      <c r="A26">
        <f t="shared" si="1"/>
        <v>31</v>
      </c>
      <c r="B26" s="1">
        <v>34516</v>
      </c>
      <c r="C26" s="18">
        <f>(filings!C26+filings!D26)*filings!K26/daily!$A26/1000000</f>
        <v>1.1981018425806451</v>
      </c>
      <c r="D26" s="4">
        <f>filings!$D26/daily!$A26</f>
        <v>24.761290322580646</v>
      </c>
      <c r="E26" s="4">
        <f>filings!E28/daily!$A26</f>
        <v>18.520451612903226</v>
      </c>
      <c r="F26" s="4">
        <f>filings!F28/daily!$A26</f>
        <v>27.042387096774192</v>
      </c>
      <c r="G26" s="4">
        <f>filings!G28/daily!$A26</f>
        <v>0</v>
      </c>
      <c r="H26" s="4">
        <f>filings!H28/daily!$A26</f>
        <v>-8.5219354838709656</v>
      </c>
      <c r="I26" s="4">
        <f>filings!I26/daily!$A26</f>
        <v>23.660483870967742</v>
      </c>
      <c r="J26" s="12">
        <f t="shared" si="9"/>
        <v>2.0667099776131046E-5</v>
      </c>
      <c r="K26" s="50">
        <f t="shared" si="10"/>
        <v>1.9748307723160136E-5</v>
      </c>
      <c r="L26" s="49">
        <v>1.6000000000000003E-5</v>
      </c>
      <c r="M26" s="17">
        <f>filings!N26</f>
        <v>-3.9999999999999998E-6</v>
      </c>
      <c r="N26" s="4">
        <f>filings!O26/daily!$A26</f>
        <v>38.932612903225809</v>
      </c>
      <c r="O26" s="4">
        <f>filings!P26/daily!$A26</f>
        <v>-11.890225806451612</v>
      </c>
      <c r="P26" s="4">
        <f>filings!Q26/daily!$A26</f>
        <v>27.042387096774195</v>
      </c>
      <c r="Q26" s="4">
        <f>filings!R26/daily!$A26</f>
        <v>18.520451612903226</v>
      </c>
      <c r="R26" s="4">
        <f>filings!S26/daily!$A26</f>
        <v>-4.6301290322580639</v>
      </c>
      <c r="S26" s="4">
        <f t="shared" si="4"/>
        <v>23.150580645161291</v>
      </c>
      <c r="T26" s="18">
        <f t="shared" ref="T26:T37" si="11">Q26/L26/1000000</f>
        <v>1.1575282258064514</v>
      </c>
      <c r="U26" s="2">
        <f>N26/$T26/1000000</f>
        <v>3.363426656494826E-5</v>
      </c>
      <c r="V26" s="31">
        <f t="shared" si="7"/>
        <v>2.3362183741077872E-5</v>
      </c>
      <c r="W26" s="2">
        <f>M26+0.000041</f>
        <v>3.6999999999999998E-5</v>
      </c>
      <c r="X26" s="4">
        <f>D26-filings!N26*C26*1000000</f>
        <v>29.553697692903228</v>
      </c>
      <c r="Y26" s="4">
        <f t="shared" si="3"/>
        <v>49.122175545806449</v>
      </c>
      <c r="Z26">
        <f t="shared" si="8"/>
        <v>7</v>
      </c>
      <c r="AA26" s="18">
        <f>T28</f>
        <v>1.0912173333333333</v>
      </c>
      <c r="AB26" s="4">
        <f>P28</f>
        <v>26.235233333333333</v>
      </c>
      <c r="AC26" s="2">
        <f>V28</f>
        <v>2.4042170640006941E-5</v>
      </c>
    </row>
    <row r="27" spans="1:29" x14ac:dyDescent="0.25">
      <c r="A27">
        <f t="shared" si="1"/>
        <v>31</v>
      </c>
      <c r="B27" s="1">
        <v>34547</v>
      </c>
      <c r="C27" s="18">
        <f>(filings!C27+filings!D27)*filings!K27/daily!$A27/1000000</f>
        <v>1.2819603483870969</v>
      </c>
      <c r="D27" s="4">
        <f>filings!$D27/daily!$A27</f>
        <v>30.190322580645162</v>
      </c>
      <c r="E27" s="4">
        <f>filings!E29/daily!$A27</f>
        <v>20.649451612903228</v>
      </c>
      <c r="F27" s="4">
        <f>filings!F29/daily!$A27</f>
        <v>40.97916129032258</v>
      </c>
      <c r="G27" s="4">
        <f>filings!G29/daily!$A27</f>
        <v>0</v>
      </c>
      <c r="H27" s="4">
        <f>filings!H29/daily!$A27</f>
        <v>-20.329709677419356</v>
      </c>
      <c r="I27" s="4">
        <f>filings!I27/daily!$A27</f>
        <v>27.795870967741934</v>
      </c>
      <c r="J27" s="12">
        <f t="shared" si="9"/>
        <v>2.3550121982032619E-5</v>
      </c>
      <c r="K27" s="50">
        <f t="shared" si="10"/>
        <v>2.1682317243831611E-5</v>
      </c>
      <c r="L27" s="49">
        <v>1.8E-5</v>
      </c>
      <c r="M27" s="17">
        <f>filings!N27</f>
        <v>-3.9999999999999998E-6</v>
      </c>
      <c r="N27" s="4">
        <f>filings!O27/daily!$A27</f>
        <v>41.596387096774194</v>
      </c>
      <c r="O27" s="4">
        <f>filings!P27/daily!$A27</f>
        <v>-0.61722580645161296</v>
      </c>
      <c r="P27" s="4">
        <f>filings!Q27/daily!$A27</f>
        <v>40.97916129032258</v>
      </c>
      <c r="Q27" s="4">
        <f>filings!R27/daily!$A27</f>
        <v>20.649451612903228</v>
      </c>
      <c r="R27" s="4">
        <f>filings!S27/daily!$A27</f>
        <v>-4.588774193548387</v>
      </c>
      <c r="S27" s="4">
        <f t="shared" si="4"/>
        <v>25.238225806451617</v>
      </c>
      <c r="T27" s="18">
        <f t="shared" si="11"/>
        <v>1.1471917562724014</v>
      </c>
      <c r="U27" s="2">
        <f>N27/$T27/1000000</f>
        <v>3.625931486113042E-5</v>
      </c>
      <c r="V27" s="31">
        <f t="shared" si="7"/>
        <v>3.5721282920893004E-5</v>
      </c>
      <c r="W27" s="2">
        <f t="shared" ref="W27:W90" si="12">M27+0.000041</f>
        <v>3.6999999999999998E-5</v>
      </c>
      <c r="X27" s="4">
        <f>D27-filings!N27*C27*1000000</f>
        <v>35.318163974193553</v>
      </c>
      <c r="Y27" s="4">
        <f t="shared" si="3"/>
        <v>52.560374283870978</v>
      </c>
      <c r="Z27">
        <f t="shared" si="8"/>
        <v>8</v>
      </c>
      <c r="AA27" s="18">
        <f>T80</f>
        <v>1.2609912634408602</v>
      </c>
      <c r="AB27" s="4">
        <f>P80</f>
        <v>42.850612903225809</v>
      </c>
      <c r="AC27" s="2">
        <f>V80</f>
        <v>3.3981688966107166E-5</v>
      </c>
    </row>
    <row r="28" spans="1:29" x14ac:dyDescent="0.25">
      <c r="A28">
        <f t="shared" si="1"/>
        <v>30</v>
      </c>
      <c r="B28" s="1">
        <v>34578</v>
      </c>
      <c r="C28" s="18">
        <f>(filings!C28+filings!D28)*filings!K28/daily!$A28/1000000</f>
        <v>1.3233826799999999</v>
      </c>
      <c r="D28" s="4">
        <f>filings!$D28/daily!$A28</f>
        <v>29.056666666666668</v>
      </c>
      <c r="E28" s="4">
        <f>filings!E30/daily!$A28</f>
        <v>27.280433333333335</v>
      </c>
      <c r="F28" s="4">
        <f>filings!F30/daily!$A28</f>
        <v>33.315800000000003</v>
      </c>
      <c r="G28" s="4">
        <f>filings!G30/daily!$A28</f>
        <v>3.6036000000000001</v>
      </c>
      <c r="H28" s="4">
        <f>filings!H30/daily!$A28</f>
        <v>-9.6389666666666685</v>
      </c>
      <c r="I28" s="4">
        <f>filings!I28/daily!$A28</f>
        <v>37.862666666666669</v>
      </c>
      <c r="J28" s="12">
        <f t="shared" si="9"/>
        <v>2.1956360095831593E-5</v>
      </c>
      <c r="K28" s="50">
        <f t="shared" si="10"/>
        <v>2.8610520024840184E-5</v>
      </c>
      <c r="L28" s="49">
        <v>2.5000000000000001E-5</v>
      </c>
      <c r="M28" s="17">
        <f>filings!N28</f>
        <v>-3.9999999999999998E-6</v>
      </c>
      <c r="N28" s="4">
        <f>filings!O28/daily!$A28</f>
        <v>37.655099999999997</v>
      </c>
      <c r="O28" s="4">
        <f>filings!P28/daily!$A28</f>
        <v>-11.419866666666667</v>
      </c>
      <c r="P28" s="4">
        <f>filings!Q28/daily!$A28</f>
        <v>26.235233333333333</v>
      </c>
      <c r="Q28" s="4">
        <f>filings!R28/daily!$A28</f>
        <v>27.280433333333335</v>
      </c>
      <c r="R28" s="4">
        <f>filings!S28/daily!$A28</f>
        <v>-4.3648666666666669</v>
      </c>
      <c r="S28" s="4">
        <f t="shared" si="4"/>
        <v>31.645300000000002</v>
      </c>
      <c r="T28" s="18">
        <f t="shared" si="11"/>
        <v>1.0912173333333333</v>
      </c>
      <c r="U28" s="2">
        <f>N28/$T28/1000000</f>
        <v>3.450742473543309E-5</v>
      </c>
      <c r="V28" s="31">
        <f t="shared" ref="V28:V39" si="13">P28/$T28/1000000</f>
        <v>2.4042170640006941E-5</v>
      </c>
      <c r="W28" s="2">
        <f t="shared" si="12"/>
        <v>3.6999999999999998E-5</v>
      </c>
      <c r="X28" s="4">
        <f>D28-filings!N28*C28*1000000</f>
        <v>34.350197386666665</v>
      </c>
      <c r="Y28" s="4">
        <f t="shared" si="3"/>
        <v>54.258689879999999</v>
      </c>
      <c r="Z28">
        <f t="shared" si="8"/>
        <v>9</v>
      </c>
      <c r="AA28" s="18">
        <f>T92</f>
        <v>1.3128260869565218</v>
      </c>
      <c r="AB28" s="4">
        <f>P92</f>
        <v>51.767225806451613</v>
      </c>
      <c r="AC28" s="2">
        <f>V92</f>
        <v>3.9431899107414709E-5</v>
      </c>
    </row>
    <row r="29" spans="1:29" x14ac:dyDescent="0.25">
      <c r="A29">
        <f t="shared" si="1"/>
        <v>31</v>
      </c>
      <c r="B29" s="1">
        <v>34608</v>
      </c>
      <c r="C29" s="18">
        <f>(filings!C29+filings!D29)*filings!K29/daily!$A29/1000000</f>
        <v>1.2773328387096774</v>
      </c>
      <c r="D29" s="4">
        <f>filings!$D29/daily!$A29</f>
        <v>22.629032258064516</v>
      </c>
      <c r="E29" s="4">
        <f>filings!E31/daily!$A29</f>
        <v>30.794225806451614</v>
      </c>
      <c r="F29" s="4">
        <f>filings!F31/daily!$A29</f>
        <v>45.981322580645163</v>
      </c>
      <c r="G29" s="4">
        <f>filings!G31/daily!$A29</f>
        <v>-4.3616451612903226</v>
      </c>
      <c r="H29" s="4">
        <f>filings!H31/daily!$A29</f>
        <v>-10.825451612903228</v>
      </c>
      <c r="I29" s="4">
        <f>filings!I29/daily!$A29</f>
        <v>42.958741935483872</v>
      </c>
      <c r="J29" s="12">
        <f t="shared" si="9"/>
        <v>1.7715846310601137E-5</v>
      </c>
      <c r="K29" s="50">
        <f t="shared" si="10"/>
        <v>3.3631595958089888E-5</v>
      </c>
      <c r="L29" s="49">
        <v>2.9999999999999997E-5</v>
      </c>
      <c r="M29" s="17">
        <f>filings!N29</f>
        <v>-3.9999999999999998E-6</v>
      </c>
      <c r="N29" s="4">
        <f>filings!O29/daily!$A29</f>
        <v>39.028677419354835</v>
      </c>
      <c r="O29" s="4">
        <f>filings!P29/daily!$A29</f>
        <v>6.5736129032258068</v>
      </c>
      <c r="P29" s="4">
        <f>filings!Q29/daily!$A29</f>
        <v>45.602290322580636</v>
      </c>
      <c r="Q29" s="4">
        <f>filings!R29/daily!$A29</f>
        <v>30.794225806451614</v>
      </c>
      <c r="R29" s="4">
        <f>filings!S29/daily!$A29</f>
        <v>-4.1059032258064514</v>
      </c>
      <c r="S29" s="4">
        <f t="shared" si="4"/>
        <v>34.900129032258064</v>
      </c>
      <c r="T29" s="18">
        <f t="shared" si="11"/>
        <v>1.0264741935483872</v>
      </c>
      <c r="U29" s="2">
        <f>N29/$T29/1000000</f>
        <v>3.802207368159719E-5</v>
      </c>
      <c r="V29" s="31">
        <f t="shared" si="13"/>
        <v>4.4426143988032934E-5</v>
      </c>
      <c r="W29" s="2">
        <f t="shared" si="12"/>
        <v>3.6999999999999998E-5</v>
      </c>
      <c r="X29" s="4">
        <f>D29-filings!N29*C29*1000000</f>
        <v>27.738363612903225</v>
      </c>
      <c r="Y29" s="4">
        <f>0.000041*VALUE(C29)*1000000</f>
        <v>52.370646387096777</v>
      </c>
      <c r="Z29">
        <f t="shared" si="8"/>
        <v>10</v>
      </c>
      <c r="AA29" s="18">
        <f>T73</f>
        <v>1.3201401515151516</v>
      </c>
      <c r="AB29" s="4">
        <f>P73</f>
        <v>53.046266666666661</v>
      </c>
      <c r="AC29" s="2">
        <f>V73</f>
        <v>4.0182299285257238E-5</v>
      </c>
    </row>
    <row r="30" spans="1:29" x14ac:dyDescent="0.25">
      <c r="A30">
        <f t="shared" si="1"/>
        <v>30</v>
      </c>
      <c r="B30" s="1">
        <v>34639</v>
      </c>
      <c r="C30" s="18">
        <f>(filings!C30+filings!D30)*filings!K30/daily!$A30/1000000</f>
        <v>1.1779720378378378</v>
      </c>
      <c r="D30" s="4">
        <f>filings!$D30/daily!$A30</f>
        <v>33.333333333333336</v>
      </c>
      <c r="E30" s="4">
        <f>filings!E32/daily!$A30</f>
        <v>42.025099999999995</v>
      </c>
      <c r="F30" s="4">
        <f>filings!F32/daily!$A30</f>
        <v>48.156466666666667</v>
      </c>
      <c r="G30" s="4">
        <f>filings!G32/daily!$A30</f>
        <v>8.777333333333333</v>
      </c>
      <c r="H30" s="4">
        <f>filings!H32/daily!$A30</f>
        <v>-14.908700000000001</v>
      </c>
      <c r="I30" s="4">
        <f>filings!I30/daily!$A30</f>
        <v>42.972300000000004</v>
      </c>
      <c r="J30" s="12">
        <f>$D30/$C30/1000000</f>
        <v>2.8297219511692752E-5</v>
      </c>
      <c r="K30" s="25">
        <f>$I30/$C30/1000000</f>
        <v>3.6479898180669435E-5</v>
      </c>
      <c r="L30" s="16">
        <v>3.6999999999999998E-5</v>
      </c>
      <c r="M30" s="17">
        <f>filings!N30</f>
        <v>-3.9999999999999998E-6</v>
      </c>
      <c r="N30" s="4">
        <f>filings!O30/daily!$A30</f>
        <v>41.614666666666672</v>
      </c>
      <c r="O30" s="4">
        <f>filings!P30/daily!$A30</f>
        <v>6.5417999999999994</v>
      </c>
      <c r="P30" s="4">
        <f>filings!Q30/daily!$A30</f>
        <v>48.156466666666667</v>
      </c>
      <c r="Q30" s="4">
        <f>filings!R30/daily!$A30</f>
        <v>42.025099999999995</v>
      </c>
      <c r="R30" s="4">
        <f>filings!S30/daily!$A30</f>
        <v>-4.5432666666666668</v>
      </c>
      <c r="S30" s="4">
        <f t="shared" ref="S30:S41" si="14">Q30-R30</f>
        <v>46.568366666666662</v>
      </c>
      <c r="T30" s="18">
        <f t="shared" si="11"/>
        <v>1.1358135135135135</v>
      </c>
      <c r="U30" s="2">
        <f t="shared" ref="U30:U41" si="15">N30/$T30/1000000</f>
        <v>3.6638643731167015E-5</v>
      </c>
      <c r="V30" s="31">
        <f t="shared" si="13"/>
        <v>4.2398215986795191E-5</v>
      </c>
      <c r="W30" s="2">
        <f t="shared" si="12"/>
        <v>3.6999999999999998E-5</v>
      </c>
      <c r="X30" s="4">
        <f>D30-filings!N30*C30*1000000</f>
        <v>38.045221484684689</v>
      </c>
      <c r="Y30" s="4">
        <f t="shared" si="3"/>
        <v>48.296853551351347</v>
      </c>
      <c r="Z30">
        <f t="shared" si="8"/>
        <v>11</v>
      </c>
      <c r="AA30" s="18">
        <f>T69</f>
        <v>1.3435543154761906</v>
      </c>
      <c r="AB30" s="4">
        <f>P69</f>
        <v>59.722642857142851</v>
      </c>
      <c r="AC30" s="2">
        <f>V69</f>
        <v>4.4451230716322463E-5</v>
      </c>
    </row>
    <row r="31" spans="1:29" x14ac:dyDescent="0.25">
      <c r="A31">
        <f t="shared" si="1"/>
        <v>31</v>
      </c>
      <c r="B31" s="1">
        <v>34669</v>
      </c>
      <c r="C31" s="56">
        <f>(filings!C31+filings!D31)*filings!K31/daily!$A31/1000000</f>
        <v>1.4076827486486485</v>
      </c>
      <c r="D31" s="4">
        <f>filings!$D31/daily!$A31</f>
        <v>40.345161290322579</v>
      </c>
      <c r="E31" s="4">
        <f>filings!E33/daily!$A31</f>
        <v>44.925387096774188</v>
      </c>
      <c r="F31" s="4">
        <f>filings!F33/daily!$A31</f>
        <v>54.884193548387103</v>
      </c>
      <c r="G31" s="4">
        <f>filings!G33/daily!$A31</f>
        <v>8.3284516129032262</v>
      </c>
      <c r="H31" s="4">
        <f>filings!H33/daily!$A31</f>
        <v>-18.287258064516134</v>
      </c>
      <c r="I31" s="4">
        <f>filings!I31/daily!$A31</f>
        <v>51.170612903225816</v>
      </c>
      <c r="J31" s="12">
        <f t="shared" ref="J31:J94" si="16">$D31/$C31/1000000</f>
        <v>2.8660691714133207E-5</v>
      </c>
      <c r="K31" s="25">
        <f t="shared" ref="K31:K94" si="17">$I31/$C31/1000000</f>
        <v>3.6350955463756829E-5</v>
      </c>
      <c r="L31" s="16">
        <v>3.6999999999999998E-5</v>
      </c>
      <c r="M31" s="17">
        <f>filings!N31</f>
        <v>-3.9999999999999998E-6</v>
      </c>
      <c r="N31" s="4">
        <f>filings!O31/daily!$A31</f>
        <v>49.89725806451613</v>
      </c>
      <c r="O31" s="4">
        <f>filings!P31/daily!$A31</f>
        <v>4.9869354838709681</v>
      </c>
      <c r="P31" s="4">
        <f>filings!Q31/daily!$A31</f>
        <v>54.884193548387103</v>
      </c>
      <c r="Q31" s="4">
        <f>filings!R31/daily!$A31</f>
        <v>44.925387096774188</v>
      </c>
      <c r="R31" s="4">
        <f>filings!S31/daily!$A31</f>
        <v>-4.8568064516129033</v>
      </c>
      <c r="S31" s="4">
        <f t="shared" si="14"/>
        <v>49.782193548387092</v>
      </c>
      <c r="T31" s="18">
        <f t="shared" si="11"/>
        <v>1.2141996512641673</v>
      </c>
      <c r="U31" s="2">
        <f t="shared" si="15"/>
        <v>4.1094772192172397E-5</v>
      </c>
      <c r="V31" s="31">
        <f t="shared" si="13"/>
        <v>4.5201951335799081E-5</v>
      </c>
      <c r="W31" s="2">
        <f t="shared" si="12"/>
        <v>3.6999999999999998E-5</v>
      </c>
      <c r="X31" s="4">
        <f>D31-filings!N31*C31*1000000</f>
        <v>45.975892284917173</v>
      </c>
      <c r="Y31" s="4">
        <f t="shared" ref="Y31:Y94" si="18">0.000041*C31*1000000</f>
        <v>57.714992694594585</v>
      </c>
      <c r="Z31">
        <f t="shared" si="8"/>
        <v>12</v>
      </c>
      <c r="AA31" s="18">
        <f>T71</f>
        <v>1.3579519379844962</v>
      </c>
      <c r="AB31" s="4">
        <f>P71</f>
        <v>65.279600000000002</v>
      </c>
      <c r="AC31" s="2">
        <f>V71</f>
        <v>4.8072098999976019E-5</v>
      </c>
    </row>
    <row r="32" spans="1:29" x14ac:dyDescent="0.25">
      <c r="A32">
        <f t="shared" si="1"/>
        <v>31</v>
      </c>
      <c r="B32" s="1">
        <v>34700</v>
      </c>
      <c r="C32" s="56">
        <f>(filings!C32+filings!D32)*filings!K32/daily!$A32/1000000</f>
        <v>1.4484758603225807</v>
      </c>
      <c r="D32" s="4">
        <f>filings!$D32/daily!$A32</f>
        <v>42.470967741935482</v>
      </c>
      <c r="E32" s="4">
        <f>filings!E34/daily!$A32</f>
        <v>47.394903225806452</v>
      </c>
      <c r="F32" s="4">
        <f>filings!F34/daily!$A32</f>
        <v>60.971129032258062</v>
      </c>
      <c r="G32" s="4">
        <f>filings!G34/daily!$A32</f>
        <v>7.4780000000000006</v>
      </c>
      <c r="H32" s="4">
        <f>filings!H34/daily!$A32</f>
        <v>-21.054225806451615</v>
      </c>
      <c r="I32" s="4">
        <f>filings!I32/daily!$A32</f>
        <v>56.898741935483869</v>
      </c>
      <c r="J32" s="12">
        <f t="shared" si="16"/>
        <v>2.9321142937430137E-5</v>
      </c>
      <c r="K32" s="25">
        <f t="shared" si="17"/>
        <v>3.9281801992069318E-5</v>
      </c>
      <c r="L32" s="16">
        <v>4.0000000000000003E-5</v>
      </c>
      <c r="M32" s="17">
        <f>filings!N32</f>
        <v>7.9999999999999996E-6</v>
      </c>
      <c r="N32" s="4">
        <f>filings!O32/daily!$A32</f>
        <v>48.348580645161292</v>
      </c>
      <c r="O32" s="4">
        <f>filings!P32/daily!$A32</f>
        <v>12.622548387096774</v>
      </c>
      <c r="P32" s="4">
        <f>filings!Q32/daily!$A32</f>
        <v>60.971129032258062</v>
      </c>
      <c r="Q32" s="4">
        <f>filings!R32/daily!$A32</f>
        <v>47.394903225806452</v>
      </c>
      <c r="R32" s="4">
        <f>filings!S32/daily!$A32</f>
        <v>9.4789677419354845</v>
      </c>
      <c r="S32" s="4">
        <f t="shared" si="14"/>
        <v>37.915935483870967</v>
      </c>
      <c r="T32" s="18">
        <f t="shared" si="11"/>
        <v>1.1848725806451612</v>
      </c>
      <c r="U32" s="2">
        <f t="shared" si="15"/>
        <v>4.0804877617165868E-5</v>
      </c>
      <c r="V32" s="31">
        <f t="shared" si="13"/>
        <v>5.1457962677353359E-5</v>
      </c>
      <c r="W32" s="2">
        <f t="shared" si="12"/>
        <v>4.8999999999999998E-5</v>
      </c>
      <c r="X32" s="4">
        <f>D32-filings!N32*C32*1000000</f>
        <v>30.883160859354838</v>
      </c>
      <c r="Y32" s="4">
        <f t="shared" si="18"/>
        <v>59.387510273225807</v>
      </c>
      <c r="Z32">
        <f t="shared" si="8"/>
        <v>1</v>
      </c>
    </row>
    <row r="33" spans="1:29" x14ac:dyDescent="0.25">
      <c r="A33">
        <f t="shared" si="1"/>
        <v>28</v>
      </c>
      <c r="B33" s="1">
        <v>34731</v>
      </c>
      <c r="C33" s="56">
        <f>(filings!C33+filings!D33)*filings!K33/daily!$A33/1000000</f>
        <v>1.6437842532467533</v>
      </c>
      <c r="D33" s="4">
        <f>filings!$D33/daily!$A33</f>
        <v>50.714285714285715</v>
      </c>
      <c r="E33" s="4">
        <f>filings!E35/daily!$A33</f>
        <v>51.717928571428573</v>
      </c>
      <c r="F33" s="4">
        <f>filings!F35/daily!$A33</f>
        <v>34.475464285714288</v>
      </c>
      <c r="G33" s="4">
        <f>filings!G35/daily!$A33</f>
        <v>9.6753214285714275</v>
      </c>
      <c r="H33" s="4">
        <f>filings!H35/daily!$A33</f>
        <v>7.5671428571428612</v>
      </c>
      <c r="I33" s="4">
        <f>filings!I33/daily!$A33</f>
        <v>70.960892857142866</v>
      </c>
      <c r="J33" s="12">
        <f t="shared" si="16"/>
        <v>3.0852154480806336E-5</v>
      </c>
      <c r="K33" s="25">
        <f t="shared" si="17"/>
        <v>4.3169225351187688E-5</v>
      </c>
      <c r="L33" s="16">
        <v>4.3999999999999999E-5</v>
      </c>
      <c r="M33" s="17">
        <f>filings!N33</f>
        <v>7.9999999999999996E-6</v>
      </c>
      <c r="N33" s="4">
        <f>filings!O33/daily!$A33</f>
        <v>42.732928571428566</v>
      </c>
      <c r="O33" s="4">
        <f>filings!P33/daily!$A33</f>
        <v>-8.2574642857142866</v>
      </c>
      <c r="P33" s="4">
        <f>filings!Q33/daily!$A33</f>
        <v>34.475464285714281</v>
      </c>
      <c r="Q33" s="4">
        <f>filings!R33/daily!$A33</f>
        <v>51.717928571428573</v>
      </c>
      <c r="R33" s="4">
        <f>filings!S33/daily!$A33</f>
        <v>9.4032499999999999</v>
      </c>
      <c r="S33" s="4">
        <f t="shared" si="14"/>
        <v>42.314678571428573</v>
      </c>
      <c r="T33" s="18">
        <f t="shared" si="11"/>
        <v>1.1754074675324675</v>
      </c>
      <c r="U33" s="2">
        <f t="shared" si="15"/>
        <v>3.6355842337072936E-5</v>
      </c>
      <c r="V33" s="31">
        <f t="shared" si="13"/>
        <v>2.9330649360335111E-5</v>
      </c>
      <c r="W33" s="2">
        <f t="shared" si="12"/>
        <v>4.8999999999999998E-5</v>
      </c>
      <c r="X33" s="4">
        <f>D33-filings!N33*C33*1000000</f>
        <v>37.564011688311687</v>
      </c>
      <c r="Y33" s="4">
        <f t="shared" si="18"/>
        <v>67.395154383116889</v>
      </c>
      <c r="Z33">
        <f t="shared" si="8"/>
        <v>2</v>
      </c>
      <c r="AB33" t="s">
        <v>127</v>
      </c>
      <c r="AC33" t="s">
        <v>127</v>
      </c>
    </row>
    <row r="34" spans="1:29" x14ac:dyDescent="0.25">
      <c r="A34">
        <f t="shared" si="1"/>
        <v>31</v>
      </c>
      <c r="B34" s="1">
        <v>34759</v>
      </c>
      <c r="C34" s="56">
        <f>(filings!C34+filings!D34)*filings!K34/daily!$A34/1000000</f>
        <v>1.4384581612903227</v>
      </c>
      <c r="D34" s="4">
        <f>filings!$D34/daily!$A34</f>
        <v>41.12903225806452</v>
      </c>
      <c r="E34" s="4">
        <f>filings!E36/daily!$A34</f>
        <v>53.037645161290321</v>
      </c>
      <c r="F34" s="4">
        <f>filings!F36/daily!$A34</f>
        <v>57.479193548387094</v>
      </c>
      <c r="G34" s="4">
        <f>filings!G36/daily!$A34</f>
        <v>-9.8118387096774189</v>
      </c>
      <c r="H34" s="4">
        <f>filings!H36/daily!$A34</f>
        <v>5.3702903225806411</v>
      </c>
      <c r="I34" s="4">
        <f>filings!I34/daily!$A34</f>
        <v>62.183258064516131</v>
      </c>
      <c r="J34" s="12">
        <f t="shared" si="16"/>
        <v>2.8592442494935716E-5</v>
      </c>
      <c r="K34" s="25">
        <f t="shared" si="17"/>
        <v>4.3229104424376605E-5</v>
      </c>
      <c r="L34" s="16">
        <v>4.3999999999999999E-5</v>
      </c>
      <c r="M34" s="17">
        <f>filings!N34</f>
        <v>7.9999999999999996E-6</v>
      </c>
      <c r="N34" s="4">
        <f>filings!O34/daily!$A34</f>
        <v>51.499129032258061</v>
      </c>
      <c r="O34" s="4">
        <f>filings!P34/daily!$A34</f>
        <v>5.9800645161290324</v>
      </c>
      <c r="P34" s="4">
        <f>filings!Q34/daily!$A34</f>
        <v>57.479193548387094</v>
      </c>
      <c r="Q34" s="4">
        <f>filings!R34/daily!$A34</f>
        <v>53.037645161290321</v>
      </c>
      <c r="R34" s="4">
        <f>filings!S34/daily!$A34</f>
        <v>9.6431935483870976</v>
      </c>
      <c r="S34" s="4">
        <f t="shared" si="14"/>
        <v>43.394451612903225</v>
      </c>
      <c r="T34" s="18">
        <f t="shared" si="11"/>
        <v>1.2054010263929618</v>
      </c>
      <c r="U34" s="2">
        <f t="shared" si="15"/>
        <v>4.2723647901946697E-5</v>
      </c>
      <c r="V34" s="31">
        <f t="shared" si="13"/>
        <v>4.7684705993977505E-5</v>
      </c>
      <c r="W34" s="2">
        <f t="shared" si="12"/>
        <v>4.8999999999999998E-5</v>
      </c>
      <c r="X34" s="4">
        <f>D34-filings!N34*C34*1000000</f>
        <v>29.621366967741938</v>
      </c>
      <c r="Y34" s="4">
        <f t="shared" si="18"/>
        <v>58.976784612903231</v>
      </c>
      <c r="Z34">
        <f t="shared" si="8"/>
        <v>3</v>
      </c>
      <c r="AA34" s="18">
        <f>T24</f>
        <v>0.96440129032258048</v>
      </c>
      <c r="AB34" s="4">
        <f>N24</f>
        <v>24.374225806451612</v>
      </c>
      <c r="AC34" s="2">
        <f>U24</f>
        <v>2.5273945660419773E-5</v>
      </c>
    </row>
    <row r="35" spans="1:29" x14ac:dyDescent="0.25">
      <c r="A35">
        <f t="shared" si="1"/>
        <v>30</v>
      </c>
      <c r="B35" s="1">
        <v>34790</v>
      </c>
      <c r="C35" s="18">
        <f>(filings!C35+filings!D35)*filings!K35/daily!$A35/1000000</f>
        <v>0.99870921212121222</v>
      </c>
      <c r="D35" s="4">
        <f>filings!$D35/daily!$A35</f>
        <v>49.666666666666664</v>
      </c>
      <c r="E35" s="4">
        <f>filings!E37/daily!$A35</f>
        <v>55.236533333333334</v>
      </c>
      <c r="F35" s="4">
        <f>filings!F37/daily!$A35</f>
        <v>51.884900000000002</v>
      </c>
      <c r="G35" s="4">
        <f>filings!G37/daily!$A35</f>
        <v>8.2516666666666669</v>
      </c>
      <c r="H35" s="4">
        <f>filings!H37/daily!$A35</f>
        <v>-4.9000333333333348</v>
      </c>
      <c r="I35" s="4">
        <f>filings!I35/daily!$A35</f>
        <v>42.603999999999999</v>
      </c>
      <c r="J35" s="12">
        <f t="shared" si="16"/>
        <v>4.9730858656221829E-5</v>
      </c>
      <c r="K35" s="25">
        <f t="shared" si="17"/>
        <v>4.2659063802476675E-5</v>
      </c>
      <c r="L35" s="16">
        <v>4.8000000000000001E-5</v>
      </c>
      <c r="M35" s="17">
        <f>filings!N35</f>
        <v>7.9999999999999996E-6</v>
      </c>
      <c r="N35" s="4">
        <f>filings!O35/daily!$A35</f>
        <v>45.113799999999998</v>
      </c>
      <c r="O35" s="4">
        <f>filings!P35/daily!$A35</f>
        <v>6.7711000000000006</v>
      </c>
      <c r="P35" s="4">
        <f>filings!Q35/daily!$A35</f>
        <v>51.884900000000002</v>
      </c>
      <c r="Q35" s="4">
        <f>filings!R35/daily!$A35</f>
        <v>55.236533333333334</v>
      </c>
      <c r="R35" s="4">
        <f>filings!S35/daily!$A35</f>
        <v>9.2060999999999993</v>
      </c>
      <c r="S35" s="4">
        <f t="shared" si="14"/>
        <v>46.030433333333335</v>
      </c>
      <c r="T35" s="18">
        <f t="shared" si="11"/>
        <v>1.1507611111111109</v>
      </c>
      <c r="U35" s="2">
        <f t="shared" si="15"/>
        <v>3.9203445062929365E-5</v>
      </c>
      <c r="V35" s="31">
        <f t="shared" si="13"/>
        <v>4.5087463852426186E-5</v>
      </c>
      <c r="W35" s="2">
        <f t="shared" si="12"/>
        <v>4.8999999999999998E-5</v>
      </c>
      <c r="X35" s="4">
        <f>D35-filings!N35*C35*1000000</f>
        <v>41.676992969696968</v>
      </c>
      <c r="Y35" s="4">
        <f t="shared" si="18"/>
        <v>40.9470776969697</v>
      </c>
      <c r="Z35">
        <f t="shared" si="8"/>
        <v>4</v>
      </c>
      <c r="AA35" s="18">
        <f>T23</f>
        <v>1.0305576923076925</v>
      </c>
      <c r="AB35" s="4">
        <f>N23</f>
        <v>27.060799999999997</v>
      </c>
      <c r="AC35" s="2">
        <f>U23</f>
        <v>2.6258403776894503E-5</v>
      </c>
    </row>
    <row r="36" spans="1:29" x14ac:dyDescent="0.25">
      <c r="A36">
        <f t="shared" si="1"/>
        <v>31</v>
      </c>
      <c r="B36" s="1">
        <v>34820</v>
      </c>
      <c r="C36" s="18">
        <f>(filings!C36+filings!D36)*filings!K36/daily!$A36/1000000</f>
        <v>1.1444193548387096</v>
      </c>
      <c r="D36" s="4">
        <f>filings!$D36/daily!$A36</f>
        <v>58.87096774193548</v>
      </c>
      <c r="E36" s="4">
        <f>filings!E38/daily!$A36</f>
        <v>53.619354838709675</v>
      </c>
      <c r="F36" s="4">
        <f>filings!F38/daily!$A36</f>
        <v>47.168677419354843</v>
      </c>
      <c r="G36" s="4">
        <f>filings!G38/daily!$A36</f>
        <v>7.589096774193548</v>
      </c>
      <c r="H36" s="4">
        <f>filings!H38/daily!$A36</f>
        <v>-1.1384193548387096</v>
      </c>
      <c r="I36" s="4">
        <f>filings!I36/daily!$A36</f>
        <v>53.500677419354844</v>
      </c>
      <c r="J36" s="12">
        <f t="shared" si="16"/>
        <v>5.1441779180877755E-5</v>
      </c>
      <c r="K36" s="25">
        <f t="shared" si="17"/>
        <v>4.6749189615807433E-5</v>
      </c>
      <c r="L36" s="16">
        <v>4.8000000000000001E-5</v>
      </c>
      <c r="M36" s="17">
        <f>filings!N36</f>
        <v>7.9999999999999996E-6</v>
      </c>
      <c r="N36" s="4">
        <f>filings!O36/daily!$A36</f>
        <v>39.246838709677419</v>
      </c>
      <c r="O36" s="4">
        <f>filings!P36/daily!$A36</f>
        <v>7.9218387096774192</v>
      </c>
      <c r="P36" s="4">
        <f>filings!Q36/daily!$A36</f>
        <v>47.168677419354843</v>
      </c>
      <c r="Q36" s="4">
        <f>filings!R36/daily!$A36</f>
        <v>53.619354838709675</v>
      </c>
      <c r="R36" s="4">
        <f>filings!S36/daily!$A36</f>
        <v>8.9365483870967743</v>
      </c>
      <c r="S36" s="4">
        <f t="shared" si="14"/>
        <v>44.682806451612905</v>
      </c>
      <c r="T36" s="18">
        <f t="shared" si="11"/>
        <v>1.1170698924731182</v>
      </c>
      <c r="U36" s="2">
        <f t="shared" si="15"/>
        <v>3.513373601251354E-5</v>
      </c>
      <c r="V36" s="31">
        <f t="shared" si="13"/>
        <v>4.2225359162555657E-5</v>
      </c>
      <c r="W36" s="2">
        <f t="shared" si="12"/>
        <v>4.8999999999999998E-5</v>
      </c>
      <c r="X36" s="4">
        <f>D36-filings!N36*C36*1000000</f>
        <v>49.715612903225804</v>
      </c>
      <c r="Y36" s="4">
        <f t="shared" si="18"/>
        <v>46.921193548387095</v>
      </c>
      <c r="Z36">
        <f t="shared" si="8"/>
        <v>5</v>
      </c>
      <c r="AA36" s="18">
        <f>T94</f>
        <v>1.2796091081593928</v>
      </c>
      <c r="AB36" s="4">
        <f>N94</f>
        <v>47.385967741935481</v>
      </c>
      <c r="AC36" s="2">
        <f>U94</f>
        <v>3.7031596164625694E-5</v>
      </c>
    </row>
    <row r="37" spans="1:29" x14ac:dyDescent="0.25">
      <c r="A37">
        <f t="shared" si="1"/>
        <v>30</v>
      </c>
      <c r="B37" s="1">
        <v>34851</v>
      </c>
      <c r="C37" s="18">
        <f>(filings!C37+filings!D37)*filings!K37/daily!$A37/1000000</f>
        <v>1.1610733333333332</v>
      </c>
      <c r="D37" s="4">
        <f>filings!$D37/daily!$A37</f>
        <v>49.5</v>
      </c>
      <c r="E37" s="4">
        <f>filings!E39/daily!$A37</f>
        <v>55.978833333333334</v>
      </c>
      <c r="F37" s="4">
        <f>filings!F39/daily!$A37</f>
        <v>44.733533333333334</v>
      </c>
      <c r="G37" s="4">
        <f>filings!G39/daily!$A37</f>
        <v>8.9361666666666668</v>
      </c>
      <c r="H37" s="4">
        <f>filings!H39/daily!$A37</f>
        <v>2.3091333333333313</v>
      </c>
      <c r="I37" s="4">
        <f>filings!I37/daily!$A37</f>
        <v>54.400033333333333</v>
      </c>
      <c r="J37" s="12">
        <f t="shared" si="16"/>
        <v>4.2632966048656138E-5</v>
      </c>
      <c r="K37" s="25">
        <f t="shared" si="17"/>
        <v>4.6853227760520446E-5</v>
      </c>
      <c r="L37" s="16">
        <v>4.8000000000000001E-5</v>
      </c>
      <c r="M37" s="17">
        <f>filings!N37</f>
        <v>7.9999999999999996E-6</v>
      </c>
      <c r="N37" s="4">
        <f>filings!O37/daily!$A37</f>
        <v>40.066966666666666</v>
      </c>
      <c r="O37" s="4">
        <f>filings!P37/daily!$A37</f>
        <v>4.6665666666666672</v>
      </c>
      <c r="P37" s="4">
        <f>filings!Q37/daily!$A37</f>
        <v>44.733533333333334</v>
      </c>
      <c r="Q37" s="4">
        <f>filings!R37/daily!$A37</f>
        <v>55.978833333333334</v>
      </c>
      <c r="R37" s="4">
        <f>filings!S37/daily!$A37</f>
        <v>9.3298000000000005</v>
      </c>
      <c r="S37" s="4">
        <f t="shared" si="14"/>
        <v>46.649033333333335</v>
      </c>
      <c r="T37" s="18">
        <f t="shared" si="11"/>
        <v>1.1662256944444445</v>
      </c>
      <c r="U37" s="2">
        <f t="shared" si="15"/>
        <v>3.43561000735397E-5</v>
      </c>
      <c r="V37" s="31">
        <f t="shared" si="13"/>
        <v>3.8357526803285767E-5</v>
      </c>
      <c r="W37" s="2">
        <f t="shared" si="12"/>
        <v>4.8999999999999998E-5</v>
      </c>
      <c r="X37" s="4">
        <f>D37-filings!N37*C37*1000000</f>
        <v>40.211413333333333</v>
      </c>
      <c r="Y37" s="4">
        <f t="shared" si="18"/>
        <v>47.604006666666663</v>
      </c>
      <c r="Z37">
        <f t="shared" si="8"/>
        <v>6</v>
      </c>
      <c r="AA37" s="18">
        <f>T93</f>
        <v>1.3234220389805096</v>
      </c>
      <c r="AB37" s="4">
        <f>N93</f>
        <v>51.166689655172419</v>
      </c>
      <c r="AC37" s="2">
        <f>U93</f>
        <v>3.8662413159288462E-5</v>
      </c>
    </row>
    <row r="38" spans="1:29" x14ac:dyDescent="0.25">
      <c r="A38">
        <f t="shared" si="1"/>
        <v>31</v>
      </c>
      <c r="B38" s="1">
        <v>34881</v>
      </c>
      <c r="C38" s="18">
        <f>(filings!C38+filings!D38)*filings!K38/daily!$A38/1000000</f>
        <v>1.1335999999999999</v>
      </c>
      <c r="D38" s="4">
        <f>filings!$D38/daily!$A38</f>
        <v>50.967741935483872</v>
      </c>
      <c r="E38" s="4">
        <f>filings!E40/daily!$A38</f>
        <v>53.269774193548386</v>
      </c>
      <c r="F38" s="4">
        <f>filings!F40/daily!$A38</f>
        <v>48.629258064516129</v>
      </c>
      <c r="G38" s="4">
        <f>filings!G40/daily!$A38</f>
        <v>7.5669032258064517</v>
      </c>
      <c r="H38" s="4">
        <f>filings!H40/daily!$A38</f>
        <v>-2.9263870967741941</v>
      </c>
      <c r="I38" s="4">
        <f>filings!I38/daily!$A38</f>
        <v>52.106161290322582</v>
      </c>
      <c r="J38" s="12">
        <f t="shared" si="16"/>
        <v>4.4960957952967429E-5</v>
      </c>
      <c r="K38" s="25">
        <f t="shared" si="17"/>
        <v>4.5965209324561209E-5</v>
      </c>
      <c r="L38" s="16">
        <v>4.6999999999999997E-5</v>
      </c>
      <c r="M38" s="17">
        <f>filings!N38</f>
        <v>6.9999999999999999E-6</v>
      </c>
      <c r="N38" s="4">
        <f>filings!O38/daily!$A38</f>
        <v>42.607129032258065</v>
      </c>
      <c r="O38" s="4">
        <f>filings!P38/daily!$A38</f>
        <v>6.0221290322580652</v>
      </c>
      <c r="P38" s="4">
        <f>filings!Q38/daily!$A38</f>
        <v>48.629258064516122</v>
      </c>
      <c r="Q38" s="4">
        <f>filings!R38/daily!$A38</f>
        <v>53.269774193548386</v>
      </c>
      <c r="R38" s="4">
        <f>filings!S38/daily!$A38</f>
        <v>7.9338064516129032</v>
      </c>
      <c r="S38" s="4">
        <f t="shared" si="14"/>
        <v>45.335967741935484</v>
      </c>
      <c r="T38" s="18">
        <f t="shared" ref="T38:T43" si="19">Q38/L38/1000000</f>
        <v>1.1333994509265615</v>
      </c>
      <c r="U38" s="2">
        <f t="shared" si="15"/>
        <v>3.7592332515624968E-5</v>
      </c>
      <c r="V38" s="31">
        <f t="shared" si="13"/>
        <v>4.2905665804550534E-5</v>
      </c>
      <c r="W38" s="2">
        <f t="shared" si="12"/>
        <v>4.8000000000000001E-5</v>
      </c>
      <c r="X38" s="4">
        <f>D38-filings!N38*C38*1000000</f>
        <v>43.03254193548387</v>
      </c>
      <c r="Y38" s="4">
        <f t="shared" si="18"/>
        <v>46.477599999999995</v>
      </c>
      <c r="Z38">
        <f t="shared" si="8"/>
        <v>7</v>
      </c>
      <c r="AA38" s="18" t="e">
        <f>NA()</f>
        <v>#N/A</v>
      </c>
      <c r="AB38" s="18" t="e">
        <f>NA()</f>
        <v>#N/A</v>
      </c>
      <c r="AC38" s="18" t="e">
        <f>NA()</f>
        <v>#N/A</v>
      </c>
    </row>
    <row r="39" spans="1:29" x14ac:dyDescent="0.25">
      <c r="A39">
        <f t="shared" si="1"/>
        <v>31</v>
      </c>
      <c r="B39" s="1">
        <v>34912</v>
      </c>
      <c r="C39" s="18">
        <f>(filings!C39+filings!D39)*filings!K39/daily!$A39/1000000</f>
        <v>1.2144516129032257</v>
      </c>
      <c r="D39" s="4">
        <f>filings!$D39/daily!$A39</f>
        <v>58.064516129032256</v>
      </c>
      <c r="E39" s="4">
        <f>filings!E41/daily!$A39</f>
        <v>56.490741935483868</v>
      </c>
      <c r="F39" s="4">
        <f>filings!F41/daily!$A39</f>
        <v>50.546903225806453</v>
      </c>
      <c r="G39" s="4">
        <f>filings!G41/daily!$A39</f>
        <v>8.383064516129032</v>
      </c>
      <c r="H39" s="4">
        <f>filings!H41/daily!$A39</f>
        <v>-2.4392258064516126</v>
      </c>
      <c r="I39" s="4">
        <f>filings!I39/daily!$A39</f>
        <v>55.82987096774194</v>
      </c>
      <c r="J39" s="12">
        <f t="shared" si="16"/>
        <v>4.7811304717382071E-5</v>
      </c>
      <c r="K39" s="25">
        <f t="shared" si="17"/>
        <v>4.5971260093497667E-5</v>
      </c>
      <c r="L39" s="16">
        <v>4.6999999999999997E-5</v>
      </c>
      <c r="M39" s="17">
        <f>filings!N39</f>
        <v>6.9999999999999999E-6</v>
      </c>
      <c r="N39" s="4">
        <f>filings!O39/daily!$A39</f>
        <v>47.647129032258064</v>
      </c>
      <c r="O39" s="4">
        <f>filings!P39/daily!$A39</f>
        <v>2.8997741935483869</v>
      </c>
      <c r="P39" s="4">
        <f>filings!Q39/daily!$A39</f>
        <v>50.546903225806453</v>
      </c>
      <c r="Q39" s="4">
        <f>filings!R39/daily!$A39</f>
        <v>56.490741935483868</v>
      </c>
      <c r="R39" s="4">
        <f>filings!S39/daily!$A39</f>
        <v>8.4135161290322582</v>
      </c>
      <c r="S39" s="4">
        <f t="shared" si="14"/>
        <v>48.077225806451608</v>
      </c>
      <c r="T39" s="18">
        <f t="shared" si="19"/>
        <v>1.2019306794783802</v>
      </c>
      <c r="U39" s="2">
        <f t="shared" si="15"/>
        <v>3.9642160605249048E-5</v>
      </c>
      <c r="V39" s="31">
        <f t="shared" si="13"/>
        <v>4.2054757473819577E-5</v>
      </c>
      <c r="W39" s="2">
        <f t="shared" si="12"/>
        <v>4.8000000000000001E-5</v>
      </c>
      <c r="X39" s="4">
        <f>D39-filings!N39*C39*1000000</f>
        <v>49.563354838709678</v>
      </c>
      <c r="Y39" s="4">
        <f t="shared" si="18"/>
        <v>49.792516129032258</v>
      </c>
      <c r="Z39">
        <f t="shared" si="8"/>
        <v>8</v>
      </c>
      <c r="AA39" s="18">
        <f>T70</f>
        <v>1.3798293906810037</v>
      </c>
      <c r="AB39" s="4">
        <f>N70</f>
        <v>64.092741935483872</v>
      </c>
      <c r="AC39" s="2">
        <f>U70</f>
        <v>4.6449758476192052E-5</v>
      </c>
    </row>
    <row r="40" spans="1:29" x14ac:dyDescent="0.25">
      <c r="A40">
        <f t="shared" si="1"/>
        <v>30</v>
      </c>
      <c r="B40" s="1">
        <v>34943</v>
      </c>
      <c r="C40" s="18">
        <f>(filings!C40+filings!D40)*filings!K40/daily!$A40/1000000</f>
        <v>1.2059666666666669</v>
      </c>
      <c r="D40" s="4">
        <f>filings!$D40/daily!$A40</f>
        <v>52.5</v>
      </c>
      <c r="E40" s="4">
        <f>filings!E42/daily!$A40</f>
        <v>55.894933333333334</v>
      </c>
      <c r="F40" s="4">
        <f>filings!F42/daily!$A40</f>
        <v>52.113266666666661</v>
      </c>
      <c r="G40" s="4">
        <f>filings!G42/daily!$A40</f>
        <v>7.0744666666666669</v>
      </c>
      <c r="H40" s="4">
        <f>filings!H42/daily!$A40</f>
        <v>-3.2927999999999988</v>
      </c>
      <c r="I40" s="4">
        <f>filings!I40/daily!$A40</f>
        <v>55.523933333333339</v>
      </c>
      <c r="J40" s="12">
        <f t="shared" si="16"/>
        <v>4.353354155725697E-5</v>
      </c>
      <c r="K40" s="25">
        <f t="shared" si="17"/>
        <v>4.6041018270267279E-5</v>
      </c>
      <c r="L40" s="16">
        <v>4.6999999999999997E-5</v>
      </c>
      <c r="M40" s="17">
        <f>filings!N40</f>
        <v>6.9999999999999999E-6</v>
      </c>
      <c r="N40" s="4">
        <f>filings!O40/daily!$A40</f>
        <v>47.328566666666667</v>
      </c>
      <c r="O40" s="4">
        <f>filings!P40/daily!$A40</f>
        <v>4.7847</v>
      </c>
      <c r="P40" s="4">
        <f>filings!Q40/daily!$A40</f>
        <v>52.113266666666661</v>
      </c>
      <c r="Q40" s="4">
        <f>filings!R40/daily!$A40</f>
        <v>55.894933333333334</v>
      </c>
      <c r="R40" s="4">
        <f>filings!S40/daily!$A40</f>
        <v>8.3247666666666671</v>
      </c>
      <c r="S40" s="4">
        <f t="shared" si="14"/>
        <v>47.570166666666665</v>
      </c>
      <c r="T40" s="18">
        <f t="shared" si="19"/>
        <v>1.18925390070922</v>
      </c>
      <c r="U40" s="2">
        <f t="shared" si="15"/>
        <v>3.9796856363844539E-5</v>
      </c>
      <c r="V40" s="31">
        <f t="shared" ref="V40:V45" si="20">P40/$T40/1000000</f>
        <v>4.3820135158344691E-5</v>
      </c>
      <c r="W40" s="2">
        <f t="shared" si="12"/>
        <v>4.8000000000000001E-5</v>
      </c>
      <c r="X40" s="4">
        <f>D40-filings!N40*C40*1000000</f>
        <v>44.058233333333334</v>
      </c>
      <c r="Y40" s="4">
        <f t="shared" si="18"/>
        <v>49.444633333333343</v>
      </c>
      <c r="Z40">
        <f t="shared" si="8"/>
        <v>9</v>
      </c>
      <c r="AA40" s="18">
        <f>T66</f>
        <v>1.3848506944444443</v>
      </c>
      <c r="AB40" s="4">
        <f>N66</f>
        <v>68.586333333333343</v>
      </c>
      <c r="AC40" s="2">
        <f>U66</f>
        <v>4.9526157302356612E-5</v>
      </c>
    </row>
    <row r="41" spans="1:29" x14ac:dyDescent="0.25">
      <c r="A41">
        <f t="shared" si="1"/>
        <v>31</v>
      </c>
      <c r="B41" s="1">
        <v>34973</v>
      </c>
      <c r="C41" s="18">
        <f>(filings!C41+filings!D41)*filings!K41/daily!$A41/1000000</f>
        <v>1.2745870967741935</v>
      </c>
      <c r="D41" s="4">
        <f>filings!$D41/daily!$A41</f>
        <v>47.903225806451616</v>
      </c>
      <c r="E41" s="4">
        <f>filings!E43/daily!$A41</f>
        <v>46.666032258064511</v>
      </c>
      <c r="F41" s="4">
        <f>filings!F43/daily!$A41</f>
        <v>54.562096774193549</v>
      </c>
      <c r="G41" s="4">
        <f>filings!G43/daily!$A41</f>
        <v>6.633064516129032</v>
      </c>
      <c r="H41" s="4">
        <f>filings!H43/daily!$A41</f>
        <v>-14.529129032258066</v>
      </c>
      <c r="I41" s="4">
        <f>filings!I41/daily!$A41</f>
        <v>50.342451612903226</v>
      </c>
      <c r="J41" s="12">
        <f t="shared" si="16"/>
        <v>3.758332869341621E-5</v>
      </c>
      <c r="K41" s="25">
        <f t="shared" si="17"/>
        <v>3.9497066728757195E-5</v>
      </c>
      <c r="L41" s="16">
        <v>4.0000000000000003E-5</v>
      </c>
      <c r="M41" s="17">
        <f>filings!N41</f>
        <v>6.9999999999999999E-6</v>
      </c>
      <c r="N41" s="4">
        <f>filings!O41/daily!$A41</f>
        <v>46.576322580645162</v>
      </c>
      <c r="O41" s="4">
        <f>filings!P41/daily!$A41</f>
        <v>7.9857741935483872</v>
      </c>
      <c r="P41" s="4">
        <f>filings!Q41/daily!$A41</f>
        <v>54.562096774193549</v>
      </c>
      <c r="Q41" s="4">
        <f>filings!R41/daily!$A41</f>
        <v>46.666032258064511</v>
      </c>
      <c r="R41" s="4">
        <f>filings!S41/daily!$A41</f>
        <v>8.1665483870967748</v>
      </c>
      <c r="S41" s="4">
        <f t="shared" si="14"/>
        <v>38.499483870967737</v>
      </c>
      <c r="T41" s="18">
        <f t="shared" si="19"/>
        <v>1.1666508064516126</v>
      </c>
      <c r="U41" s="2">
        <f t="shared" si="15"/>
        <v>3.9923104945435904E-5</v>
      </c>
      <c r="V41" s="31">
        <f t="shared" si="20"/>
        <v>4.6768147308915043E-5</v>
      </c>
      <c r="W41" s="2">
        <f t="shared" si="12"/>
        <v>4.8000000000000001E-5</v>
      </c>
      <c r="X41" s="4">
        <f>D41-filings!N41*C41*1000000</f>
        <v>38.981116129032259</v>
      </c>
      <c r="Y41" s="4">
        <f t="shared" si="18"/>
        <v>52.258070967741929</v>
      </c>
      <c r="Z41">
        <f t="shared" si="8"/>
        <v>10</v>
      </c>
    </row>
    <row r="42" spans="1:29" x14ac:dyDescent="0.25">
      <c r="A42">
        <f t="shared" ref="A42:A115" si="21">DAY((B43-1))</f>
        <v>30</v>
      </c>
      <c r="B42" s="1">
        <v>35004</v>
      </c>
      <c r="C42" s="18">
        <f>(filings!C42+filings!D42)*filings!K42/daily!$A42/1000000</f>
        <v>1.2553666666666667</v>
      </c>
      <c r="D42" s="4">
        <f>filings!$D42/daily!$A42</f>
        <v>47.5</v>
      </c>
      <c r="E42" s="4">
        <f>filings!E44/daily!$A42</f>
        <v>48.511066666666672</v>
      </c>
      <c r="F42" s="4">
        <f>filings!F44/daily!$A42</f>
        <v>50.9833</v>
      </c>
      <c r="G42" s="4">
        <f>filings!G44/daily!$A42</f>
        <v>7.113833333333333</v>
      </c>
      <c r="H42" s="4">
        <f>filings!H44/daily!$A42</f>
        <v>-9.5860666666666621</v>
      </c>
      <c r="I42" s="4">
        <f>filings!I42/daily!$A42</f>
        <v>50.792799999999993</v>
      </c>
      <c r="J42" s="12">
        <f t="shared" si="16"/>
        <v>3.7837550781976048E-5</v>
      </c>
      <c r="K42" s="25">
        <f t="shared" si="17"/>
        <v>4.0460529460184268E-5</v>
      </c>
      <c r="L42" s="16">
        <v>4.1E-5</v>
      </c>
      <c r="M42" s="17">
        <f>filings!N42</f>
        <v>6.9999999999999999E-6</v>
      </c>
      <c r="N42" s="4">
        <f>filings!O42/daily!$A42</f>
        <v>46.967200000000005</v>
      </c>
      <c r="O42" s="4">
        <f>filings!P42/daily!$A42</f>
        <v>4.0160999999999998</v>
      </c>
      <c r="P42" s="4">
        <f>filings!Q42/daily!$A42</f>
        <v>50.9833</v>
      </c>
      <c r="Q42" s="4">
        <f>filings!R42/daily!$A42</f>
        <v>48.511066666666672</v>
      </c>
      <c r="R42" s="4">
        <f>filings!S42/daily!$A42</f>
        <v>8.2823666666666664</v>
      </c>
      <c r="S42" s="4">
        <f t="shared" ref="S42:S47" si="22">Q42-R42</f>
        <v>40.228700000000003</v>
      </c>
      <c r="T42" s="18">
        <f t="shared" si="19"/>
        <v>1.1831967479674796</v>
      </c>
      <c r="U42" s="2">
        <f t="shared" ref="U42:U47" si="23">N42/$T42/1000000</f>
        <v>3.9695173335019093E-5</v>
      </c>
      <c r="V42" s="31">
        <f t="shared" si="20"/>
        <v>4.3089452441092485E-5</v>
      </c>
      <c r="W42" s="2">
        <f t="shared" si="12"/>
        <v>4.8000000000000001E-5</v>
      </c>
      <c r="X42" s="4">
        <f>D42-filings!N42*C42*1000000</f>
        <v>38.712433333333337</v>
      </c>
      <c r="Y42" s="4">
        <f t="shared" si="18"/>
        <v>51.47003333333334</v>
      </c>
      <c r="Z42">
        <f t="shared" si="8"/>
        <v>11</v>
      </c>
    </row>
    <row r="43" spans="1:29" x14ac:dyDescent="0.25">
      <c r="A43">
        <f t="shared" si="21"/>
        <v>31</v>
      </c>
      <c r="B43" s="1">
        <v>35034</v>
      </c>
      <c r="C43" s="18">
        <f>(filings!C43+filings!D43)*filings!K43/daily!$A43/1000000</f>
        <v>1.244225806451613</v>
      </c>
      <c r="D43" s="4">
        <f>filings!$D43/daily!$A43</f>
        <v>37.903225806451616</v>
      </c>
      <c r="E43" s="4">
        <f>filings!E45/daily!$A43</f>
        <v>51.344548387096772</v>
      </c>
      <c r="F43" s="4">
        <f>filings!F45/daily!$A43</f>
        <v>58.510096774193549</v>
      </c>
      <c r="G43" s="4">
        <f>filings!G45/daily!$A43</f>
        <v>5.7764516129032257</v>
      </c>
      <c r="H43" s="4">
        <f>filings!H45/daily!$A43</f>
        <v>-12.942000000000002</v>
      </c>
      <c r="I43" s="4">
        <f>filings!I43/daily!$A43</f>
        <v>52.432354838709678</v>
      </c>
      <c r="J43" s="12">
        <f t="shared" si="16"/>
        <v>3.0463301444090121E-5</v>
      </c>
      <c r="K43" s="25">
        <f t="shared" si="17"/>
        <v>4.2140546006066735E-5</v>
      </c>
      <c r="L43" s="16">
        <v>4.3000000000000002E-5</v>
      </c>
      <c r="M43" s="17">
        <f>filings!N43</f>
        <v>6.9999999999999999E-6</v>
      </c>
      <c r="N43" s="4">
        <f>filings!O43/daily!$A43</f>
        <v>53.079032258064515</v>
      </c>
      <c r="O43" s="4">
        <f>filings!P43/daily!$A43</f>
        <v>5.4310645161290321</v>
      </c>
      <c r="P43" s="4">
        <f>filings!Q43/daily!$A43</f>
        <v>58.510096774193549</v>
      </c>
      <c r="Q43" s="4">
        <f>filings!R43/daily!$A43</f>
        <v>51.344548387096772</v>
      </c>
      <c r="R43" s="4">
        <f>filings!S43/daily!$A43</f>
        <v>8.3584193548387091</v>
      </c>
      <c r="S43" s="4">
        <f t="shared" si="22"/>
        <v>42.986129032258063</v>
      </c>
      <c r="T43" s="18">
        <f t="shared" si="19"/>
        <v>1.1940592648162038</v>
      </c>
      <c r="U43" s="2">
        <f t="shared" si="23"/>
        <v>4.4452594458311691E-5</v>
      </c>
      <c r="V43" s="31">
        <f t="shared" si="20"/>
        <v>4.9000998943883862E-5</v>
      </c>
      <c r="W43" s="2">
        <f t="shared" si="12"/>
        <v>4.8000000000000001E-5</v>
      </c>
      <c r="X43" s="4">
        <f>D43-filings!N43*C43*1000000</f>
        <v>29.193645161290327</v>
      </c>
      <c r="Y43" s="4">
        <f t="shared" si="18"/>
        <v>51.013258064516137</v>
      </c>
      <c r="Z43">
        <f t="shared" si="8"/>
        <v>12</v>
      </c>
    </row>
    <row r="44" spans="1:29" x14ac:dyDescent="0.25">
      <c r="A44">
        <f t="shared" si="21"/>
        <v>31</v>
      </c>
      <c r="B44" s="1">
        <v>35065</v>
      </c>
      <c r="C44" s="18">
        <f>(filings!C44+filings!D44)*filings!K44/daily!$A44/1000000</f>
        <v>1.1783870967741934</v>
      </c>
      <c r="D44" s="4">
        <f>filings!$D44/daily!$A44</f>
        <v>40.322580645161288</v>
      </c>
      <c r="E44" s="4">
        <f>filings!E46/daily!$A44</f>
        <v>48.332903225806447</v>
      </c>
      <c r="F44" s="4">
        <f>filings!F46/daily!$A44</f>
        <v>51.68616129032258</v>
      </c>
      <c r="G44" s="4">
        <f>filings!G46/daily!$A44</f>
        <v>2.0255161290322579</v>
      </c>
      <c r="H44" s="4">
        <f>filings!H46/daily!$A44</f>
        <v>-5.3787741935483879</v>
      </c>
      <c r="I44" s="4">
        <f>filings!I44/daily!$A44</f>
        <v>49.599419354838709</v>
      </c>
      <c r="J44" s="12">
        <f t="shared" si="16"/>
        <v>3.4218450588557355E-5</v>
      </c>
      <c r="K44" s="25">
        <f t="shared" si="17"/>
        <v>4.2090938954284155E-5</v>
      </c>
      <c r="L44" s="16">
        <v>4.3000000000000002E-5</v>
      </c>
      <c r="M44" s="17">
        <f>filings!N44</f>
        <v>1.9999999999999999E-6</v>
      </c>
      <c r="N44" s="4">
        <f>filings!O44/daily!$A44</f>
        <v>46.769774193548386</v>
      </c>
      <c r="O44" s="4">
        <f>filings!P44/daily!$A44</f>
        <v>4.9163870967741934</v>
      </c>
      <c r="P44" s="4">
        <f>filings!Q44/daily!$A44</f>
        <v>51.68616129032258</v>
      </c>
      <c r="Q44" s="4">
        <f>filings!R44/daily!$A44</f>
        <v>48.332903225806447</v>
      </c>
      <c r="R44" s="4">
        <f>filings!S44/daily!$A44</f>
        <v>2.2480322580645158</v>
      </c>
      <c r="S44" s="4">
        <f t="shared" si="22"/>
        <v>46.084870967741935</v>
      </c>
      <c r="T44" s="18">
        <f t="shared" ref="T44:T49" si="24">Q44/L44/1000000</f>
        <v>1.1240210052513127</v>
      </c>
      <c r="U44" s="2">
        <f t="shared" si="23"/>
        <v>4.1609341796145024E-5</v>
      </c>
      <c r="V44" s="31">
        <f t="shared" si="20"/>
        <v>4.5983269928987138E-5</v>
      </c>
      <c r="W44" s="2">
        <f t="shared" si="12"/>
        <v>4.3000000000000002E-5</v>
      </c>
      <c r="X44" s="4">
        <f>D44-filings!N44*C44*1000000</f>
        <v>37.965806451612899</v>
      </c>
      <c r="Y44" s="4">
        <f t="shared" si="18"/>
        <v>48.313870967741927</v>
      </c>
      <c r="Z44">
        <f t="shared" si="8"/>
        <v>1</v>
      </c>
    </row>
    <row r="45" spans="1:29" x14ac:dyDescent="0.25">
      <c r="A45">
        <f t="shared" si="21"/>
        <v>29</v>
      </c>
      <c r="B45" s="1">
        <v>35096</v>
      </c>
      <c r="C45" s="18">
        <f>(filings!C45+filings!D45)*filings!K45/daily!$A45/1000000</f>
        <v>1.221103448275862</v>
      </c>
      <c r="D45" s="4">
        <f>filings!$D45/daily!$A45</f>
        <v>37.931034482758619</v>
      </c>
      <c r="E45" s="4">
        <f>filings!E47/daily!$A45</f>
        <v>46.563379310344828</v>
      </c>
      <c r="F45" s="4">
        <f>filings!F47/daily!$A45</f>
        <v>41.920620689655173</v>
      </c>
      <c r="G45" s="4">
        <f>filings!G47/daily!$A45</f>
        <v>2.2052758620689654</v>
      </c>
      <c r="H45" s="4">
        <f>filings!H47/daily!$A45</f>
        <v>2.4374827586206851</v>
      </c>
      <c r="I45" s="4">
        <f>filings!I45/daily!$A45</f>
        <v>51.76558620689655</v>
      </c>
      <c r="J45" s="12">
        <f t="shared" si="16"/>
        <v>3.1062916525471594E-5</v>
      </c>
      <c r="K45" s="52">
        <f t="shared" si="17"/>
        <v>4.2392465830791818E-5</v>
      </c>
      <c r="L45" s="14">
        <v>4.3000000000000002E-5</v>
      </c>
      <c r="M45" s="17">
        <f>filings!N45</f>
        <v>1.9999999999999999E-6</v>
      </c>
      <c r="N45" s="4">
        <f>filings!O45/daily!$A45</f>
        <v>38.990724137931032</v>
      </c>
      <c r="O45" s="4">
        <f>filings!P45/daily!$A45</f>
        <v>2.9298965517241378</v>
      </c>
      <c r="P45" s="4">
        <f>filings!Q45/daily!$A45</f>
        <v>41.920620689655173</v>
      </c>
      <c r="Q45" s="4">
        <f>filings!R45/daily!$A45</f>
        <v>46.563379310344828</v>
      </c>
      <c r="R45" s="4">
        <f>filings!S45/daily!$A45</f>
        <v>2.1657241379310346</v>
      </c>
      <c r="S45" s="4">
        <f t="shared" si="22"/>
        <v>44.397655172413792</v>
      </c>
      <c r="T45" s="18">
        <f t="shared" si="24"/>
        <v>1.0828692862870888</v>
      </c>
      <c r="U45" s="2">
        <f t="shared" si="23"/>
        <v>3.6006861245110487E-5</v>
      </c>
      <c r="V45" s="31">
        <f t="shared" si="20"/>
        <v>3.8712540119584886E-5</v>
      </c>
      <c r="W45" s="2">
        <f t="shared" si="12"/>
        <v>4.3000000000000002E-5</v>
      </c>
      <c r="X45" s="4">
        <f>D45-filings!N45*C45*1000000</f>
        <v>35.488827586206895</v>
      </c>
      <c r="Y45" s="4">
        <f t="shared" si="18"/>
        <v>50.065241379310343</v>
      </c>
      <c r="Z45">
        <f t="shared" si="8"/>
        <v>2</v>
      </c>
    </row>
    <row r="46" spans="1:29" x14ac:dyDescent="0.25">
      <c r="A46">
        <f t="shared" si="21"/>
        <v>31</v>
      </c>
      <c r="B46" s="1">
        <v>35125</v>
      </c>
      <c r="C46" s="18">
        <f>(filings!C46+filings!D46)*filings!K46/daily!$A46/1000000</f>
        <v>1.163290322580645</v>
      </c>
      <c r="D46" s="4">
        <f>filings!$D46/daily!$A46</f>
        <v>43.548387096774192</v>
      </c>
      <c r="E46" s="4">
        <f>filings!E48/daily!$A46</f>
        <v>47.851838709677416</v>
      </c>
      <c r="F46" s="4">
        <f>filings!F48/daily!$A46</f>
        <v>42.602451612903224</v>
      </c>
      <c r="G46" s="4">
        <f>filings!G48/daily!$A46</f>
        <v>2.2880645161290323</v>
      </c>
      <c r="H46" s="4">
        <f>filings!H48/daily!$A46</f>
        <v>2.9613225806451609</v>
      </c>
      <c r="I46" s="4">
        <f>filings!I46/daily!$A46</f>
        <v>48.92716129032258</v>
      </c>
      <c r="J46" s="12">
        <f t="shared" si="16"/>
        <v>3.7435527702290498E-5</v>
      </c>
      <c r="K46" s="25">
        <f t="shared" si="17"/>
        <v>4.2059286783872222E-5</v>
      </c>
      <c r="L46" s="14">
        <v>4.3000000000000002E-5</v>
      </c>
      <c r="M46" s="17">
        <f>filings!N46</f>
        <v>1.9999999999999999E-6</v>
      </c>
      <c r="N46" s="4">
        <f>filings!O46/daily!$A46</f>
        <v>34.634387096774191</v>
      </c>
      <c r="O46" s="4">
        <f>filings!P46/daily!$A46</f>
        <v>7.968064516129032</v>
      </c>
      <c r="P46" s="4">
        <f>filings!Q46/daily!$A46</f>
        <v>42.602451612903224</v>
      </c>
      <c r="Q46" s="4">
        <f>filings!R46/daily!$A46</f>
        <v>47.851838709677416</v>
      </c>
      <c r="R46" s="4">
        <f>filings!S46/daily!$A46</f>
        <v>3.1934193548387095</v>
      </c>
      <c r="S46" s="4">
        <f t="shared" si="22"/>
        <v>44.658419354838706</v>
      </c>
      <c r="T46" s="18">
        <f t="shared" si="24"/>
        <v>1.1128334583645909</v>
      </c>
      <c r="U46" s="2">
        <f t="shared" si="23"/>
        <v>3.1122704692643354E-5</v>
      </c>
      <c r="V46" s="31">
        <f t="shared" ref="V46:V51" si="25">P46/$T46/1000000</f>
        <v>3.8282863704971066E-5</v>
      </c>
      <c r="W46" s="2">
        <f t="shared" si="12"/>
        <v>4.3000000000000002E-5</v>
      </c>
      <c r="X46" s="4">
        <f>D46-filings!N46*C46*1000000</f>
        <v>41.221806451612906</v>
      </c>
      <c r="Y46" s="4">
        <f t="shared" si="18"/>
        <v>47.694903225806442</v>
      </c>
      <c r="Z46">
        <f t="shared" si="8"/>
        <v>3</v>
      </c>
    </row>
    <row r="47" spans="1:29" x14ac:dyDescent="0.25">
      <c r="A47">
        <f t="shared" si="21"/>
        <v>30</v>
      </c>
      <c r="B47" s="1">
        <v>35156</v>
      </c>
      <c r="C47" s="18">
        <f>(filings!C47+filings!D47)*filings!K47/daily!$A47/1000000</f>
        <v>1.2718333333333331</v>
      </c>
      <c r="D47" s="4">
        <f>filings!$D47/daily!$A47</f>
        <v>45.833333333333336</v>
      </c>
      <c r="E47" s="4">
        <f>filings!E49/daily!$A47</f>
        <v>38.198133333333331</v>
      </c>
      <c r="F47" s="4">
        <f>filings!F49/daily!$A47</f>
        <v>36.444466666666671</v>
      </c>
      <c r="G47" s="4">
        <f>filings!G49/daily!$A47</f>
        <v>2.8228666666666671</v>
      </c>
      <c r="H47" s="4">
        <f>filings!H49/daily!$A47</f>
        <v>-1.0692000000000035</v>
      </c>
      <c r="I47" s="4">
        <f>filings!I47/daily!$A47</f>
        <v>43.4771</v>
      </c>
      <c r="J47" s="12">
        <f t="shared" si="16"/>
        <v>3.6037216616432976E-5</v>
      </c>
      <c r="K47" s="25">
        <f t="shared" si="17"/>
        <v>3.4184589175730579E-5</v>
      </c>
      <c r="L47" s="14">
        <v>3.4999999999999997E-5</v>
      </c>
      <c r="M47" s="17">
        <f>filings!N47</f>
        <v>1.9999999999999999E-6</v>
      </c>
      <c r="N47" s="4">
        <f>filings!O47/daily!$A47</f>
        <v>35.823799999999999</v>
      </c>
      <c r="O47" s="4">
        <f>filings!P47/daily!$A47</f>
        <v>0.6206666666666667</v>
      </c>
      <c r="P47" s="4">
        <f>filings!Q47/daily!$A47</f>
        <v>36.444466666666663</v>
      </c>
      <c r="Q47" s="4">
        <f>filings!R47/daily!$A47</f>
        <v>38.198133333333331</v>
      </c>
      <c r="R47" s="4">
        <f>filings!S47/daily!$A47</f>
        <v>2.1827666666666667</v>
      </c>
      <c r="S47" s="4">
        <f t="shared" si="22"/>
        <v>36.015366666666665</v>
      </c>
      <c r="T47" s="18">
        <f t="shared" si="24"/>
        <v>1.0913752380952382</v>
      </c>
      <c r="U47" s="2">
        <f t="shared" si="23"/>
        <v>3.2824457390588013E-5</v>
      </c>
      <c r="V47" s="31">
        <f t="shared" si="25"/>
        <v>3.3393158828005554E-5</v>
      </c>
      <c r="W47" s="2">
        <f t="shared" si="12"/>
        <v>4.3000000000000002E-5</v>
      </c>
      <c r="X47" s="4">
        <f>D47-filings!N47*C47*1000000</f>
        <v>43.289666666666669</v>
      </c>
      <c r="Y47" s="4">
        <f t="shared" si="18"/>
        <v>52.145166666666654</v>
      </c>
      <c r="Z47">
        <f t="shared" si="8"/>
        <v>4</v>
      </c>
    </row>
    <row r="48" spans="1:29" x14ac:dyDescent="0.25">
      <c r="A48">
        <f t="shared" si="21"/>
        <v>31</v>
      </c>
      <c r="B48" s="1">
        <v>35186</v>
      </c>
      <c r="C48" s="18">
        <f>(filings!C48+filings!D48)*filings!K48/daily!$A48/1000000</f>
        <v>1.3457096774193549</v>
      </c>
      <c r="D48" s="4">
        <f>filings!$D48/daily!$A48</f>
        <v>49.193548387096776</v>
      </c>
      <c r="E48" s="4">
        <f>filings!E50/daily!$A48</f>
        <v>42.506548387096771</v>
      </c>
      <c r="F48" s="4">
        <f>filings!F50/daily!$A48</f>
        <v>50.628677419354837</v>
      </c>
      <c r="G48" s="4">
        <f>filings!G50/daily!$A48</f>
        <v>2.5253548387096774</v>
      </c>
      <c r="H48" s="4">
        <f>filings!H50/daily!$A48</f>
        <v>-10.647483870967744</v>
      </c>
      <c r="I48" s="4">
        <f>filings!I48/daily!$A48</f>
        <v>46.232225806451616</v>
      </c>
      <c r="J48" s="12">
        <f t="shared" si="16"/>
        <v>3.6555840544622103E-5</v>
      </c>
      <c r="K48" s="25">
        <f t="shared" si="17"/>
        <v>3.4355274828007762E-5</v>
      </c>
      <c r="L48" s="14">
        <v>3.4999999999999997E-5</v>
      </c>
      <c r="M48" s="17">
        <f>filings!N48</f>
        <v>1.9999999999999999E-6</v>
      </c>
      <c r="N48" s="4">
        <f>filings!O48/daily!$A48</f>
        <v>43.540129032258065</v>
      </c>
      <c r="O48" s="4">
        <f>filings!P48/daily!$A48</f>
        <v>7.0885483870967745</v>
      </c>
      <c r="P48" s="4">
        <f>filings!Q48/daily!$A48</f>
        <v>50.628677419354837</v>
      </c>
      <c r="Q48" s="4">
        <f>filings!R48/daily!$A48</f>
        <v>42.506548387096771</v>
      </c>
      <c r="R48" s="4">
        <f>filings!S48/daily!$A48</f>
        <v>2.4289354838709678</v>
      </c>
      <c r="S48" s="4">
        <f t="shared" ref="S48:S53" si="26">Q48-R48</f>
        <v>40.077612903225805</v>
      </c>
      <c r="T48" s="18">
        <f t="shared" si="24"/>
        <v>1.2144728110599077</v>
      </c>
      <c r="U48" s="2">
        <f t="shared" ref="U48:U53" si="27">N48/$T48/1000000</f>
        <v>3.585105293074388E-5</v>
      </c>
      <c r="V48" s="31">
        <f t="shared" si="25"/>
        <v>4.1687781692839739E-5</v>
      </c>
      <c r="W48" s="2">
        <f t="shared" si="12"/>
        <v>4.3000000000000002E-5</v>
      </c>
      <c r="X48" s="4">
        <f>D48-filings!N48*C48*1000000</f>
        <v>46.502129032258068</v>
      </c>
      <c r="Y48" s="4">
        <f t="shared" si="18"/>
        <v>55.174096774193551</v>
      </c>
      <c r="Z48">
        <f t="shared" si="8"/>
        <v>5</v>
      </c>
    </row>
    <row r="49" spans="1:26" x14ac:dyDescent="0.25">
      <c r="A49">
        <f t="shared" si="21"/>
        <v>30</v>
      </c>
      <c r="B49" s="1">
        <v>35217</v>
      </c>
      <c r="C49" s="18">
        <f>(filings!C49+filings!D49)*filings!K49/daily!$A49/1000000</f>
        <v>1.3534213333333334</v>
      </c>
      <c r="D49" s="4">
        <f>filings!$D49/daily!$A49</f>
        <v>49.4</v>
      </c>
      <c r="E49" s="4">
        <f>filings!E51/daily!$A49</f>
        <v>46.228966666666665</v>
      </c>
      <c r="F49" s="4">
        <f>filings!F51/daily!$A49</f>
        <v>53.4771</v>
      </c>
      <c r="G49" s="4">
        <f>filings!G51/daily!$A49</f>
        <v>2.7017666666666664</v>
      </c>
      <c r="H49" s="4">
        <f>filings!H51/daily!$A49</f>
        <v>-9.9499000000000066</v>
      </c>
      <c r="I49" s="4">
        <f>filings!I49/daily!$A49</f>
        <v>50.469200000000001</v>
      </c>
      <c r="J49" s="12">
        <f t="shared" si="16"/>
        <v>3.6500089649342996E-5</v>
      </c>
      <c r="K49" s="25">
        <f t="shared" si="17"/>
        <v>3.7290087541105696E-5</v>
      </c>
      <c r="L49" s="14">
        <v>3.8000000000000002E-5</v>
      </c>
      <c r="M49" s="17">
        <f>filings!N49</f>
        <v>1.9999999999999999E-6</v>
      </c>
      <c r="N49" s="4">
        <f>filings!O49/daily!$A49</f>
        <v>50.595266666666667</v>
      </c>
      <c r="O49" s="4">
        <f>filings!P49/daily!$A49</f>
        <v>2.8818333333333332</v>
      </c>
      <c r="P49" s="4">
        <f>filings!Q49/daily!$A49</f>
        <v>53.477099999999993</v>
      </c>
      <c r="Q49" s="4">
        <f>filings!R49/daily!$A49</f>
        <v>46.228966666666665</v>
      </c>
      <c r="R49" s="4">
        <f>filings!S49/daily!$A49</f>
        <v>2.4331</v>
      </c>
      <c r="S49" s="4">
        <f t="shared" si="26"/>
        <v>43.795866666666662</v>
      </c>
      <c r="T49" s="18">
        <f t="shared" si="24"/>
        <v>1.2165517543859647</v>
      </c>
      <c r="U49" s="2">
        <f t="shared" si="27"/>
        <v>4.1589078708948001E-5</v>
      </c>
      <c r="V49" s="31">
        <f t="shared" si="25"/>
        <v>4.3957932580510489E-5</v>
      </c>
      <c r="W49" s="2">
        <f t="shared" si="12"/>
        <v>4.3000000000000002E-5</v>
      </c>
      <c r="X49" s="4">
        <f>D49-filings!N49*C49*1000000</f>
        <v>46.693157333333332</v>
      </c>
      <c r="Y49" s="4">
        <f t="shared" si="18"/>
        <v>55.490274666666672</v>
      </c>
      <c r="Z49">
        <f t="shared" si="8"/>
        <v>6</v>
      </c>
    </row>
    <row r="50" spans="1:26" x14ac:dyDescent="0.25">
      <c r="A50">
        <f t="shared" si="21"/>
        <v>31</v>
      </c>
      <c r="B50" s="1">
        <v>35247</v>
      </c>
      <c r="C50" s="56">
        <f>(filings!C50+filings!D50)*filings!K50/daily!$A50/1000000</f>
        <v>1.3816903225806452</v>
      </c>
      <c r="D50" s="4">
        <f>filings!$D50/daily!$A50</f>
        <v>44.193548387096776</v>
      </c>
      <c r="E50" s="4">
        <f>filings!E52/daily!$A50</f>
        <v>48.672096774193548</v>
      </c>
      <c r="F50" s="4">
        <f>filings!F52/daily!$A50</f>
        <v>64.97893548387097</v>
      </c>
      <c r="G50" s="4">
        <f>filings!G52/daily!$A50</f>
        <v>4.193548387096774</v>
      </c>
      <c r="H50" s="4">
        <f>filings!H52/daily!$A50</f>
        <v>-20.50038709677419</v>
      </c>
      <c r="I50" s="4">
        <f>filings!I50/daily!$A50</f>
        <v>54.841032258064523</v>
      </c>
      <c r="J50" s="12">
        <f t="shared" si="16"/>
        <v>3.1985132749974322E-5</v>
      </c>
      <c r="K50" s="25">
        <f t="shared" si="17"/>
        <v>3.9691261755119963E-5</v>
      </c>
      <c r="L50" s="14">
        <v>4.0000000000000003E-5</v>
      </c>
      <c r="M50" s="17">
        <f>filings!N50</f>
        <v>3.9999999999999998E-6</v>
      </c>
      <c r="N50" s="4">
        <f>filings!O50/daily!$A50</f>
        <v>52.680774193548388</v>
      </c>
      <c r="O50" s="4">
        <f>filings!P50/daily!$A50</f>
        <v>12.298161290322581</v>
      </c>
      <c r="P50" s="4">
        <f>filings!Q50/daily!$A50</f>
        <v>64.97893548387097</v>
      </c>
      <c r="Q50" s="4">
        <f>filings!R50/daily!$A50</f>
        <v>48.672096774193548</v>
      </c>
      <c r="R50" s="4">
        <f>filings!S50/daily!$A50</f>
        <v>4.8672258064516125</v>
      </c>
      <c r="S50" s="4">
        <f t="shared" si="26"/>
        <v>43.804870967741934</v>
      </c>
      <c r="T50" s="18">
        <f t="shared" ref="T50:T55" si="28">Q50/L50/1000000</f>
        <v>1.2168024193548386</v>
      </c>
      <c r="U50" s="2">
        <f t="shared" si="27"/>
        <v>4.32944357732953E-5</v>
      </c>
      <c r="V50" s="31">
        <f t="shared" si="25"/>
        <v>5.3401385837417618E-5</v>
      </c>
      <c r="W50" s="2">
        <f t="shared" si="12"/>
        <v>4.5000000000000003E-5</v>
      </c>
      <c r="X50" s="4">
        <f>D50-filings!N50*C50*1000000</f>
        <v>38.666787096774193</v>
      </c>
      <c r="Y50" s="4">
        <f t="shared" si="18"/>
        <v>56.649303225806456</v>
      </c>
      <c r="Z50">
        <f t="shared" si="8"/>
        <v>7</v>
      </c>
    </row>
    <row r="51" spans="1:26" x14ac:dyDescent="0.25">
      <c r="A51">
        <f t="shared" si="21"/>
        <v>31</v>
      </c>
      <c r="B51" s="1">
        <v>35278</v>
      </c>
      <c r="C51" s="56">
        <f>(filings!C51+filings!D51)*filings!K51/daily!$A51/1000000</f>
        <v>1.4013161290322582</v>
      </c>
      <c r="D51" s="4">
        <f>filings!$D51/daily!$A51</f>
        <v>49.677419354838712</v>
      </c>
      <c r="E51" s="4">
        <f>filings!E53/daily!$A51</f>
        <v>53.538161290322577</v>
      </c>
      <c r="F51" s="4">
        <f>filings!F53/daily!$A51</f>
        <v>65.827161290322579</v>
      </c>
      <c r="G51" s="4">
        <f>filings!G53/daily!$A51</f>
        <v>4.1260322580645159</v>
      </c>
      <c r="H51" s="4">
        <f>filings!H53/daily!$A51</f>
        <v>-16.415032258064517</v>
      </c>
      <c r="I51" s="4">
        <f>filings!I51/daily!$A51</f>
        <v>59.306354838709687</v>
      </c>
      <c r="J51" s="12">
        <f t="shared" si="16"/>
        <v>3.545054418887313E-5</v>
      </c>
      <c r="K51" s="25">
        <f t="shared" si="17"/>
        <v>4.2321895545201747E-5</v>
      </c>
      <c r="L51" s="14">
        <v>4.3000000000000002E-5</v>
      </c>
      <c r="M51" s="17">
        <f>filings!N51</f>
        <v>3.9999999999999998E-6</v>
      </c>
      <c r="N51" s="4">
        <f>filings!O51/daily!$A51</f>
        <v>51.980258064516129</v>
      </c>
      <c r="O51" s="4">
        <f>filings!P51/daily!$A51</f>
        <v>13.846903225806452</v>
      </c>
      <c r="P51" s="4">
        <f>filings!Q51/daily!$A51</f>
        <v>65.827161290322579</v>
      </c>
      <c r="Q51" s="4">
        <f>filings!R51/daily!$A51</f>
        <v>53.538161290322577</v>
      </c>
      <c r="R51" s="4">
        <f>filings!S51/daily!$A51</f>
        <v>4.9802903225806459</v>
      </c>
      <c r="S51" s="4">
        <f t="shared" si="26"/>
        <v>48.557870967741934</v>
      </c>
      <c r="T51" s="18">
        <f t="shared" si="28"/>
        <v>1.2450735183795947</v>
      </c>
      <c r="U51" s="2">
        <f t="shared" si="27"/>
        <v>4.1748745995470225E-5</v>
      </c>
      <c r="V51" s="31">
        <f t="shared" si="25"/>
        <v>5.2870099892569856E-5</v>
      </c>
      <c r="W51" s="2">
        <f t="shared" si="12"/>
        <v>4.5000000000000003E-5</v>
      </c>
      <c r="X51" s="4">
        <f>D51-filings!N51*C51*1000000</f>
        <v>44.072154838709679</v>
      </c>
      <c r="Y51" s="4">
        <f t="shared" si="18"/>
        <v>57.453961290322582</v>
      </c>
      <c r="Z51">
        <f t="shared" si="8"/>
        <v>8</v>
      </c>
    </row>
    <row r="52" spans="1:26" x14ac:dyDescent="0.25">
      <c r="A52">
        <f t="shared" si="21"/>
        <v>30</v>
      </c>
      <c r="B52" s="1">
        <v>35309</v>
      </c>
      <c r="C52" s="56">
        <f>(filings!C52+filings!D52)*filings!K52/daily!$A52/1000000</f>
        <v>1.4880666666666666</v>
      </c>
      <c r="D52" s="4">
        <f>filings!$D52/daily!$A52</f>
        <v>43.333333333333336</v>
      </c>
      <c r="E52" s="4">
        <f>filings!E54/daily!$A52</f>
        <v>55.091866666666668</v>
      </c>
      <c r="F52" s="4">
        <f>filings!F54/daily!$A52</f>
        <v>69.785833333333329</v>
      </c>
      <c r="G52" s="4">
        <f>filings!G54/daily!$A52</f>
        <v>3.9242333333333335</v>
      </c>
      <c r="H52" s="4">
        <f>filings!H54/daily!$A52</f>
        <v>-18.618199999999991</v>
      </c>
      <c r="I52" s="4">
        <f>filings!I52/daily!$A52</f>
        <v>64.517066666666665</v>
      </c>
      <c r="J52" s="12">
        <f t="shared" si="16"/>
        <v>2.9120559114735005E-5</v>
      </c>
      <c r="K52" s="25">
        <f t="shared" si="17"/>
        <v>4.3356301240983828E-5</v>
      </c>
      <c r="L52" s="14">
        <v>4.3999999999999999E-5</v>
      </c>
      <c r="M52" s="17">
        <f>filings!N52</f>
        <v>3.9999999999999998E-6</v>
      </c>
      <c r="N52" s="4">
        <f>filings!O52/daily!$A52</f>
        <v>56.388833333333331</v>
      </c>
      <c r="O52" s="4">
        <f>filings!P52/daily!$A52</f>
        <v>13.397</v>
      </c>
      <c r="P52" s="4">
        <f>filings!Q52/daily!$A52</f>
        <v>69.785833333333329</v>
      </c>
      <c r="Q52" s="4">
        <f>filings!R52/daily!$A52</f>
        <v>55.091866666666668</v>
      </c>
      <c r="R52" s="4">
        <f>filings!S52/daily!$A52</f>
        <v>5.0083666666666664</v>
      </c>
      <c r="S52" s="4">
        <f t="shared" si="26"/>
        <v>50.083500000000001</v>
      </c>
      <c r="T52" s="18">
        <f t="shared" si="28"/>
        <v>1.2520878787878789</v>
      </c>
      <c r="U52" s="2">
        <f t="shared" si="27"/>
        <v>4.503584316136199E-5</v>
      </c>
      <c r="V52" s="31">
        <f t="shared" ref="V52:V57" si="29">P52/$T52/1000000</f>
        <v>5.5735571372906827E-5</v>
      </c>
      <c r="W52" s="2">
        <f t="shared" si="12"/>
        <v>4.5000000000000003E-5</v>
      </c>
      <c r="X52" s="4">
        <f>D52-filings!N52*C52*1000000</f>
        <v>37.381066666666669</v>
      </c>
      <c r="Y52" s="4">
        <f t="shared" si="18"/>
        <v>61.010733333333334</v>
      </c>
      <c r="Z52">
        <f t="shared" si="8"/>
        <v>9</v>
      </c>
    </row>
    <row r="53" spans="1:26" x14ac:dyDescent="0.25">
      <c r="A53">
        <f t="shared" si="21"/>
        <v>31</v>
      </c>
      <c r="B53" s="1">
        <v>35339</v>
      </c>
      <c r="C53" s="18">
        <f>(filings!C53+filings!D53)*filings!K53/daily!$A53/1000000</f>
        <v>1.372967741935484</v>
      </c>
      <c r="D53" s="4">
        <f>filings!$D53/daily!$A53</f>
        <v>44.354838709677416</v>
      </c>
      <c r="E53" s="4">
        <f>filings!E55/daily!$A53</f>
        <v>56.878580645161293</v>
      </c>
      <c r="F53" s="4">
        <f>filings!F55/daily!$A53</f>
        <v>67.485741935483873</v>
      </c>
      <c r="G53" s="4">
        <f>filings!G55/daily!$A53</f>
        <v>4.0143225806451612</v>
      </c>
      <c r="H53" s="4">
        <f>filings!H55/daily!$A53</f>
        <v>-14.621483870967738</v>
      </c>
      <c r="I53" s="4">
        <f>filings!I53/daily!$A53</f>
        <v>60.769870967741937</v>
      </c>
      <c r="J53" s="12">
        <f t="shared" si="16"/>
        <v>3.230581269677176E-5</v>
      </c>
      <c r="K53" s="52">
        <f t="shared" si="17"/>
        <v>4.4261688830412105E-5</v>
      </c>
      <c r="L53" s="14">
        <v>4.5000000000000003E-5</v>
      </c>
      <c r="M53" s="17">
        <f>filings!N53</f>
        <v>3.9999999999999998E-6</v>
      </c>
      <c r="N53" s="4">
        <f>filings!O53/daily!$A53</f>
        <v>55.451967741935484</v>
      </c>
      <c r="O53" s="4">
        <f>filings!P53/daily!$A53</f>
        <v>12.033774193548387</v>
      </c>
      <c r="P53" s="4">
        <f>filings!Q53/daily!$A53</f>
        <v>67.485741935483873</v>
      </c>
      <c r="Q53" s="4">
        <f>filings!R53/daily!$A53</f>
        <v>56.878580645161293</v>
      </c>
      <c r="R53" s="4">
        <f>filings!S53/daily!$A53</f>
        <v>5.0558709677419351</v>
      </c>
      <c r="S53" s="4">
        <f t="shared" si="26"/>
        <v>51.822709677419354</v>
      </c>
      <c r="T53" s="18">
        <f t="shared" si="28"/>
        <v>1.263968458781362</v>
      </c>
      <c r="U53" s="2">
        <f t="shared" si="27"/>
        <v>4.3871322386793375E-5</v>
      </c>
      <c r="V53" s="31">
        <f t="shared" si="29"/>
        <v>5.3391950935666017E-5</v>
      </c>
      <c r="W53" s="2">
        <f t="shared" si="12"/>
        <v>4.5000000000000003E-5</v>
      </c>
      <c r="X53" s="4">
        <f>D53-filings!N53*C53*1000000</f>
        <v>38.862967741935478</v>
      </c>
      <c r="Y53" s="4">
        <f t="shared" si="18"/>
        <v>56.291677419354841</v>
      </c>
      <c r="Z53">
        <f t="shared" si="8"/>
        <v>10</v>
      </c>
    </row>
    <row r="54" spans="1:26" x14ac:dyDescent="0.25">
      <c r="A54">
        <f t="shared" si="21"/>
        <v>30</v>
      </c>
      <c r="B54" s="1">
        <v>35370</v>
      </c>
      <c r="C54" s="56">
        <f>(filings!C54+filings!D54)*filings!K54/daily!$A54/1000000</f>
        <v>1.3848466666666668</v>
      </c>
      <c r="D54" s="4">
        <f>filings!$D54/daily!$A54</f>
        <v>43.166666666666664</v>
      </c>
      <c r="E54" s="4">
        <f>filings!E56/daily!$A54</f>
        <v>57.7943</v>
      </c>
      <c r="F54" s="4">
        <f>filings!F56/daily!$A54</f>
        <v>74.360666666666674</v>
      </c>
      <c r="G54" s="4">
        <f>filings!G56/daily!$A54</f>
        <v>3.8596333333333335</v>
      </c>
      <c r="H54" s="4">
        <f>filings!H56/daily!$A54</f>
        <v>-20.426000000000005</v>
      </c>
      <c r="I54" s="4">
        <f>filings!I54/daily!$A54</f>
        <v>61.784866666666659</v>
      </c>
      <c r="J54" s="12">
        <f t="shared" si="16"/>
        <v>3.1170719261338194E-5</v>
      </c>
      <c r="K54" s="52">
        <f t="shared" si="17"/>
        <v>4.46149513544219E-5</v>
      </c>
      <c r="L54" s="14">
        <v>4.5000000000000003E-5</v>
      </c>
      <c r="M54" s="17">
        <f>filings!N54</f>
        <v>3.9999999999999998E-6</v>
      </c>
      <c r="N54" s="4">
        <f>filings!O54/daily!$A54</f>
        <v>65.191766666666666</v>
      </c>
      <c r="O54" s="4">
        <f>filings!P54/daily!$A54</f>
        <v>9.1689000000000007</v>
      </c>
      <c r="P54" s="4">
        <f>filings!Q54/daily!$A54</f>
        <v>74.36066666666666</v>
      </c>
      <c r="Q54" s="4">
        <f>filings!R54/daily!$A54</f>
        <v>57.7943</v>
      </c>
      <c r="R54" s="4">
        <f>filings!S54/daily!$A54</f>
        <v>5.1372666666666662</v>
      </c>
      <c r="S54" s="4">
        <f t="shared" ref="S54:S59" si="30">Q54-R54</f>
        <v>52.657033333333331</v>
      </c>
      <c r="T54" s="18">
        <f t="shared" si="28"/>
        <v>1.2843177777777777</v>
      </c>
      <c r="U54" s="2">
        <f>N54/$T54/1000000</f>
        <v>5.0759841368439451E-5</v>
      </c>
      <c r="V54" s="31">
        <f t="shared" si="29"/>
        <v>5.7898962354419034E-5</v>
      </c>
      <c r="W54" s="2">
        <f t="shared" si="12"/>
        <v>4.5000000000000003E-5</v>
      </c>
      <c r="X54" s="4">
        <f>D54-filings!N54*C54*1000000</f>
        <v>37.627279999999999</v>
      </c>
      <c r="Y54" s="4">
        <f t="shared" si="18"/>
        <v>56.778713333333336</v>
      </c>
      <c r="Z54">
        <f t="shared" si="8"/>
        <v>11</v>
      </c>
    </row>
    <row r="55" spans="1:26" x14ac:dyDescent="0.25">
      <c r="A55">
        <f t="shared" si="21"/>
        <v>31</v>
      </c>
      <c r="B55" s="1">
        <v>35400</v>
      </c>
      <c r="C55" s="18">
        <f>(filings!C55+filings!D55)*filings!K55/daily!$A55/1000000</f>
        <v>1.3402580645161291</v>
      </c>
      <c r="D55" s="4">
        <f>filings!$D55/daily!$A55</f>
        <v>45.161290322580648</v>
      </c>
      <c r="E55" s="4">
        <f>filings!E57/daily!$A55</f>
        <v>56.952387096774189</v>
      </c>
      <c r="F55" s="4">
        <f>filings!F57/daily!$A55</f>
        <v>64.675709677419349</v>
      </c>
      <c r="G55" s="4">
        <f>filings!G57/daily!$A55</f>
        <v>4.8745483870967741</v>
      </c>
      <c r="H55" s="4">
        <f>filings!H57/daily!$A55</f>
        <v>-12.597870967741935</v>
      </c>
      <c r="I55" s="4">
        <f>filings!I55/daily!$A55</f>
        <v>59.782774193548384</v>
      </c>
      <c r="J55" s="12">
        <f t="shared" si="16"/>
        <v>3.3695966111485512E-5</v>
      </c>
      <c r="K55" s="52">
        <f t="shared" si="17"/>
        <v>4.4605420236834504E-5</v>
      </c>
      <c r="L55" s="14">
        <v>4.5000000000000003E-5</v>
      </c>
      <c r="M55" s="17">
        <f>filings!N55</f>
        <v>3.9999999999999998E-6</v>
      </c>
      <c r="N55" s="4">
        <f>filings!O55/daily!$A55</f>
        <v>59.907064516129033</v>
      </c>
      <c r="O55" s="4">
        <f>filings!P55/daily!$A55</f>
        <v>4.7686451612903227</v>
      </c>
      <c r="P55" s="4">
        <f>filings!Q55/daily!$A55</f>
        <v>64.675709677419349</v>
      </c>
      <c r="Q55" s="4">
        <f>filings!R55/daily!$A55</f>
        <v>56.952387096774189</v>
      </c>
      <c r="R55" s="4">
        <f>filings!S55/daily!$A55</f>
        <v>5.0624193548387098</v>
      </c>
      <c r="S55" s="4">
        <f t="shared" si="30"/>
        <v>51.889967741935479</v>
      </c>
      <c r="T55" s="18">
        <f t="shared" si="28"/>
        <v>1.2656086021505375</v>
      </c>
      <c r="U55" s="2">
        <f>N55/$T55/1000000</f>
        <v>4.7334590183990706E-5</v>
      </c>
      <c r="V55" s="31">
        <f t="shared" si="29"/>
        <v>5.110245740074901E-5</v>
      </c>
      <c r="W55" s="2">
        <f t="shared" si="12"/>
        <v>4.5000000000000003E-5</v>
      </c>
      <c r="X55" s="4">
        <f>D55-filings!N55*C55*1000000</f>
        <v>39.800258064516129</v>
      </c>
      <c r="Y55" s="4">
        <f t="shared" si="18"/>
        <v>54.950580645161295</v>
      </c>
      <c r="Z55">
        <f t="shared" si="8"/>
        <v>12</v>
      </c>
    </row>
    <row r="56" spans="1:26" x14ac:dyDescent="0.25">
      <c r="A56">
        <f t="shared" si="21"/>
        <v>31</v>
      </c>
      <c r="B56" s="1">
        <v>35431</v>
      </c>
      <c r="C56" s="18">
        <f>(filings!C56+filings!D56)*filings!K56/daily!$A56/1000000</f>
        <v>1.3192903225806452</v>
      </c>
      <c r="D56" s="4">
        <f>filings!$D56/daily!$A56</f>
        <v>53.225806451612904</v>
      </c>
      <c r="E56" s="4">
        <f>filings!E58/daily!$A56</f>
        <v>68.275870967741938</v>
      </c>
      <c r="F56" s="4">
        <f>filings!F58/daily!$A56</f>
        <v>52.469193548387096</v>
      </c>
      <c r="G56" s="4">
        <f>filings!G58/daily!$A56</f>
        <v>16.751548387096776</v>
      </c>
      <c r="H56" s="4">
        <f>filings!H58/daily!$A56</f>
        <v>-0.94487096774193358</v>
      </c>
      <c r="I56" s="4">
        <f>filings!I56/daily!$A56</f>
        <v>72.992903225806458</v>
      </c>
      <c r="J56" s="12">
        <f t="shared" si="16"/>
        <v>4.034427111350188E-5</v>
      </c>
      <c r="K56" s="25">
        <f t="shared" si="17"/>
        <v>5.532739987285442E-5</v>
      </c>
      <c r="L56" s="14">
        <v>5.7000000000000003E-5</v>
      </c>
      <c r="M56" s="17">
        <f>filings!N56</f>
        <v>1.5999999999999999E-5</v>
      </c>
      <c r="N56" s="4">
        <f>filings!O56/daily!$A56</f>
        <v>50.62216129032258</v>
      </c>
      <c r="O56" s="4">
        <f>filings!P56/daily!$A56</f>
        <v>1.8470322580645162</v>
      </c>
      <c r="P56" s="4">
        <f>filings!Q56/daily!$A56</f>
        <v>52.469193548387096</v>
      </c>
      <c r="Q56" s="4">
        <f>filings!R56/daily!$A56</f>
        <v>68.275870967741938</v>
      </c>
      <c r="R56" s="4">
        <f>filings!S56/daily!$A56</f>
        <v>19.16516129032258</v>
      </c>
      <c r="S56" s="4">
        <f t="shared" si="30"/>
        <v>49.110709677419358</v>
      </c>
      <c r="T56" s="18">
        <f>Q56/L56/1000000</f>
        <v>1.1978222976796831</v>
      </c>
      <c r="U56" s="2">
        <f>N56/$T56/1000000</f>
        <v>4.2261829144759972E-5</v>
      </c>
      <c r="V56" s="31">
        <f t="shared" si="29"/>
        <v>4.3803821025894949E-5</v>
      </c>
      <c r="W56" s="2">
        <f t="shared" si="12"/>
        <v>5.7000000000000003E-5</v>
      </c>
      <c r="X56" s="4">
        <f>D56-filings!N56*C56*1000000</f>
        <v>32.117161290322585</v>
      </c>
      <c r="Y56" s="4">
        <f t="shared" si="18"/>
        <v>54.09090322580645</v>
      </c>
      <c r="Z56">
        <f t="shared" si="8"/>
        <v>1</v>
      </c>
    </row>
    <row r="57" spans="1:26" x14ac:dyDescent="0.25">
      <c r="A57">
        <f t="shared" si="21"/>
        <v>28</v>
      </c>
      <c r="B57" s="1">
        <v>35462</v>
      </c>
      <c r="C57" s="18">
        <f>(filings!C57+filings!D57)*filings!K57/daily!$A57/1000000</f>
        <v>1.3501428571428571</v>
      </c>
      <c r="D57" s="4">
        <f>filings!$D57/daily!$A57</f>
        <v>60.714285714285715</v>
      </c>
      <c r="E57" s="4">
        <f>filings!E59/daily!$A57</f>
        <v>69.703785714285715</v>
      </c>
      <c r="F57" s="4">
        <f>filings!F59/daily!$A57</f>
        <v>49.152750000000005</v>
      </c>
      <c r="G57" s="4">
        <f>filings!G59/daily!$A57</f>
        <v>18.295749999999998</v>
      </c>
      <c r="H57" s="4">
        <f>filings!H59/daily!$A57</f>
        <v>2.2552857142857112</v>
      </c>
      <c r="I57" s="4">
        <f>filings!I57/daily!$A57</f>
        <v>74.661928571428575</v>
      </c>
      <c r="J57" s="12">
        <f t="shared" si="16"/>
        <v>4.4968786371812509E-5</v>
      </c>
      <c r="K57" s="25">
        <f t="shared" si="17"/>
        <v>5.5299280499418052E-5</v>
      </c>
      <c r="L57" s="14">
        <v>5.7000000000000003E-5</v>
      </c>
      <c r="M57" s="17">
        <f>filings!N57</f>
        <v>1.5999999999999999E-5</v>
      </c>
      <c r="N57" s="4">
        <f>filings!O57/daily!$A57</f>
        <v>46.586857142857141</v>
      </c>
      <c r="O57" s="4">
        <f>filings!P57/daily!$A57</f>
        <v>2.565892857142857</v>
      </c>
      <c r="P57" s="4">
        <f>filings!Q57/daily!$A57</f>
        <v>49.152750000000005</v>
      </c>
      <c r="Q57" s="4">
        <f>filings!R57/daily!$A57</f>
        <v>69.703785714285715</v>
      </c>
      <c r="R57" s="4">
        <f>filings!S57/daily!$A57</f>
        <v>19.565964285714283</v>
      </c>
      <c r="S57" s="4">
        <f t="shared" si="30"/>
        <v>50.137821428571428</v>
      </c>
      <c r="T57" s="18">
        <f>Q57/L57/1000000</f>
        <v>1.2228734335839599</v>
      </c>
      <c r="U57" s="2">
        <f>N57/$T57/1000000</f>
        <v>3.809622145958458E-5</v>
      </c>
      <c r="V57" s="31">
        <f t="shared" si="29"/>
        <v>4.0194470376173465E-5</v>
      </c>
      <c r="W57" s="2">
        <f t="shared" si="12"/>
        <v>5.7000000000000003E-5</v>
      </c>
      <c r="X57" s="4">
        <f>D57-filings!N57*C57*1000000</f>
        <v>39.112000000000002</v>
      </c>
      <c r="Y57" s="4">
        <f t="shared" si="18"/>
        <v>55.35585714285714</v>
      </c>
      <c r="Z57">
        <f t="shared" si="8"/>
        <v>2</v>
      </c>
    </row>
    <row r="58" spans="1:26" x14ac:dyDescent="0.25">
      <c r="A58">
        <f t="shared" si="21"/>
        <v>31</v>
      </c>
      <c r="B58" s="1">
        <v>35490</v>
      </c>
      <c r="C58" s="18">
        <f>(filings!C58+filings!D58)*filings!K58/daily!$A58/1000000</f>
        <v>1.2052258064516128</v>
      </c>
      <c r="D58" s="4">
        <f>filings!$D58/daily!$A58</f>
        <v>59.677419354838712</v>
      </c>
      <c r="E58" s="4">
        <f>filings!E60/daily!$A58</f>
        <v>66.776032258064504</v>
      </c>
      <c r="F58" s="4">
        <f>filings!F60/daily!$A58</f>
        <v>48.669451612903224</v>
      </c>
      <c r="G58" s="4">
        <f>filings!G60/daily!$A58</f>
        <v>18.433193548387095</v>
      </c>
      <c r="H58" s="4">
        <f>filings!H60/daily!$A58</f>
        <v>-0.3266129032258101</v>
      </c>
      <c r="I58" s="4">
        <f>filings!I58/daily!$A58</f>
        <v>60.622290322580646</v>
      </c>
      <c r="J58" s="12">
        <f t="shared" si="16"/>
        <v>4.9515550559391896E-5</v>
      </c>
      <c r="K58" s="25">
        <f t="shared" si="17"/>
        <v>5.0299528933140628E-5</v>
      </c>
      <c r="L58" s="14">
        <v>5.1999999999999997E-5</v>
      </c>
      <c r="M58" s="17">
        <f>filings!N58</f>
        <v>1.5999999999999999E-5</v>
      </c>
      <c r="N58" s="4">
        <f>filings!O58/daily!$A58</f>
        <v>48.727032258064519</v>
      </c>
      <c r="O58" s="4">
        <f>filings!P58/daily!$A58</f>
        <v>-5.7580645161290321E-2</v>
      </c>
      <c r="P58" s="4">
        <f>filings!Q58/daily!$A58</f>
        <v>48.669451612903224</v>
      </c>
      <c r="Q58" s="4">
        <f>filings!R58/daily!$A58</f>
        <v>66.776032258064504</v>
      </c>
      <c r="R58" s="4">
        <f>filings!S58/daily!$A58</f>
        <v>20.546483870967744</v>
      </c>
      <c r="S58" s="4">
        <f t="shared" si="30"/>
        <v>46.229548387096756</v>
      </c>
      <c r="T58" s="18">
        <f>Q58/L58/1000000</f>
        <v>1.2841544665012405</v>
      </c>
      <c r="U58" s="2">
        <f>N58/$T58/1000000</f>
        <v>3.7944837267766059E-5</v>
      </c>
      <c r="V58" s="31">
        <f>P58/$T58/1000000</f>
        <v>3.7899997922762516E-5</v>
      </c>
      <c r="W58" s="2">
        <f t="shared" si="12"/>
        <v>5.7000000000000003E-5</v>
      </c>
      <c r="X58" s="4">
        <f>D58-filings!N58*C58*1000000</f>
        <v>40.39380645161291</v>
      </c>
      <c r="Y58" s="4">
        <f t="shared" si="18"/>
        <v>49.414258064516126</v>
      </c>
      <c r="Z58">
        <f t="shared" si="8"/>
        <v>3</v>
      </c>
    </row>
    <row r="59" spans="1:26" x14ac:dyDescent="0.25">
      <c r="A59">
        <f t="shared" si="21"/>
        <v>30</v>
      </c>
      <c r="B59" s="1">
        <v>35521</v>
      </c>
      <c r="C59" s="18">
        <f>(filings!C59+filings!D59)*filings!K59/daily!$A59/1000000</f>
        <v>1.2363</v>
      </c>
      <c r="D59" s="4">
        <f>filings!$D59/daily!$A59</f>
        <v>60.833333333333336</v>
      </c>
      <c r="E59" s="4">
        <f>filings!E61/daily!$A59</f>
        <v>61.424799999999998</v>
      </c>
      <c r="F59" s="4">
        <f>filings!F61/daily!$A59</f>
        <v>52.786700000000003</v>
      </c>
      <c r="G59" s="4">
        <f>filings!G61/daily!$A59</f>
        <v>15.891166666666667</v>
      </c>
      <c r="H59" s="4">
        <f>filings!H61/daily!$A59</f>
        <v>-7.2530666666666734</v>
      </c>
      <c r="I59" s="4">
        <f>filings!I59/daily!$A59</f>
        <v>58.728400000000001</v>
      </c>
      <c r="J59" s="12">
        <f t="shared" si="16"/>
        <v>4.9205964032462461E-5</v>
      </c>
      <c r="K59" s="25">
        <f t="shared" si="17"/>
        <v>4.7503356790423041E-5</v>
      </c>
      <c r="L59" s="14">
        <v>4.8999999999999998E-5</v>
      </c>
      <c r="M59" s="17">
        <f>filings!N59</f>
        <v>1.5999999999999999E-5</v>
      </c>
      <c r="N59" s="4">
        <f>filings!O59/daily!$A59</f>
        <v>48.681699999999999</v>
      </c>
      <c r="O59" s="4">
        <f>filings!P59/daily!$A59</f>
        <v>4.1050000000000004</v>
      </c>
      <c r="P59" s="4">
        <f>filings!Q59/daily!$A59</f>
        <v>52.786700000000003</v>
      </c>
      <c r="Q59" s="4">
        <f>filings!R59/daily!$A59</f>
        <v>61.424799999999998</v>
      </c>
      <c r="R59" s="4">
        <f>filings!S59/daily!$A59</f>
        <v>20.057066666666667</v>
      </c>
      <c r="S59" s="4">
        <f t="shared" si="30"/>
        <v>41.367733333333334</v>
      </c>
      <c r="T59" s="18">
        <f t="shared" ref="T59:T73" si="31">Q59/L59/1000000</f>
        <v>1.2535673469387754</v>
      </c>
      <c r="U59" s="2">
        <f t="shared" ref="U59:U73" si="32">N59/$T59/1000000</f>
        <v>3.8834531003763957E-5</v>
      </c>
      <c r="V59" s="31">
        <f t="shared" ref="V59:V75" si="33">P59/$T59/1000000</f>
        <v>4.2109185540693669E-5</v>
      </c>
      <c r="W59" s="2">
        <f t="shared" si="12"/>
        <v>5.7000000000000003E-5</v>
      </c>
      <c r="X59" s="4">
        <f>D59-filings!N59*C59*1000000</f>
        <v>41.052533333333336</v>
      </c>
      <c r="Y59" s="4">
        <f t="shared" si="18"/>
        <v>50.688299999999998</v>
      </c>
      <c r="Z59">
        <f t="shared" si="8"/>
        <v>4</v>
      </c>
    </row>
    <row r="60" spans="1:26" x14ac:dyDescent="0.25">
      <c r="A60">
        <f t="shared" si="21"/>
        <v>31</v>
      </c>
      <c r="B60" s="1">
        <v>35551</v>
      </c>
      <c r="C60" s="18">
        <f>(filings!C60+filings!D60)*filings!K60/daily!$A60/1000000</f>
        <v>1.1884516129032257</v>
      </c>
      <c r="D60" s="4">
        <f>filings!$D60/daily!$A60</f>
        <v>56.451612903225808</v>
      </c>
      <c r="E60" s="4">
        <f>filings!E62/daily!$A60</f>
        <v>59.378806451612903</v>
      </c>
      <c r="F60" s="4">
        <f>filings!F62/daily!$A60</f>
        <v>44.885838709677422</v>
      </c>
      <c r="G60" s="4">
        <f>filings!G62/daily!$A60</f>
        <v>17.274516129032257</v>
      </c>
      <c r="H60" s="4">
        <f>filings!H62/daily!$A60</f>
        <v>-2.7815483870967763</v>
      </c>
      <c r="I60" s="4">
        <f>filings!I60/daily!$A60</f>
        <v>56.778225806451616</v>
      </c>
      <c r="J60" s="12">
        <f t="shared" si="16"/>
        <v>4.7500135714673477E-5</v>
      </c>
      <c r="K60" s="25">
        <f t="shared" si="17"/>
        <v>4.777495792845123E-5</v>
      </c>
      <c r="L60" s="14">
        <v>4.8999999999999998E-5</v>
      </c>
      <c r="M60" s="17">
        <f>filings!N60</f>
        <v>1.5999999999999999E-5</v>
      </c>
      <c r="N60" s="4">
        <f>filings!O60/daily!$A60</f>
        <v>46.932064516129032</v>
      </c>
      <c r="O60" s="4">
        <f>filings!P60/daily!$A60</f>
        <v>-2.0462258064516128</v>
      </c>
      <c r="P60" s="4">
        <f>filings!Q60/daily!$A60</f>
        <v>44.885838709677422</v>
      </c>
      <c r="Q60" s="4">
        <f>filings!R60/daily!$A60</f>
        <v>59.378806451612903</v>
      </c>
      <c r="R60" s="4">
        <f>filings!S60/daily!$A60</f>
        <v>19.388999999999999</v>
      </c>
      <c r="S60" s="4">
        <f t="shared" ref="S60:S73" si="34">Q60-R60</f>
        <v>39.989806451612907</v>
      </c>
      <c r="T60" s="18">
        <f t="shared" si="31"/>
        <v>1.2118123765635285</v>
      </c>
      <c r="U60" s="2">
        <f t="shared" si="32"/>
        <v>3.8728820916336501E-5</v>
      </c>
      <c r="V60" s="31">
        <f t="shared" si="33"/>
        <v>3.7040254397273278E-5</v>
      </c>
      <c r="W60" s="2">
        <f t="shared" si="12"/>
        <v>5.7000000000000003E-5</v>
      </c>
      <c r="X60" s="4">
        <f>D60-filings!N60*C60*1000000</f>
        <v>37.436387096774197</v>
      </c>
      <c r="Y60" s="4">
        <f t="shared" si="18"/>
        <v>48.726516129032255</v>
      </c>
      <c r="Z60">
        <f t="shared" si="8"/>
        <v>5</v>
      </c>
    </row>
    <row r="61" spans="1:26" x14ac:dyDescent="0.25">
      <c r="A61">
        <f t="shared" si="21"/>
        <v>30</v>
      </c>
      <c r="B61" s="1">
        <v>35582</v>
      </c>
      <c r="C61" s="18">
        <f>(filings!C61+filings!D61)*filings!K61/daily!$A61/1000000</f>
        <v>1.2854399999999999</v>
      </c>
      <c r="D61" s="4">
        <f>filings!$D61/daily!$A61</f>
        <v>48.666666666666664</v>
      </c>
      <c r="E61" s="4">
        <f>filings!E63/daily!$A61</f>
        <v>55.7363</v>
      </c>
      <c r="F61" s="4">
        <f>filings!F63/daily!$A61</f>
        <v>48.798400000000001</v>
      </c>
      <c r="G61" s="4">
        <f>filings!G63/daily!$A61</f>
        <v>18.666666666666668</v>
      </c>
      <c r="H61" s="4">
        <f>filings!H63/daily!$A61</f>
        <v>-11.728766666666669</v>
      </c>
      <c r="I61" s="4">
        <f>filings!I61/daily!$A61</f>
        <v>55.919733333333333</v>
      </c>
      <c r="J61" s="12">
        <f t="shared" si="16"/>
        <v>3.7859928636627662E-5</v>
      </c>
      <c r="K61" s="25">
        <f t="shared" si="17"/>
        <v>4.3502406439299647E-5</v>
      </c>
      <c r="L61" s="14">
        <v>4.3999999999999999E-5</v>
      </c>
      <c r="M61" s="17">
        <f>filings!N61</f>
        <v>1.5999999999999999E-5</v>
      </c>
      <c r="N61" s="4">
        <f>filings!O61/daily!$A61</f>
        <v>54.199466666666666</v>
      </c>
      <c r="O61" s="4">
        <f>filings!P61/daily!$A61</f>
        <v>-5.4010666666666669</v>
      </c>
      <c r="P61" s="4">
        <f>filings!Q61/daily!$A61</f>
        <v>48.798400000000001</v>
      </c>
      <c r="Q61" s="4">
        <f>filings!R61/daily!$A61</f>
        <v>55.7363</v>
      </c>
      <c r="R61" s="4">
        <f>filings!S61/daily!$A61</f>
        <v>20.267733333333336</v>
      </c>
      <c r="S61" s="4">
        <f t="shared" si="34"/>
        <v>35.468566666666661</v>
      </c>
      <c r="T61" s="18">
        <f t="shared" si="31"/>
        <v>1.2667340909090909</v>
      </c>
      <c r="U61" s="2">
        <f t="shared" si="32"/>
        <v>4.278677510587056E-5</v>
      </c>
      <c r="V61" s="31">
        <f t="shared" si="33"/>
        <v>3.852300206508146E-5</v>
      </c>
      <c r="W61" s="2">
        <f t="shared" si="12"/>
        <v>5.7000000000000003E-5</v>
      </c>
      <c r="X61" s="4">
        <f>D61-filings!N61*C61*1000000</f>
        <v>28.099626666666666</v>
      </c>
      <c r="Y61" s="4">
        <f t="shared" si="18"/>
        <v>52.703039999999994</v>
      </c>
      <c r="Z61">
        <f t="shared" si="8"/>
        <v>6</v>
      </c>
    </row>
    <row r="62" spans="1:26" x14ac:dyDescent="0.25">
      <c r="A62">
        <f t="shared" si="21"/>
        <v>31</v>
      </c>
      <c r="B62" s="1">
        <v>35612</v>
      </c>
      <c r="C62" s="18">
        <f>(filings!C62+filings!D62)*filings!K62/daily!$A62/1000000</f>
        <v>1.2855741935483871</v>
      </c>
      <c r="D62" s="4">
        <f>filings!$D62/daily!$A62</f>
        <v>52.903225806451616</v>
      </c>
      <c r="E62" s="4">
        <f>filings!E64/daily!$A62</f>
        <v>55.983741935483877</v>
      </c>
      <c r="F62" s="4">
        <f>filings!F64/daily!$A62</f>
        <v>58.3881935483871</v>
      </c>
      <c r="G62" s="4">
        <f>filings!G64/daily!$A62</f>
        <v>7.9545483870967741</v>
      </c>
      <c r="H62" s="4">
        <f>filings!H64/daily!$A62</f>
        <v>-10.359</v>
      </c>
      <c r="I62" s="4">
        <f>filings!I62/daily!$A62</f>
        <v>55.684774193548392</v>
      </c>
      <c r="J62" s="12">
        <f t="shared" si="16"/>
        <v>4.1151437289224348E-5</v>
      </c>
      <c r="K62" s="25">
        <f t="shared" si="17"/>
        <v>4.3315099566404371E-5</v>
      </c>
      <c r="L62" s="14">
        <v>4.3999999999999999E-5</v>
      </c>
      <c r="M62" s="17">
        <f>filings!N62</f>
        <v>6.9999999999999999E-6</v>
      </c>
      <c r="N62" s="4">
        <f>filings!O62/daily!$A62</f>
        <v>59.030774193548389</v>
      </c>
      <c r="O62" s="4">
        <f>filings!P62/daily!$A62</f>
        <v>0.57993548387096783</v>
      </c>
      <c r="P62" s="4">
        <f>filings!Q62/daily!$A62</f>
        <v>59.610709677419358</v>
      </c>
      <c r="Q62" s="4">
        <f>filings!R62/daily!$A62</f>
        <v>55.983741935483877</v>
      </c>
      <c r="R62" s="4">
        <f>filings!S62/daily!$A62</f>
        <v>8.907</v>
      </c>
      <c r="S62" s="4">
        <f t="shared" si="34"/>
        <v>47.076741935483881</v>
      </c>
      <c r="T62" s="18">
        <f t="shared" si="31"/>
        <v>1.2723577712609973</v>
      </c>
      <c r="U62" s="2">
        <f t="shared" si="32"/>
        <v>4.6394792036397659E-5</v>
      </c>
      <c r="V62" s="31">
        <f t="shared" si="33"/>
        <v>4.6850587958716118E-5</v>
      </c>
      <c r="W62" s="2">
        <f t="shared" si="12"/>
        <v>4.8000000000000001E-5</v>
      </c>
      <c r="X62" s="4">
        <f>D62-filings!N62*C62*1000000</f>
        <v>43.904206451612907</v>
      </c>
      <c r="Y62" s="4">
        <f t="shared" si="18"/>
        <v>52.708541935483872</v>
      </c>
      <c r="Z62">
        <f t="shared" si="8"/>
        <v>7</v>
      </c>
    </row>
    <row r="63" spans="1:26" x14ac:dyDescent="0.25">
      <c r="A63">
        <f t="shared" si="21"/>
        <v>31</v>
      </c>
      <c r="B63" s="1">
        <v>35643</v>
      </c>
      <c r="C63" s="18">
        <f>(filings!C63+filings!D63)*filings!K63/daily!$A63/1000000</f>
        <v>1.3509935483870967</v>
      </c>
      <c r="D63" s="4">
        <f>filings!$D63/daily!$A63</f>
        <v>49.677419354838712</v>
      </c>
      <c r="E63" s="4">
        <f>filings!E65/daily!$A63</f>
        <v>60.726967741935489</v>
      </c>
      <c r="F63" s="4">
        <f>filings!F65/daily!$A63</f>
        <v>59.31116129032258</v>
      </c>
      <c r="G63" s="4">
        <f>filings!G65/daily!$A63</f>
        <v>8.4431935483870966</v>
      </c>
      <c r="H63" s="4">
        <f>filings!H65/daily!$A63</f>
        <v>-7.0273870967741896</v>
      </c>
      <c r="I63" s="4">
        <f>filings!I63/daily!$A63</f>
        <v>61.027838709677418</v>
      </c>
      <c r="J63" s="12">
        <f t="shared" si="16"/>
        <v>3.6771026341426142E-5</v>
      </c>
      <c r="K63" s="25">
        <f t="shared" si="17"/>
        <v>4.5172561173616548E-5</v>
      </c>
      <c r="L63" s="14">
        <v>4.6E-5</v>
      </c>
      <c r="M63" s="17">
        <f>filings!N63</f>
        <v>6.9999999999999999E-6</v>
      </c>
      <c r="N63" s="4">
        <f>filings!O63/daily!$A63</f>
        <v>61.103741935483868</v>
      </c>
      <c r="O63" s="4">
        <f>filings!P63/daily!$A63</f>
        <v>3.9891935483870968</v>
      </c>
      <c r="P63" s="4">
        <f>filings!Q63/daily!$A63</f>
        <v>65.09293548387096</v>
      </c>
      <c r="Q63" s="4">
        <f>filings!R63/daily!$A63</f>
        <v>60.726967741935489</v>
      </c>
      <c r="R63" s="4">
        <f>filings!S63/daily!$A63</f>
        <v>9.2426451612903229</v>
      </c>
      <c r="S63" s="4">
        <f t="shared" si="34"/>
        <v>51.48432258064517</v>
      </c>
      <c r="T63" s="18">
        <f t="shared" si="31"/>
        <v>1.3201514726507715</v>
      </c>
      <c r="U63" s="2">
        <f t="shared" si="32"/>
        <v>4.6285402244631702E-5</v>
      </c>
      <c r="V63" s="31">
        <f t="shared" si="33"/>
        <v>4.9307171815040982E-5</v>
      </c>
      <c r="W63" s="2">
        <f t="shared" si="12"/>
        <v>4.8000000000000001E-5</v>
      </c>
      <c r="X63" s="4">
        <f>D63-filings!N63*C63*1000000</f>
        <v>40.220464516129034</v>
      </c>
      <c r="Y63" s="4">
        <f t="shared" si="18"/>
        <v>55.390735483870969</v>
      </c>
      <c r="Z63">
        <f t="shared" si="8"/>
        <v>8</v>
      </c>
    </row>
    <row r="64" spans="1:26" x14ac:dyDescent="0.25">
      <c r="A64">
        <f t="shared" si="21"/>
        <v>30</v>
      </c>
      <c r="B64" s="1">
        <v>35674</v>
      </c>
      <c r="C64" s="18">
        <f>(filings!C64+filings!D64)*filings!K64/daily!$A64/1000000</f>
        <v>1.3788666666666667</v>
      </c>
      <c r="D64" s="4">
        <f>filings!$D64/daily!$A64</f>
        <v>51.666666666666664</v>
      </c>
      <c r="E64" s="4">
        <f>filings!E66/daily!$A64</f>
        <v>60.135833333333338</v>
      </c>
      <c r="F64" s="4">
        <f>filings!F66/daily!$A64</f>
        <v>69.239233333333331</v>
      </c>
      <c r="G64" s="4">
        <f>filings!G66/daily!$A64</f>
        <v>7.4742666666666668</v>
      </c>
      <c r="H64" s="4">
        <f>filings!H66/daily!$A64</f>
        <v>-16.577666666666669</v>
      </c>
      <c r="I64" s="4">
        <f>filings!I64/daily!$A64</f>
        <v>62.370966666666661</v>
      </c>
      <c r="J64" s="12">
        <f t="shared" si="16"/>
        <v>3.7470386307595612E-5</v>
      </c>
      <c r="K64" s="25">
        <f t="shared" si="17"/>
        <v>4.5233500942803263E-5</v>
      </c>
      <c r="L64" s="14">
        <v>4.6E-5</v>
      </c>
      <c r="M64" s="17">
        <f>filings!N64</f>
        <v>6.9999999999999999E-6</v>
      </c>
      <c r="N64" s="4">
        <f>filings!O64/daily!$A64</f>
        <v>66.394199999999998</v>
      </c>
      <c r="O64" s="4">
        <f>filings!P64/daily!$A64</f>
        <v>-2.8450333333333333</v>
      </c>
      <c r="P64" s="4">
        <f>filings!Q64/daily!$A64</f>
        <v>63.549166666666665</v>
      </c>
      <c r="Q64" s="4">
        <f>filings!R64/daily!$A64</f>
        <v>60.135833333333338</v>
      </c>
      <c r="R64" s="4">
        <f>filings!S64/daily!$A64</f>
        <v>9.1526666666666667</v>
      </c>
      <c r="S64" s="4">
        <f t="shared" si="34"/>
        <v>50.983166666666669</v>
      </c>
      <c r="T64" s="18">
        <f t="shared" si="31"/>
        <v>1.3073007246376811</v>
      </c>
      <c r="U64" s="2">
        <f t="shared" si="32"/>
        <v>5.0787243324141177E-5</v>
      </c>
      <c r="V64" s="31">
        <f t="shared" si="33"/>
        <v>4.8610977924975404E-5</v>
      </c>
      <c r="W64" s="2">
        <f t="shared" si="12"/>
        <v>4.8000000000000001E-5</v>
      </c>
      <c r="X64" s="4">
        <f>D64-filings!N64*C64*1000000</f>
        <v>42.014600000000002</v>
      </c>
      <c r="Y64" s="4">
        <f t="shared" si="18"/>
        <v>56.533533333333338</v>
      </c>
      <c r="Z64">
        <f t="shared" si="8"/>
        <v>9</v>
      </c>
    </row>
    <row r="65" spans="1:26" x14ac:dyDescent="0.25">
      <c r="A65">
        <f t="shared" si="21"/>
        <v>31</v>
      </c>
      <c r="B65" s="1">
        <v>35704</v>
      </c>
      <c r="C65" s="18">
        <f>(filings!C65+filings!D65)*filings!K65/daily!$A65/1000000</f>
        <v>1.3036903225806451</v>
      </c>
      <c r="D65" s="4">
        <f>filings!$D65/daily!$A65</f>
        <v>55.483870967741936</v>
      </c>
      <c r="E65" s="4">
        <f>filings!E67/daily!$A65</f>
        <v>64.634096774193551</v>
      </c>
      <c r="F65" s="4">
        <f>filings!F67/daily!$A65</f>
        <v>62.551838709677419</v>
      </c>
      <c r="G65" s="4">
        <f>filings!G67/daily!$A65</f>
        <v>8.4101290322580642</v>
      </c>
      <c r="H65" s="4">
        <f>filings!H67/daily!$A65</f>
        <v>-6.3278709677419371</v>
      </c>
      <c r="I65" s="4">
        <f>filings!I65/daily!$A65</f>
        <v>62.511258064516127</v>
      </c>
      <c r="J65" s="12">
        <f t="shared" si="16"/>
        <v>4.25590878498753E-5</v>
      </c>
      <c r="K65" s="52">
        <f t="shared" si="17"/>
        <v>4.7949468506274992E-5</v>
      </c>
      <c r="L65" s="47">
        <v>4.8999999999999998E-5</v>
      </c>
      <c r="M65" s="17">
        <f>filings!N65</f>
        <v>6.9999999999999999E-6</v>
      </c>
      <c r="N65" s="4">
        <f>filings!O65/daily!$A65</f>
        <v>66.880451612903215</v>
      </c>
      <c r="O65" s="4">
        <f>filings!P65/daily!$A65</f>
        <v>4.3286129032258067</v>
      </c>
      <c r="P65" s="4">
        <f>filings!Q65/daily!$A65</f>
        <v>71.209064516129018</v>
      </c>
      <c r="Q65" s="4">
        <f>filings!R65/daily!$A65</f>
        <v>64.634096774193551</v>
      </c>
      <c r="R65" s="4">
        <f>filings!S65/daily!$A65</f>
        <v>9.2362258064516123</v>
      </c>
      <c r="S65" s="4">
        <f t="shared" si="34"/>
        <v>55.397870967741937</v>
      </c>
      <c r="T65" s="18">
        <f t="shared" si="31"/>
        <v>1.3190631994733377</v>
      </c>
      <c r="U65" s="2">
        <f t="shared" si="32"/>
        <v>5.0702992578070988E-5</v>
      </c>
      <c r="V65" s="31">
        <f t="shared" si="33"/>
        <v>5.3984573706976779E-5</v>
      </c>
      <c r="W65" s="2">
        <f t="shared" si="12"/>
        <v>4.8000000000000001E-5</v>
      </c>
      <c r="X65" s="4">
        <f>D65-filings!N65*C65*1000000</f>
        <v>46.358038709677416</v>
      </c>
      <c r="Y65" s="4">
        <f t="shared" si="18"/>
        <v>53.451303225806448</v>
      </c>
      <c r="Z65">
        <f t="shared" si="8"/>
        <v>10</v>
      </c>
    </row>
    <row r="66" spans="1:26" x14ac:dyDescent="0.25">
      <c r="A66">
        <f t="shared" si="21"/>
        <v>30</v>
      </c>
      <c r="B66" s="1">
        <v>35735</v>
      </c>
      <c r="C66" s="56">
        <f>(filings!C66+filings!D66)*filings!K66/daily!$A66/1000000</f>
        <v>1.3931406666666668</v>
      </c>
      <c r="D66" s="4">
        <f>filings!$D66/daily!$A66</f>
        <v>49.116666666666667</v>
      </c>
      <c r="E66" s="4">
        <f>filings!E68/daily!$A66</f>
        <v>64.80616666666667</v>
      </c>
      <c r="F66" s="4">
        <f>filings!F68/daily!$A66</f>
        <v>70.557566666666659</v>
      </c>
      <c r="G66" s="4">
        <f>filings!G68/daily!$A66</f>
        <v>7.583333333333333</v>
      </c>
      <c r="H66" s="4">
        <f>filings!H68/daily!$A66</f>
        <v>-13.334733333333331</v>
      </c>
      <c r="I66" s="4">
        <f>filings!I66/daily!$A66</f>
        <v>65.694333333333333</v>
      </c>
      <c r="J66" s="12">
        <f t="shared" si="16"/>
        <v>3.5256071294068891E-5</v>
      </c>
      <c r="K66" s="52">
        <f t="shared" si="17"/>
        <v>4.7155563616212951E-5</v>
      </c>
      <c r="L66" s="14">
        <v>4.8000000000000001E-5</v>
      </c>
      <c r="M66" s="17">
        <f>filings!N66</f>
        <v>6.9999999999999999E-6</v>
      </c>
      <c r="N66" s="4">
        <f>filings!O66/daily!$A66</f>
        <v>68.586333333333343</v>
      </c>
      <c r="O66" s="4">
        <f>filings!P66/daily!$A66</f>
        <v>-1.9712333333333334</v>
      </c>
      <c r="P66" s="4">
        <f>filings!Q66/daily!$A66</f>
        <v>66.615100000000012</v>
      </c>
      <c r="Q66" s="4">
        <f>filings!R66/daily!$A66</f>
        <v>66.472833333333327</v>
      </c>
      <c r="R66" s="4">
        <f>filings!S66/daily!$A66</f>
        <v>9.4487333333333332</v>
      </c>
      <c r="S66" s="4">
        <f t="shared" si="34"/>
        <v>57.02409999999999</v>
      </c>
      <c r="T66" s="18">
        <f t="shared" si="31"/>
        <v>1.3848506944444443</v>
      </c>
      <c r="U66" s="2">
        <f t="shared" si="32"/>
        <v>4.9526157302356612E-5</v>
      </c>
      <c r="V66" s="31">
        <f t="shared" si="33"/>
        <v>4.8102730689479681E-5</v>
      </c>
      <c r="W66" s="2">
        <f t="shared" si="12"/>
        <v>4.8000000000000001E-5</v>
      </c>
      <c r="X66" s="4">
        <f>D66-filings!N66*C66*1000000</f>
        <v>39.364682000000002</v>
      </c>
      <c r="Y66" s="4">
        <f t="shared" si="18"/>
        <v>57.118767333333338</v>
      </c>
      <c r="Z66">
        <f t="shared" si="8"/>
        <v>11</v>
      </c>
    </row>
    <row r="67" spans="1:26" x14ac:dyDescent="0.25">
      <c r="A67">
        <f t="shared" si="21"/>
        <v>31</v>
      </c>
      <c r="B67" s="1">
        <v>35765</v>
      </c>
      <c r="C67" s="56">
        <f>(filings!C67+filings!D67)*filings!K67/daily!$A67/1000000</f>
        <v>1.3893225806451612</v>
      </c>
      <c r="D67" s="4">
        <f>filings!$D67/daily!$A67</f>
        <v>58.87096774193548</v>
      </c>
      <c r="E67" s="4">
        <f>filings!E69/daily!$A67</f>
        <v>62.362322580645163</v>
      </c>
      <c r="F67" s="4">
        <f>filings!F69/daily!$A67</f>
        <v>59.496806451612905</v>
      </c>
      <c r="G67" s="4">
        <f>filings!G69/daily!$A67</f>
        <v>8.5147741935483872</v>
      </c>
      <c r="H67" s="4">
        <f>filings!H69/daily!$A67</f>
        <v>-5.6492580645161334</v>
      </c>
      <c r="I67" s="4">
        <f>filings!I67/daily!$A67</f>
        <v>65.198838709677418</v>
      </c>
      <c r="J67" s="12">
        <f t="shared" si="16"/>
        <v>4.237386519306229E-5</v>
      </c>
      <c r="K67" s="25">
        <f t="shared" si="17"/>
        <v>4.6928510065244146E-5</v>
      </c>
      <c r="L67" s="14">
        <v>4.8000000000000001E-5</v>
      </c>
      <c r="M67" s="17">
        <f>filings!N67</f>
        <v>6.9999999999999999E-6</v>
      </c>
      <c r="N67" s="4">
        <f>filings!O67/daily!$A67</f>
        <v>62.230322580645165</v>
      </c>
      <c r="O67" s="4">
        <f>filings!P67/daily!$A67</f>
        <v>2.733516129032258</v>
      </c>
      <c r="P67" s="4">
        <f>filings!Q67/daily!$A67</f>
        <v>64.963838709677418</v>
      </c>
      <c r="Q67" s="4">
        <f>filings!R67/daily!$A67</f>
        <v>64.2978064516129</v>
      </c>
      <c r="R67" s="4">
        <f>filings!S67/daily!$A67</f>
        <v>9.0924193548387091</v>
      </c>
      <c r="S67" s="4">
        <f t="shared" si="34"/>
        <v>55.205387096774189</v>
      </c>
      <c r="T67" s="18">
        <f t="shared" si="31"/>
        <v>1.3395376344086021</v>
      </c>
      <c r="U67" s="2">
        <f t="shared" si="32"/>
        <v>4.6456569029596158E-5</v>
      </c>
      <c r="V67" s="31">
        <f t="shared" si="33"/>
        <v>4.8497210560536854E-5</v>
      </c>
      <c r="W67" s="2">
        <f t="shared" si="12"/>
        <v>4.8000000000000001E-5</v>
      </c>
      <c r="X67" s="4">
        <f>D67-filings!N67*C67*1000000</f>
        <v>49.145709677419354</v>
      </c>
      <c r="Y67" s="4">
        <f t="shared" si="18"/>
        <v>56.962225806451606</v>
      </c>
      <c r="Z67">
        <f t="shared" si="8"/>
        <v>12</v>
      </c>
    </row>
    <row r="68" spans="1:26" x14ac:dyDescent="0.25">
      <c r="A68">
        <f t="shared" si="21"/>
        <v>31</v>
      </c>
      <c r="B68" s="1">
        <v>35796</v>
      </c>
      <c r="C68" s="18">
        <f>(filings!C68+filings!D68)*filings!K68/daily!$A68/1000000</f>
        <v>1.342941935483871</v>
      </c>
      <c r="D68" s="4">
        <f>filings!$D68/daily!$A68</f>
        <v>50.322580645161288</v>
      </c>
      <c r="E68" s="4">
        <f>filings!E70/daily!$A68</f>
        <v>61.910225806451614</v>
      </c>
      <c r="F68" s="4">
        <f>filings!F70/daily!$A68</f>
        <v>60.657870967741935</v>
      </c>
      <c r="G68" s="4">
        <f>filings!G70/daily!$A68</f>
        <v>7.9973225806451618</v>
      </c>
      <c r="H68" s="4">
        <f>filings!H70/daily!$A68</f>
        <v>-6.744967741935481</v>
      </c>
      <c r="I68" s="4">
        <f>filings!I68/daily!$A68</f>
        <v>63.227161290322577</v>
      </c>
      <c r="J68" s="12">
        <f t="shared" si="16"/>
        <v>3.7471896077941544E-5</v>
      </c>
      <c r="K68" s="52">
        <f t="shared" si="17"/>
        <v>4.7081083418205576E-5</v>
      </c>
      <c r="L68" s="14">
        <v>4.8000000000000001E-5</v>
      </c>
      <c r="M68" s="17">
        <f>filings!N68</f>
        <v>6.9999999999999999E-6</v>
      </c>
      <c r="N68" s="4">
        <f>filings!O68/daily!$A68</f>
        <v>57.434935483870966</v>
      </c>
      <c r="O68" s="4">
        <f>filings!P68/daily!$A68</f>
        <v>-3.2229354838709678</v>
      </c>
      <c r="P68" s="4">
        <f>filings!Q68/daily!$A68</f>
        <v>54.211999999999996</v>
      </c>
      <c r="Q68" s="4">
        <f>filings!R68/daily!$A68</f>
        <v>61.910225806451614</v>
      </c>
      <c r="R68" s="4">
        <f>filings!S68/daily!$A68</f>
        <v>9.0285745967741935</v>
      </c>
      <c r="S68" s="4">
        <f t="shared" si="34"/>
        <v>52.881651209677422</v>
      </c>
      <c r="T68" s="18">
        <f t="shared" si="31"/>
        <v>1.2897963709677418</v>
      </c>
      <c r="U68" s="2">
        <f t="shared" si="32"/>
        <v>4.453023498645542E-5</v>
      </c>
      <c r="V68" s="31">
        <f t="shared" si="33"/>
        <v>4.2031440947011202E-5</v>
      </c>
      <c r="W68" s="2">
        <f t="shared" si="12"/>
        <v>4.8000000000000001E-5</v>
      </c>
      <c r="X68" s="4">
        <f>D68-filings!N68*C68*1000000</f>
        <v>40.921987096774188</v>
      </c>
      <c r="Y68" s="4">
        <f t="shared" si="18"/>
        <v>55.060619354838707</v>
      </c>
      <c r="Z68">
        <f t="shared" si="8"/>
        <v>1</v>
      </c>
    </row>
    <row r="69" spans="1:26" x14ac:dyDescent="0.25">
      <c r="A69">
        <f t="shared" si="21"/>
        <v>28</v>
      </c>
      <c r="B69" s="1">
        <v>35827</v>
      </c>
      <c r="C69" s="56">
        <f>(filings!C69+filings!D69)*filings!K69/daily!$A69/1000000</f>
        <v>1.510042857142857</v>
      </c>
      <c r="D69" s="4">
        <f>filings!$D69/daily!$A69</f>
        <v>64.642857142857139</v>
      </c>
      <c r="E69" s="4">
        <f>filings!E71/daily!$A69</f>
        <v>64.490607142857144</v>
      </c>
      <c r="F69" s="4">
        <f>filings!F71/daily!$A69</f>
        <v>60.458785714285717</v>
      </c>
      <c r="G69" s="4">
        <f>filings!G71/daily!$A69</f>
        <v>8.5597857142857148</v>
      </c>
      <c r="H69" s="4">
        <f>filings!H71/daily!$A69</f>
        <v>-4.5279642857142832</v>
      </c>
      <c r="I69" s="4">
        <f>filings!I69/daily!$A69</f>
        <v>70.897392857142862</v>
      </c>
      <c r="J69" s="12">
        <f t="shared" si="16"/>
        <v>4.2808624163931017E-5</v>
      </c>
      <c r="K69" s="52">
        <f t="shared" si="17"/>
        <v>4.6950583237940273E-5</v>
      </c>
      <c r="L69" s="14">
        <v>4.8000000000000001E-5</v>
      </c>
      <c r="M69" s="17">
        <f>filings!N69</f>
        <v>6.9999999999999999E-6</v>
      </c>
      <c r="N69" s="4">
        <f>filings!O69/daily!$A69</f>
        <v>60.090714285714284</v>
      </c>
      <c r="O69" s="4">
        <f>filings!P69/daily!$A69</f>
        <v>-0.36807142857142855</v>
      </c>
      <c r="P69" s="4">
        <f>filings!Q69/daily!$A69</f>
        <v>59.722642857142851</v>
      </c>
      <c r="Q69" s="4">
        <f>filings!R69/daily!$A69</f>
        <v>64.490607142857144</v>
      </c>
      <c r="R69" s="4">
        <f>filings!S69/daily!$A69</f>
        <v>9.4048802083333332</v>
      </c>
      <c r="S69" s="4">
        <f t="shared" si="34"/>
        <v>55.085726934523812</v>
      </c>
      <c r="T69" s="18">
        <f t="shared" si="31"/>
        <v>1.3435543154761906</v>
      </c>
      <c r="U69" s="2">
        <f t="shared" si="32"/>
        <v>4.4725184232255302E-5</v>
      </c>
      <c r="V69" s="31">
        <f t="shared" si="33"/>
        <v>4.4451230716322463E-5</v>
      </c>
      <c r="W69" s="2">
        <f t="shared" si="12"/>
        <v>4.8000000000000001E-5</v>
      </c>
      <c r="X69" s="4">
        <f>D69-filings!N69*C69*1000000</f>
        <v>54.072557142857136</v>
      </c>
      <c r="Y69" s="4">
        <f t="shared" si="18"/>
        <v>61.911757142857141</v>
      </c>
      <c r="Z69">
        <f t="shared" si="8"/>
        <v>2</v>
      </c>
    </row>
    <row r="70" spans="1:26" x14ac:dyDescent="0.25">
      <c r="A70">
        <f t="shared" si="21"/>
        <v>31</v>
      </c>
      <c r="B70" s="1">
        <v>35855</v>
      </c>
      <c r="C70" s="56">
        <f>(filings!C70+filings!D70)*filings!K70/daily!$A70/1000000</f>
        <v>1.3914193548387095</v>
      </c>
      <c r="D70" s="4">
        <f>filings!$D70/daily!$A70</f>
        <v>54.838709677419352</v>
      </c>
      <c r="E70" s="4">
        <f>filings!E72/daily!$A70</f>
        <v>62.092322580645167</v>
      </c>
      <c r="F70" s="4">
        <f>filings!F72/daily!$A70</f>
        <v>62.659193548387094</v>
      </c>
      <c r="G70" s="4">
        <f>filings!G72/daily!$A70</f>
        <v>8.0286774193548389</v>
      </c>
      <c r="H70" s="4">
        <f>filings!H72/daily!$A70</f>
        <v>-8.5955483870967697</v>
      </c>
      <c r="I70" s="4">
        <f>filings!I70/daily!$A70</f>
        <v>61.583677419354835</v>
      </c>
      <c r="J70" s="12">
        <f t="shared" si="16"/>
        <v>3.9412064728520424E-5</v>
      </c>
      <c r="K70" s="25">
        <f t="shared" si="17"/>
        <v>4.4259609588723511E-5</v>
      </c>
      <c r="L70" s="14">
        <v>4.5000000000000003E-5</v>
      </c>
      <c r="M70" s="17">
        <f>filings!N70</f>
        <v>6.9999999999999999E-6</v>
      </c>
      <c r="N70" s="4">
        <f>filings!O70/daily!$A70</f>
        <v>64.092741935483872</v>
      </c>
      <c r="O70" s="4">
        <f>filings!P70/daily!$A70</f>
        <v>-1.433548387096774</v>
      </c>
      <c r="P70" s="4">
        <f>filings!Q70/daily!$A70</f>
        <v>62.659193548387094</v>
      </c>
      <c r="Q70" s="4">
        <f>filings!R70/daily!$A70</f>
        <v>62.092322580645167</v>
      </c>
      <c r="R70" s="4">
        <f>filings!S70/daily!$A70</f>
        <v>9.6588057347670251</v>
      </c>
      <c r="S70" s="4">
        <f t="shared" si="34"/>
        <v>52.433516845878145</v>
      </c>
      <c r="T70" s="18">
        <f t="shared" si="31"/>
        <v>1.3798293906810037</v>
      </c>
      <c r="U70" s="2">
        <f t="shared" si="32"/>
        <v>4.6449758476192052E-5</v>
      </c>
      <c r="V70" s="31">
        <f t="shared" si="33"/>
        <v>4.5410826854080959E-5</v>
      </c>
      <c r="W70" s="2">
        <f t="shared" si="12"/>
        <v>4.8000000000000001E-5</v>
      </c>
      <c r="X70" s="4">
        <f>D70-filings!N70*C70*1000000</f>
        <v>45.098774193548387</v>
      </c>
      <c r="Y70" s="4">
        <f t="shared" si="18"/>
        <v>57.04819354838709</v>
      </c>
      <c r="Z70">
        <f t="shared" si="8"/>
        <v>3</v>
      </c>
    </row>
    <row r="71" spans="1:26" x14ac:dyDescent="0.25">
      <c r="A71">
        <f t="shared" si="21"/>
        <v>30</v>
      </c>
      <c r="B71" s="1">
        <v>35886</v>
      </c>
      <c r="C71" s="18">
        <f>(filings!C71+filings!D71)*filings!K71/daily!$A71/1000000</f>
        <v>1.3446333333333333</v>
      </c>
      <c r="D71" s="4">
        <f>filings!$D71/daily!$A71</f>
        <v>52.5</v>
      </c>
      <c r="E71" s="4">
        <f>filings!E73/daily!$A71</f>
        <v>58.391933333333334</v>
      </c>
      <c r="F71" s="4">
        <f>filings!F73/daily!$A71</f>
        <v>65.279600000000002</v>
      </c>
      <c r="G71" s="4">
        <f>filings!G73/daily!$A71</f>
        <v>8.3023333333333333</v>
      </c>
      <c r="H71" s="4">
        <f>filings!H73/daily!$A71</f>
        <v>-15.189999999999996</v>
      </c>
      <c r="I71" s="4">
        <f>filings!I71/daily!$A71</f>
        <v>56.726099999999995</v>
      </c>
      <c r="J71" s="12">
        <f t="shared" si="16"/>
        <v>3.9044101241974271E-5</v>
      </c>
      <c r="K71" s="25">
        <f t="shared" si="17"/>
        <v>4.2187039837378216E-5</v>
      </c>
      <c r="L71" s="14">
        <v>4.3000000000000002E-5</v>
      </c>
      <c r="M71" s="17">
        <f>filings!N71</f>
        <v>6.9999999999999999E-6</v>
      </c>
      <c r="N71" s="4">
        <f>filings!O71/daily!$A71</f>
        <v>64.737833333333327</v>
      </c>
      <c r="O71" s="4">
        <f>filings!P71/daily!$A71</f>
        <v>0.54176666666666662</v>
      </c>
      <c r="P71" s="4">
        <f>filings!Q71/daily!$A71</f>
        <v>65.279600000000002</v>
      </c>
      <c r="Q71" s="4">
        <f>filings!R71/daily!$A71</f>
        <v>58.391933333333334</v>
      </c>
      <c r="R71" s="4">
        <f>filings!S71/daily!$A71</f>
        <v>9.5056635658914725</v>
      </c>
      <c r="S71" s="4">
        <f t="shared" si="34"/>
        <v>48.88626976744186</v>
      </c>
      <c r="T71" s="18">
        <f t="shared" si="31"/>
        <v>1.3579519379844962</v>
      </c>
      <c r="U71" s="2">
        <f t="shared" si="32"/>
        <v>4.7673140353861653E-5</v>
      </c>
      <c r="V71" s="31">
        <f t="shared" si="33"/>
        <v>4.8072098999976019E-5</v>
      </c>
      <c r="W71" s="2">
        <f t="shared" si="12"/>
        <v>4.8000000000000001E-5</v>
      </c>
      <c r="X71" s="4">
        <f>D71-filings!N71*C71*1000000</f>
        <v>43.087566666666667</v>
      </c>
      <c r="Y71" s="4">
        <f t="shared" si="18"/>
        <v>55.129966666666668</v>
      </c>
      <c r="Z71">
        <f t="shared" si="8"/>
        <v>4</v>
      </c>
    </row>
    <row r="72" spans="1:26" x14ac:dyDescent="0.25">
      <c r="A72">
        <f t="shared" si="21"/>
        <v>31</v>
      </c>
      <c r="B72" s="1">
        <v>35916</v>
      </c>
      <c r="C72" s="56">
        <f>(filings!C72+filings!D72)*filings!K72/daily!$A72/1000000</f>
        <v>1.3953612903225807</v>
      </c>
      <c r="D72" s="4">
        <f>filings!$D72/daily!$A72</f>
        <v>51.612903225806448</v>
      </c>
      <c r="E72" s="4">
        <f>filings!E74/daily!$A72</f>
        <v>56.89345161290322</v>
      </c>
      <c r="F72" s="4">
        <f>filings!F74/daily!$A72</f>
        <v>64.385387096774195</v>
      </c>
      <c r="G72" s="4">
        <f>filings!G74/daily!$A72</f>
        <v>7.6979354838709675</v>
      </c>
      <c r="H72" s="4">
        <f>filings!H74/daily!$A72</f>
        <v>-15.189870967741934</v>
      </c>
      <c r="I72" s="4">
        <f>filings!I72/daily!$A72</f>
        <v>60.208451612903225</v>
      </c>
      <c r="J72" s="12">
        <f t="shared" si="16"/>
        <v>3.6988917195685238E-5</v>
      </c>
      <c r="K72" s="25">
        <f t="shared" si="17"/>
        <v>4.3149005229308167E-5</v>
      </c>
      <c r="L72" s="14">
        <v>4.3999999999999999E-5</v>
      </c>
      <c r="M72" s="17">
        <f>filings!N72</f>
        <v>6.9999999999999999E-6</v>
      </c>
      <c r="N72" s="4">
        <f>filings!O72/daily!$A72</f>
        <v>57.619774193548388</v>
      </c>
      <c r="O72" s="4">
        <f>filings!P72/daily!$A72</f>
        <v>6.765612903225807</v>
      </c>
      <c r="P72" s="4">
        <f>filings!Q72/daily!$A72</f>
        <v>64.385387096774195</v>
      </c>
      <c r="Q72" s="4">
        <f>filings!R72/daily!$A72</f>
        <v>56.89345161290322</v>
      </c>
      <c r="R72" s="4">
        <f>filings!S72/daily!$A72</f>
        <v>9.0512309384164222</v>
      </c>
      <c r="S72" s="4">
        <f t="shared" si="34"/>
        <v>47.842220674486796</v>
      </c>
      <c r="T72" s="18">
        <f t="shared" si="31"/>
        <v>1.2930329912023462</v>
      </c>
      <c r="U72" s="2">
        <f t="shared" si="32"/>
        <v>4.45617200686966E-5</v>
      </c>
      <c r="V72" s="31">
        <f t="shared" si="33"/>
        <v>4.9794079141711981E-5</v>
      </c>
      <c r="W72" s="2">
        <f t="shared" si="12"/>
        <v>4.8000000000000001E-5</v>
      </c>
      <c r="X72" s="4">
        <f>D72-filings!N72*C72*1000000</f>
        <v>41.845374193548381</v>
      </c>
      <c r="Y72" s="4">
        <f t="shared" si="18"/>
        <v>57.20981290322581</v>
      </c>
      <c r="Z72">
        <f t="shared" si="8"/>
        <v>5</v>
      </c>
    </row>
    <row r="73" spans="1:26" x14ac:dyDescent="0.25">
      <c r="A73">
        <f t="shared" si="21"/>
        <v>30</v>
      </c>
      <c r="B73" s="1">
        <v>35947</v>
      </c>
      <c r="C73" s="56">
        <f>(filings!C73+filings!D73)*filings!K73/daily!$A73/1000000</f>
        <v>1.5258533333333333</v>
      </c>
      <c r="D73" s="4">
        <f>filings!$D73/daily!$A73</f>
        <v>51</v>
      </c>
      <c r="E73" s="4">
        <f>filings!E75/daily!$A73</f>
        <v>58.086166666666671</v>
      </c>
      <c r="F73" s="4">
        <f>filings!F75/daily!$A73</f>
        <v>53.046266666666661</v>
      </c>
      <c r="G73" s="4">
        <f>filings!G75/daily!$A73</f>
        <v>8.75</v>
      </c>
      <c r="H73" s="4">
        <f>filings!H75/daily!$A73</f>
        <v>-3.7100999999999962</v>
      </c>
      <c r="I73" s="4">
        <f>filings!I73/daily!$A73</f>
        <v>66.19</v>
      </c>
      <c r="J73" s="12">
        <f t="shared" si="16"/>
        <v>3.3423920167075912E-5</v>
      </c>
      <c r="K73" s="25">
        <f t="shared" si="17"/>
        <v>4.3379005408995184E-5</v>
      </c>
      <c r="L73" s="14">
        <v>4.3999999999999999E-5</v>
      </c>
      <c r="M73" s="17">
        <f>filings!N73</f>
        <v>6.9999999999999999E-6</v>
      </c>
      <c r="N73" s="4">
        <f>filings!O73/daily!$A73</f>
        <v>54.679133333333333</v>
      </c>
      <c r="O73" s="4">
        <f>filings!P73/daily!$A73</f>
        <v>-1.6328666666666665</v>
      </c>
      <c r="P73" s="4">
        <f>filings!Q73/daily!$A73</f>
        <v>53.046266666666661</v>
      </c>
      <c r="Q73" s="4">
        <f>filings!R73/daily!$A73</f>
        <v>58.086166666666671</v>
      </c>
      <c r="R73" s="4">
        <f>filings!S73/daily!$A73</f>
        <v>9.2409810606060621</v>
      </c>
      <c r="S73" s="4">
        <f t="shared" si="34"/>
        <v>48.84518560606061</v>
      </c>
      <c r="T73" s="18">
        <f t="shared" si="31"/>
        <v>1.3201401515151516</v>
      </c>
      <c r="U73" s="2">
        <f t="shared" si="32"/>
        <v>4.1419188160118438E-5</v>
      </c>
      <c r="V73" s="31">
        <f t="shared" si="33"/>
        <v>4.0182299285257238E-5</v>
      </c>
      <c r="W73" s="2">
        <f t="shared" si="12"/>
        <v>4.8000000000000001E-5</v>
      </c>
      <c r="X73" s="4">
        <f>D73-filings!N73*C73*1000000</f>
        <v>40.319026666666666</v>
      </c>
      <c r="Y73" s="4">
        <f t="shared" si="18"/>
        <v>62.559986666666674</v>
      </c>
      <c r="Z73">
        <f t="shared" si="8"/>
        <v>6</v>
      </c>
    </row>
    <row r="74" spans="1:26" x14ac:dyDescent="0.25">
      <c r="A74">
        <f t="shared" si="21"/>
        <v>31</v>
      </c>
      <c r="B74" s="1">
        <v>35977</v>
      </c>
      <c r="C74" s="56">
        <f>(filings!C74+filings!D74)*filings!K74/daily!$A74/1000000</f>
        <v>1.4702580645161289</v>
      </c>
      <c r="D74" s="4">
        <f>filings!$D74/daily!$A74</f>
        <v>48.387096774193552</v>
      </c>
      <c r="E74" s="4">
        <f>filings!E76/daily!$A74</f>
        <v>58.024419354838713</v>
      </c>
      <c r="F74" s="4">
        <f>filings!F76/daily!$A74</f>
        <v>65.54129032258065</v>
      </c>
      <c r="G74" s="4">
        <f>filings!G76/daily!$A74</f>
        <v>7.6979354838709675</v>
      </c>
      <c r="H74" s="4">
        <f>filings!H76/daily!$A74</f>
        <v>-15.214806451612899</v>
      </c>
      <c r="I74" s="4">
        <f>filings!I74/daily!$A74</f>
        <v>63.576967741935484</v>
      </c>
      <c r="J74" s="12">
        <f t="shared" si="16"/>
        <v>3.2910614770283917E-5</v>
      </c>
      <c r="K74" s="25">
        <f t="shared" si="17"/>
        <v>4.3242046601430516E-5</v>
      </c>
      <c r="L74" s="14">
        <v>4.3999999999999999E-5</v>
      </c>
      <c r="M74" s="17">
        <f>filings!N74</f>
        <v>6.9999999999999999E-6</v>
      </c>
      <c r="N74" s="4">
        <f>filings!O74/daily!$A74</f>
        <v>62.194483870967744</v>
      </c>
      <c r="O74" s="4">
        <f>filings!P74/daily!$A74</f>
        <v>3.3468064516129035</v>
      </c>
      <c r="P74" s="4">
        <f>filings!Q74/daily!$A74</f>
        <v>65.54129032258065</v>
      </c>
      <c r="Q74" s="4">
        <f>filings!R74/daily!$A74</f>
        <v>58.024419354838713</v>
      </c>
      <c r="R74" s="4">
        <f>filings!S74/daily!$A74</f>
        <v>9.2316774193548401</v>
      </c>
      <c r="S74" s="4">
        <f t="shared" ref="S74:S85" si="35">Q74-R74</f>
        <v>48.792741935483875</v>
      </c>
      <c r="T74" s="18">
        <f t="shared" ref="T74:T85" si="36">Q74/L74/1000000</f>
        <v>1.3187368035190619</v>
      </c>
      <c r="U74" s="2">
        <f t="shared" ref="U74:U89" si="37">N74/$T74/1000000</f>
        <v>4.7162165873433702E-5</v>
      </c>
      <c r="V74" s="31">
        <f t="shared" si="33"/>
        <v>4.9700053981721818E-5</v>
      </c>
      <c r="W74" s="2">
        <f t="shared" si="12"/>
        <v>4.8000000000000001E-5</v>
      </c>
      <c r="X74" s="4">
        <f>D74-filings!N74*C74*1000000</f>
        <v>38.095290322580652</v>
      </c>
      <c r="Y74" s="4">
        <f t="shared" si="18"/>
        <v>60.280580645161287</v>
      </c>
      <c r="Z74">
        <f t="shared" si="8"/>
        <v>7</v>
      </c>
    </row>
    <row r="75" spans="1:26" x14ac:dyDescent="0.25">
      <c r="A75">
        <f t="shared" si="21"/>
        <v>31</v>
      </c>
      <c r="B75" s="1">
        <v>36008</v>
      </c>
      <c r="C75" s="18">
        <f>(filings!C75+filings!D75)*filings!K75/daily!$A75/1000000</f>
        <v>1.2110967741935483</v>
      </c>
      <c r="D75" s="4">
        <f>filings!$D75/daily!$A75</f>
        <v>53.225806451612904</v>
      </c>
      <c r="E75" s="4">
        <f>filings!E77/daily!$A75</f>
        <v>62.820806451612903</v>
      </c>
      <c r="F75" s="4">
        <f>filings!F77/daily!$A75</f>
        <v>62.22032258064516</v>
      </c>
      <c r="G75" s="4">
        <f>filings!G77/daily!$A75</f>
        <v>7.9738064516129032</v>
      </c>
      <c r="H75" s="4">
        <f>filings!H77/daily!$A75</f>
        <v>-7.3733225806451603</v>
      </c>
      <c r="I75" s="4">
        <f>filings!I75/daily!$A75</f>
        <v>56.816225806451612</v>
      </c>
      <c r="J75" s="12">
        <f t="shared" si="16"/>
        <v>4.394843383763052E-5</v>
      </c>
      <c r="K75" s="52">
        <f t="shared" si="17"/>
        <v>4.6913035371830386E-5</v>
      </c>
      <c r="L75" s="14">
        <v>4.8000000000000001E-5</v>
      </c>
      <c r="M75" s="17">
        <f>filings!N75</f>
        <v>6.9999999999999999E-6</v>
      </c>
      <c r="N75" s="4">
        <f>filings!O75/daily!$A75</f>
        <v>62.550225806451614</v>
      </c>
      <c r="O75" s="4">
        <f>filings!P75/daily!$A75</f>
        <v>-0.32990322580645165</v>
      </c>
      <c r="P75" s="4">
        <f>filings!Q75/daily!$A75</f>
        <v>62.22032258064516</v>
      </c>
      <c r="Q75" s="4">
        <f>filings!R75/daily!$A75</f>
        <v>62.820806451612903</v>
      </c>
      <c r="R75" s="4">
        <f>filings!S75/daily!$A75</f>
        <v>9.1592580645161288</v>
      </c>
      <c r="S75" s="4">
        <f t="shared" si="35"/>
        <v>53.661548387096772</v>
      </c>
      <c r="T75" s="18">
        <f t="shared" si="36"/>
        <v>1.3087668010752687</v>
      </c>
      <c r="U75" s="2">
        <f t="shared" si="37"/>
        <v>4.7793255265232151E-5</v>
      </c>
      <c r="V75" s="31">
        <f t="shared" si="33"/>
        <v>4.7541183448056304E-5</v>
      </c>
      <c r="W75" s="2">
        <f t="shared" si="12"/>
        <v>4.8000000000000001E-5</v>
      </c>
      <c r="X75" s="4">
        <f>D75-filings!N75*C75*1000000</f>
        <v>44.748129032258063</v>
      </c>
      <c r="Y75" s="4">
        <f t="shared" si="18"/>
        <v>49.654967741935479</v>
      </c>
      <c r="Z75">
        <f t="shared" si="8"/>
        <v>8</v>
      </c>
    </row>
    <row r="76" spans="1:26" x14ac:dyDescent="0.25">
      <c r="A76">
        <f t="shared" si="21"/>
        <v>30</v>
      </c>
      <c r="B76" s="1">
        <v>36039</v>
      </c>
      <c r="C76" s="56">
        <f>(filings!C76+filings!D76)*filings!K76/daily!$A76/1000000</f>
        <v>1.3944666666666667</v>
      </c>
      <c r="D76" s="4">
        <f>filings!$D76/daily!$A76</f>
        <v>50</v>
      </c>
      <c r="E76" s="4">
        <f>filings!E78/daily!$A76</f>
        <v>64.241</v>
      </c>
      <c r="F76" s="4">
        <f>filings!F78/daily!$A76</f>
        <v>66.334900000000005</v>
      </c>
      <c r="G76" s="4">
        <f>filings!G78/daily!$A76</f>
        <v>7.7777666666666665</v>
      </c>
      <c r="H76" s="4">
        <f>filings!H78/daily!$A76</f>
        <v>-9.8716666666666661</v>
      </c>
      <c r="I76" s="4">
        <f>filings!I76/daily!$A76</f>
        <v>65.72196666666666</v>
      </c>
      <c r="J76" s="12">
        <f t="shared" si="16"/>
        <v>3.5856002294784144E-5</v>
      </c>
      <c r="K76" s="52">
        <f t="shared" si="17"/>
        <v>4.7130539752354537E-5</v>
      </c>
      <c r="L76" s="14">
        <v>4.8000000000000001E-5</v>
      </c>
      <c r="M76" s="17">
        <f>filings!N76</f>
        <v>6.9999999999999999E-6</v>
      </c>
      <c r="N76" s="4">
        <f>filings!O76/daily!$A76</f>
        <v>64.647733333333335</v>
      </c>
      <c r="O76" s="4">
        <f>filings!P76/daily!$A76</f>
        <v>7.366766666666666</v>
      </c>
      <c r="P76" s="4">
        <f>filings!Q76/daily!$A76</f>
        <v>72.014499999999998</v>
      </c>
      <c r="Q76" s="4">
        <f>filings!R76/daily!$A76</f>
        <v>64.241</v>
      </c>
      <c r="R76" s="4">
        <f>filings!S76/daily!$A76</f>
        <v>9.3663333333333334</v>
      </c>
      <c r="S76" s="4">
        <f t="shared" si="35"/>
        <v>54.87466666666667</v>
      </c>
      <c r="T76" s="18">
        <f t="shared" si="36"/>
        <v>1.3383541666666665</v>
      </c>
      <c r="U76" s="2">
        <f t="shared" si="37"/>
        <v>4.8303905605454465E-5</v>
      </c>
      <c r="V76" s="31">
        <f t="shared" ref="V76:V87" si="38">P76/$T76/1000000</f>
        <v>5.3808253296181566E-5</v>
      </c>
      <c r="W76" s="2">
        <f t="shared" si="12"/>
        <v>4.8000000000000001E-5</v>
      </c>
      <c r="X76" s="4">
        <f>D76-filings!N76*C76*1000000</f>
        <v>40.238733333333329</v>
      </c>
      <c r="Y76" s="4">
        <f t="shared" si="18"/>
        <v>57.17313333333334</v>
      </c>
      <c r="Z76">
        <f t="shared" si="8"/>
        <v>9</v>
      </c>
    </row>
    <row r="77" spans="1:26" x14ac:dyDescent="0.25">
      <c r="A77">
        <f t="shared" si="21"/>
        <v>31</v>
      </c>
      <c r="B77" s="1">
        <v>36069</v>
      </c>
      <c r="C77" s="18">
        <f>(filings!C77+filings!D77)*filings!K77/daily!$A77/1000000</f>
        <v>1.3225646451612905</v>
      </c>
      <c r="D77" s="4">
        <f>filings!$D77/daily!$A77</f>
        <v>54.677419354838712</v>
      </c>
      <c r="E77" s="4">
        <f>filings!E79/daily!$A77</f>
        <v>61.947290322580642</v>
      </c>
      <c r="F77" s="4">
        <f>filings!F79/daily!$A77</f>
        <v>48.449838709677415</v>
      </c>
      <c r="G77" s="4">
        <f>filings!G79/daily!$A77</f>
        <v>9.1733870967741939</v>
      </c>
      <c r="H77" s="4">
        <f>filings!H79/daily!$A77</f>
        <v>4.3240645161290336</v>
      </c>
      <c r="I77" s="4">
        <f>filings!I77/daily!$A77</f>
        <v>62.050741935483863</v>
      </c>
      <c r="J77" s="12">
        <f t="shared" si="16"/>
        <v>4.134196355155906E-5</v>
      </c>
      <c r="K77" s="25">
        <f t="shared" si="17"/>
        <v>4.691698221519947E-5</v>
      </c>
      <c r="L77" s="14">
        <v>4.8000000000000001E-5</v>
      </c>
      <c r="M77" s="17">
        <f>filings!N77</f>
        <v>6.9999999999999999E-6</v>
      </c>
      <c r="N77" s="4">
        <f>filings!O77/daily!$A77</f>
        <v>59.845290322580645</v>
      </c>
      <c r="O77" s="4">
        <f>filings!P77/daily!$A77</f>
        <v>-11.395451612903226</v>
      </c>
      <c r="P77" s="4">
        <f>filings!Q77/daily!$A77</f>
        <v>48.449838709677415</v>
      </c>
      <c r="Q77" s="4">
        <f>filings!R77/daily!$A77</f>
        <v>61.947290322580642</v>
      </c>
      <c r="R77" s="4">
        <f>filings!S77/daily!$A77</f>
        <v>9.0319032258064507</v>
      </c>
      <c r="S77" s="4">
        <f t="shared" si="35"/>
        <v>52.91538709677419</v>
      </c>
      <c r="T77" s="18">
        <f t="shared" si="36"/>
        <v>1.2905685483870968</v>
      </c>
      <c r="U77" s="2">
        <f t="shared" si="37"/>
        <v>4.6371260478471292E-5</v>
      </c>
      <c r="V77" s="31">
        <f t="shared" si="38"/>
        <v>3.7541468657537154E-5</v>
      </c>
      <c r="W77" s="2">
        <f t="shared" si="12"/>
        <v>4.8000000000000001E-5</v>
      </c>
      <c r="X77" s="4">
        <f>D77-filings!N77*C77*1000000</f>
        <v>45.419466838709681</v>
      </c>
      <c r="Y77" s="4">
        <f t="shared" si="18"/>
        <v>54.225150451612912</v>
      </c>
      <c r="Z77">
        <f t="shared" si="8"/>
        <v>10</v>
      </c>
    </row>
    <row r="78" spans="1:26" x14ac:dyDescent="0.25">
      <c r="A78">
        <f t="shared" si="21"/>
        <v>30</v>
      </c>
      <c r="B78" s="1">
        <v>36100</v>
      </c>
      <c r="C78" s="18">
        <f>(filings!C78+filings!D78)*filings!K78/daily!$A78/1000000</f>
        <v>1.3450666666666669</v>
      </c>
      <c r="D78" s="4">
        <f>filings!$D78/daily!$A78</f>
        <v>53.333333333333336</v>
      </c>
      <c r="E78" s="4">
        <f>filings!E80/daily!$A78</f>
        <v>63.588233333333328</v>
      </c>
      <c r="F78" s="4">
        <f>filings!F80/daily!$A78</f>
        <v>56.446800000000003</v>
      </c>
      <c r="G78" s="4">
        <f>filings!G80/daily!$A78</f>
        <v>9.1145999999999994</v>
      </c>
      <c r="H78" s="4">
        <f>filings!H80/daily!$A78</f>
        <v>-1.9731666666666683</v>
      </c>
      <c r="I78" s="4">
        <f>filings!I78/daily!$A78</f>
        <v>63.205000000000005</v>
      </c>
      <c r="J78" s="12">
        <f t="shared" si="16"/>
        <v>3.9651070578905625E-5</v>
      </c>
      <c r="K78" s="25">
        <f t="shared" si="17"/>
        <v>4.699023592386994E-5</v>
      </c>
      <c r="L78" s="14">
        <v>4.8000000000000001E-5</v>
      </c>
      <c r="M78" s="17">
        <f>filings!N78</f>
        <v>6.9999999999999999E-6</v>
      </c>
      <c r="N78" s="4">
        <f>filings!O78/daily!$A78</f>
        <v>59.755000000000003</v>
      </c>
      <c r="O78" s="4">
        <f>filings!P78/daily!$A78</f>
        <v>-2.4334666666666669</v>
      </c>
      <c r="P78" s="24">
        <f>filings!Q78/daily!$A78</f>
        <v>57.321533333333342</v>
      </c>
      <c r="Q78" s="4">
        <f>filings!R78/daily!$A78</f>
        <v>63.588233333333328</v>
      </c>
      <c r="R78" s="4">
        <f>filings!S78/daily!$A78</f>
        <v>9.2711666666666659</v>
      </c>
      <c r="S78" s="4">
        <f t="shared" si="35"/>
        <v>54.317066666666662</v>
      </c>
      <c r="T78" s="18">
        <f t="shared" si="36"/>
        <v>1.3247548611111111</v>
      </c>
      <c r="U78" s="2">
        <f t="shared" si="37"/>
        <v>4.5106458375160607E-5</v>
      </c>
      <c r="V78" s="31">
        <f t="shared" si="38"/>
        <v>4.3269539909637379E-5</v>
      </c>
      <c r="W78" s="2">
        <f t="shared" si="12"/>
        <v>4.8000000000000001E-5</v>
      </c>
      <c r="X78" s="4">
        <f>D78-filings!N78*C78*1000000</f>
        <v>43.917866666666669</v>
      </c>
      <c r="Y78" s="4">
        <f t="shared" si="18"/>
        <v>55.147733333333342</v>
      </c>
      <c r="Z78">
        <f t="shared" si="8"/>
        <v>11</v>
      </c>
    </row>
    <row r="79" spans="1:26" x14ac:dyDescent="0.25">
      <c r="A79">
        <f t="shared" si="21"/>
        <v>31</v>
      </c>
      <c r="B79" s="1">
        <v>36130</v>
      </c>
      <c r="C79" s="18">
        <f>(filings!C79+filings!D79)*filings!K79/daily!$A79/1000000</f>
        <v>1.248</v>
      </c>
      <c r="D79" s="4">
        <f>filings!$D79/daily!$A79</f>
        <v>62.903225806451616</v>
      </c>
      <c r="E79" s="4">
        <f>filings!E81/daily!$A79</f>
        <v>63.55374193548387</v>
      </c>
      <c r="F79" s="4">
        <f>filings!F81/daily!$A79</f>
        <v>56.234483870967743</v>
      </c>
      <c r="G79" s="4">
        <f>filings!G81/daily!$A79</f>
        <v>6.8447741935483863</v>
      </c>
      <c r="H79" s="4">
        <f>filings!H81/daily!$A79</f>
        <v>0.4744838709677402</v>
      </c>
      <c r="I79" s="4">
        <f>filings!I79/daily!$A79</f>
        <v>58.579161290322581</v>
      </c>
      <c r="J79" s="12">
        <f t="shared" si="16"/>
        <v>5.0403225806451613E-5</v>
      </c>
      <c r="K79" s="52">
        <f t="shared" si="17"/>
        <v>4.6938430521091809E-5</v>
      </c>
      <c r="L79" s="14">
        <v>4.8000000000000001E-5</v>
      </c>
      <c r="M79" s="17">
        <f>filings!N79</f>
        <v>6.9999999999999999E-6</v>
      </c>
      <c r="N79" s="4">
        <f>filings!O79/daily!$A79</f>
        <v>58.43</v>
      </c>
      <c r="O79" s="4">
        <f>filings!P79/daily!$A79</f>
        <v>-2.1955161290322582</v>
      </c>
      <c r="P79" s="4">
        <f>filings!Q79/daily!$A79</f>
        <v>56.234483870967743</v>
      </c>
      <c r="Q79" s="4">
        <f>filings!R79/daily!$A79</f>
        <v>63.55374193548387</v>
      </c>
      <c r="R79" s="4">
        <f>filings!S79/daily!$A79</f>
        <v>9.2661290322580641</v>
      </c>
      <c r="S79" s="4">
        <f t="shared" si="35"/>
        <v>54.287612903225806</v>
      </c>
      <c r="T79" s="18">
        <f t="shared" si="36"/>
        <v>1.3240362903225806</v>
      </c>
      <c r="U79" s="2">
        <f t="shared" si="37"/>
        <v>4.4130210347757495E-5</v>
      </c>
      <c r="V79" s="31">
        <f t="shared" si="38"/>
        <v>4.2472010987906605E-5</v>
      </c>
      <c r="W79" s="2">
        <f t="shared" si="12"/>
        <v>4.8000000000000001E-5</v>
      </c>
      <c r="X79" s="4">
        <f>D79-filings!N79*C79*1000000</f>
        <v>54.167225806451619</v>
      </c>
      <c r="Y79" s="4">
        <f t="shared" si="18"/>
        <v>51.167999999999999</v>
      </c>
      <c r="Z79">
        <f t="shared" si="8"/>
        <v>12</v>
      </c>
    </row>
    <row r="80" spans="1:26" x14ac:dyDescent="0.25">
      <c r="A80">
        <f t="shared" si="21"/>
        <v>31</v>
      </c>
      <c r="B80" s="1">
        <v>36161</v>
      </c>
      <c r="C80" s="18">
        <f>(filings!C80+filings!D80)*filings!K80/daily!$A80/1000000</f>
        <v>1.3314516129032257</v>
      </c>
      <c r="D80" s="4">
        <f>filings!$D80/daily!$A80</f>
        <v>60.483870967741936</v>
      </c>
      <c r="E80" s="4">
        <f>filings!E82/daily!$A80</f>
        <v>60.527580645161294</v>
      </c>
      <c r="F80" s="4">
        <f>filings!F82/daily!$A80</f>
        <v>42.850612903225802</v>
      </c>
      <c r="G80" s="4">
        <f>filings!G82/daily!$A80</f>
        <v>8.8911290322580641</v>
      </c>
      <c r="H80" s="4">
        <f>filings!H82/daily!$A80</f>
        <v>8.7858387096774226</v>
      </c>
      <c r="I80" s="4">
        <f>filings!I80/daily!$A80</f>
        <v>62.393387096774198</v>
      </c>
      <c r="J80" s="12">
        <f t="shared" si="16"/>
        <v>4.542701393095094E-5</v>
      </c>
      <c r="K80" s="25">
        <f t="shared" si="17"/>
        <v>4.6861175045427024E-5</v>
      </c>
      <c r="L80" s="14">
        <v>4.8000000000000001E-5</v>
      </c>
      <c r="M80" s="17">
        <f>filings!N80</f>
        <v>9.0000000000000002E-6</v>
      </c>
      <c r="N80" s="4">
        <f>filings!O80/daily!$A80</f>
        <v>47.922000000000004</v>
      </c>
      <c r="O80" s="4">
        <f>filings!P80/daily!$A80</f>
        <v>-5.0713870967741936</v>
      </c>
      <c r="P80" s="4">
        <f>filings!Q80/daily!$A80</f>
        <v>42.850612903225809</v>
      </c>
      <c r="Q80" s="4">
        <f>filings!R80/daily!$A80</f>
        <v>60.527580645161294</v>
      </c>
      <c r="R80" s="4">
        <f>filings!S80/daily!$A80</f>
        <v>11.348935483870967</v>
      </c>
      <c r="S80" s="4">
        <f t="shared" si="35"/>
        <v>49.178645161290326</v>
      </c>
      <c r="T80" s="18">
        <f t="shared" si="36"/>
        <v>1.2609912634408602</v>
      </c>
      <c r="U80" s="2">
        <f t="shared" si="37"/>
        <v>3.8003435384029145E-5</v>
      </c>
      <c r="V80" s="31">
        <f t="shared" si="38"/>
        <v>3.3981688966107166E-5</v>
      </c>
      <c r="W80" s="2">
        <f t="shared" si="12"/>
        <v>5.0000000000000002E-5</v>
      </c>
      <c r="X80" s="4">
        <f>D80-filings!N80*C80*1000000</f>
        <v>48.500806451612902</v>
      </c>
      <c r="Y80" s="4">
        <f t="shared" si="18"/>
        <v>54.589516129032255</v>
      </c>
      <c r="Z80">
        <f t="shared" si="8"/>
        <v>1</v>
      </c>
    </row>
    <row r="81" spans="1:26" x14ac:dyDescent="0.25">
      <c r="A81">
        <f t="shared" si="21"/>
        <v>28</v>
      </c>
      <c r="B81" s="1">
        <v>36192</v>
      </c>
      <c r="C81" s="18">
        <f>(filings!C81+filings!D81)*filings!K81/daily!$A81/1000000</f>
        <v>1.2527357142857143</v>
      </c>
      <c r="D81" s="4">
        <f>filings!$D81/daily!$A81</f>
        <v>51.964285714285715</v>
      </c>
      <c r="E81" s="4">
        <f>filings!E83/daily!$A81</f>
        <v>52.427821428571427</v>
      </c>
      <c r="F81" s="4">
        <f>filings!F83/daily!$A81</f>
        <v>33.243714285714283</v>
      </c>
      <c r="G81" s="4">
        <f>filings!G83/daily!$A81</f>
        <v>12.51275</v>
      </c>
      <c r="H81" s="4">
        <f>filings!H83/daily!$A81</f>
        <v>6.6713571428571452</v>
      </c>
      <c r="I81" s="4">
        <f>filings!I81/daily!$A81</f>
        <v>51.438964285714292</v>
      </c>
      <c r="J81" s="12">
        <f t="shared" si="16"/>
        <v>4.1480645216469102E-5</v>
      </c>
      <c r="K81" s="25">
        <f t="shared" si="17"/>
        <v>4.1061305827816839E-5</v>
      </c>
      <c r="L81" s="14">
        <v>4.1999999999999998E-5</v>
      </c>
      <c r="M81" s="17">
        <f>filings!N81</f>
        <v>9.0000000000000002E-6</v>
      </c>
      <c r="N81" s="4">
        <f>filings!O81/daily!$A81</f>
        <v>45.404964285714286</v>
      </c>
      <c r="O81" s="4">
        <f>filings!P81/daily!$A81</f>
        <v>-12.160642857142857</v>
      </c>
      <c r="P81" s="4">
        <f>filings!Q81/daily!$A81</f>
        <v>33.244321428571425</v>
      </c>
      <c r="Q81" s="4">
        <f>filings!R81/daily!$A81</f>
        <v>52.427821428571427</v>
      </c>
      <c r="R81" s="4">
        <f>filings!S81/daily!$A81</f>
        <v>11.235285714285714</v>
      </c>
      <c r="S81" s="4">
        <f t="shared" si="35"/>
        <v>41.192535714285711</v>
      </c>
      <c r="T81" s="18">
        <f t="shared" si="36"/>
        <v>1.248281462585034</v>
      </c>
      <c r="U81" s="2">
        <f t="shared" si="37"/>
        <v>3.6373979464283888E-5</v>
      </c>
      <c r="V81" s="31">
        <f t="shared" si="38"/>
        <v>2.6632071712197516E-5</v>
      </c>
      <c r="W81" s="2">
        <f t="shared" si="12"/>
        <v>5.0000000000000002E-5</v>
      </c>
      <c r="X81" s="4">
        <f>D81-filings!N81*C81*1000000</f>
        <v>40.689664285714287</v>
      </c>
      <c r="Y81" s="4">
        <f t="shared" si="18"/>
        <v>51.362164285714286</v>
      </c>
      <c r="Z81">
        <f t="shared" si="8"/>
        <v>2</v>
      </c>
    </row>
    <row r="82" spans="1:26" x14ac:dyDescent="0.25">
      <c r="A82">
        <f t="shared" si="21"/>
        <v>31</v>
      </c>
      <c r="B82" s="1">
        <v>36220</v>
      </c>
      <c r="C82" s="18">
        <f>(filings!C82+filings!D82)*filings!K82/daily!$A82/1000000</f>
        <v>1.0982064516129033</v>
      </c>
      <c r="D82" s="4">
        <f>filings!$D82/daily!$A82</f>
        <v>47.41935483870968</v>
      </c>
      <c r="E82" s="4">
        <f>filings!E84/daily!$A82</f>
        <v>41.868193548387097</v>
      </c>
      <c r="F82" s="4">
        <f>filings!F84/daily!$A82</f>
        <v>28.405741935483871</v>
      </c>
      <c r="G82" s="4">
        <f>filings!G84/daily!$A82</f>
        <v>10.483870967741936</v>
      </c>
      <c r="H82" s="4">
        <f>filings!H84/daily!$A82</f>
        <v>2.9785806451612906</v>
      </c>
      <c r="I82" s="4">
        <f>filings!I82/daily!$A82</f>
        <v>38.633516129032252</v>
      </c>
      <c r="J82" s="12">
        <f t="shared" si="16"/>
        <v>4.3178907544265716E-5</v>
      </c>
      <c r="K82" s="25">
        <f t="shared" si="17"/>
        <v>3.5178737178508057E-5</v>
      </c>
      <c r="L82" s="14">
        <v>3.6000000000000001E-5</v>
      </c>
      <c r="M82" s="17">
        <f>filings!N82</f>
        <v>9.0000000000000002E-6</v>
      </c>
      <c r="N82" s="4">
        <f>filings!O82/daily!$A82</f>
        <v>38.247903225806446</v>
      </c>
      <c r="O82" s="4">
        <f>filings!P82/daily!$A82</f>
        <v>-9.842161290322581</v>
      </c>
      <c r="P82" s="4">
        <f>filings!Q82/daily!$A82</f>
        <v>28.405741935483871</v>
      </c>
      <c r="Q82" s="4">
        <f>filings!R82/daily!$A82</f>
        <v>41.868193548387097</v>
      </c>
      <c r="R82" s="4">
        <f>filings!S82/daily!$A82</f>
        <v>10.467064516129032</v>
      </c>
      <c r="S82" s="4">
        <f t="shared" si="35"/>
        <v>31.401129032258066</v>
      </c>
      <c r="T82" s="18">
        <f t="shared" si="36"/>
        <v>1.163005376344086</v>
      </c>
      <c r="U82" s="2">
        <f t="shared" si="37"/>
        <v>3.288712503293746E-5</v>
      </c>
      <c r="V82" s="31">
        <f t="shared" si="38"/>
        <v>2.442442873718906E-5</v>
      </c>
      <c r="W82" s="2">
        <f t="shared" si="12"/>
        <v>5.0000000000000002E-5</v>
      </c>
      <c r="X82" s="4">
        <f>D82-filings!N82*C82*1000000</f>
        <v>37.535496774193547</v>
      </c>
      <c r="Y82" s="4">
        <f t="shared" si="18"/>
        <v>45.026464516129039</v>
      </c>
      <c r="Z82">
        <f t="shared" si="8"/>
        <v>3</v>
      </c>
    </row>
    <row r="83" spans="1:26" x14ac:dyDescent="0.25">
      <c r="A83">
        <f t="shared" si="21"/>
        <v>30</v>
      </c>
      <c r="B83" s="1">
        <v>36251</v>
      </c>
      <c r="C83" s="18">
        <f>(filings!C83+filings!D83)*filings!K83/daily!$A83/1000000</f>
        <v>1.3976733333333333</v>
      </c>
      <c r="D83" s="4">
        <f>filings!$D83/daily!$A83</f>
        <v>54.5</v>
      </c>
      <c r="E83" s="4">
        <f>filings!E85/daily!$A83</f>
        <v>43.954766666666664</v>
      </c>
      <c r="F83" s="4">
        <f>filings!F85/daily!$A83</f>
        <v>48.472166666666666</v>
      </c>
      <c r="G83" s="4">
        <f>filings!G85/daily!$A83</f>
        <v>8.5714333333333332</v>
      </c>
      <c r="H83" s="4">
        <f>filings!H85/daily!$A83</f>
        <v>-13.08883333333333</v>
      </c>
      <c r="I83" s="4">
        <f>filings!I83/daily!$A83</f>
        <v>48.273400000000002</v>
      </c>
      <c r="J83" s="12">
        <f t="shared" si="16"/>
        <v>3.89933747036742E-5</v>
      </c>
      <c r="K83" s="25">
        <f t="shared" si="17"/>
        <v>3.4538399530648555E-5</v>
      </c>
      <c r="L83" s="14">
        <v>3.4999999999999997E-5</v>
      </c>
      <c r="M83" s="17">
        <f>filings!N83</f>
        <v>9.0000000000000002E-6</v>
      </c>
      <c r="N83" s="4">
        <f>filings!O83/daily!$A83</f>
        <v>50.576999999999998</v>
      </c>
      <c r="O83" s="4">
        <f>filings!P83/daily!$A83</f>
        <v>2.1048333333333336</v>
      </c>
      <c r="P83" s="24">
        <f>filings!Q83/daily!$A83</f>
        <v>52.68183333333333</v>
      </c>
      <c r="Q83" s="4">
        <f>filings!R83/daily!$A83</f>
        <v>43.954766666666664</v>
      </c>
      <c r="R83" s="4">
        <f>filings!S83/daily!$A83</f>
        <v>11.300766666666668</v>
      </c>
      <c r="S83" s="4">
        <f t="shared" si="35"/>
        <v>32.653999999999996</v>
      </c>
      <c r="T83" s="18">
        <f t="shared" si="36"/>
        <v>1.2558504761904763</v>
      </c>
      <c r="U83" s="2">
        <f t="shared" si="37"/>
        <v>4.0273106519353605E-5</v>
      </c>
      <c r="V83" s="31">
        <f t="shared" si="38"/>
        <v>4.1949128763433314E-5</v>
      </c>
      <c r="W83" s="2">
        <f t="shared" si="12"/>
        <v>5.0000000000000002E-5</v>
      </c>
      <c r="X83" s="4">
        <f>D83-filings!N83*C83*1000000</f>
        <v>41.920940000000002</v>
      </c>
      <c r="Y83" s="4">
        <f t="shared" si="18"/>
        <v>57.304606666666672</v>
      </c>
      <c r="Z83">
        <f t="shared" ref="Z83:Z116" si="39">MONTH(B83)</f>
        <v>4</v>
      </c>
    </row>
    <row r="84" spans="1:26" x14ac:dyDescent="0.25">
      <c r="A84">
        <f t="shared" si="21"/>
        <v>31</v>
      </c>
      <c r="B84" s="1">
        <v>36281</v>
      </c>
      <c r="C84" s="18">
        <f>(filings!C84+filings!D84)*filings!K84/daily!$A84/1000000</f>
        <v>1.1456774193548387</v>
      </c>
      <c r="D84" s="4">
        <f>filings!$D84/daily!$A84</f>
        <v>41.935483870967744</v>
      </c>
      <c r="E84" s="4">
        <f>filings!E86/daily!$A84</f>
        <v>41.419064516129033</v>
      </c>
      <c r="F84" s="4">
        <f>filings!F86/daily!$A84</f>
        <v>43.335258064516132</v>
      </c>
      <c r="G84" s="4">
        <f>filings!G86/daily!$A84</f>
        <v>7.6728064516129031</v>
      </c>
      <c r="H84" s="4">
        <f>filings!H86/daily!$A84</f>
        <v>-9.5890000000000004</v>
      </c>
      <c r="I84" s="4">
        <f>filings!I84/daily!$A84</f>
        <v>38.95690322580645</v>
      </c>
      <c r="J84" s="12">
        <f t="shared" si="16"/>
        <v>3.6603221083455344E-5</v>
      </c>
      <c r="K84" s="25">
        <f t="shared" si="17"/>
        <v>3.4003378758869239E-5</v>
      </c>
      <c r="L84" s="14">
        <v>3.4999999999999997E-5</v>
      </c>
      <c r="M84" s="17">
        <f>filings!N84</f>
        <v>9.0000000000000002E-6</v>
      </c>
      <c r="N84" s="4">
        <f>filings!O84/daily!$A84</f>
        <v>45.71</v>
      </c>
      <c r="O84" s="4">
        <f>filings!P84/daily!$A84</f>
        <v>-2.374741935483871</v>
      </c>
      <c r="P84" s="4">
        <f>filings!Q84/daily!$A84</f>
        <v>43.335258064516132</v>
      </c>
      <c r="Q84" s="4">
        <f>filings!R84/daily!$A84</f>
        <v>41.419064516129033</v>
      </c>
      <c r="R84" s="4">
        <f>filings!S84/daily!$A84</f>
        <v>10.648838709677419</v>
      </c>
      <c r="S84" s="4">
        <f t="shared" si="35"/>
        <v>30.770225806451613</v>
      </c>
      <c r="T84" s="18">
        <f t="shared" si="36"/>
        <v>1.1834018433179725</v>
      </c>
      <c r="U84" s="2">
        <f t="shared" si="37"/>
        <v>3.8625932736288648E-5</v>
      </c>
      <c r="V84" s="31">
        <f t="shared" si="38"/>
        <v>3.6619224745344788E-5</v>
      </c>
      <c r="W84" s="2">
        <f t="shared" si="12"/>
        <v>5.0000000000000002E-5</v>
      </c>
      <c r="X84" s="4">
        <f>D84-filings!N84*C84*1000000</f>
        <v>31.624387096774196</v>
      </c>
      <c r="Y84" s="4">
        <f t="shared" si="18"/>
        <v>46.972774193548382</v>
      </c>
      <c r="Z84">
        <f t="shared" si="39"/>
        <v>5</v>
      </c>
    </row>
    <row r="85" spans="1:26" x14ac:dyDescent="0.25">
      <c r="A85">
        <f t="shared" si="21"/>
        <v>30</v>
      </c>
      <c r="B85" s="1">
        <v>36312</v>
      </c>
      <c r="C85" s="18">
        <f>(filings!C85+filings!D85)*filings!K85/daily!$A85/1000000</f>
        <v>1.2306666666666668</v>
      </c>
      <c r="D85" s="4">
        <f>filings!$D85/daily!$A85</f>
        <v>33.333333333333336</v>
      </c>
      <c r="E85" s="4">
        <f>filings!E87/daily!$A85</f>
        <v>42.820033333333335</v>
      </c>
      <c r="F85" s="4">
        <f>filings!F87/daily!$A85</f>
        <v>32.3827</v>
      </c>
      <c r="G85" s="4">
        <f>filings!G87/daily!$A85</f>
        <v>8.6842000000000006</v>
      </c>
      <c r="H85" s="4">
        <f>filings!H87/daily!$A85</f>
        <v>1.753133333333337</v>
      </c>
      <c r="I85" s="4">
        <f>filings!I85/daily!$A85</f>
        <v>46.422166666666662</v>
      </c>
      <c r="J85" s="12">
        <f t="shared" si="16"/>
        <v>2.7085590465872156E-5</v>
      </c>
      <c r="K85" s="25">
        <f t="shared" si="17"/>
        <v>3.7721153846153841E-5</v>
      </c>
      <c r="L85" s="14">
        <v>3.8000000000000002E-5</v>
      </c>
      <c r="M85" s="17">
        <f>filings!N85</f>
        <v>9.0000000000000002E-6</v>
      </c>
      <c r="N85" s="4">
        <f>filings!O85/daily!$A85</f>
        <v>35.313533333333332</v>
      </c>
      <c r="O85" s="4">
        <f>filings!P85/daily!$A85</f>
        <v>-2.9308333333333332</v>
      </c>
      <c r="P85" s="4">
        <f>filings!Q85/daily!$A85</f>
        <v>32.3827</v>
      </c>
      <c r="Q85" s="4">
        <f>filings!R85/daily!$A85</f>
        <v>42.820033333333335</v>
      </c>
      <c r="R85" s="4">
        <f>filings!S85/daily!$A85</f>
        <v>10.139800000000001</v>
      </c>
      <c r="S85" s="4">
        <f t="shared" si="35"/>
        <v>32.680233333333334</v>
      </c>
      <c r="T85" s="18">
        <f t="shared" si="36"/>
        <v>1.1268429824561401</v>
      </c>
      <c r="U85" s="2">
        <f t="shared" si="37"/>
        <v>3.1338468520575659E-5</v>
      </c>
      <c r="V85" s="31">
        <f t="shared" si="38"/>
        <v>2.873754418687204E-5</v>
      </c>
      <c r="W85" s="2">
        <f t="shared" si="12"/>
        <v>5.0000000000000002E-5</v>
      </c>
      <c r="X85" s="4">
        <f>D85-filings!N85*C85*1000000</f>
        <v>22.257333333333335</v>
      </c>
      <c r="Y85" s="4">
        <f t="shared" si="18"/>
        <v>50.457333333333345</v>
      </c>
      <c r="Z85">
        <f t="shared" si="39"/>
        <v>6</v>
      </c>
    </row>
    <row r="86" spans="1:26" x14ac:dyDescent="0.25">
      <c r="A86">
        <f t="shared" si="21"/>
        <v>31</v>
      </c>
      <c r="B86" s="1">
        <v>36342</v>
      </c>
      <c r="C86" s="18">
        <f>(filings!C86+filings!D86)*filings!K86/daily!$A86/1000000</f>
        <v>1.3490645161290322</v>
      </c>
      <c r="D86" s="4">
        <f>filings!$D86/daily!$A86</f>
        <v>29.838709677419356</v>
      </c>
      <c r="E86" s="4">
        <f>filings!E88/daily!$A86</f>
        <v>35.378</v>
      </c>
      <c r="F86" s="4">
        <f>filings!F88/daily!$A86</f>
        <v>38.101354838709682</v>
      </c>
      <c r="G86" s="4">
        <f>filings!G88/daily!$A86</f>
        <v>-1.5161290322580645</v>
      </c>
      <c r="H86" s="4">
        <f>filings!H88/daily!$A86</f>
        <v>-1.2072258064516121</v>
      </c>
      <c r="I86" s="4">
        <f>filings!I86/daily!$A86</f>
        <v>39.427709677419358</v>
      </c>
      <c r="J86" s="12">
        <f t="shared" si="16"/>
        <v>2.2118074651490878E-5</v>
      </c>
      <c r="K86" s="25">
        <f t="shared" si="17"/>
        <v>2.9225963032926048E-5</v>
      </c>
      <c r="L86" s="14">
        <v>3.0000000000000001E-5</v>
      </c>
      <c r="M86" s="17">
        <f>filings!N86</f>
        <v>-9.9999999999999995E-7</v>
      </c>
      <c r="N86" s="4">
        <f>filings!O86/daily!$A86</f>
        <v>42.772870967741937</v>
      </c>
      <c r="O86" s="4">
        <f>filings!P86/daily!$A86</f>
        <v>-3.2206774193548386</v>
      </c>
      <c r="P86" s="24">
        <f>filings!Q86/daily!$A86</f>
        <v>39.552193548387102</v>
      </c>
      <c r="Q86" s="4">
        <f>filings!R86/daily!$A86</f>
        <v>35.378</v>
      </c>
      <c r="R86" s="4">
        <f>filings!S86/daily!$A86</f>
        <v>-1.1780967741935484</v>
      </c>
      <c r="S86" s="4">
        <f t="shared" ref="S86:S93" si="40">Q86-R86</f>
        <v>36.556096774193549</v>
      </c>
      <c r="T86" s="18">
        <f t="shared" ref="T86:T95" si="41">Q86/L86/1000000</f>
        <v>1.1792666666666667</v>
      </c>
      <c r="U86" s="2">
        <f t="shared" si="37"/>
        <v>3.6270736871283226E-5</v>
      </c>
      <c r="V86" s="31">
        <f t="shared" si="38"/>
        <v>3.3539651943343689E-5</v>
      </c>
      <c r="W86" s="2">
        <f t="shared" si="12"/>
        <v>4.0000000000000003E-5</v>
      </c>
      <c r="X86" s="4">
        <f>D86-filings!N86*C86*1000000</f>
        <v>31.187774193548389</v>
      </c>
      <c r="Y86" s="4">
        <f t="shared" si="18"/>
        <v>55.311645161290322</v>
      </c>
      <c r="Z86">
        <f t="shared" si="39"/>
        <v>7</v>
      </c>
    </row>
    <row r="87" spans="1:26" x14ac:dyDescent="0.25">
      <c r="A87">
        <f t="shared" si="21"/>
        <v>31</v>
      </c>
      <c r="B87" s="1">
        <v>36373</v>
      </c>
      <c r="C87" s="18">
        <f>(filings!C87+filings!D87)*filings!K87/daily!$A87/1000000</f>
        <v>1.1590967741935483</v>
      </c>
      <c r="D87" s="4">
        <f>filings!$D87/daily!$A87</f>
        <v>35.483870967741936</v>
      </c>
      <c r="E87" s="4">
        <f>filings!E89/daily!$A87</f>
        <v>36.607064516129029</v>
      </c>
      <c r="F87" s="4">
        <f>filings!F89/daily!$A87</f>
        <v>46.3158064516129</v>
      </c>
      <c r="G87" s="4">
        <f>filings!G89/daily!$A87</f>
        <v>-1.3010645161290322</v>
      </c>
      <c r="H87" s="4">
        <f>filings!H89/daily!$A87</f>
        <v>-8.4076774193548403</v>
      </c>
      <c r="I87" s="4">
        <f>filings!I87/daily!$A87</f>
        <v>33.787290322580645</v>
      </c>
      <c r="J87" s="12">
        <f t="shared" si="16"/>
        <v>3.0613380830457535E-5</v>
      </c>
      <c r="K87" s="25">
        <f t="shared" si="17"/>
        <v>2.9149671601914728E-5</v>
      </c>
      <c r="L87" s="14">
        <v>3.0000000000000001E-5</v>
      </c>
      <c r="M87" s="17">
        <f>filings!N87</f>
        <v>-9.9999999999999995E-7</v>
      </c>
      <c r="N87" s="4">
        <f>filings!O87/daily!$A87</f>
        <v>48.598258064516131</v>
      </c>
      <c r="O87" s="4">
        <f>filings!P87/daily!$A87</f>
        <v>-2.282451612903226</v>
      </c>
      <c r="P87" s="4">
        <f>filings!Q87/daily!$A87</f>
        <v>46.3158064516129</v>
      </c>
      <c r="Q87" s="4">
        <f>filings!R87/daily!$A87</f>
        <v>36.607064516129029</v>
      </c>
      <c r="R87" s="4">
        <f>filings!S87/daily!$A87</f>
        <v>-1.2190000000000001</v>
      </c>
      <c r="S87" s="4">
        <f t="shared" si="40"/>
        <v>37.82606451612903</v>
      </c>
      <c r="T87" s="18">
        <f t="shared" si="41"/>
        <v>1.2202354838709675</v>
      </c>
      <c r="U87" s="2">
        <f t="shared" si="37"/>
        <v>3.9826950377108609E-5</v>
      </c>
      <c r="V87" s="31">
        <f t="shared" si="38"/>
        <v>3.7956449442598339E-5</v>
      </c>
      <c r="W87" s="2">
        <f t="shared" si="12"/>
        <v>4.0000000000000003E-5</v>
      </c>
      <c r="X87" s="4">
        <f>D87-filings!N87*C87*1000000</f>
        <v>36.642967741935486</v>
      </c>
      <c r="Y87" s="4">
        <f t="shared" si="18"/>
        <v>47.522967741935481</v>
      </c>
      <c r="Z87">
        <f t="shared" si="39"/>
        <v>8</v>
      </c>
    </row>
    <row r="88" spans="1:26" x14ac:dyDescent="0.25">
      <c r="A88">
        <f t="shared" si="21"/>
        <v>30</v>
      </c>
      <c r="B88" s="1">
        <v>36404</v>
      </c>
      <c r="C88" s="18">
        <f>(filings!C88+filings!D88)*filings!K88/daily!$A88/1000000</f>
        <v>1.2377733333333332</v>
      </c>
      <c r="D88" s="4">
        <f>filings!$D88/daily!$A88</f>
        <v>47</v>
      </c>
      <c r="E88" s="4">
        <f>filings!E90/daily!$A88</f>
        <v>51.466799999999999</v>
      </c>
      <c r="F88" s="4">
        <f>filings!F90/daily!$A88</f>
        <v>59.860933333333335</v>
      </c>
      <c r="G88" s="4">
        <f>filings!G90/daily!$A88</f>
        <v>-1.0833333333333333</v>
      </c>
      <c r="H88" s="4">
        <f>filings!H90/daily!$A88</f>
        <v>-7.3108000000000022</v>
      </c>
      <c r="I88" s="4">
        <f>filings!I88/daily!$A88</f>
        <v>48.247466666666668</v>
      </c>
      <c r="J88" s="12">
        <f t="shared" si="16"/>
        <v>3.7971411028405857E-5</v>
      </c>
      <c r="K88" s="25">
        <f t="shared" si="17"/>
        <v>3.897924229530448E-5</v>
      </c>
      <c r="L88" s="14">
        <v>4.0000000000000003E-5</v>
      </c>
      <c r="M88" s="17">
        <f>filings!N88</f>
        <v>-9.9999999999999995E-7</v>
      </c>
      <c r="N88" s="4">
        <f>filings!O88/daily!$A88</f>
        <v>60.2988</v>
      </c>
      <c r="O88" s="4">
        <f>filings!P88/daily!$A88</f>
        <v>2.7215333333333334</v>
      </c>
      <c r="P88" s="24">
        <f>filings!Q88/daily!$A88</f>
        <v>63.020333333333333</v>
      </c>
      <c r="Q88" s="4">
        <f>filings!R88/daily!$A88</f>
        <v>51.466799999999999</v>
      </c>
      <c r="R88" s="4">
        <f>filings!S88/daily!$A88</f>
        <v>-1.2866666666666666</v>
      </c>
      <c r="S88" s="4">
        <f t="shared" si="40"/>
        <v>52.753466666666668</v>
      </c>
      <c r="T88" s="18">
        <f t="shared" si="41"/>
        <v>1.2866699999999998</v>
      </c>
      <c r="U88" s="2">
        <f t="shared" si="37"/>
        <v>4.6864230921681561E-5</v>
      </c>
      <c r="V88" s="31">
        <f>P88/$T88/1000000</f>
        <v>4.897940678910159E-5</v>
      </c>
      <c r="W88" s="2">
        <f t="shared" si="12"/>
        <v>4.0000000000000003E-5</v>
      </c>
      <c r="X88" s="4">
        <f>D88-filings!N88*C88*1000000</f>
        <v>48.23777333333333</v>
      </c>
      <c r="Y88" s="4">
        <f t="shared" si="18"/>
        <v>50.748706666666664</v>
      </c>
      <c r="Z88">
        <f t="shared" si="39"/>
        <v>9</v>
      </c>
    </row>
    <row r="89" spans="1:26" x14ac:dyDescent="0.25">
      <c r="A89">
        <f t="shared" si="21"/>
        <v>31</v>
      </c>
      <c r="B89" s="1">
        <v>36434</v>
      </c>
      <c r="C89" s="18">
        <f>(filings!C89+filings!D89)*filings!K89/daily!$A89/1000000</f>
        <v>1.2133612903225806</v>
      </c>
      <c r="D89" s="4">
        <f>filings!$D89/daily!$A89</f>
        <v>39.032258064516128</v>
      </c>
      <c r="E89" s="4">
        <f>filings!E91/daily!$A89</f>
        <v>51.447580645161288</v>
      </c>
      <c r="F89" s="4">
        <f>filings!F91/daily!$A89</f>
        <v>69.141387096774181</v>
      </c>
      <c r="G89" s="4">
        <f>filings!G91/daily!$A89</f>
        <v>-0.98790322580645162</v>
      </c>
      <c r="H89" s="4">
        <f>filings!H91/daily!$A89</f>
        <v>-16.705903225806445</v>
      </c>
      <c r="I89" s="4">
        <f>filings!I89/daily!$A89</f>
        <v>47.439935483870968</v>
      </c>
      <c r="J89" s="12">
        <f t="shared" si="16"/>
        <v>3.2168702245428591E-5</v>
      </c>
      <c r="K89" s="25">
        <f t="shared" si="17"/>
        <v>3.9097947051911247E-5</v>
      </c>
      <c r="L89" s="14">
        <v>4.0000000000000003E-5</v>
      </c>
      <c r="M89" s="17">
        <f>filings!N89</f>
        <v>-9.9999999999999995E-7</v>
      </c>
      <c r="N89" s="4">
        <f>filings!O89/daily!$A89</f>
        <v>61.913483870967738</v>
      </c>
      <c r="O89" s="4">
        <f>filings!P89/daily!$A89</f>
        <v>7.2285483870967742</v>
      </c>
      <c r="P89" s="4">
        <f>filings!Q89/daily!$A89</f>
        <v>69.142032258064503</v>
      </c>
      <c r="Q89" s="4">
        <f>filings!R89/daily!$A89</f>
        <v>51.447580645161288</v>
      </c>
      <c r="R89" s="4">
        <f>filings!S89/daily!$A89</f>
        <v>-1.2861935483870968</v>
      </c>
      <c r="S89" s="4">
        <f t="shared" si="40"/>
        <v>52.733774193548385</v>
      </c>
      <c r="T89" s="18">
        <f t="shared" si="41"/>
        <v>1.286189516129032</v>
      </c>
      <c r="U89" s="2">
        <f t="shared" si="37"/>
        <v>4.8137139274237803E-5</v>
      </c>
      <c r="V89" s="31">
        <f>P89/$T89/1000000</f>
        <v>5.375726624343601E-5</v>
      </c>
      <c r="W89" s="2">
        <f t="shared" si="12"/>
        <v>4.0000000000000003E-5</v>
      </c>
      <c r="X89" s="4">
        <f>D89-filings!N89*C89*1000000</f>
        <v>40.245619354838709</v>
      </c>
      <c r="Y89" s="4">
        <f t="shared" si="18"/>
        <v>49.7478129032258</v>
      </c>
      <c r="Z89">
        <f t="shared" si="39"/>
        <v>10</v>
      </c>
    </row>
    <row r="90" spans="1:26" x14ac:dyDescent="0.25">
      <c r="A90">
        <f t="shared" si="21"/>
        <v>30</v>
      </c>
      <c r="B90" s="1">
        <v>36465</v>
      </c>
      <c r="C90" s="18">
        <f>(filings!C90+filings!D90)*filings!K90/daily!$A90/1000000</f>
        <v>1.2791999999999999</v>
      </c>
      <c r="D90" s="4">
        <f>filings!$D90/daily!$A90</f>
        <v>43.333333333333336</v>
      </c>
      <c r="E90" s="4">
        <f>filings!E92/daily!$A90</f>
        <v>51.415633333333332</v>
      </c>
      <c r="F90" s="4">
        <f>filings!F92/daily!$A90</f>
        <v>55.347866666666661</v>
      </c>
      <c r="G90" s="4">
        <f>filings!G92/daily!$A90</f>
        <v>-1.5</v>
      </c>
      <c r="H90" s="4">
        <f>filings!H92/daily!$A90</f>
        <v>-2.432233333333329</v>
      </c>
      <c r="I90" s="4">
        <f>filings!I90/daily!$A90</f>
        <v>50.644133333333336</v>
      </c>
      <c r="J90" s="12">
        <f t="shared" si="16"/>
        <v>3.3875338753387541E-5</v>
      </c>
      <c r="K90" s="52">
        <f t="shared" si="17"/>
        <v>3.9590473212424438E-5</v>
      </c>
      <c r="L90" s="14">
        <v>4.0000000000000003E-5</v>
      </c>
      <c r="M90" s="17">
        <f>filings!N90</f>
        <v>-9.9999999999999995E-7</v>
      </c>
      <c r="N90" s="4">
        <f>filings!O90/daily!$A90</f>
        <v>55.316733333333332</v>
      </c>
      <c r="O90" s="4">
        <f>filings!P90/daily!$A90</f>
        <v>3.1133333333333336E-2</v>
      </c>
      <c r="P90" s="24">
        <f>filings!Q90/daily!$A90</f>
        <v>55.347866666666661</v>
      </c>
      <c r="Q90" s="4">
        <f>filings!R90/daily!$A90</f>
        <v>51.415633333333332</v>
      </c>
      <c r="R90" s="24">
        <f>filings!S90/daily!$A90</f>
        <v>-1.2853999999999999</v>
      </c>
      <c r="S90" s="4">
        <f t="shared" si="40"/>
        <v>52.701033333333335</v>
      </c>
      <c r="T90" s="18">
        <f t="shared" si="41"/>
        <v>1.2853908333333333</v>
      </c>
      <c r="U90" s="2">
        <f t="shared" ref="U90:U95" si="42">N90/$T90/1000000</f>
        <v>4.3034952404229844E-5</v>
      </c>
      <c r="V90" s="31">
        <f t="shared" ref="V90:V95" si="43">P90/$T90/1000000</f>
        <v>4.3059173312397198E-5</v>
      </c>
      <c r="W90" s="2">
        <f t="shared" si="12"/>
        <v>4.0000000000000003E-5</v>
      </c>
      <c r="X90" s="4">
        <f>D90-filings!N90*C90*1000000</f>
        <v>44.612533333333339</v>
      </c>
      <c r="Y90" s="4">
        <f t="shared" si="18"/>
        <v>52.447199999999995</v>
      </c>
      <c r="Z90">
        <f t="shared" si="39"/>
        <v>11</v>
      </c>
    </row>
    <row r="91" spans="1:26" x14ac:dyDescent="0.25">
      <c r="A91">
        <f t="shared" si="21"/>
        <v>31</v>
      </c>
      <c r="B91" s="1">
        <v>36495</v>
      </c>
      <c r="C91" s="56">
        <f>(filings!C91+filings!D91)*filings!K91/daily!$A91/1000000</f>
        <v>1.4128064516129033</v>
      </c>
      <c r="D91" s="4">
        <f>filings!$D91/daily!$A91</f>
        <v>39.516129032258064</v>
      </c>
      <c r="E91" s="4">
        <f>filings!E93/daily!$A91</f>
        <v>53.134193548387103</v>
      </c>
      <c r="F91" s="4">
        <f>filings!F93/daily!$A91</f>
        <v>59.338354838709677</v>
      </c>
      <c r="G91" s="4">
        <f>filings!G93/daily!$A91</f>
        <v>-1.3185483870967742</v>
      </c>
      <c r="H91" s="4">
        <f>filings!H93/daily!$A91</f>
        <v>-4.8856129032258044</v>
      </c>
      <c r="I91" s="4">
        <f>filings!I91/daily!$A91</f>
        <v>56.222032258064509</v>
      </c>
      <c r="J91" s="12">
        <f t="shared" si="16"/>
        <v>2.7969952279836515E-5</v>
      </c>
      <c r="K91" s="52">
        <f t="shared" si="17"/>
        <v>3.9794574970888411E-5</v>
      </c>
      <c r="L91" s="14">
        <v>4.0000000000000003E-5</v>
      </c>
      <c r="M91" s="17">
        <f>filings!N91</f>
        <v>-9.9999999999999995E-7</v>
      </c>
      <c r="N91" s="4">
        <f>filings!O91/daily!$A91</f>
        <v>62.382967741935488</v>
      </c>
      <c r="O91" s="4">
        <f>filings!P91/daily!$A91</f>
        <v>-3.0446129032258065</v>
      </c>
      <c r="P91" s="4">
        <f>filings!Q91/daily!$A91</f>
        <v>59.338354838709677</v>
      </c>
      <c r="Q91" s="4">
        <f>filings!R91/daily!$A91</f>
        <v>53.134193548387103</v>
      </c>
      <c r="R91" s="24">
        <f>filings!S91/daily!$A91</f>
        <v>-1.3283548387096775</v>
      </c>
      <c r="S91" s="4">
        <f t="shared" si="40"/>
        <v>54.462548387096781</v>
      </c>
      <c r="T91" s="18">
        <f t="shared" si="41"/>
        <v>1.3283548387096775</v>
      </c>
      <c r="U91" s="2">
        <f t="shared" si="42"/>
        <v>4.696257801306491E-5</v>
      </c>
      <c r="V91" s="31">
        <f t="shared" si="43"/>
        <v>4.4670560237014011E-5</v>
      </c>
      <c r="W91" s="2">
        <f t="shared" ref="W91:W103" si="44">M91+0.000041</f>
        <v>4.0000000000000003E-5</v>
      </c>
      <c r="X91" s="4">
        <f>D91-filings!N91*C91*1000000</f>
        <v>40.928935483870966</v>
      </c>
      <c r="Y91" s="4">
        <f t="shared" si="18"/>
        <v>57.925064516129034</v>
      </c>
      <c r="Z91">
        <f t="shared" si="39"/>
        <v>12</v>
      </c>
    </row>
    <row r="92" spans="1:26" x14ac:dyDescent="0.25">
      <c r="A92">
        <f t="shared" si="21"/>
        <v>31</v>
      </c>
      <c r="B92" s="1">
        <v>36526</v>
      </c>
      <c r="C92" s="18">
        <f>(filings!C92+filings!D92)*filings!K92/daily!$A92/1000000</f>
        <v>1.3385806451612905</v>
      </c>
      <c r="D92" s="4">
        <f>filings!$D92/daily!$A92</f>
        <v>58.064516129032256</v>
      </c>
      <c r="E92" s="4">
        <f>filings!E94/daily!$A92</f>
        <v>60.39</v>
      </c>
      <c r="F92" s="4">
        <f>filings!F94/daily!$A92</f>
        <v>51.767225806451613</v>
      </c>
      <c r="G92" s="4">
        <f>filings!G94/daily!$A92</f>
        <v>4.7335161290322585</v>
      </c>
      <c r="H92" s="4">
        <f>filings!H94/daily!$A92</f>
        <v>3.889258064516123</v>
      </c>
      <c r="I92" s="4">
        <f>filings!I92/daily!$A92</f>
        <v>60.418290322580638</v>
      </c>
      <c r="J92" s="12">
        <f t="shared" si="16"/>
        <v>4.3377674956622319E-5</v>
      </c>
      <c r="K92" s="52">
        <f t="shared" si="17"/>
        <v>4.5136085405822235E-5</v>
      </c>
      <c r="L92" s="14">
        <v>4.6E-5</v>
      </c>
      <c r="M92" s="17">
        <f>filings!N92</f>
        <v>5.0000000000000004E-6</v>
      </c>
      <c r="N92" s="4">
        <f>filings!O92/daily!$A92</f>
        <v>57.518225806451618</v>
      </c>
      <c r="O92" s="4">
        <f>filings!P92/daily!$A92</f>
        <v>-5.7510000000000003</v>
      </c>
      <c r="P92" s="4">
        <f>filings!Q92/daily!$A92</f>
        <v>51.767225806451613</v>
      </c>
      <c r="Q92" s="4">
        <f>filings!R92/daily!$A92</f>
        <v>60.39</v>
      </c>
      <c r="R92" s="4">
        <f>filings!S92/daily!$A92</f>
        <v>6.564387096774194</v>
      </c>
      <c r="S92" s="4">
        <f t="shared" si="40"/>
        <v>53.825612903225803</v>
      </c>
      <c r="T92" s="18">
        <f t="shared" si="41"/>
        <v>1.3128260869565218</v>
      </c>
      <c r="U92" s="2">
        <f t="shared" si="42"/>
        <v>4.3812525038860316E-5</v>
      </c>
      <c r="V92" s="31">
        <f t="shared" si="43"/>
        <v>3.9431899107414709E-5</v>
      </c>
      <c r="W92" s="2">
        <f t="shared" si="44"/>
        <v>4.6E-5</v>
      </c>
      <c r="X92" s="4">
        <f>D92-filings!N92*C92*1000000</f>
        <v>51.371612903225802</v>
      </c>
      <c r="Y92" s="4">
        <f t="shared" si="18"/>
        <v>54.88180645161291</v>
      </c>
      <c r="Z92">
        <f t="shared" si="39"/>
        <v>1</v>
      </c>
    </row>
    <row r="93" spans="1:26" x14ac:dyDescent="0.25">
      <c r="A93">
        <f t="shared" si="21"/>
        <v>29</v>
      </c>
      <c r="B93" s="1">
        <v>36557</v>
      </c>
      <c r="C93" s="18">
        <f>(filings!C93+filings!D93)*filings!K93/daily!$A93/1000000</f>
        <v>1.3651793103448275</v>
      </c>
      <c r="D93" s="4">
        <f>filings!$D93/daily!$A93</f>
        <v>56.379310344827587</v>
      </c>
      <c r="E93" s="4">
        <f>filings!E95/daily!$A93</f>
        <v>60.877413793103443</v>
      </c>
      <c r="F93" s="4">
        <f>filings!F95/daily!$A93</f>
        <v>47.67055172413793</v>
      </c>
      <c r="G93" s="4">
        <f>filings!G95/daily!$A93</f>
        <v>5.4347931034482766</v>
      </c>
      <c r="H93" s="4">
        <f>filings!H95/daily!$A93</f>
        <v>7.7720689655172421</v>
      </c>
      <c r="I93" s="4">
        <f>filings!I93/daily!$A93</f>
        <v>61.601862068965517</v>
      </c>
      <c r="J93" s="12">
        <f t="shared" si="16"/>
        <v>4.1298099024506067E-5</v>
      </c>
      <c r="K93" s="52">
        <f t="shared" si="17"/>
        <v>4.5123641709311904E-5</v>
      </c>
      <c r="L93" s="14">
        <v>4.6E-5</v>
      </c>
      <c r="M93" s="17">
        <f>filings!N93</f>
        <v>5.0000000000000004E-6</v>
      </c>
      <c r="N93" s="4">
        <f>filings!O93/daily!$A93</f>
        <v>51.166689655172419</v>
      </c>
      <c r="O93" s="4">
        <f>filings!P93/daily!$A93</f>
        <v>-3.4961379310344829</v>
      </c>
      <c r="P93" s="4">
        <f>filings!Q93/daily!$A93</f>
        <v>47.670551724137937</v>
      </c>
      <c r="Q93" s="4">
        <f>filings!R93/daily!$A93</f>
        <v>60.877413793103443</v>
      </c>
      <c r="R93" s="4">
        <f>filings!S93/daily!$A93</f>
        <v>6.6173793103448277</v>
      </c>
      <c r="S93" s="4">
        <f t="shared" si="40"/>
        <v>54.260034482758613</v>
      </c>
      <c r="T93" s="18">
        <f t="shared" si="41"/>
        <v>1.3234220389805096</v>
      </c>
      <c r="U93" s="2">
        <f t="shared" si="42"/>
        <v>3.8662413159288462E-5</v>
      </c>
      <c r="V93" s="31">
        <f t="shared" si="43"/>
        <v>3.6020672408372963E-5</v>
      </c>
      <c r="W93" s="2">
        <f t="shared" si="44"/>
        <v>4.6E-5</v>
      </c>
      <c r="X93" s="4">
        <f>D93-filings!N93*C93*1000000</f>
        <v>49.553413793103452</v>
      </c>
      <c r="Y93" s="4">
        <f t="shared" si="18"/>
        <v>55.97235172413793</v>
      </c>
      <c r="Z93">
        <f t="shared" si="39"/>
        <v>2</v>
      </c>
    </row>
    <row r="94" spans="1:26" x14ac:dyDescent="0.25">
      <c r="A94">
        <f t="shared" si="21"/>
        <v>31</v>
      </c>
      <c r="B94" s="1">
        <v>36586</v>
      </c>
      <c r="C94" s="18">
        <f>(filings!C94+filings!D94)*filings!K94/daily!$A94/1000000</f>
        <v>1.1968387096774193</v>
      </c>
      <c r="D94" s="4">
        <f>filings!$D94/daily!$A94</f>
        <v>43.548387096774192</v>
      </c>
      <c r="E94" s="4">
        <f>filings!E96/daily!$A94</f>
        <v>43.506709677419359</v>
      </c>
      <c r="F94" s="4">
        <f>filings!F96/daily!$A94</f>
        <v>51.657354838709672</v>
      </c>
      <c r="G94" s="4">
        <f>filings!G96/daily!$A94</f>
        <v>4.032258064516129</v>
      </c>
      <c r="H94" s="4">
        <f>filings!H96/daily!$A94</f>
        <v>-12.182903225806447</v>
      </c>
      <c r="I94" s="4">
        <f>filings!I94/daily!$A94</f>
        <v>39.659129032258072</v>
      </c>
      <c r="J94" s="12">
        <f t="shared" si="16"/>
        <v>3.638617864266077E-5</v>
      </c>
      <c r="K94" s="25">
        <f t="shared" si="17"/>
        <v>3.3136569457172127E-5</v>
      </c>
      <c r="L94" s="14">
        <v>3.4E-5</v>
      </c>
      <c r="M94" s="17">
        <f>filings!N94</f>
        <v>5.0000000000000004E-6</v>
      </c>
      <c r="N94" s="4">
        <f>filings!O94/daily!$A94</f>
        <v>47.385967741935481</v>
      </c>
      <c r="O94" s="4">
        <f>filings!P94/daily!$A94</f>
        <v>4.2713870967741938</v>
      </c>
      <c r="P94" s="4">
        <f>filings!Q94/daily!$A94</f>
        <v>51.657354838709672</v>
      </c>
      <c r="Q94" s="4">
        <f>filings!R94/daily!$A94</f>
        <v>43.506709677419359</v>
      </c>
      <c r="R94" s="4">
        <f>filings!S94/daily!$A94</f>
        <v>6.3998387096774199</v>
      </c>
      <c r="S94" s="4">
        <f>Q94-R94</f>
        <v>37.106870967741941</v>
      </c>
      <c r="T94" s="18">
        <f t="shared" si="41"/>
        <v>1.2796091081593928</v>
      </c>
      <c r="U94" s="2">
        <f t="shared" si="42"/>
        <v>3.7031596164625694E-5</v>
      </c>
      <c r="V94" s="31">
        <f t="shared" si="43"/>
        <v>4.0369636718993284E-5</v>
      </c>
      <c r="W94" s="2">
        <f t="shared" si="44"/>
        <v>4.6E-5</v>
      </c>
      <c r="X94" s="4">
        <f>D94-filings!N94*C94*1000000</f>
        <v>37.564193548387095</v>
      </c>
      <c r="Y94" s="4">
        <f t="shared" si="18"/>
        <v>49.070387096774191</v>
      </c>
      <c r="Z94">
        <f t="shared" si="39"/>
        <v>3</v>
      </c>
    </row>
    <row r="95" spans="1:26" x14ac:dyDescent="0.25">
      <c r="A95">
        <f t="shared" si="21"/>
        <v>30</v>
      </c>
      <c r="B95" s="1">
        <v>36617</v>
      </c>
      <c r="C95" s="18">
        <f>(filings!C95+filings!D95)*filings!K95/daily!$A95/1000000</f>
        <v>1.2951293333333334</v>
      </c>
      <c r="D95" s="4">
        <f>filings!$D95/daily!$A95</f>
        <v>48.333333333333336</v>
      </c>
      <c r="E95" s="4">
        <f>filings!E97/daily!$A95</f>
        <v>37.787533333333336</v>
      </c>
      <c r="F95" s="4">
        <f>filings!F97/daily!$A95</f>
        <v>41.641100000000002</v>
      </c>
      <c r="G95" s="4">
        <f>filings!G97/daily!$A95</f>
        <v>5.3385333333333334</v>
      </c>
      <c r="H95" s="4">
        <f>filings!H97/daily!$A95</f>
        <v>-9.1920999999999999</v>
      </c>
      <c r="I95" s="4">
        <f>filings!I95/daily!$A95</f>
        <v>40.82033333333333</v>
      </c>
      <c r="J95" s="12">
        <f>$D95/$C95/1000000</f>
        <v>3.7319310195017851E-5</v>
      </c>
      <c r="K95" s="25">
        <f>$I95/$C95/1000000</f>
        <v>3.1518345143393655E-5</v>
      </c>
      <c r="L95" s="14">
        <v>3.1999999999999999E-5</v>
      </c>
      <c r="M95" s="17">
        <f>filings!N95</f>
        <v>5.0000000000000004E-6</v>
      </c>
      <c r="N95" s="4">
        <f>filings!O95/daily!$A95</f>
        <v>41.184899999999999</v>
      </c>
      <c r="O95" s="4">
        <f>filings!P95/daily!$A95</f>
        <v>0.45619999999999999</v>
      </c>
      <c r="P95" s="4">
        <f>filings!Q95/daily!$A95</f>
        <v>41.641100000000002</v>
      </c>
      <c r="Q95" s="4">
        <f>filings!R95/daily!$A95</f>
        <v>37.787533333333336</v>
      </c>
      <c r="R95" s="4">
        <f>filings!S95/daily!$A95</f>
        <v>5.9062000000000001</v>
      </c>
      <c r="S95" s="4">
        <f>Q95-R95</f>
        <v>31.881333333333338</v>
      </c>
      <c r="T95" s="18">
        <f t="shared" si="41"/>
        <v>1.1808604166666667</v>
      </c>
      <c r="U95" s="2">
        <f t="shared" si="42"/>
        <v>3.4877026461990109E-5</v>
      </c>
      <c r="V95" s="31">
        <f t="shared" si="43"/>
        <v>3.5263354933637722E-5</v>
      </c>
      <c r="W95" s="2">
        <f t="shared" si="44"/>
        <v>4.6E-5</v>
      </c>
      <c r="X95" s="4">
        <f>D95-filings!N95*C95*1000000</f>
        <v>41.857686666666666</v>
      </c>
      <c r="Y95" s="4">
        <f>0.000041*C95*1000000</f>
        <v>53.100302666666671</v>
      </c>
      <c r="Z95">
        <f t="shared" si="39"/>
        <v>4</v>
      </c>
    </row>
    <row r="96" spans="1:26" x14ac:dyDescent="0.25">
      <c r="A96">
        <f t="shared" si="21"/>
        <v>31</v>
      </c>
      <c r="B96" s="1">
        <v>36647</v>
      </c>
      <c r="C96" s="18">
        <f>(filings!C96+filings!D96)*filings!K96/daily!$A96/1000000</f>
        <v>1.1876129032258065</v>
      </c>
      <c r="D96" s="4">
        <f>filings!$D96/daily!$A96</f>
        <v>25.806451612903224</v>
      </c>
      <c r="E96" s="4">
        <f>filings!E98/daily!$A96</f>
        <v>40.040225806451616</v>
      </c>
      <c r="F96" s="4">
        <f>filings!F98/daily!$A96</f>
        <v>49.554161290322583</v>
      </c>
      <c r="G96" s="4">
        <f>filings!G98/daily!$A96</f>
        <v>5.940032258064516</v>
      </c>
      <c r="H96" s="4">
        <f>filings!H98/daily!$A96</f>
        <v>-15.453967741935482</v>
      </c>
      <c r="I96" s="4">
        <f>filings!I96/daily!$A96</f>
        <v>37.989354838709673</v>
      </c>
      <c r="J96" s="12">
        <f t="shared" ref="J96:J101" si="45">$D96/$C96/1000000</f>
        <v>2.17296827466319E-5</v>
      </c>
      <c r="K96" s="25">
        <f t="shared" ref="K96:K101" si="46">$I96/$C96/1000000</f>
        <v>3.1987994350282482E-5</v>
      </c>
      <c r="L96" s="14">
        <f>filings!M96</f>
        <v>3.1999999999999999E-5</v>
      </c>
      <c r="M96" s="17">
        <f>filings!N96</f>
        <v>5.0000000000000004E-6</v>
      </c>
      <c r="N96" s="4">
        <f>filings!O96/daily!$A96</f>
        <v>49.649096774193552</v>
      </c>
      <c r="O96" s="4">
        <f>filings!P96/daily!$A96</f>
        <v>-9.4935483870967743E-2</v>
      </c>
      <c r="P96" s="4">
        <f>filings!Q96/daily!$A96</f>
        <v>49.554161290322583</v>
      </c>
      <c r="Q96" s="4">
        <f>filings!R96/daily!$A96</f>
        <v>40.040225806451616</v>
      </c>
      <c r="R96" s="4">
        <f>filings!S96/daily!$A96</f>
        <v>6.2582903225806454</v>
      </c>
      <c r="S96" s="4">
        <f t="shared" ref="S96:S101" si="47">Q96-R96</f>
        <v>33.781935483870967</v>
      </c>
      <c r="T96" s="18">
        <f t="shared" ref="T96:T101" si="48">Q96/L96/1000000</f>
        <v>1.251257056451613</v>
      </c>
      <c r="U96" s="2">
        <f t="shared" ref="U96:U101" si="49">N96/$T96/1000000</f>
        <v>3.9679374048839588E-5</v>
      </c>
      <c r="V96" s="31">
        <f t="shared" ref="V96:V101" si="50">P96/$T96/1000000</f>
        <v>3.9603501962139687E-5</v>
      </c>
      <c r="W96" s="2">
        <f t="shared" si="44"/>
        <v>4.6E-5</v>
      </c>
      <c r="X96" s="4">
        <f>D96-filings!N96*C96*1000000</f>
        <v>19.868387096774192</v>
      </c>
      <c r="Y96" s="4">
        <f t="shared" ref="Y96:Y101" si="51">0.000041*C96*1000000</f>
        <v>48.692129032258066</v>
      </c>
      <c r="Z96">
        <f t="shared" si="39"/>
        <v>5</v>
      </c>
    </row>
    <row r="97" spans="1:26" x14ac:dyDescent="0.25">
      <c r="A97">
        <f t="shared" si="21"/>
        <v>30</v>
      </c>
      <c r="B97" s="1">
        <v>36678</v>
      </c>
      <c r="C97" s="18">
        <f>(filings!C97+filings!D97)*filings!K97/daily!$A97/1000000</f>
        <v>1.2830999999999999</v>
      </c>
      <c r="D97" s="4">
        <f>filings!$D97/daily!$A97</f>
        <v>34.166666666666664</v>
      </c>
      <c r="E97" s="4">
        <f>filings!E99/daily!$A97</f>
        <v>43.749266666666671</v>
      </c>
      <c r="F97" s="4">
        <f>filings!F99/daily!$A97</f>
        <v>57.466633333333334</v>
      </c>
      <c r="G97" s="4">
        <f>filings!G99/daily!$A97</f>
        <v>5.7108000000000008</v>
      </c>
      <c r="H97" s="4">
        <f>filings!H99/daily!$A97</f>
        <v>-19.428166666666666</v>
      </c>
      <c r="I97" s="4">
        <f>filings!I97/daily!$A97</f>
        <v>43.358766666666661</v>
      </c>
      <c r="J97" s="12">
        <f t="shared" si="45"/>
        <v>2.6628218117579821E-5</v>
      </c>
      <c r="K97" s="25">
        <f t="shared" si="46"/>
        <v>3.3792195983685346E-5</v>
      </c>
      <c r="L97" s="14">
        <f>filings!M97</f>
        <v>3.4E-5</v>
      </c>
      <c r="M97" s="17">
        <f>filings!N97</f>
        <v>5.0000000000000004E-6</v>
      </c>
      <c r="N97" s="4">
        <f>filings!O97/daily!$A97</f>
        <v>56.182166666666667</v>
      </c>
      <c r="O97" s="4">
        <f>filings!P97/daily!$A97</f>
        <v>1.2844666666666666</v>
      </c>
      <c r="P97" s="4">
        <f>filings!Q97/daily!$A97</f>
        <v>57.466633333333334</v>
      </c>
      <c r="Q97" s="4">
        <f>filings!R97/daily!$A97</f>
        <v>43.749266666666671</v>
      </c>
      <c r="R97" s="4">
        <f>filings!S97/daily!$A97</f>
        <v>6.4355333333333338</v>
      </c>
      <c r="S97" s="4">
        <f t="shared" si="47"/>
        <v>37.313733333333339</v>
      </c>
      <c r="T97" s="18">
        <f t="shared" si="48"/>
        <v>1.2867431372549021</v>
      </c>
      <c r="U97" s="2">
        <f t="shared" si="49"/>
        <v>4.3662301387147061E-5</v>
      </c>
      <c r="V97" s="31">
        <f t="shared" si="50"/>
        <v>4.4660532214635213E-5</v>
      </c>
      <c r="W97" s="2">
        <f t="shared" si="44"/>
        <v>4.6E-5</v>
      </c>
      <c r="X97" s="4">
        <f>D97-filings!N97*C97*1000000</f>
        <v>27.751166666666663</v>
      </c>
      <c r="Y97" s="4">
        <f t="shared" si="51"/>
        <v>52.607100000000003</v>
      </c>
      <c r="Z97">
        <f t="shared" si="39"/>
        <v>6</v>
      </c>
    </row>
    <row r="98" spans="1:26" x14ac:dyDescent="0.25">
      <c r="A98">
        <f t="shared" si="21"/>
        <v>31</v>
      </c>
      <c r="B98" s="1">
        <v>36708</v>
      </c>
      <c r="C98" s="18">
        <f>(filings!C98+filings!D98)*filings!K98/daily!$A98/1000000</f>
        <v>1.2778329032258064</v>
      </c>
      <c r="D98" s="4">
        <f>filings!$D98/daily!$A98</f>
        <v>38.016129032258064</v>
      </c>
      <c r="E98" s="4">
        <f>filings!E100/daily!$A98</f>
        <v>56.481419354838707</v>
      </c>
      <c r="F98" s="4">
        <f>filings!F100/daily!$A98</f>
        <v>67.043967741935475</v>
      </c>
      <c r="G98" s="4">
        <f>filings!G100/daily!$A98</f>
        <v>5.6264193548387098</v>
      </c>
      <c r="H98" s="4">
        <f>filings!H100/daily!$A98</f>
        <v>-16.188967741935478</v>
      </c>
      <c r="I98" s="4">
        <f>filings!I98/daily!$A98</f>
        <v>53.470096774193543</v>
      </c>
      <c r="J98" s="12">
        <f t="shared" si="45"/>
        <v>2.975046967118221E-5</v>
      </c>
      <c r="K98" s="25">
        <f t="shared" si="46"/>
        <v>4.1844357458014849E-5</v>
      </c>
      <c r="L98" s="14">
        <f>filings!M98</f>
        <v>4.3000000000000002E-5</v>
      </c>
      <c r="M98" s="17">
        <f>filings!N98</f>
        <v>6.0000000000000002E-6</v>
      </c>
      <c r="N98" s="4">
        <f>filings!O98/daily!$A98</f>
        <v>62.428870967741936</v>
      </c>
      <c r="O98" s="4">
        <f>filings!P98/daily!$A98</f>
        <v>4.6150967741935487</v>
      </c>
      <c r="P98" s="4">
        <f>filings!Q98/daily!$A98</f>
        <v>67.043967741935489</v>
      </c>
      <c r="Q98" s="4">
        <f>filings!R98/daily!$A98</f>
        <v>56.46109677419355</v>
      </c>
      <c r="R98" s="4">
        <f>filings!S98/daily!$A98</f>
        <v>7.8763225806451613</v>
      </c>
      <c r="S98" s="4">
        <f t="shared" si="47"/>
        <v>48.584774193548391</v>
      </c>
      <c r="T98" s="18">
        <f t="shared" si="48"/>
        <v>1.3130487621905476</v>
      </c>
      <c r="U98" s="2">
        <f t="shared" si="49"/>
        <v>4.754497530129224E-5</v>
      </c>
      <c r="V98" s="31">
        <f t="shared" si="50"/>
        <v>5.105976995864695E-5</v>
      </c>
      <c r="W98" s="2">
        <f t="shared" si="44"/>
        <v>4.7000000000000004E-5</v>
      </c>
      <c r="X98" s="4">
        <f>D98-filings!N98*C98*1000000</f>
        <v>30.349131612903225</v>
      </c>
      <c r="Y98" s="4">
        <f t="shared" si="51"/>
        <v>52.391149032258063</v>
      </c>
      <c r="Z98">
        <f t="shared" si="39"/>
        <v>7</v>
      </c>
    </row>
    <row r="99" spans="1:26" x14ac:dyDescent="0.25">
      <c r="A99">
        <f t="shared" si="21"/>
        <v>31</v>
      </c>
      <c r="B99" s="1">
        <v>36739</v>
      </c>
      <c r="C99" s="18">
        <f>(filings!C99+filings!D99)*filings!K99/daily!$A99/1000000</f>
        <v>1.2105096774193549</v>
      </c>
      <c r="D99" s="4">
        <f>filings!$D99/daily!$A99</f>
        <v>37.58064516129032</v>
      </c>
      <c r="E99" s="4">
        <f>filings!E101/daily!$A99</f>
        <v>58.353516129032258</v>
      </c>
      <c r="F99" s="4">
        <f>filings!F101/daily!$A99</f>
        <v>64.251387096774195</v>
      </c>
      <c r="G99" s="4">
        <f>filings!G101/daily!$A99</f>
        <v>5.4564193548387099</v>
      </c>
      <c r="H99" s="4">
        <f>filings!H101/daily!$A99</f>
        <v>-11.35429032258064</v>
      </c>
      <c r="I99" s="4">
        <f>filings!I99/daily!$A99</f>
        <v>56.382096774193549</v>
      </c>
      <c r="J99" s="12">
        <f t="shared" si="45"/>
        <v>3.1045307495110028E-5</v>
      </c>
      <c r="K99" s="25">
        <f t="shared" si="46"/>
        <v>4.6577154917416811E-5</v>
      </c>
      <c r="L99" s="14">
        <f>filings!M99</f>
        <v>4.6999999999999997E-5</v>
      </c>
      <c r="M99" s="17">
        <f>filings!N99</f>
        <v>6.0000000000000002E-6</v>
      </c>
      <c r="N99" s="4">
        <f>filings!O99/daily!$A99</f>
        <v>57.181870967741936</v>
      </c>
      <c r="O99" s="4">
        <f>filings!P99/daily!$A99</f>
        <v>7.0695161290322579</v>
      </c>
      <c r="P99" s="4">
        <f>filings!Q99/daily!$A99</f>
        <v>64.251387096774195</v>
      </c>
      <c r="Q99" s="4">
        <f>filings!R99/daily!$A99</f>
        <v>58.353516129032258</v>
      </c>
      <c r="R99" s="4">
        <f>filings!S99/daily!$A99</f>
        <v>7.451741935483871</v>
      </c>
      <c r="S99" s="4">
        <f t="shared" si="47"/>
        <v>50.901774193548384</v>
      </c>
      <c r="T99" s="18">
        <f t="shared" si="48"/>
        <v>1.2415641729581333</v>
      </c>
      <c r="U99" s="2">
        <f t="shared" si="49"/>
        <v>4.6056315261982164E-5</v>
      </c>
      <c r="V99" s="31">
        <f t="shared" si="50"/>
        <v>5.1750355314852347E-5</v>
      </c>
      <c r="W99" s="2">
        <f t="shared" si="44"/>
        <v>4.7000000000000004E-5</v>
      </c>
      <c r="X99" s="4">
        <f>D99-filings!N99*C99*1000000</f>
        <v>30.31758709677419</v>
      </c>
      <c r="Y99" s="4">
        <f t="shared" si="51"/>
        <v>49.630896774193552</v>
      </c>
      <c r="Z99">
        <f t="shared" si="39"/>
        <v>8</v>
      </c>
    </row>
    <row r="100" spans="1:26" x14ac:dyDescent="0.25">
      <c r="A100">
        <f t="shared" si="21"/>
        <v>30</v>
      </c>
      <c r="B100" s="1">
        <v>36770</v>
      </c>
      <c r="C100" s="18">
        <f>(filings!C100+filings!D100)*filings!K100/daily!$A100/1000000</f>
        <v>1.2696666666666667</v>
      </c>
      <c r="D100" s="4">
        <f>filings!$D100/daily!$A100</f>
        <v>41.666666666666664</v>
      </c>
      <c r="I100" s="4">
        <f>filings!I100/daily!$A100</f>
        <v>58.395266666666657</v>
      </c>
      <c r="J100" s="12">
        <f t="shared" si="45"/>
        <v>3.2817012339196635E-5</v>
      </c>
      <c r="K100" s="25">
        <f t="shared" si="46"/>
        <v>4.5992596482016269E-5</v>
      </c>
      <c r="L100" s="14">
        <f>filings!M100</f>
        <v>4.6999999999999997E-5</v>
      </c>
      <c r="M100" s="17">
        <f>filings!N100</f>
        <v>6.0000000000000002E-6</v>
      </c>
      <c r="N100" s="4">
        <f>filings!O100/daily!$A100</f>
        <v>57.021766666666664</v>
      </c>
      <c r="O100" s="4">
        <f>filings!P100/daily!$A100</f>
        <v>4.2198333333333329</v>
      </c>
      <c r="P100" s="4">
        <f>filings!Q100/daily!$A100</f>
        <v>61.241599999999998</v>
      </c>
      <c r="Q100" s="4">
        <f>filings!R100/daily!$A100</f>
        <v>59.857266666666668</v>
      </c>
      <c r="R100" s="4">
        <f>filings!S100/daily!$A100</f>
        <v>7.6437666666666662</v>
      </c>
      <c r="S100" s="4">
        <f t="shared" si="47"/>
        <v>52.213500000000003</v>
      </c>
      <c r="T100" s="18">
        <f t="shared" si="48"/>
        <v>1.273558865248227</v>
      </c>
      <c r="U100" s="2">
        <f t="shared" si="49"/>
        <v>4.4773561884438425E-5</v>
      </c>
      <c r="V100" s="31">
        <f t="shared" si="50"/>
        <v>4.808698024968285E-5</v>
      </c>
      <c r="W100" s="2">
        <f t="shared" si="44"/>
        <v>4.7000000000000004E-5</v>
      </c>
      <c r="X100" s="4">
        <f>D100-filings!N100*C100*1000000</f>
        <v>34.048666666666662</v>
      </c>
      <c r="Y100" s="4">
        <f t="shared" si="51"/>
        <v>52.056333333333342</v>
      </c>
      <c r="Z100">
        <f t="shared" si="39"/>
        <v>9</v>
      </c>
    </row>
    <row r="101" spans="1:26" x14ac:dyDescent="0.25">
      <c r="A101">
        <f t="shared" si="21"/>
        <v>31</v>
      </c>
      <c r="B101" s="1">
        <v>36800</v>
      </c>
      <c r="C101" s="18">
        <f>(filings!C101+filings!D101)*filings!K101/daily!$A101/1000000</f>
        <v>1.1628709677419355</v>
      </c>
      <c r="D101" s="4">
        <f>filings!$D101/daily!$A101</f>
        <v>42.741935483870968</v>
      </c>
      <c r="I101" s="4">
        <f>filings!I101/daily!$A101</f>
        <v>54.096225806451606</v>
      </c>
      <c r="J101" s="12">
        <f t="shared" si="45"/>
        <v>3.6755527199090125E-5</v>
      </c>
      <c r="K101" s="25">
        <f t="shared" si="46"/>
        <v>4.6519542844461696E-5</v>
      </c>
      <c r="L101" s="14">
        <f>filings!M101</f>
        <v>4.6999999999999997E-5</v>
      </c>
      <c r="M101" s="17">
        <f>filings!N101</f>
        <v>6.0000000000000002E-6</v>
      </c>
      <c r="N101" s="4">
        <f>filings!O101/daily!$A101</f>
        <v>56.361258064516129</v>
      </c>
      <c r="O101" s="4">
        <f>filings!P101/daily!$A101</f>
        <v>-2.3599677419354839</v>
      </c>
      <c r="P101" s="4">
        <f>filings!Q101/daily!$A101</f>
        <v>54.001290322580644</v>
      </c>
      <c r="Q101" s="4">
        <f>filings!R101/daily!$A101</f>
        <v>60.622064516129036</v>
      </c>
      <c r="R101" s="4">
        <f>filings!S101/daily!$A101</f>
        <v>7.7414516129032265</v>
      </c>
      <c r="S101" s="4">
        <f t="shared" si="47"/>
        <v>52.88061290322581</v>
      </c>
      <c r="T101" s="18">
        <f t="shared" si="48"/>
        <v>1.2898311599176391</v>
      </c>
      <c r="U101" s="2">
        <f t="shared" si="49"/>
        <v>4.3696616903033278E-5</v>
      </c>
      <c r="V101" s="31">
        <f t="shared" si="50"/>
        <v>4.1866945070569425E-5</v>
      </c>
      <c r="W101" s="2">
        <f t="shared" si="44"/>
        <v>4.7000000000000004E-5</v>
      </c>
      <c r="X101" s="4">
        <f>D101-filings!N101*C101*1000000</f>
        <v>35.764709677419354</v>
      </c>
      <c r="Y101" s="4">
        <f t="shared" si="51"/>
        <v>47.677709677419358</v>
      </c>
      <c r="Z101">
        <f t="shared" si="39"/>
        <v>10</v>
      </c>
    </row>
    <row r="102" spans="1:26" x14ac:dyDescent="0.25">
      <c r="A102">
        <f t="shared" si="21"/>
        <v>30</v>
      </c>
      <c r="B102" s="1">
        <v>36831</v>
      </c>
      <c r="L102" s="14">
        <f>filings!M102</f>
        <v>4.6999999999999997E-5</v>
      </c>
      <c r="M102" s="17">
        <f>filings!N102</f>
        <v>6.0000000000000002E-6</v>
      </c>
      <c r="W102" s="2">
        <f t="shared" si="44"/>
        <v>4.7000000000000004E-5</v>
      </c>
      <c r="Z102">
        <f t="shared" si="39"/>
        <v>11</v>
      </c>
    </row>
    <row r="103" spans="1:26" x14ac:dyDescent="0.25">
      <c r="A103">
        <f t="shared" si="21"/>
        <v>31</v>
      </c>
      <c r="B103" s="1">
        <v>36861</v>
      </c>
      <c r="L103" s="14">
        <f>filings!M103</f>
        <v>4.6999999999999997E-5</v>
      </c>
      <c r="M103" s="17">
        <f>filings!N103</f>
        <v>6.0000000000000002E-6</v>
      </c>
      <c r="W103" s="2">
        <f t="shared" si="44"/>
        <v>4.7000000000000004E-5</v>
      </c>
      <c r="Z103">
        <f t="shared" si="39"/>
        <v>12</v>
      </c>
    </row>
    <row r="104" spans="1:26" x14ac:dyDescent="0.25">
      <c r="A104">
        <f t="shared" si="21"/>
        <v>31</v>
      </c>
      <c r="B104" s="1">
        <v>36892</v>
      </c>
      <c r="L104" s="14">
        <f>filings!M104</f>
        <v>5.1E-5</v>
      </c>
      <c r="M104" s="17">
        <f>filings!N104</f>
        <v>1.2E-5</v>
      </c>
      <c r="W104" s="2">
        <f>M104+0.00005</f>
        <v>6.2000000000000003E-5</v>
      </c>
      <c r="Z104">
        <f t="shared" si="39"/>
        <v>1</v>
      </c>
    </row>
    <row r="105" spans="1:26" x14ac:dyDescent="0.25">
      <c r="A105">
        <f t="shared" si="21"/>
        <v>28</v>
      </c>
      <c r="B105" s="1">
        <v>36923</v>
      </c>
      <c r="L105" s="14">
        <f>filings!M105</f>
        <v>5.8E-5</v>
      </c>
      <c r="M105" s="17">
        <f>filings!N105</f>
        <v>1.2E-5</v>
      </c>
      <c r="W105" s="2">
        <f t="shared" ref="W105:W116" si="52">M105+0.00005</f>
        <v>6.2000000000000003E-5</v>
      </c>
      <c r="Z105">
        <f t="shared" si="39"/>
        <v>2</v>
      </c>
    </row>
    <row r="106" spans="1:26" x14ac:dyDescent="0.25">
      <c r="A106">
        <f t="shared" si="21"/>
        <v>31</v>
      </c>
      <c r="B106" s="1">
        <v>36951</v>
      </c>
      <c r="L106" s="14">
        <f>filings!M106</f>
        <v>5.5999999999999999E-5</v>
      </c>
      <c r="M106" s="17">
        <f>filings!N106</f>
        <v>1.2E-5</v>
      </c>
      <c r="W106" s="2">
        <f t="shared" si="52"/>
        <v>6.2000000000000003E-5</v>
      </c>
      <c r="Z106">
        <f t="shared" si="39"/>
        <v>3</v>
      </c>
    </row>
    <row r="107" spans="1:26" x14ac:dyDescent="0.25">
      <c r="A107">
        <f t="shared" si="21"/>
        <v>30</v>
      </c>
      <c r="B107" s="1">
        <v>36982</v>
      </c>
      <c r="L107" s="14">
        <f>filings!M107</f>
        <v>5.1E-5</v>
      </c>
      <c r="M107" s="17">
        <f>filings!N107</f>
        <v>1.2E-5</v>
      </c>
      <c r="W107" s="2">
        <f t="shared" si="52"/>
        <v>6.2000000000000003E-5</v>
      </c>
      <c r="Z107">
        <f t="shared" si="39"/>
        <v>4</v>
      </c>
    </row>
    <row r="108" spans="1:26" x14ac:dyDescent="0.25">
      <c r="A108">
        <f t="shared" si="21"/>
        <v>31</v>
      </c>
      <c r="B108" s="1">
        <v>37012</v>
      </c>
      <c r="L108" s="14">
        <f>filings!M108</f>
        <v>4.3000000000000002E-5</v>
      </c>
      <c r="M108" s="17">
        <f>filings!N108</f>
        <v>1.2E-5</v>
      </c>
      <c r="W108" s="2">
        <f t="shared" si="52"/>
        <v>6.2000000000000003E-5</v>
      </c>
      <c r="Z108">
        <f t="shared" si="39"/>
        <v>5</v>
      </c>
    </row>
    <row r="109" spans="1:26" x14ac:dyDescent="0.25">
      <c r="A109">
        <f t="shared" si="21"/>
        <v>30</v>
      </c>
      <c r="B109" s="1">
        <v>37043</v>
      </c>
      <c r="L109" s="14"/>
      <c r="M109" s="17">
        <f>filings!N109</f>
        <v>1.2E-5</v>
      </c>
      <c r="W109" s="2">
        <f t="shared" si="52"/>
        <v>6.2000000000000003E-5</v>
      </c>
      <c r="Z109">
        <f t="shared" si="39"/>
        <v>6</v>
      </c>
    </row>
    <row r="110" spans="1:26" x14ac:dyDescent="0.25">
      <c r="A110">
        <f t="shared" si="21"/>
        <v>31</v>
      </c>
      <c r="B110" s="1">
        <v>37073</v>
      </c>
      <c r="L110" s="14"/>
      <c r="M110" s="17"/>
      <c r="W110" s="2">
        <f t="shared" si="52"/>
        <v>5.0000000000000002E-5</v>
      </c>
      <c r="Z110">
        <f t="shared" si="39"/>
        <v>7</v>
      </c>
    </row>
    <row r="111" spans="1:26" x14ac:dyDescent="0.25">
      <c r="A111">
        <f t="shared" si="21"/>
        <v>31</v>
      </c>
      <c r="B111" s="1">
        <v>37104</v>
      </c>
      <c r="L111" s="14"/>
      <c r="M111" s="17"/>
      <c r="W111" s="2">
        <f t="shared" si="52"/>
        <v>5.0000000000000002E-5</v>
      </c>
      <c r="Z111">
        <f t="shared" si="39"/>
        <v>8</v>
      </c>
    </row>
    <row r="112" spans="1:26" x14ac:dyDescent="0.25">
      <c r="A112">
        <f t="shared" si="21"/>
        <v>30</v>
      </c>
      <c r="B112" s="1">
        <v>37135</v>
      </c>
      <c r="L112" s="14"/>
      <c r="M112" s="17"/>
      <c r="W112" s="2">
        <f t="shared" si="52"/>
        <v>5.0000000000000002E-5</v>
      </c>
      <c r="Z112">
        <f t="shared" si="39"/>
        <v>9</v>
      </c>
    </row>
    <row r="113" spans="1:26" x14ac:dyDescent="0.25">
      <c r="A113">
        <f t="shared" si="21"/>
        <v>31</v>
      </c>
      <c r="B113" s="1">
        <v>37165</v>
      </c>
      <c r="L113" s="14"/>
      <c r="M113" s="17"/>
      <c r="W113" s="2">
        <f t="shared" si="52"/>
        <v>5.0000000000000002E-5</v>
      </c>
      <c r="Z113">
        <f t="shared" si="39"/>
        <v>10</v>
      </c>
    </row>
    <row r="114" spans="1:26" x14ac:dyDescent="0.25">
      <c r="A114">
        <f t="shared" si="21"/>
        <v>30</v>
      </c>
      <c r="B114" s="1">
        <v>37196</v>
      </c>
      <c r="L114" s="14"/>
      <c r="M114" s="17"/>
      <c r="W114" s="2">
        <f t="shared" si="52"/>
        <v>5.0000000000000002E-5</v>
      </c>
      <c r="Z114">
        <f t="shared" si="39"/>
        <v>11</v>
      </c>
    </row>
    <row r="115" spans="1:26" x14ac:dyDescent="0.25">
      <c r="A115">
        <f t="shared" si="21"/>
        <v>31</v>
      </c>
      <c r="B115" s="1">
        <v>37226</v>
      </c>
      <c r="L115" s="14"/>
      <c r="M115" s="17"/>
      <c r="W115" s="2">
        <f t="shared" si="52"/>
        <v>5.0000000000000002E-5</v>
      </c>
      <c r="Z115">
        <f t="shared" si="39"/>
        <v>12</v>
      </c>
    </row>
    <row r="116" spans="1:26" x14ac:dyDescent="0.25">
      <c r="B116" s="1">
        <v>37257</v>
      </c>
      <c r="L116" s="14"/>
      <c r="M116" s="17"/>
      <c r="W116" s="2">
        <f t="shared" si="52"/>
        <v>5.0000000000000002E-5</v>
      </c>
      <c r="Z116">
        <f t="shared" si="39"/>
        <v>1</v>
      </c>
    </row>
    <row r="117" spans="1:26" x14ac:dyDescent="0.25">
      <c r="B117" s="1"/>
      <c r="L117" s="14"/>
      <c r="M117" s="17"/>
      <c r="W117" s="2"/>
    </row>
  </sheetData>
  <pageMargins left="0.5" right="0.5" top="0.5" bottom="0.75" header="0.5" footer="0.5"/>
  <pageSetup scale="64" fitToHeight="2" orientation="landscape" verticalDpi="144" r:id="rId1"/>
  <headerFooter alignWithMargins="0">
    <oddFooter>&amp;L&amp;F&amp;C&amp;A&amp;R&amp;D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1"/>
  <sheetViews>
    <sheetView zoomScale="75" workbookViewId="0">
      <pane xSplit="2" ySplit="7" topLeftCell="C85" activePane="bottomRight" state="frozen"/>
      <selection pane="topRight" activeCell="B1" sqref="B1"/>
      <selection pane="bottomLeft" activeCell="A5" sqref="A5"/>
      <selection pane="bottomRight" activeCell="A107" sqref="A107"/>
    </sheetView>
  </sheetViews>
  <sheetFormatPr defaultRowHeight="13.2" x14ac:dyDescent="0.25"/>
  <cols>
    <col min="1" max="1" width="3.109375" bestFit="1" customWidth="1"/>
    <col min="2" max="2" width="8.109375" bestFit="1" customWidth="1"/>
    <col min="3" max="3" width="8.6640625" customWidth="1"/>
    <col min="4" max="4" width="8.6640625" bestFit="1" customWidth="1"/>
    <col min="5" max="6" width="9" bestFit="1" customWidth="1"/>
    <col min="10" max="10" width="7.6640625" bestFit="1" customWidth="1"/>
    <col min="11" max="11" width="6.33203125" customWidth="1"/>
    <col min="12" max="12" width="12.109375" bestFit="1" customWidth="1"/>
    <col min="13" max="13" width="12.33203125" customWidth="1"/>
    <col min="14" max="14" width="10.88671875" bestFit="1" customWidth="1"/>
    <col min="15" max="15" width="10.5546875" bestFit="1" customWidth="1"/>
    <col min="17" max="17" width="8.6640625" bestFit="1" customWidth="1"/>
    <col min="18" max="18" width="9.33203125" bestFit="1" customWidth="1"/>
    <col min="21" max="21" width="8.88671875" customWidth="1"/>
    <col min="22" max="22" width="7" bestFit="1" customWidth="1"/>
    <col min="23" max="23" width="7.109375" bestFit="1" customWidth="1"/>
    <col min="25" max="25" width="8.88671875" bestFit="1" customWidth="1"/>
    <col min="28" max="28" width="9.88671875" bestFit="1" customWidth="1"/>
    <col min="37" max="38" width="9.33203125" bestFit="1" customWidth="1"/>
    <col min="39" max="39" width="9.44140625" bestFit="1" customWidth="1"/>
    <col min="41" max="41" width="7.5546875" bestFit="1" customWidth="1"/>
    <col min="42" max="42" width="6.44140625" bestFit="1" customWidth="1"/>
    <col min="43" max="43" width="9.88671875" bestFit="1" customWidth="1"/>
    <col min="44" max="44" width="11.6640625" bestFit="1" customWidth="1"/>
    <col min="45" max="45" width="14.44140625" bestFit="1" customWidth="1"/>
    <col min="46" max="46" width="13.109375" bestFit="1" customWidth="1"/>
    <col min="47" max="47" width="6.44140625" bestFit="1" customWidth="1"/>
    <col min="50" max="50" width="13.88671875" bestFit="1" customWidth="1"/>
    <col min="51" max="51" width="12.109375" bestFit="1" customWidth="1"/>
  </cols>
  <sheetData>
    <row r="1" spans="1:52" x14ac:dyDescent="0.25">
      <c r="C1" s="19" t="s">
        <v>36</v>
      </c>
      <c r="L1" s="6"/>
      <c r="M1" s="19" t="s">
        <v>38</v>
      </c>
      <c r="T1" s="6"/>
      <c r="U1" s="37" t="s">
        <v>48</v>
      </c>
      <c r="V1" s="35"/>
      <c r="W1" s="40"/>
      <c r="X1" s="22" t="s">
        <v>50</v>
      </c>
      <c r="Y1" s="22" t="s">
        <v>50</v>
      </c>
      <c r="Z1" s="4">
        <f>MAX(Z23:Z116)</f>
        <v>244.6541082657975</v>
      </c>
      <c r="AB1" s="4">
        <f>MAX(AB18:AB100)</f>
        <v>295.44899999999859</v>
      </c>
      <c r="AC1" s="4"/>
    </row>
    <row r="2" spans="1:52" x14ac:dyDescent="0.25">
      <c r="B2" s="3" t="s">
        <v>12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6">
        <v>10</v>
      </c>
      <c r="M2" s="12">
        <f>AVERAGE(M18:M121)</f>
        <v>4.1362637362637367E-5</v>
      </c>
      <c r="N2" s="12">
        <f>AVERAGE(N18:N121)</f>
        <v>6.071428571428572E-6</v>
      </c>
      <c r="T2" s="6"/>
      <c r="U2" s="38"/>
      <c r="V2" s="36"/>
      <c r="W2" s="7">
        <f>W4*1.055056*35.30101</f>
        <v>38.231223964655378</v>
      </c>
      <c r="X2" s="22"/>
      <c r="Y2" s="27">
        <f>AVERAGE(Y19:Y116)</f>
        <v>476.29380867539601</v>
      </c>
      <c r="Z2" s="30">
        <f>MIN(Z55:Z95)</f>
        <v>215.72857518796991</v>
      </c>
      <c r="AB2" s="4">
        <f>MIN(AB18:AB100)</f>
        <v>-3672.4310000000009</v>
      </c>
      <c r="AC2" s="4"/>
      <c r="AP2">
        <f t="shared" ref="AP2:AV2" si="0">MAX(AP$68:AP$101)</f>
        <v>589.97055680342908</v>
      </c>
      <c r="AQ2" s="2">
        <f t="shared" si="0"/>
        <v>4.8000000000000001E-5</v>
      </c>
      <c r="AR2" s="88">
        <f t="shared" si="0"/>
        <v>4.9631760255731192E-5</v>
      </c>
      <c r="AS2" s="88">
        <f t="shared" si="0"/>
        <v>5.6514561825279118E-5</v>
      </c>
      <c r="AT2" s="88">
        <f t="shared" si="0"/>
        <v>9.9488237081723377E-6</v>
      </c>
      <c r="AU2" s="4">
        <f t="shared" si="0"/>
        <v>501.30260253863571</v>
      </c>
      <c r="AV2" s="4">
        <f t="shared" si="0"/>
        <v>579.0388488964137</v>
      </c>
      <c r="AZ2" s="18">
        <f>MAX(AZ$68:AZ$101)</f>
        <v>1.3464647102580645</v>
      </c>
    </row>
    <row r="3" spans="1:52" x14ac:dyDescent="0.25">
      <c r="B3" s="3" t="s">
        <v>13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3" t="s">
        <v>40</v>
      </c>
      <c r="K3" s="3" t="s">
        <v>10</v>
      </c>
      <c r="L3" s="8" t="s">
        <v>84</v>
      </c>
      <c r="M3" s="11" t="s">
        <v>84</v>
      </c>
      <c r="N3" s="11" t="s">
        <v>84</v>
      </c>
      <c r="O3" s="3" t="s">
        <v>9</v>
      </c>
      <c r="P3" s="3" t="s">
        <v>9</v>
      </c>
      <c r="Q3" s="3" t="s">
        <v>9</v>
      </c>
      <c r="R3" s="3" t="s">
        <v>9</v>
      </c>
      <c r="S3" s="3" t="s">
        <v>9</v>
      </c>
      <c r="T3" s="3" t="s">
        <v>9</v>
      </c>
      <c r="U3" s="38" t="s">
        <v>9</v>
      </c>
      <c r="V3" s="36" t="s">
        <v>88</v>
      </c>
      <c r="W3" s="41" t="s">
        <v>88</v>
      </c>
      <c r="X3" s="22" t="s">
        <v>85</v>
      </c>
      <c r="Y3" s="22" t="s">
        <v>51</v>
      </c>
      <c r="Z3" s="22" t="s">
        <v>85</v>
      </c>
      <c r="AA3" s="3" t="s">
        <v>9</v>
      </c>
      <c r="AB3" s="4">
        <f>MAX(0,AB1)-MIN(0,AB2)</f>
        <v>3967.8799999999997</v>
      </c>
      <c r="AC3" s="4"/>
      <c r="AH3" s="5" t="s">
        <v>81</v>
      </c>
      <c r="AI3" s="3" t="s">
        <v>9</v>
      </c>
      <c r="AP3">
        <f t="shared" ref="AP3:AV3" si="1">MIN(AP$68:AP$101)</f>
        <v>491.26301859322149</v>
      </c>
      <c r="AQ3" s="2">
        <f t="shared" si="1"/>
        <v>3.0000000000000001E-5</v>
      </c>
      <c r="AR3" s="88">
        <f t="shared" si="1"/>
        <v>3.1927201953739174E-5</v>
      </c>
      <c r="AS3" s="88">
        <f t="shared" si="1"/>
        <v>3.430624496269691E-5</v>
      </c>
      <c r="AT3" s="88">
        <f t="shared" si="1"/>
        <v>-5.8425464220057154E-6</v>
      </c>
      <c r="AU3" s="4">
        <f t="shared" si="1"/>
        <v>463.78753126753793</v>
      </c>
      <c r="AV3" s="4">
        <f t="shared" si="1"/>
        <v>479.94560139786529</v>
      </c>
      <c r="AZ3" s="18">
        <f>MIN(AZ$68:AZ$101)</f>
        <v>1.1060641450666668</v>
      </c>
    </row>
    <row r="4" spans="1:52" x14ac:dyDescent="0.25">
      <c r="B4" s="3" t="s">
        <v>14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5" t="s">
        <v>16</v>
      </c>
      <c r="I4" s="5" t="s">
        <v>17</v>
      </c>
      <c r="J4" s="5" t="s">
        <v>18</v>
      </c>
      <c r="K4" s="3" t="s">
        <v>15</v>
      </c>
      <c r="L4" s="8" t="s">
        <v>19</v>
      </c>
      <c r="M4" s="3" t="s">
        <v>15</v>
      </c>
      <c r="N4" s="3"/>
      <c r="O4" s="3" t="s">
        <v>15</v>
      </c>
      <c r="P4" s="3" t="s">
        <v>15</v>
      </c>
      <c r="Q4" s="3" t="s">
        <v>15</v>
      </c>
      <c r="R4" s="3" t="s">
        <v>15</v>
      </c>
      <c r="T4" s="6"/>
      <c r="U4" s="13" t="s">
        <v>15</v>
      </c>
      <c r="V4" s="11"/>
      <c r="W4" s="43">
        <f>(SUM(O30:O43))/(SUM(W30:W43))</f>
        <v>1.0264919769271106</v>
      </c>
      <c r="X4" s="22"/>
      <c r="Y4" s="22"/>
      <c r="Z4" s="22" t="s">
        <v>93</v>
      </c>
      <c r="AD4" s="5" t="s">
        <v>58</v>
      </c>
      <c r="AE4" s="3" t="s">
        <v>56</v>
      </c>
      <c r="AH4" s="5" t="s">
        <v>79</v>
      </c>
      <c r="AI4" s="3" t="s">
        <v>82</v>
      </c>
      <c r="AU4" s="4"/>
      <c r="AV4" s="4"/>
      <c r="AZ4" s="18"/>
    </row>
    <row r="5" spans="1:52" x14ac:dyDescent="0.25">
      <c r="B5" s="3"/>
      <c r="C5" s="3" t="s">
        <v>22</v>
      </c>
      <c r="D5" s="3" t="s">
        <v>22</v>
      </c>
      <c r="E5" s="3" t="s">
        <v>21</v>
      </c>
      <c r="F5" s="3" t="s">
        <v>21</v>
      </c>
      <c r="G5" s="3"/>
      <c r="H5" s="5"/>
      <c r="I5" s="5"/>
      <c r="J5" s="5"/>
      <c r="K5" s="3" t="s">
        <v>22</v>
      </c>
      <c r="L5" s="7" t="s">
        <v>22</v>
      </c>
      <c r="M5" s="11" t="s">
        <v>25</v>
      </c>
      <c r="N5" s="11" t="s">
        <v>30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7" t="s">
        <v>11</v>
      </c>
      <c r="U5" s="38" t="s">
        <v>49</v>
      </c>
      <c r="V5" s="36" t="s">
        <v>49</v>
      </c>
      <c r="W5" s="41" t="s">
        <v>44</v>
      </c>
      <c r="X5" s="22" t="s">
        <v>11</v>
      </c>
      <c r="Y5" s="22" t="s">
        <v>51</v>
      </c>
      <c r="Z5" s="22" t="s">
        <v>60</v>
      </c>
      <c r="AA5" s="3" t="s">
        <v>11</v>
      </c>
      <c r="AB5" s="3" t="s">
        <v>11</v>
      </c>
      <c r="AC5" s="3"/>
      <c r="AD5" s="5" t="s">
        <v>57</v>
      </c>
      <c r="AE5" s="3" t="s">
        <v>11</v>
      </c>
      <c r="AF5" s="3" t="s">
        <v>11</v>
      </c>
      <c r="AG5" s="3" t="s">
        <v>11</v>
      </c>
      <c r="AH5" s="5"/>
      <c r="AI5" s="5"/>
      <c r="AP5">
        <f t="shared" ref="AP5:AV5" si="2">AVERAGE(AP$68:AP$101)</f>
        <v>538.36813126224092</v>
      </c>
      <c r="AQ5" s="2">
        <f t="shared" si="2"/>
        <v>4.1705882352941161E-5</v>
      </c>
      <c r="AR5" s="88">
        <f t="shared" si="2"/>
        <v>4.3573492368913921E-5</v>
      </c>
      <c r="AS5" s="88">
        <f t="shared" si="2"/>
        <v>4.4168815362814194E-5</v>
      </c>
      <c r="AT5" s="88">
        <f>AVERAGE(AT$68:AT$101)</f>
        <v>5.9532299390025914E-7</v>
      </c>
      <c r="AU5" s="4">
        <f t="shared" si="2"/>
        <v>484.46558368890527</v>
      </c>
      <c r="AV5" s="4">
        <f t="shared" si="2"/>
        <v>526.61304149025318</v>
      </c>
      <c r="AZ5" s="18">
        <f>AVERAGE(AZ$68:AZ$101)</f>
        <v>1.2486191593190097</v>
      </c>
    </row>
    <row r="6" spans="1:52" x14ac:dyDescent="0.25">
      <c r="B6" s="3"/>
      <c r="C6" s="3"/>
      <c r="D6" s="3"/>
      <c r="E6" s="3" t="s">
        <v>90</v>
      </c>
      <c r="F6" s="3" t="s">
        <v>90</v>
      </c>
      <c r="G6" s="3" t="s">
        <v>90</v>
      </c>
      <c r="H6" s="3" t="s">
        <v>90</v>
      </c>
      <c r="I6" s="4" t="s">
        <v>4</v>
      </c>
      <c r="J6" s="3"/>
      <c r="K6" s="3"/>
      <c r="L6" s="7" t="s">
        <v>84</v>
      </c>
      <c r="M6" s="11" t="s">
        <v>84</v>
      </c>
      <c r="N6" s="11" t="s">
        <v>84</v>
      </c>
      <c r="O6" s="3" t="s">
        <v>26</v>
      </c>
      <c r="P6" s="3" t="s">
        <v>27</v>
      </c>
      <c r="Q6" s="3" t="s">
        <v>28</v>
      </c>
      <c r="R6" s="3" t="s">
        <v>5</v>
      </c>
      <c r="S6" s="3" t="s">
        <v>3</v>
      </c>
      <c r="T6" s="7" t="s">
        <v>29</v>
      </c>
      <c r="U6" s="38"/>
      <c r="V6" s="36"/>
      <c r="W6" s="41"/>
      <c r="X6" s="22" t="s">
        <v>53</v>
      </c>
      <c r="Y6" s="22" t="s">
        <v>52</v>
      </c>
      <c r="Z6" s="22" t="s">
        <v>53</v>
      </c>
      <c r="AA6" s="3" t="s">
        <v>44</v>
      </c>
      <c r="AB6" s="3" t="s">
        <v>44</v>
      </c>
      <c r="AC6" s="3"/>
      <c r="AD6" s="3" t="s">
        <v>45</v>
      </c>
      <c r="AE6" s="3" t="s">
        <v>45</v>
      </c>
      <c r="AF6" s="3" t="s">
        <v>46</v>
      </c>
      <c r="AG6" s="3" t="s">
        <v>47</v>
      </c>
      <c r="AH6" s="5"/>
      <c r="AI6" s="5"/>
      <c r="AP6">
        <f t="shared" ref="AP6:AV6" si="3">MEDIAN(AP$68:AP$101)</f>
        <v>533.19495796630326</v>
      </c>
      <c r="AQ6" s="2">
        <f t="shared" si="3"/>
        <v>4.35E-5</v>
      </c>
      <c r="AR6" s="88">
        <f t="shared" si="3"/>
        <v>4.5199274290425664E-5</v>
      </c>
      <c r="AS6" s="88">
        <f t="shared" si="3"/>
        <v>4.3862132055962595E-5</v>
      </c>
      <c r="AT6" s="88">
        <f>MEDIAN(AT$68:AT$101)</f>
        <v>6.7293886156821256E-7</v>
      </c>
      <c r="AU6" s="4">
        <f t="shared" si="3"/>
        <v>483.1317023849254</v>
      </c>
      <c r="AV6" s="4">
        <f t="shared" si="3"/>
        <v>520.69235608528095</v>
      </c>
      <c r="AZ6" s="18">
        <f>MEDIAN(AZ$68:AZ$101)</f>
        <v>1.2578984573623655</v>
      </c>
    </row>
    <row r="7" spans="1:52" x14ac:dyDescent="0.25">
      <c r="A7" s="3" t="s">
        <v>23</v>
      </c>
      <c r="B7" s="3" t="s">
        <v>24</v>
      </c>
      <c r="C7" s="3" t="s">
        <v>0</v>
      </c>
      <c r="D7" s="3" t="s">
        <v>37</v>
      </c>
      <c r="E7" s="3" t="s">
        <v>1</v>
      </c>
      <c r="F7" s="4" t="s">
        <v>2</v>
      </c>
      <c r="G7" s="4" t="s">
        <v>39</v>
      </c>
      <c r="H7" s="4" t="s">
        <v>6</v>
      </c>
      <c r="I7" s="4" t="s">
        <v>42</v>
      </c>
      <c r="J7" s="3"/>
      <c r="K7" s="3"/>
      <c r="L7" s="7"/>
      <c r="M7" s="13" t="s">
        <v>25</v>
      </c>
      <c r="N7" s="11" t="s">
        <v>32</v>
      </c>
      <c r="O7" s="3"/>
      <c r="P7" s="3"/>
      <c r="Q7" s="4" t="s">
        <v>2</v>
      </c>
      <c r="R7" s="4" t="s">
        <v>1</v>
      </c>
      <c r="S7" s="4" t="s">
        <v>3</v>
      </c>
      <c r="T7" s="4"/>
      <c r="U7" s="38"/>
      <c r="V7" s="36"/>
      <c r="W7" s="41"/>
      <c r="X7" s="22"/>
      <c r="Y7" s="22"/>
      <c r="Z7" s="22"/>
      <c r="AA7" s="3" t="s">
        <v>59</v>
      </c>
      <c r="AB7" s="3" t="s">
        <v>43</v>
      </c>
      <c r="AC7" s="3" t="s">
        <v>96</v>
      </c>
      <c r="AD7" s="3"/>
      <c r="AE7" s="3"/>
      <c r="AF7" s="3"/>
      <c r="AH7" s="5" t="s">
        <v>80</v>
      </c>
      <c r="AI7" s="3" t="s">
        <v>83</v>
      </c>
    </row>
    <row r="8" spans="1:52" x14ac:dyDescent="0.25">
      <c r="A8">
        <f t="shared" ref="A8:A17" si="4">DAY((B9-1))</f>
        <v>31</v>
      </c>
      <c r="B8" s="1">
        <v>33970</v>
      </c>
      <c r="C8" s="3"/>
      <c r="D8" s="3"/>
      <c r="E8" s="3"/>
      <c r="F8" s="4"/>
      <c r="G8" s="4"/>
      <c r="H8" s="4"/>
      <c r="I8" s="4"/>
      <c r="J8" s="3"/>
      <c r="K8" s="3"/>
      <c r="L8" s="7"/>
      <c r="M8" s="13"/>
      <c r="N8" s="11"/>
      <c r="O8" s="3"/>
      <c r="P8" s="3"/>
      <c r="Q8" s="4"/>
      <c r="R8" s="4"/>
      <c r="S8" s="4"/>
      <c r="T8" s="4"/>
      <c r="U8" s="38"/>
      <c r="V8" s="36"/>
      <c r="W8" s="41"/>
      <c r="X8" s="22"/>
      <c r="Y8" s="22"/>
      <c r="Z8" s="22"/>
      <c r="AA8" s="3"/>
      <c r="AB8" s="3"/>
      <c r="AC8" s="3"/>
      <c r="AD8" s="3"/>
      <c r="AE8" s="3"/>
      <c r="AF8" s="3"/>
      <c r="AH8" s="5"/>
      <c r="AI8" s="3"/>
    </row>
    <row r="9" spans="1:52" x14ac:dyDescent="0.25">
      <c r="A9">
        <f t="shared" si="4"/>
        <v>28</v>
      </c>
      <c r="B9" s="1">
        <v>34001</v>
      </c>
      <c r="C9" s="3"/>
      <c r="D9" s="3"/>
      <c r="E9" s="3"/>
      <c r="F9" s="4"/>
      <c r="G9" s="4"/>
      <c r="H9" s="4"/>
      <c r="I9" s="4"/>
      <c r="J9" s="3"/>
      <c r="K9" s="3"/>
      <c r="L9" s="7"/>
      <c r="M9" s="13"/>
      <c r="N9" s="11"/>
      <c r="O9" s="3"/>
      <c r="P9" s="3"/>
      <c r="Q9" s="4"/>
      <c r="R9" s="4"/>
      <c r="S9" s="4"/>
      <c r="T9" s="4"/>
      <c r="U9" s="38"/>
      <c r="V9" s="36"/>
      <c r="W9" s="41"/>
      <c r="X9" s="22"/>
      <c r="Y9" s="22"/>
      <c r="Z9" s="22"/>
      <c r="AA9" s="3"/>
      <c r="AB9" s="3"/>
      <c r="AC9" s="3"/>
      <c r="AD9" s="3"/>
      <c r="AE9" s="3"/>
      <c r="AF9" s="3"/>
      <c r="AH9" s="5"/>
      <c r="AI9" s="3"/>
    </row>
    <row r="10" spans="1:52" x14ac:dyDescent="0.25">
      <c r="A10">
        <f t="shared" si="4"/>
        <v>31</v>
      </c>
      <c r="B10" s="1">
        <v>34029</v>
      </c>
      <c r="C10" s="3"/>
      <c r="D10" s="3"/>
      <c r="E10" s="3"/>
      <c r="F10" s="4"/>
      <c r="G10" s="4"/>
      <c r="H10" s="4"/>
      <c r="I10" s="4"/>
      <c r="J10" s="3"/>
      <c r="K10" s="3"/>
      <c r="L10" s="7"/>
      <c r="M10" s="13"/>
      <c r="N10" s="11"/>
      <c r="O10" s="3"/>
      <c r="P10" s="3"/>
      <c r="Q10" s="4"/>
      <c r="R10" s="4"/>
      <c r="S10" s="4"/>
      <c r="T10" s="4"/>
      <c r="U10" s="38"/>
      <c r="V10" s="36"/>
      <c r="W10" s="41"/>
      <c r="X10" s="22"/>
      <c r="Y10" s="22"/>
      <c r="Z10" s="22"/>
      <c r="AA10" s="3"/>
      <c r="AB10" s="3"/>
      <c r="AC10" s="3"/>
      <c r="AD10" s="3"/>
      <c r="AE10" s="3"/>
      <c r="AF10" s="3"/>
      <c r="AH10" s="5"/>
      <c r="AI10" s="3"/>
    </row>
    <row r="11" spans="1:52" x14ac:dyDescent="0.25">
      <c r="A11">
        <f t="shared" si="4"/>
        <v>30</v>
      </c>
      <c r="B11" s="1">
        <v>34060</v>
      </c>
      <c r="C11" s="3"/>
      <c r="D11" s="3"/>
      <c r="E11" s="3"/>
      <c r="F11" s="4"/>
      <c r="G11" s="4"/>
      <c r="H11" s="4"/>
      <c r="I11" s="4"/>
      <c r="J11" s="3"/>
      <c r="K11" s="3"/>
      <c r="L11" s="7"/>
      <c r="M11" s="13"/>
      <c r="N11" s="11"/>
      <c r="O11" s="3"/>
      <c r="P11" s="3"/>
      <c r="Q11" s="4"/>
      <c r="R11" s="4"/>
      <c r="S11" s="4"/>
      <c r="T11" s="4"/>
      <c r="U11" s="38"/>
      <c r="V11" s="36"/>
      <c r="W11" s="41"/>
      <c r="X11" s="22"/>
      <c r="Y11" s="22"/>
      <c r="Z11" s="22"/>
      <c r="AA11" s="3"/>
      <c r="AB11" s="3"/>
      <c r="AC11" s="3"/>
      <c r="AD11" s="3"/>
      <c r="AE11" s="3"/>
      <c r="AF11" s="3"/>
      <c r="AH11" s="5"/>
      <c r="AI11" s="3"/>
    </row>
    <row r="12" spans="1:52" x14ac:dyDescent="0.25">
      <c r="A12">
        <f t="shared" si="4"/>
        <v>31</v>
      </c>
      <c r="B12" s="1">
        <v>34090</v>
      </c>
      <c r="C12" s="3"/>
      <c r="D12" s="3"/>
      <c r="E12" s="3"/>
      <c r="F12" s="4"/>
      <c r="G12" s="4"/>
      <c r="H12" s="4"/>
      <c r="I12" s="4"/>
      <c r="J12" s="3"/>
      <c r="K12" s="3"/>
      <c r="L12" s="7"/>
      <c r="M12" s="13"/>
      <c r="N12" s="11"/>
      <c r="O12" s="3"/>
      <c r="P12" s="3"/>
      <c r="Q12" s="4"/>
      <c r="R12" s="4"/>
      <c r="S12" s="4"/>
      <c r="T12" s="4"/>
      <c r="U12" s="38"/>
      <c r="V12" s="36"/>
      <c r="W12" s="41"/>
      <c r="X12" s="22"/>
      <c r="Y12" s="22"/>
      <c r="Z12" s="22"/>
      <c r="AA12" s="3"/>
      <c r="AB12" s="3"/>
      <c r="AC12" s="3"/>
      <c r="AD12" s="3"/>
      <c r="AE12" s="3"/>
      <c r="AF12" s="3"/>
      <c r="AH12" s="5"/>
      <c r="AI12" s="3"/>
    </row>
    <row r="13" spans="1:52" x14ac:dyDescent="0.25">
      <c r="A13">
        <f t="shared" si="4"/>
        <v>30</v>
      </c>
      <c r="B13" s="1">
        <v>34121</v>
      </c>
      <c r="C13" s="3"/>
      <c r="D13" s="3"/>
      <c r="E13" s="3"/>
      <c r="F13" s="4"/>
      <c r="G13" s="4"/>
      <c r="H13" s="4"/>
      <c r="I13" s="4"/>
      <c r="J13" s="3"/>
      <c r="K13" s="3"/>
      <c r="L13" s="7"/>
      <c r="M13" s="13"/>
      <c r="N13" s="11"/>
      <c r="O13" s="3"/>
      <c r="P13" s="3"/>
      <c r="Q13" s="4"/>
      <c r="R13" s="4"/>
      <c r="S13" s="4"/>
      <c r="T13" s="4"/>
      <c r="U13" s="38"/>
      <c r="V13" s="36"/>
      <c r="W13" s="41"/>
      <c r="X13" s="22"/>
      <c r="Y13" s="22"/>
      <c r="Z13" s="22"/>
      <c r="AA13" s="3"/>
      <c r="AB13" s="3"/>
      <c r="AC13" s="3"/>
      <c r="AD13" s="3"/>
      <c r="AE13" s="3"/>
      <c r="AF13" s="3"/>
      <c r="AH13" s="5"/>
      <c r="AI13" s="3"/>
    </row>
    <row r="14" spans="1:52" x14ac:dyDescent="0.25">
      <c r="A14">
        <f t="shared" si="4"/>
        <v>31</v>
      </c>
      <c r="B14" s="1">
        <v>34151</v>
      </c>
      <c r="C14" s="3"/>
      <c r="D14" s="3"/>
      <c r="E14" s="3"/>
      <c r="F14" s="4"/>
      <c r="G14" s="4"/>
      <c r="H14" s="4"/>
      <c r="I14" s="4"/>
      <c r="J14" s="3"/>
      <c r="K14" s="3"/>
      <c r="L14" s="7"/>
      <c r="M14" s="13"/>
      <c r="N14" s="11"/>
      <c r="O14" s="3"/>
      <c r="P14" s="3"/>
      <c r="Q14" s="4"/>
      <c r="R14" s="4"/>
      <c r="S14" s="4"/>
      <c r="T14" s="4"/>
      <c r="U14" s="38"/>
      <c r="V14" s="36"/>
      <c r="W14" s="41"/>
      <c r="X14" s="22"/>
      <c r="Y14" s="22"/>
      <c r="Z14" s="22"/>
      <c r="AA14" s="3"/>
      <c r="AB14" s="3"/>
      <c r="AC14" s="3"/>
      <c r="AD14" s="3"/>
      <c r="AE14" s="3"/>
      <c r="AF14" s="3"/>
      <c r="AH14" s="5"/>
      <c r="AI14" s="3"/>
    </row>
    <row r="15" spans="1:52" x14ac:dyDescent="0.25">
      <c r="A15">
        <f t="shared" si="4"/>
        <v>31</v>
      </c>
      <c r="B15" s="1">
        <v>34182</v>
      </c>
      <c r="C15" s="3"/>
      <c r="D15" s="3"/>
      <c r="E15" s="3"/>
      <c r="F15" s="4"/>
      <c r="G15" s="4"/>
      <c r="H15" s="4"/>
      <c r="I15" s="4"/>
      <c r="J15" s="3"/>
      <c r="K15" s="3"/>
      <c r="L15" s="7"/>
      <c r="M15" s="13"/>
      <c r="N15" s="11"/>
      <c r="O15" s="3"/>
      <c r="P15" s="3"/>
      <c r="Q15" s="4"/>
      <c r="R15" s="4"/>
      <c r="S15" s="4"/>
      <c r="T15" s="4"/>
      <c r="U15" s="38"/>
      <c r="V15" s="36"/>
      <c r="W15" s="41"/>
      <c r="X15" s="22"/>
      <c r="Y15" s="22"/>
      <c r="Z15" s="22"/>
      <c r="AA15" s="3"/>
      <c r="AB15" s="3"/>
      <c r="AC15" s="3"/>
      <c r="AD15" s="3"/>
      <c r="AE15" s="3"/>
      <c r="AF15" s="3"/>
      <c r="AH15" s="5"/>
      <c r="AI15" s="3"/>
    </row>
    <row r="16" spans="1:52" x14ac:dyDescent="0.25">
      <c r="A16">
        <f t="shared" si="4"/>
        <v>30</v>
      </c>
      <c r="B16" s="1">
        <v>34213</v>
      </c>
      <c r="C16" s="3"/>
      <c r="D16" s="3"/>
      <c r="E16" s="3"/>
      <c r="F16" s="4"/>
      <c r="G16" s="4"/>
      <c r="H16" s="4"/>
      <c r="I16" s="4"/>
      <c r="J16" s="3"/>
      <c r="K16" s="3"/>
      <c r="L16" s="7"/>
      <c r="M16" s="13"/>
      <c r="N16" s="11"/>
      <c r="O16" s="3"/>
      <c r="P16" s="3"/>
      <c r="Q16" s="4"/>
      <c r="R16" s="4"/>
      <c r="S16" s="4"/>
      <c r="T16" s="4"/>
      <c r="U16" s="38"/>
      <c r="V16" s="36"/>
      <c r="W16" s="41"/>
      <c r="X16" s="22"/>
      <c r="Y16" s="22"/>
      <c r="Z16" s="22"/>
      <c r="AA16" s="3"/>
      <c r="AB16" s="3"/>
      <c r="AC16" s="3"/>
      <c r="AD16" s="3"/>
      <c r="AE16" s="3"/>
      <c r="AF16" s="3"/>
      <c r="AH16" s="5"/>
      <c r="AI16" s="3"/>
    </row>
    <row r="17" spans="1:35" x14ac:dyDescent="0.25">
      <c r="A17">
        <f t="shared" si="4"/>
        <v>31</v>
      </c>
      <c r="B17" s="1">
        <v>34243</v>
      </c>
      <c r="C17" s="3"/>
      <c r="D17" s="3"/>
      <c r="E17" s="3"/>
      <c r="F17" s="4"/>
      <c r="G17" s="4"/>
      <c r="H17" s="4"/>
      <c r="I17" s="4"/>
      <c r="J17" s="3"/>
      <c r="K17" s="3"/>
      <c r="L17" s="7"/>
      <c r="M17" s="13"/>
      <c r="N17" s="11"/>
      <c r="O17" s="3"/>
      <c r="P17" s="3"/>
      <c r="Q17" s="4"/>
      <c r="R17" s="4"/>
      <c r="S17" s="4"/>
      <c r="T17" s="4"/>
      <c r="U17" s="38"/>
      <c r="V17" s="36"/>
      <c r="W17" s="41"/>
      <c r="X17" s="22"/>
      <c r="Y17" s="22"/>
      <c r="Z17" s="22"/>
      <c r="AA17" s="3"/>
      <c r="AB17" s="4">
        <f t="shared" ref="AB17:AB26" si="5">AB18-AA18</f>
        <v>-480.04500000000155</v>
      </c>
      <c r="AC17" s="4"/>
      <c r="AD17" s="3"/>
      <c r="AE17" s="3"/>
      <c r="AF17" s="3"/>
      <c r="AH17" s="5"/>
      <c r="AI17" s="3"/>
    </row>
    <row r="18" spans="1:35" x14ac:dyDescent="0.25">
      <c r="A18">
        <f t="shared" ref="A18:A81" si="6">DAY((B19-1))</f>
        <v>30</v>
      </c>
      <c r="B18" s="1">
        <v>34274</v>
      </c>
      <c r="C18" s="4"/>
      <c r="D18" s="4"/>
      <c r="E18" s="4"/>
      <c r="F18" s="4"/>
      <c r="G18" s="4"/>
      <c r="H18" s="4"/>
      <c r="I18" s="4"/>
      <c r="J18" s="15"/>
      <c r="K18" s="29"/>
      <c r="L18" s="26"/>
      <c r="M18" s="16">
        <v>4.1E-5</v>
      </c>
      <c r="N18" s="17"/>
      <c r="O18" s="4">
        <v>783.077</v>
      </c>
      <c r="P18" s="4">
        <v>-121.79300000000001</v>
      </c>
      <c r="Q18" s="4">
        <f t="shared" ref="Q18:Q29" si="7">P18+O18</f>
        <v>661.28399999999999</v>
      </c>
      <c r="R18" s="20">
        <f>4804.08-SUM(R19:R23)</f>
        <v>1204.482</v>
      </c>
      <c r="S18" s="4"/>
      <c r="T18" s="4">
        <f t="shared" ref="T18:T25" si="8">R18-S18</f>
        <v>1204.482</v>
      </c>
      <c r="U18" s="42"/>
      <c r="V18" s="10"/>
      <c r="W18" s="6"/>
      <c r="X18" s="23">
        <f t="shared" ref="X18:X25" si="9">R18/M18/1000000</f>
        <v>29.377609756097559</v>
      </c>
      <c r="Y18" s="9"/>
      <c r="AA18" s="4">
        <f t="shared" ref="AA18:AA27" si="10">+R18-Q18</f>
        <v>543.19799999999998</v>
      </c>
      <c r="AB18" s="4">
        <f t="shared" si="5"/>
        <v>63.152999999998428</v>
      </c>
      <c r="AC18" s="4"/>
      <c r="AH18" s="4"/>
    </row>
    <row r="19" spans="1:35" x14ac:dyDescent="0.25">
      <c r="A19">
        <f t="shared" si="6"/>
        <v>31</v>
      </c>
      <c r="B19" s="1">
        <v>34304</v>
      </c>
      <c r="C19" s="4"/>
      <c r="D19" s="4"/>
      <c r="E19" s="4"/>
      <c r="F19" s="4"/>
      <c r="G19" s="4"/>
      <c r="H19" s="4"/>
      <c r="I19" s="4"/>
      <c r="J19" s="15"/>
      <c r="K19" s="29"/>
      <c r="L19" s="26"/>
      <c r="M19" s="16">
        <f>(41*9+10*22)/31/1000000</f>
        <v>1.9000000000000001E-5</v>
      </c>
      <c r="N19" s="17"/>
      <c r="O19" s="4">
        <v>909.19799999999998</v>
      </c>
      <c r="P19" s="4">
        <v>-150.327</v>
      </c>
      <c r="Q19" s="4">
        <f t="shared" si="7"/>
        <v>758.87099999999998</v>
      </c>
      <c r="R19" s="20">
        <f t="shared" ref="R19:R24" si="11">E21</f>
        <v>585.1</v>
      </c>
      <c r="S19" s="4"/>
      <c r="T19" s="4">
        <f t="shared" si="8"/>
        <v>585.1</v>
      </c>
      <c r="U19" s="42">
        <f t="shared" ref="U19:U26" si="12">V19*O19/W19</f>
        <v>74078.394056074772</v>
      </c>
      <c r="V19" s="10">
        <v>69744</v>
      </c>
      <c r="W19" s="6">
        <v>856</v>
      </c>
      <c r="X19" s="23">
        <f t="shared" si="9"/>
        <v>30.794736842105262</v>
      </c>
      <c r="Y19" s="9">
        <f t="shared" ref="Y19:Y25" si="13">X19*1000000/(U19+M19*X19*1000000)</f>
        <v>412.44703628492641</v>
      </c>
      <c r="AA19" s="4">
        <f t="shared" si="10"/>
        <v>-173.77099999999996</v>
      </c>
      <c r="AB19" s="4">
        <f t="shared" si="5"/>
        <v>-110.61800000000153</v>
      </c>
      <c r="AC19" s="4"/>
      <c r="AH19" s="4"/>
    </row>
    <row r="20" spans="1:35" x14ac:dyDescent="0.25">
      <c r="A20">
        <f t="shared" si="6"/>
        <v>31</v>
      </c>
      <c r="B20" s="1">
        <v>34335</v>
      </c>
      <c r="C20" s="4"/>
      <c r="D20" s="4"/>
      <c r="E20" s="4"/>
      <c r="F20" s="4"/>
      <c r="G20" s="4"/>
      <c r="H20" s="4"/>
      <c r="I20" s="4"/>
      <c r="J20" s="15"/>
      <c r="K20" s="29"/>
      <c r="L20" s="26"/>
      <c r="M20" s="16">
        <v>1.0000000000000001E-5</v>
      </c>
      <c r="N20" s="17"/>
      <c r="O20" s="4">
        <v>921.12800000000004</v>
      </c>
      <c r="P20" s="4">
        <v>-159.78100000000001</v>
      </c>
      <c r="Q20" s="4">
        <f t="shared" si="7"/>
        <v>761.34699999999998</v>
      </c>
      <c r="R20" s="20">
        <f t="shared" si="11"/>
        <v>315</v>
      </c>
      <c r="S20" s="4"/>
      <c r="T20" s="4">
        <f t="shared" si="8"/>
        <v>315</v>
      </c>
      <c r="U20" s="42">
        <f t="shared" si="12"/>
        <v>72631.741465895961</v>
      </c>
      <c r="V20" s="10">
        <v>68206</v>
      </c>
      <c r="W20" s="6">
        <v>865</v>
      </c>
      <c r="X20" s="23">
        <f t="shared" si="9"/>
        <v>31.499999999999996</v>
      </c>
      <c r="Y20" s="9">
        <f t="shared" si="13"/>
        <v>431.82189316471204</v>
      </c>
      <c r="AA20" s="4">
        <f t="shared" si="10"/>
        <v>-446.34699999999998</v>
      </c>
      <c r="AB20" s="4">
        <f t="shared" si="5"/>
        <v>-556.96500000000151</v>
      </c>
      <c r="AC20" s="4" t="e">
        <f t="shared" ref="AC20:AC81" si="14">IF(MOD(MONTH(B20),6)=0,AB20,NA())</f>
        <v>#N/A</v>
      </c>
      <c r="AH20" s="4"/>
    </row>
    <row r="21" spans="1:35" x14ac:dyDescent="0.25">
      <c r="A21">
        <f t="shared" si="6"/>
        <v>28</v>
      </c>
      <c r="B21" s="1">
        <v>34366</v>
      </c>
      <c r="C21" s="4">
        <v>51000</v>
      </c>
      <c r="D21" s="4">
        <v>901.8</v>
      </c>
      <c r="E21" s="4">
        <v>585.1</v>
      </c>
      <c r="F21" s="4">
        <v>665</v>
      </c>
      <c r="G21" s="4">
        <v>0</v>
      </c>
      <c r="H21" s="4">
        <f>E21-F21-G21</f>
        <v>-79.899999999999977</v>
      </c>
      <c r="I21" s="4">
        <f>D21-H21</f>
        <v>981.69999999999993</v>
      </c>
      <c r="J21" s="15">
        <f>I21/C21</f>
        <v>1.9249019607843136E-2</v>
      </c>
      <c r="K21" s="54">
        <f>0.0191938/0.000031</f>
        <v>619.15483870967739</v>
      </c>
      <c r="L21" s="26">
        <f t="shared" ref="L21:L29" si="15">J21/K21</f>
        <v>3.1089185457967532E-5</v>
      </c>
      <c r="M21" s="16">
        <v>3.1000000000000001E-5</v>
      </c>
      <c r="N21" s="17"/>
      <c r="O21" s="4">
        <v>891.64599999999996</v>
      </c>
      <c r="P21" s="4">
        <v>-244.31399999999999</v>
      </c>
      <c r="Q21" s="4">
        <f t="shared" si="7"/>
        <v>647.33199999999999</v>
      </c>
      <c r="R21" s="20">
        <f t="shared" si="11"/>
        <v>900.9</v>
      </c>
      <c r="S21" s="4"/>
      <c r="T21" s="4">
        <f t="shared" si="8"/>
        <v>900.9</v>
      </c>
      <c r="U21" s="42">
        <f t="shared" si="12"/>
        <v>65734.870750869057</v>
      </c>
      <c r="V21" s="10">
        <v>63623</v>
      </c>
      <c r="W21" s="6">
        <v>863</v>
      </c>
      <c r="X21" s="23">
        <f t="shared" si="9"/>
        <v>29.061290322580643</v>
      </c>
      <c r="Y21" s="9">
        <f t="shared" si="13"/>
        <v>436.12147042212507</v>
      </c>
      <c r="AA21" s="4">
        <f t="shared" si="10"/>
        <v>253.56799999999998</v>
      </c>
      <c r="AB21" s="4">
        <f t="shared" si="5"/>
        <v>-303.39700000000153</v>
      </c>
      <c r="AC21" s="4" t="e">
        <f t="shared" si="14"/>
        <v>#N/A</v>
      </c>
      <c r="AH21" s="4"/>
    </row>
    <row r="22" spans="1:35" x14ac:dyDescent="0.25">
      <c r="A22">
        <f t="shared" si="6"/>
        <v>31</v>
      </c>
      <c r="B22" s="1">
        <v>34394</v>
      </c>
      <c r="C22" s="4">
        <v>53000</v>
      </c>
      <c r="D22" s="4">
        <v>729.9</v>
      </c>
      <c r="E22" s="4">
        <v>315</v>
      </c>
      <c r="F22" s="4">
        <v>671</v>
      </c>
      <c r="G22" s="4">
        <v>0</v>
      </c>
      <c r="H22" s="4">
        <f>E22-F22-G22</f>
        <v>-356</v>
      </c>
      <c r="I22" s="4">
        <f>D22-H22</f>
        <v>1085.9000000000001</v>
      </c>
      <c r="J22" s="15">
        <f>I22/C22</f>
        <v>2.0488679245283022E-2</v>
      </c>
      <c r="K22" s="54">
        <f>0.0204886/0.000033</f>
        <v>620.86666666666656</v>
      </c>
      <c r="L22" s="26">
        <f t="shared" si="15"/>
        <v>3.3000127636555929E-5</v>
      </c>
      <c r="M22" s="16">
        <v>3.3000000000000003E-5</v>
      </c>
      <c r="N22" s="17"/>
      <c r="O22" s="4">
        <v>783.50099999999998</v>
      </c>
      <c r="P22" s="4">
        <v>-198.334</v>
      </c>
      <c r="Q22" s="4">
        <f t="shared" si="7"/>
        <v>585.16699999999992</v>
      </c>
      <c r="R22" s="20">
        <f t="shared" si="11"/>
        <v>994.76300000000003</v>
      </c>
      <c r="S22" s="4"/>
      <c r="T22" s="4">
        <f t="shared" si="8"/>
        <v>994.76300000000003</v>
      </c>
      <c r="U22" s="42">
        <f t="shared" si="12"/>
        <v>68936.762755584743</v>
      </c>
      <c r="V22" s="10">
        <v>66957</v>
      </c>
      <c r="W22" s="6">
        <v>761</v>
      </c>
      <c r="X22" s="23">
        <f t="shared" si="9"/>
        <v>30.144333333333332</v>
      </c>
      <c r="Y22" s="9">
        <f t="shared" si="13"/>
        <v>431.05499283241363</v>
      </c>
      <c r="AA22" s="4">
        <f t="shared" si="10"/>
        <v>409.59600000000012</v>
      </c>
      <c r="AB22" s="4">
        <f t="shared" si="5"/>
        <v>106.19899999999859</v>
      </c>
      <c r="AC22" s="4" t="e">
        <f t="shared" si="14"/>
        <v>#N/A</v>
      </c>
      <c r="AH22" s="4"/>
    </row>
    <row r="23" spans="1:35" x14ac:dyDescent="0.25">
      <c r="A23">
        <f t="shared" si="6"/>
        <v>30</v>
      </c>
      <c r="B23" s="1">
        <v>34425</v>
      </c>
      <c r="C23" s="4">
        <v>49000</v>
      </c>
      <c r="D23" s="4">
        <v>896.9</v>
      </c>
      <c r="E23" s="4">
        <v>900.9</v>
      </c>
      <c r="F23" s="4">
        <v>787.9</v>
      </c>
      <c r="G23" s="4">
        <v>0</v>
      </c>
      <c r="H23" s="4">
        <f t="shared" ref="H23:H29" si="16">E23-F23-G23</f>
        <v>113</v>
      </c>
      <c r="I23" s="4">
        <f t="shared" ref="I23:I29" si="17">D23-H23</f>
        <v>783.9</v>
      </c>
      <c r="J23" s="15">
        <f t="shared" ref="J23:J29" si="18">I23/C23</f>
        <v>1.5997959183673468E-2</v>
      </c>
      <c r="K23" s="54">
        <f>0.0159979/0.000026</f>
        <v>615.30384615384617</v>
      </c>
      <c r="L23" s="26">
        <f t="shared" si="15"/>
        <v>2.600009618609381E-5</v>
      </c>
      <c r="M23" s="16">
        <v>2.5999999999999998E-5</v>
      </c>
      <c r="N23" s="17"/>
      <c r="O23" s="4">
        <v>811.82399999999996</v>
      </c>
      <c r="P23" s="4">
        <v>-89.436000000000007</v>
      </c>
      <c r="Q23" s="4">
        <f t="shared" si="7"/>
        <v>722.38799999999992</v>
      </c>
      <c r="R23" s="20">
        <f t="shared" si="11"/>
        <v>803.83500000000004</v>
      </c>
      <c r="S23" s="4"/>
      <c r="T23" s="4">
        <f t="shared" si="8"/>
        <v>803.83500000000004</v>
      </c>
      <c r="U23" s="42">
        <f t="shared" si="12"/>
        <v>67901.000517110268</v>
      </c>
      <c r="V23" s="10">
        <v>65992</v>
      </c>
      <c r="W23" s="6">
        <v>789</v>
      </c>
      <c r="X23" s="23">
        <f t="shared" si="9"/>
        <v>30.916730769230771</v>
      </c>
      <c r="Y23" s="9">
        <f t="shared" si="13"/>
        <v>449.99351991070932</v>
      </c>
      <c r="Z23" s="4">
        <f t="shared" ref="Z23:Z30" si="19">SUM(X18:X23)</f>
        <v>181.79470102334759</v>
      </c>
      <c r="AA23" s="4">
        <f t="shared" si="10"/>
        <v>81.447000000000116</v>
      </c>
      <c r="AB23" s="4">
        <f t="shared" si="5"/>
        <v>187.64599999999871</v>
      </c>
      <c r="AC23" s="4" t="e">
        <f t="shared" si="14"/>
        <v>#N/A</v>
      </c>
      <c r="AH23" s="4"/>
    </row>
    <row r="24" spans="1:35" x14ac:dyDescent="0.25">
      <c r="A24">
        <f t="shared" si="6"/>
        <v>31</v>
      </c>
      <c r="B24" s="1">
        <v>34455</v>
      </c>
      <c r="C24" s="4">
        <v>50000</v>
      </c>
      <c r="D24" s="4">
        <v>1177</v>
      </c>
      <c r="E24" s="4">
        <v>994.76300000000003</v>
      </c>
      <c r="F24" s="4">
        <v>585.16700000000003</v>
      </c>
      <c r="G24" s="4">
        <v>0</v>
      </c>
      <c r="H24" s="4">
        <f t="shared" si="16"/>
        <v>409.596</v>
      </c>
      <c r="I24" s="4">
        <f t="shared" si="17"/>
        <v>767.404</v>
      </c>
      <c r="J24" s="15">
        <f t="shared" si="18"/>
        <v>1.534808E-2</v>
      </c>
      <c r="K24" s="54">
        <f>0.01535/0.000025</f>
        <v>614</v>
      </c>
      <c r="L24" s="26">
        <f t="shared" si="15"/>
        <v>2.4996872964169382E-5</v>
      </c>
      <c r="M24" s="16">
        <v>2.5000000000000001E-5</v>
      </c>
      <c r="N24" s="17"/>
      <c r="O24" s="4">
        <v>755.601</v>
      </c>
      <c r="P24" s="4">
        <v>-41.774999999999999</v>
      </c>
      <c r="Q24" s="4">
        <f t="shared" si="7"/>
        <v>713.82600000000002</v>
      </c>
      <c r="R24" s="20">
        <f t="shared" si="11"/>
        <v>747.41099999999994</v>
      </c>
      <c r="S24" s="4"/>
      <c r="T24" s="4">
        <f t="shared" si="8"/>
        <v>747.41099999999994</v>
      </c>
      <c r="U24" s="42">
        <f t="shared" si="12"/>
        <v>58849.850784552844</v>
      </c>
      <c r="V24" s="10">
        <v>57479</v>
      </c>
      <c r="W24" s="6">
        <v>738</v>
      </c>
      <c r="X24" s="23">
        <f t="shared" si="9"/>
        <v>29.896439999999995</v>
      </c>
      <c r="Y24" s="9">
        <f t="shared" si="13"/>
        <v>501.64116781199039</v>
      </c>
      <c r="Z24" s="4">
        <f t="shared" si="19"/>
        <v>182.31353126725</v>
      </c>
      <c r="AA24" s="4">
        <f t="shared" si="10"/>
        <v>33.584999999999923</v>
      </c>
      <c r="AB24" s="4">
        <f t="shared" si="5"/>
        <v>221.23099999999863</v>
      </c>
      <c r="AC24" s="4" t="e">
        <f t="shared" si="14"/>
        <v>#N/A</v>
      </c>
      <c r="AH24" s="4"/>
    </row>
    <row r="25" spans="1:35" x14ac:dyDescent="0.25">
      <c r="A25">
        <f t="shared" si="6"/>
        <v>30</v>
      </c>
      <c r="B25" s="1">
        <v>34486</v>
      </c>
      <c r="C25" s="4">
        <v>52000</v>
      </c>
      <c r="D25" s="4">
        <v>717.5</v>
      </c>
      <c r="E25" s="4">
        <v>803.83500000000004</v>
      </c>
      <c r="F25" s="4">
        <v>722.39099999999996</v>
      </c>
      <c r="G25" s="4">
        <v>0</v>
      </c>
      <c r="H25" s="4">
        <f t="shared" si="16"/>
        <v>81.444000000000074</v>
      </c>
      <c r="I25" s="4">
        <f t="shared" si="17"/>
        <v>636.05599999999993</v>
      </c>
      <c r="J25" s="15">
        <f t="shared" si="18"/>
        <v>1.2231846153846152E-2</v>
      </c>
      <c r="K25" s="54">
        <f>0.012224/0.00002</f>
        <v>611.19999999999993</v>
      </c>
      <c r="L25" s="26">
        <f t="shared" si="15"/>
        <v>2.0012837293596457E-5</v>
      </c>
      <c r="M25" s="16">
        <v>2.0000000000000002E-5</v>
      </c>
      <c r="N25" s="17"/>
      <c r="O25" s="4">
        <v>852.93200000000002</v>
      </c>
      <c r="P25" s="4">
        <v>-305.51100000000002</v>
      </c>
      <c r="Q25" s="4">
        <f t="shared" si="7"/>
        <v>547.42100000000005</v>
      </c>
      <c r="R25" s="20">
        <f>E27</f>
        <v>621.63900000000001</v>
      </c>
      <c r="S25" s="4"/>
      <c r="T25" s="4">
        <f t="shared" si="8"/>
        <v>621.63900000000001</v>
      </c>
      <c r="U25" s="42">
        <f t="shared" si="12"/>
        <v>61980.751725631766</v>
      </c>
      <c r="V25" s="10">
        <v>60387</v>
      </c>
      <c r="W25" s="6">
        <v>831</v>
      </c>
      <c r="X25" s="23">
        <f t="shared" si="9"/>
        <v>31.081949999999996</v>
      </c>
      <c r="Y25" s="9">
        <f t="shared" si="13"/>
        <v>496.49781166063167</v>
      </c>
      <c r="Z25" s="4">
        <f t="shared" si="19"/>
        <v>182.60074442514474</v>
      </c>
      <c r="AA25" s="4">
        <f t="shared" si="10"/>
        <v>74.217999999999961</v>
      </c>
      <c r="AB25" s="4">
        <f t="shared" si="5"/>
        <v>295.44899999999859</v>
      </c>
      <c r="AC25" s="4">
        <f t="shared" si="14"/>
        <v>295.44899999999859</v>
      </c>
      <c r="AH25" s="4"/>
    </row>
    <row r="26" spans="1:35" x14ac:dyDescent="0.25">
      <c r="A26">
        <f t="shared" si="6"/>
        <v>31</v>
      </c>
      <c r="B26" s="1">
        <v>34516</v>
      </c>
      <c r="C26" s="4">
        <v>60000</v>
      </c>
      <c r="D26" s="4">
        <v>767.6</v>
      </c>
      <c r="E26" s="4">
        <v>747.41099999999994</v>
      </c>
      <c r="F26" s="4">
        <v>713.28599999999994</v>
      </c>
      <c r="G26" s="4">
        <v>0</v>
      </c>
      <c r="H26" s="4">
        <f t="shared" si="16"/>
        <v>34.125</v>
      </c>
      <c r="I26" s="4">
        <f t="shared" si="17"/>
        <v>733.47500000000002</v>
      </c>
      <c r="J26" s="15">
        <f t="shared" si="18"/>
        <v>1.2224583333333334E-2</v>
      </c>
      <c r="K26" s="54">
        <f>0.012224/0.00002</f>
        <v>611.19999999999993</v>
      </c>
      <c r="L26" s="48">
        <f t="shared" si="15"/>
        <v>2.0000954406631764E-5</v>
      </c>
      <c r="M26" s="49">
        <v>1.6000000000000003E-5</v>
      </c>
      <c r="N26" s="17">
        <v>-3.9999999999999998E-6</v>
      </c>
      <c r="O26" s="4">
        <v>1206.9110000000001</v>
      </c>
      <c r="P26" s="4">
        <v>-368.59699999999998</v>
      </c>
      <c r="Q26" s="4">
        <f t="shared" si="7"/>
        <v>838.31400000000008</v>
      </c>
      <c r="R26" s="4">
        <v>574.13400000000001</v>
      </c>
      <c r="S26" s="4">
        <v>-143.53399999999999</v>
      </c>
      <c r="T26" s="4">
        <f>R26-S26</f>
        <v>717.66800000000001</v>
      </c>
      <c r="U26" s="42">
        <f t="shared" si="12"/>
        <v>70328.679291345339</v>
      </c>
      <c r="V26" s="10">
        <v>68003</v>
      </c>
      <c r="W26" s="6">
        <v>1167</v>
      </c>
      <c r="X26" s="23">
        <f t="shared" ref="X26:X31" si="20">R26/M26/1000000</f>
        <v>35.883374999999994</v>
      </c>
      <c r="Y26" s="9">
        <f>X26*1000000/(U26+M26*X26*1000000)</f>
        <v>506.0924007705072</v>
      </c>
      <c r="Z26" s="4">
        <f t="shared" si="19"/>
        <v>186.98411942514474</v>
      </c>
      <c r="AA26" s="4">
        <f t="shared" si="10"/>
        <v>-264.18000000000006</v>
      </c>
      <c r="AB26" s="4">
        <f t="shared" si="5"/>
        <v>31.268999999998528</v>
      </c>
      <c r="AC26" s="4" t="e">
        <f t="shared" si="14"/>
        <v>#N/A</v>
      </c>
      <c r="AH26" s="4"/>
    </row>
    <row r="27" spans="1:35" x14ac:dyDescent="0.25">
      <c r="A27">
        <f t="shared" si="6"/>
        <v>31</v>
      </c>
      <c r="B27" s="1">
        <v>34547</v>
      </c>
      <c r="C27" s="4">
        <v>64000</v>
      </c>
      <c r="D27" s="4">
        <v>935.9</v>
      </c>
      <c r="E27" s="4">
        <v>621.63900000000001</v>
      </c>
      <c r="F27" s="4">
        <v>547.41099999999994</v>
      </c>
      <c r="G27" s="4">
        <v>0</v>
      </c>
      <c r="H27" s="4">
        <f t="shared" si="16"/>
        <v>74.228000000000065</v>
      </c>
      <c r="I27" s="4">
        <f t="shared" si="17"/>
        <v>861.67199999999991</v>
      </c>
      <c r="J27" s="15">
        <f t="shared" si="18"/>
        <v>1.3463624999999998E-2</v>
      </c>
      <c r="K27" s="54">
        <f>0.013464/0.000022</f>
        <v>612</v>
      </c>
      <c r="L27" s="48">
        <f t="shared" si="15"/>
        <v>2.1999387254901957E-5</v>
      </c>
      <c r="M27" s="49">
        <v>1.8E-5</v>
      </c>
      <c r="N27" s="17">
        <v>-3.9999999999999998E-6</v>
      </c>
      <c r="O27" s="4">
        <v>1289.4880000000001</v>
      </c>
      <c r="P27" s="4">
        <v>-19.134</v>
      </c>
      <c r="Q27" s="4">
        <f t="shared" si="7"/>
        <v>1270.354</v>
      </c>
      <c r="R27" s="4">
        <v>640.13300000000004</v>
      </c>
      <c r="S27" s="4">
        <v>-142.25200000000001</v>
      </c>
      <c r="T27" s="4">
        <f>R27-S27</f>
        <v>782.38499999999999</v>
      </c>
      <c r="U27" s="42">
        <f>V27*O27/W27</f>
        <v>71578.456787830262</v>
      </c>
      <c r="V27" s="10">
        <v>69331</v>
      </c>
      <c r="W27" s="6">
        <v>1249</v>
      </c>
      <c r="X27" s="23">
        <f t="shared" si="20"/>
        <v>35.562944444444447</v>
      </c>
      <c r="Y27" s="9">
        <f>X27*1000000/(U27+M27*X27*1000000)</f>
        <v>492.43476712746957</v>
      </c>
      <c r="Z27" s="4">
        <f t="shared" si="19"/>
        <v>193.48577354700853</v>
      </c>
      <c r="AA27" s="4">
        <f t="shared" si="10"/>
        <v>-630.221</v>
      </c>
      <c r="AB27" s="4">
        <f t="shared" ref="AB27:AB90" si="21">AB28-AA28</f>
        <v>-598.95200000000148</v>
      </c>
      <c r="AC27" s="4" t="e">
        <f t="shared" si="14"/>
        <v>#N/A</v>
      </c>
      <c r="AH27" s="4"/>
    </row>
    <row r="28" spans="1:35" x14ac:dyDescent="0.25">
      <c r="A28">
        <f t="shared" si="6"/>
        <v>30</v>
      </c>
      <c r="B28" s="1">
        <v>34578</v>
      </c>
      <c r="C28" s="4">
        <v>64000</v>
      </c>
      <c r="D28" s="4">
        <v>871.7</v>
      </c>
      <c r="E28" s="4">
        <v>574.13400000000001</v>
      </c>
      <c r="F28" s="4">
        <v>838.31399999999996</v>
      </c>
      <c r="G28" s="4">
        <v>0</v>
      </c>
      <c r="H28" s="4">
        <f t="shared" si="16"/>
        <v>-264.17999999999995</v>
      </c>
      <c r="I28" s="4">
        <f t="shared" si="17"/>
        <v>1135.8800000000001</v>
      </c>
      <c r="J28" s="15">
        <f t="shared" si="18"/>
        <v>1.7748125E-2</v>
      </c>
      <c r="K28" s="54">
        <f>0.017748/0.000029</f>
        <v>612</v>
      </c>
      <c r="L28" s="48">
        <f t="shared" si="15"/>
        <v>2.9000204248366013E-5</v>
      </c>
      <c r="M28" s="49">
        <v>2.5000000000000001E-5</v>
      </c>
      <c r="N28" s="17">
        <v>-3.9999999999999998E-6</v>
      </c>
      <c r="O28" s="4">
        <v>1129.653</v>
      </c>
      <c r="P28" s="4">
        <v>-342.596</v>
      </c>
      <c r="Q28" s="4">
        <f t="shared" si="7"/>
        <v>787.05700000000002</v>
      </c>
      <c r="R28" s="4">
        <v>818.41300000000001</v>
      </c>
      <c r="S28" s="4">
        <v>-130.946</v>
      </c>
      <c r="T28" s="4">
        <f>R28-S28</f>
        <v>949.35900000000004</v>
      </c>
      <c r="U28" s="42">
        <f>V28*O28/W28</f>
        <v>64622.184737569063</v>
      </c>
      <c r="V28" s="10">
        <v>62125</v>
      </c>
      <c r="W28" s="6">
        <v>1086</v>
      </c>
      <c r="X28" s="23">
        <f t="shared" si="20"/>
        <v>32.736519999999999</v>
      </c>
      <c r="Y28" s="9">
        <f t="shared" ref="Y28:Y34" si="22">X28*1000000/(U28+M28*X28*1000000)</f>
        <v>500.24787565786789</v>
      </c>
      <c r="Z28" s="4">
        <f t="shared" si="19"/>
        <v>196.07796021367517</v>
      </c>
      <c r="AA28" s="4">
        <f t="shared" ref="AA28:AA33" si="23">+R28-Q28</f>
        <v>31.355999999999995</v>
      </c>
      <c r="AB28" s="4">
        <f t="shared" si="21"/>
        <v>-567.59600000000148</v>
      </c>
      <c r="AC28" s="4" t="e">
        <f t="shared" si="14"/>
        <v>#N/A</v>
      </c>
      <c r="AH28" s="4"/>
    </row>
    <row r="29" spans="1:35" x14ac:dyDescent="0.25">
      <c r="A29">
        <f t="shared" si="6"/>
        <v>31</v>
      </c>
      <c r="B29" s="1">
        <v>34608</v>
      </c>
      <c r="C29" s="4">
        <v>64000</v>
      </c>
      <c r="D29" s="4">
        <v>701.5</v>
      </c>
      <c r="E29" s="4">
        <v>640.13300000000004</v>
      </c>
      <c r="F29" s="4">
        <v>1270.354</v>
      </c>
      <c r="G29" s="4">
        <v>0</v>
      </c>
      <c r="H29" s="4">
        <f t="shared" si="16"/>
        <v>-630.221</v>
      </c>
      <c r="I29" s="4">
        <f t="shared" si="17"/>
        <v>1331.721</v>
      </c>
      <c r="J29" s="15">
        <f t="shared" si="18"/>
        <v>2.0808140624999999E-2</v>
      </c>
      <c r="K29" s="54">
        <f>0.020808/0.000034</f>
        <v>612</v>
      </c>
      <c r="L29" s="48">
        <f t="shared" si="15"/>
        <v>3.4000229779411765E-5</v>
      </c>
      <c r="M29" s="49">
        <v>2.9999999999999997E-5</v>
      </c>
      <c r="N29" s="17">
        <v>-3.9999999999999998E-6</v>
      </c>
      <c r="O29" s="4">
        <v>1209.8889999999999</v>
      </c>
      <c r="P29" s="4">
        <v>203.78200000000001</v>
      </c>
      <c r="Q29" s="4">
        <f t="shared" si="7"/>
        <v>1413.6709999999998</v>
      </c>
      <c r="R29" s="4">
        <v>954.62099999999998</v>
      </c>
      <c r="S29" s="4">
        <v>-127.283</v>
      </c>
      <c r="T29" s="4">
        <f>R29-S29</f>
        <v>1081.904</v>
      </c>
      <c r="U29" s="42">
        <f>V29*O29/W29</f>
        <v>65314.4418374468</v>
      </c>
      <c r="V29" s="10">
        <v>63431</v>
      </c>
      <c r="W29" s="6">
        <v>1175</v>
      </c>
      <c r="X29" s="23">
        <f t="shared" si="20"/>
        <v>31.820700000000002</v>
      </c>
      <c r="Y29" s="9">
        <f t="shared" si="22"/>
        <v>480.17428702823014</v>
      </c>
      <c r="Z29" s="4">
        <f t="shared" si="19"/>
        <v>196.9819294444444</v>
      </c>
      <c r="AA29" s="4">
        <f t="shared" si="23"/>
        <v>-459.04999999999984</v>
      </c>
      <c r="AB29" s="4">
        <f t="shared" si="21"/>
        <v>-1026.6460000000013</v>
      </c>
      <c r="AC29" s="4" t="e">
        <f t="shared" si="14"/>
        <v>#N/A</v>
      </c>
      <c r="AH29" s="4"/>
    </row>
    <row r="30" spans="1:35" x14ac:dyDescent="0.25">
      <c r="A30">
        <f t="shared" si="6"/>
        <v>30</v>
      </c>
      <c r="B30" s="1">
        <v>34639</v>
      </c>
      <c r="C30" s="4">
        <v>70163</v>
      </c>
      <c r="D30" s="4">
        <v>1000</v>
      </c>
      <c r="E30" s="4">
        <v>818.41300000000001</v>
      </c>
      <c r="F30" s="4">
        <v>999.47400000000005</v>
      </c>
      <c r="G30" s="24">
        <f>-(-108.108)</f>
        <v>108.108</v>
      </c>
      <c r="H30" s="4">
        <f t="shared" ref="H30:H35" si="24">E30-F30-G30</f>
        <v>-289.16900000000004</v>
      </c>
      <c r="I30" s="4">
        <f t="shared" ref="I30:I35" si="25">D30-H30</f>
        <v>1289.1690000000001</v>
      </c>
      <c r="J30" s="15">
        <f t="shared" ref="J30:J35" si="26">I30/C30</f>
        <v>1.8373915026438436E-2</v>
      </c>
      <c r="K30" s="55">
        <f>0.018374/0.000037</f>
        <v>496.59459459459464</v>
      </c>
      <c r="L30" s="26">
        <f>J30/K30</f>
        <v>3.6999828887461743E-5</v>
      </c>
      <c r="M30" s="16">
        <v>3.6999999999999998E-5</v>
      </c>
      <c r="N30" s="17">
        <v>-3.9999999999999998E-6</v>
      </c>
      <c r="O30" s="4">
        <v>1248.44</v>
      </c>
      <c r="P30" s="4">
        <v>196.25399999999999</v>
      </c>
      <c r="Q30" s="4">
        <f t="shared" ref="Q30:Q35" si="27">P30+O30</f>
        <v>1444.694</v>
      </c>
      <c r="R30" s="4">
        <v>1260.7529999999999</v>
      </c>
      <c r="S30" s="4">
        <v>-136.298</v>
      </c>
      <c r="T30" s="4">
        <f t="shared" ref="T30:T35" si="28">R30-S30</f>
        <v>1397.0509999999999</v>
      </c>
      <c r="U30" s="42">
        <f>V30*O30/W30</f>
        <v>70115.922171052633</v>
      </c>
      <c r="V30" s="10">
        <v>68294</v>
      </c>
      <c r="W30" s="6">
        <v>1216</v>
      </c>
      <c r="X30" s="23">
        <f t="shared" si="20"/>
        <v>34.0744054054054</v>
      </c>
      <c r="Y30" s="9">
        <f t="shared" si="22"/>
        <v>477.38852116250638</v>
      </c>
      <c r="Z30" s="4">
        <f t="shared" si="19"/>
        <v>201.15989484984982</v>
      </c>
      <c r="AA30" s="4">
        <f t="shared" si="23"/>
        <v>-183.94100000000003</v>
      </c>
      <c r="AB30" s="4">
        <f t="shared" si="21"/>
        <v>-1210.5870000000014</v>
      </c>
      <c r="AC30" s="4" t="e">
        <f t="shared" si="14"/>
        <v>#N/A</v>
      </c>
      <c r="AH30" s="4"/>
    </row>
    <row r="31" spans="1:35" x14ac:dyDescent="0.25">
      <c r="A31">
        <f t="shared" si="6"/>
        <v>31</v>
      </c>
      <c r="B31" s="1">
        <v>34669</v>
      </c>
      <c r="C31" s="4">
        <v>70000</v>
      </c>
      <c r="D31" s="4">
        <v>1250.7</v>
      </c>
      <c r="E31" s="4">
        <v>954.62099999999998</v>
      </c>
      <c r="F31" s="4">
        <v>1425.421</v>
      </c>
      <c r="G31" s="4">
        <v>-135.21100000000001</v>
      </c>
      <c r="H31" s="4">
        <f t="shared" si="24"/>
        <v>-335.58900000000006</v>
      </c>
      <c r="I31" s="4">
        <f t="shared" si="25"/>
        <v>1586.2890000000002</v>
      </c>
      <c r="J31" s="15">
        <f t="shared" si="26"/>
        <v>2.2661271428571432E-2</v>
      </c>
      <c r="K31" s="54">
        <f>0.022661/0.000037</f>
        <v>612.45945945945948</v>
      </c>
      <c r="L31" s="26">
        <f>J31/K31</f>
        <v>3.7000443178021399E-5</v>
      </c>
      <c r="M31" s="16">
        <v>3.6999999999999998E-5</v>
      </c>
      <c r="N31" s="17">
        <v>-3.9999999999999998E-6</v>
      </c>
      <c r="O31" s="4">
        <v>1546.8150000000001</v>
      </c>
      <c r="P31" s="4">
        <v>154.595</v>
      </c>
      <c r="Q31" s="4">
        <f t="shared" si="27"/>
        <v>1701.41</v>
      </c>
      <c r="R31" s="4">
        <v>1392.6869999999999</v>
      </c>
      <c r="S31" s="4">
        <v>-150.56100000000001</v>
      </c>
      <c r="T31" s="4">
        <f t="shared" si="28"/>
        <v>1543.2479999999998</v>
      </c>
      <c r="U31" s="42">
        <f>V31*O31/W31</f>
        <v>80353.185059800671</v>
      </c>
      <c r="V31" s="10">
        <v>78181</v>
      </c>
      <c r="W31" s="6">
        <v>1505</v>
      </c>
      <c r="X31" s="23">
        <f t="shared" si="20"/>
        <v>37.640189189189186</v>
      </c>
      <c r="Y31" s="9">
        <f t="shared" si="22"/>
        <v>460.45369926023596</v>
      </c>
      <c r="Z31" s="4">
        <f t="shared" ref="Z31:Z36" si="29">SUM(X26:X31)</f>
        <v>207.71813403903903</v>
      </c>
      <c r="AA31" s="4">
        <f t="shared" si="23"/>
        <v>-308.72300000000018</v>
      </c>
      <c r="AB31" s="4">
        <f t="shared" si="21"/>
        <v>-1519.3100000000015</v>
      </c>
      <c r="AC31" s="4">
        <f t="shared" si="14"/>
        <v>-1519.3100000000015</v>
      </c>
      <c r="AH31" s="4"/>
    </row>
    <row r="32" spans="1:35" x14ac:dyDescent="0.25">
      <c r="A32">
        <f t="shared" si="6"/>
        <v>31</v>
      </c>
      <c r="B32" s="1">
        <v>34700</v>
      </c>
      <c r="C32" s="4">
        <v>72000</v>
      </c>
      <c r="D32" s="4">
        <v>1316.6</v>
      </c>
      <c r="E32" s="4">
        <v>1260.7529999999999</v>
      </c>
      <c r="F32" s="4">
        <v>1444.694</v>
      </c>
      <c r="G32" s="4">
        <v>263.32</v>
      </c>
      <c r="H32" s="4">
        <f t="shared" si="24"/>
        <v>-447.26100000000002</v>
      </c>
      <c r="I32" s="4">
        <f t="shared" si="25"/>
        <v>1763.8609999999999</v>
      </c>
      <c r="J32" s="15">
        <f t="shared" si="26"/>
        <v>2.4498069444444444E-2</v>
      </c>
      <c r="K32" s="54">
        <f>0.024498/0.00004</f>
        <v>612.44999999999993</v>
      </c>
      <c r="L32" s="26">
        <f>J32/K32</f>
        <v>4.0000113387940967E-5</v>
      </c>
      <c r="M32" s="16">
        <v>4.0000000000000003E-5</v>
      </c>
      <c r="N32" s="17">
        <v>7.9999999999999996E-6</v>
      </c>
      <c r="O32" s="4">
        <v>1498.806</v>
      </c>
      <c r="P32" s="4">
        <v>391.29899999999998</v>
      </c>
      <c r="Q32" s="4">
        <f t="shared" si="27"/>
        <v>1890.105</v>
      </c>
      <c r="R32" s="4">
        <v>1469.242</v>
      </c>
      <c r="S32" s="4">
        <v>293.84800000000001</v>
      </c>
      <c r="T32" s="4">
        <f t="shared" si="28"/>
        <v>1175.394</v>
      </c>
      <c r="U32" s="42">
        <f t="shared" ref="U32:U41" si="30">V32*O32/W32</f>
        <v>77649.918285123975</v>
      </c>
      <c r="V32" s="10">
        <v>75225</v>
      </c>
      <c r="W32" s="6">
        <v>1452</v>
      </c>
      <c r="X32" s="23">
        <f t="shared" ref="X32:X37" si="31">R32/M32/1000000</f>
        <v>36.731049999999989</v>
      </c>
      <c r="Y32" s="9">
        <f t="shared" si="22"/>
        <v>464.24974516452477</v>
      </c>
      <c r="Z32" s="4">
        <f t="shared" si="29"/>
        <v>208.56580903903904</v>
      </c>
      <c r="AA32" s="4">
        <f t="shared" si="23"/>
        <v>-420.86300000000006</v>
      </c>
      <c r="AB32" s="4">
        <f t="shared" si="21"/>
        <v>-1940.1730000000016</v>
      </c>
      <c r="AC32" s="4" t="e">
        <f t="shared" si="14"/>
        <v>#N/A</v>
      </c>
      <c r="AH32" s="4"/>
    </row>
    <row r="33" spans="1:34" x14ac:dyDescent="0.25">
      <c r="A33">
        <f t="shared" si="6"/>
        <v>28</v>
      </c>
      <c r="B33" s="1">
        <v>34731</v>
      </c>
      <c r="C33" s="4">
        <v>73730</v>
      </c>
      <c r="D33" s="4">
        <v>1420</v>
      </c>
      <c r="E33" s="4">
        <v>1392.6869999999999</v>
      </c>
      <c r="F33" s="4">
        <v>1701.41</v>
      </c>
      <c r="G33" s="4">
        <v>258.18200000000002</v>
      </c>
      <c r="H33" s="4">
        <f t="shared" si="24"/>
        <v>-566.9050000000002</v>
      </c>
      <c r="I33" s="4">
        <f t="shared" si="25"/>
        <v>1986.9050000000002</v>
      </c>
      <c r="J33" s="15">
        <f t="shared" si="26"/>
        <v>2.6948392784483931E-2</v>
      </c>
      <c r="K33" s="54">
        <f>0.026948/0.000044</f>
        <v>612.4545454545455</v>
      </c>
      <c r="L33" s="26">
        <f>J33/K33</f>
        <v>4.4000641328384034E-5</v>
      </c>
      <c r="M33" s="16">
        <v>4.3999999999999999E-5</v>
      </c>
      <c r="N33" s="17">
        <v>7.9999999999999996E-6</v>
      </c>
      <c r="O33" s="4">
        <v>1196.5219999999999</v>
      </c>
      <c r="P33" s="4">
        <v>-231.209</v>
      </c>
      <c r="Q33" s="4">
        <f t="shared" si="27"/>
        <v>965.31299999999987</v>
      </c>
      <c r="R33" s="4">
        <v>1448.1020000000001</v>
      </c>
      <c r="S33" s="4">
        <v>263.291</v>
      </c>
      <c r="T33" s="4">
        <f t="shared" si="28"/>
        <v>1184.8110000000001</v>
      </c>
      <c r="U33" s="42">
        <f t="shared" si="30"/>
        <v>68451.588619499569</v>
      </c>
      <c r="V33" s="10">
        <v>66305</v>
      </c>
      <c r="W33" s="6">
        <v>1159</v>
      </c>
      <c r="X33" s="23">
        <f t="shared" si="31"/>
        <v>32.911409090909096</v>
      </c>
      <c r="Y33" s="9">
        <f t="shared" si="22"/>
        <v>470.83769326051873</v>
      </c>
      <c r="Z33" s="4">
        <f t="shared" si="29"/>
        <v>205.91427368550367</v>
      </c>
      <c r="AA33" s="4">
        <f t="shared" si="23"/>
        <v>482.78900000000021</v>
      </c>
      <c r="AB33" s="4">
        <f t="shared" si="21"/>
        <v>-1457.3840000000014</v>
      </c>
      <c r="AC33" s="4" t="e">
        <f t="shared" si="14"/>
        <v>#N/A</v>
      </c>
      <c r="AH33" s="4"/>
    </row>
    <row r="34" spans="1:34" x14ac:dyDescent="0.25">
      <c r="A34">
        <f t="shared" si="6"/>
        <v>31</v>
      </c>
      <c r="B34" s="1">
        <v>34759</v>
      </c>
      <c r="C34" s="4">
        <v>71534</v>
      </c>
      <c r="D34" s="4">
        <v>1275</v>
      </c>
      <c r="E34" s="4">
        <v>1469.242</v>
      </c>
      <c r="F34" s="4">
        <v>1890.105</v>
      </c>
      <c r="G34" s="4">
        <v>231.81800000000001</v>
      </c>
      <c r="H34" s="4">
        <f t="shared" si="24"/>
        <v>-652.68100000000004</v>
      </c>
      <c r="I34" s="4">
        <f t="shared" si="25"/>
        <v>1927.681</v>
      </c>
      <c r="J34" s="15">
        <f t="shared" si="26"/>
        <v>2.6947759107557246E-2</v>
      </c>
      <c r="K34" s="54">
        <f>0.026948/0.000044</f>
        <v>612.4545454545455</v>
      </c>
      <c r="L34" s="26">
        <f>J34/K34</f>
        <v>4.3999606677026822E-5</v>
      </c>
      <c r="M34" s="16">
        <v>4.3999999999999999E-5</v>
      </c>
      <c r="N34" s="17">
        <v>7.9999999999999996E-6</v>
      </c>
      <c r="O34" s="4">
        <v>1596.473</v>
      </c>
      <c r="P34" s="4">
        <v>185.38200000000001</v>
      </c>
      <c r="Q34" s="4">
        <f t="shared" si="27"/>
        <v>1781.855</v>
      </c>
      <c r="R34" s="4">
        <v>1644.1669999999999</v>
      </c>
      <c r="S34" s="4">
        <v>298.93900000000002</v>
      </c>
      <c r="T34" s="4">
        <f t="shared" si="28"/>
        <v>1345.2279999999998</v>
      </c>
      <c r="U34" s="42">
        <f t="shared" si="30"/>
        <v>76607.029674403602</v>
      </c>
      <c r="V34" s="10">
        <v>74425</v>
      </c>
      <c r="W34" s="6">
        <v>1551</v>
      </c>
      <c r="X34" s="23">
        <f t="shared" si="31"/>
        <v>37.367431818181821</v>
      </c>
      <c r="Y34" s="9">
        <f t="shared" si="22"/>
        <v>477.53176189323267</v>
      </c>
      <c r="Z34" s="4">
        <f t="shared" si="29"/>
        <v>210.5451855036855</v>
      </c>
      <c r="AA34" s="4">
        <f t="shared" ref="AA34:AA39" si="32">+R34-Q34</f>
        <v>-137.6880000000001</v>
      </c>
      <c r="AB34" s="4">
        <f t="shared" si="21"/>
        <v>-1595.0720000000015</v>
      </c>
      <c r="AC34" s="4" t="e">
        <f t="shared" si="14"/>
        <v>#N/A</v>
      </c>
      <c r="AH34" s="4"/>
    </row>
    <row r="35" spans="1:34" x14ac:dyDescent="0.25">
      <c r="A35">
        <f t="shared" si="6"/>
        <v>30</v>
      </c>
      <c r="B35" s="1">
        <v>34790</v>
      </c>
      <c r="C35" s="57">
        <v>47430</v>
      </c>
      <c r="D35" s="4">
        <v>1490</v>
      </c>
      <c r="E35" s="4">
        <v>1448.1020000000001</v>
      </c>
      <c r="F35" s="4">
        <v>965.31299999999999</v>
      </c>
      <c r="G35" s="4">
        <v>270.90899999999999</v>
      </c>
      <c r="H35" s="4">
        <f t="shared" si="24"/>
        <v>211.88000000000011</v>
      </c>
      <c r="I35" s="4">
        <f t="shared" si="25"/>
        <v>1278.1199999999999</v>
      </c>
      <c r="J35" s="15">
        <f t="shared" si="26"/>
        <v>2.6947501581277671E-2</v>
      </c>
      <c r="K35" s="54">
        <f>0.026948/0.000044</f>
        <v>612.4545454545455</v>
      </c>
      <c r="L35" s="48">
        <f t="shared" ref="L35:L41" si="33">J35/K35</f>
        <v>4.3999186194753507E-5</v>
      </c>
      <c r="M35" s="49">
        <v>4.8000000000000001E-5</v>
      </c>
      <c r="N35" s="17">
        <v>7.9999999999999996E-6</v>
      </c>
      <c r="O35" s="4">
        <v>1353.414</v>
      </c>
      <c r="P35" s="4">
        <v>203.13300000000001</v>
      </c>
      <c r="Q35" s="4">
        <f t="shared" si="27"/>
        <v>1556.547</v>
      </c>
      <c r="R35" s="4">
        <v>1657.096</v>
      </c>
      <c r="S35" s="4">
        <v>276.18299999999999</v>
      </c>
      <c r="T35" s="4">
        <f t="shared" si="28"/>
        <v>1380.913</v>
      </c>
      <c r="U35" s="42">
        <f t="shared" si="30"/>
        <v>69848.065055344952</v>
      </c>
      <c r="V35" s="10">
        <v>68072</v>
      </c>
      <c r="W35" s="6">
        <v>1319</v>
      </c>
      <c r="X35" s="23">
        <f t="shared" si="31"/>
        <v>34.522833333333338</v>
      </c>
      <c r="Y35" s="9">
        <f>X35*1000000/(U35+M35*X35*1000000)</f>
        <v>482.80197993838067</v>
      </c>
      <c r="Z35" s="4">
        <f t="shared" si="29"/>
        <v>213.24731883701884</v>
      </c>
      <c r="AA35" s="4">
        <f t="shared" si="32"/>
        <v>100.54899999999998</v>
      </c>
      <c r="AB35" s="4">
        <f t="shared" si="21"/>
        <v>-1494.5230000000015</v>
      </c>
      <c r="AC35" s="4" t="e">
        <f t="shared" si="14"/>
        <v>#N/A</v>
      </c>
      <c r="AH35" s="4"/>
    </row>
    <row r="36" spans="1:34" x14ac:dyDescent="0.25">
      <c r="A36">
        <f t="shared" si="6"/>
        <v>31</v>
      </c>
      <c r="B36" s="1">
        <v>34820</v>
      </c>
      <c r="C36" s="4">
        <v>66400</v>
      </c>
      <c r="D36" s="4">
        <v>1825</v>
      </c>
      <c r="E36" s="4">
        <v>1644.1669999999999</v>
      </c>
      <c r="F36" s="4">
        <v>1781.855</v>
      </c>
      <c r="G36" s="24">
        <f>-(304.167)</f>
        <v>-304.16699999999997</v>
      </c>
      <c r="H36" s="4">
        <f t="shared" ref="H36:H41" si="34">E36-F36-G36</f>
        <v>166.47899999999987</v>
      </c>
      <c r="I36" s="4">
        <f t="shared" ref="I36:I41" si="35">D36-H36</f>
        <v>1658.5210000000002</v>
      </c>
      <c r="J36" s="15">
        <f t="shared" ref="J36:J41" si="36">I36/C36</f>
        <v>2.497772590361446E-2</v>
      </c>
      <c r="K36">
        <v>520</v>
      </c>
      <c r="L36" s="26">
        <f t="shared" si="33"/>
        <v>4.8034088276181654E-5</v>
      </c>
      <c r="M36" s="16">
        <v>4.8000000000000001E-5</v>
      </c>
      <c r="N36" s="17">
        <v>7.9999999999999996E-6</v>
      </c>
      <c r="O36" s="4">
        <v>1216.652</v>
      </c>
      <c r="P36" s="4">
        <v>245.577</v>
      </c>
      <c r="Q36" s="4">
        <f t="shared" ref="Q36:Q41" si="37">P36+O36</f>
        <v>1462.229</v>
      </c>
      <c r="R36" s="4">
        <v>1662.2</v>
      </c>
      <c r="S36" s="4">
        <v>277.03300000000002</v>
      </c>
      <c r="T36" s="4">
        <f t="shared" ref="T36:T43" si="38">R36-S36</f>
        <v>1385.1669999999999</v>
      </c>
      <c r="U36" s="42">
        <f t="shared" si="30"/>
        <v>71571.458135363791</v>
      </c>
      <c r="V36" s="10">
        <v>69533</v>
      </c>
      <c r="W36" s="6">
        <v>1182</v>
      </c>
      <c r="X36" s="23">
        <f t="shared" si="31"/>
        <v>34.629166666666663</v>
      </c>
      <c r="Y36" s="9">
        <f>X36*1000000/(U36+M36*X36*1000000)</f>
        <v>472.85862195575061</v>
      </c>
      <c r="Z36" s="4">
        <f t="shared" si="29"/>
        <v>213.8020800982801</v>
      </c>
      <c r="AA36" s="4">
        <f t="shared" si="32"/>
        <v>199.971</v>
      </c>
      <c r="AB36" s="4">
        <f t="shared" si="21"/>
        <v>-1294.5520000000015</v>
      </c>
      <c r="AC36" s="4" t="e">
        <f t="shared" si="14"/>
        <v>#N/A</v>
      </c>
      <c r="AH36" s="4"/>
    </row>
    <row r="37" spans="1:34" x14ac:dyDescent="0.25">
      <c r="A37">
        <f t="shared" si="6"/>
        <v>30</v>
      </c>
      <c r="B37" s="1">
        <v>34851</v>
      </c>
      <c r="C37" s="4">
        <v>65500</v>
      </c>
      <c r="D37" s="4">
        <v>1485</v>
      </c>
      <c r="E37" s="4">
        <v>1657.096</v>
      </c>
      <c r="F37" s="4">
        <v>1556.547</v>
      </c>
      <c r="G37" s="4">
        <v>247.55</v>
      </c>
      <c r="H37" s="4">
        <f t="shared" si="34"/>
        <v>-147.00100000000003</v>
      </c>
      <c r="I37" s="4">
        <f t="shared" si="35"/>
        <v>1632.001</v>
      </c>
      <c r="J37" s="15">
        <f t="shared" si="36"/>
        <v>2.4916045801526718E-2</v>
      </c>
      <c r="K37">
        <v>520</v>
      </c>
      <c r="L37" s="26">
        <f t="shared" si="33"/>
        <v>4.791547269524369E-5</v>
      </c>
      <c r="M37" s="16">
        <v>4.8000000000000001E-5</v>
      </c>
      <c r="N37" s="17">
        <v>7.9999999999999996E-6</v>
      </c>
      <c r="O37" s="4">
        <v>1202.009</v>
      </c>
      <c r="P37" s="4">
        <v>139.99700000000001</v>
      </c>
      <c r="Q37" s="4">
        <f t="shared" si="37"/>
        <v>1342.0060000000001</v>
      </c>
      <c r="R37" s="4">
        <v>1679.365</v>
      </c>
      <c r="S37" s="4">
        <v>279.89400000000001</v>
      </c>
      <c r="T37" s="4">
        <f t="shared" si="38"/>
        <v>1399.471</v>
      </c>
      <c r="U37" s="42">
        <f t="shared" si="30"/>
        <v>70310.888387425657</v>
      </c>
      <c r="V37" s="10">
        <v>68848</v>
      </c>
      <c r="W37" s="6">
        <v>1177</v>
      </c>
      <c r="X37" s="23">
        <f t="shared" si="31"/>
        <v>34.986770833333338</v>
      </c>
      <c r="Y37" s="9">
        <f>X37*1000000/(U37+M37*X37*1000000)</f>
        <v>485.99316139432256</v>
      </c>
      <c r="Z37" s="4">
        <f t="shared" ref="Z37:Z42" si="39">SUM(X32:X37)</f>
        <v>211.14866174242425</v>
      </c>
      <c r="AA37" s="4">
        <f t="shared" si="32"/>
        <v>337.35899999999992</v>
      </c>
      <c r="AB37" s="4">
        <f t="shared" si="21"/>
        <v>-957.19300000000158</v>
      </c>
      <c r="AC37" s="4">
        <f t="shared" si="14"/>
        <v>-957.19300000000158</v>
      </c>
      <c r="AH37" s="4"/>
    </row>
    <row r="38" spans="1:34" x14ac:dyDescent="0.25">
      <c r="A38">
        <f t="shared" si="6"/>
        <v>31</v>
      </c>
      <c r="B38" s="1">
        <v>34881</v>
      </c>
      <c r="C38" s="4">
        <v>66000</v>
      </c>
      <c r="D38" s="4">
        <v>1580</v>
      </c>
      <c r="E38" s="4">
        <v>1662.2</v>
      </c>
      <c r="F38" s="4">
        <v>1462.229</v>
      </c>
      <c r="G38" s="4">
        <v>235.262</v>
      </c>
      <c r="H38" s="4">
        <f t="shared" si="34"/>
        <v>-35.290999999999997</v>
      </c>
      <c r="I38" s="4">
        <f t="shared" si="35"/>
        <v>1615.2909999999999</v>
      </c>
      <c r="J38" s="15">
        <f t="shared" si="36"/>
        <v>2.4474106060606061E-2</v>
      </c>
      <c r="K38">
        <v>520</v>
      </c>
      <c r="L38" s="26">
        <f t="shared" si="33"/>
        <v>4.7065588578088581E-5</v>
      </c>
      <c r="M38" s="16">
        <v>4.6999999999999997E-5</v>
      </c>
      <c r="N38" s="17">
        <v>6.9999999999999999E-6</v>
      </c>
      <c r="O38" s="4">
        <v>1320.8209999999999</v>
      </c>
      <c r="P38" s="4">
        <v>186.68600000000001</v>
      </c>
      <c r="Q38" s="4">
        <f t="shared" si="37"/>
        <v>1507.5069999999998</v>
      </c>
      <c r="R38" s="4">
        <v>1651.3630000000001</v>
      </c>
      <c r="S38" s="4">
        <v>245.94800000000001</v>
      </c>
      <c r="T38" s="4">
        <f t="shared" si="38"/>
        <v>1405.415</v>
      </c>
      <c r="U38" s="42">
        <f t="shared" si="30"/>
        <v>71273.139387596893</v>
      </c>
      <c r="V38" s="10">
        <v>69610</v>
      </c>
      <c r="W38" s="6">
        <v>1290</v>
      </c>
      <c r="X38" s="23">
        <f t="shared" ref="X38:X43" si="40">R38/M38/1000000</f>
        <v>35.135382978723406</v>
      </c>
      <c r="Y38" s="9">
        <f>X38*1000000/(U38+M38*X38*1000000)</f>
        <v>481.8049054620534</v>
      </c>
      <c r="Z38" s="4">
        <f t="shared" si="39"/>
        <v>209.55299472114768</v>
      </c>
      <c r="AA38" s="4">
        <f t="shared" si="32"/>
        <v>143.85600000000022</v>
      </c>
      <c r="AB38" s="4">
        <f t="shared" si="21"/>
        <v>-813.33700000000135</v>
      </c>
      <c r="AC38" s="4" t="e">
        <f t="shared" si="14"/>
        <v>#N/A</v>
      </c>
      <c r="AH38" s="4"/>
    </row>
    <row r="39" spans="1:34" x14ac:dyDescent="0.25">
      <c r="A39">
        <f t="shared" si="6"/>
        <v>31</v>
      </c>
      <c r="B39" s="1">
        <v>34912</v>
      </c>
      <c r="C39" s="4">
        <v>70600</v>
      </c>
      <c r="D39" s="4">
        <v>1800</v>
      </c>
      <c r="E39" s="4">
        <v>1679.365</v>
      </c>
      <c r="F39" s="4">
        <v>1342.0060000000001</v>
      </c>
      <c r="G39" s="4">
        <v>268.08499999999998</v>
      </c>
      <c r="H39" s="4">
        <f t="shared" si="34"/>
        <v>69.273999999999944</v>
      </c>
      <c r="I39" s="4">
        <f t="shared" si="35"/>
        <v>1730.7260000000001</v>
      </c>
      <c r="J39" s="15">
        <f t="shared" si="36"/>
        <v>2.4514532577903685E-2</v>
      </c>
      <c r="K39">
        <v>520</v>
      </c>
      <c r="L39" s="26">
        <f t="shared" si="33"/>
        <v>4.7143331880584008E-5</v>
      </c>
      <c r="M39" s="16">
        <v>4.6999999999999997E-5</v>
      </c>
      <c r="N39" s="17">
        <v>6.9999999999999999E-6</v>
      </c>
      <c r="O39" s="4">
        <v>1477.0609999999999</v>
      </c>
      <c r="P39" s="4">
        <v>89.893000000000001</v>
      </c>
      <c r="Q39" s="4">
        <f t="shared" si="37"/>
        <v>1566.954</v>
      </c>
      <c r="R39" s="4">
        <v>1751.213</v>
      </c>
      <c r="S39" s="4">
        <v>260.81900000000002</v>
      </c>
      <c r="T39" s="4">
        <f t="shared" si="38"/>
        <v>1490.394</v>
      </c>
      <c r="U39" s="42">
        <f>V39*W$4</f>
        <v>76888.35503974829</v>
      </c>
      <c r="V39" s="10">
        <v>74904</v>
      </c>
      <c r="W39" s="6">
        <v>1442</v>
      </c>
      <c r="X39" s="23">
        <f t="shared" si="40"/>
        <v>37.259851063829785</v>
      </c>
      <c r="Y39" s="9">
        <f>X39*1000000/(U39+M39*X39*1000000)</f>
        <v>473.80538821114624</v>
      </c>
      <c r="Z39" s="4">
        <f t="shared" si="39"/>
        <v>213.90143669406837</v>
      </c>
      <c r="AA39" s="4">
        <f t="shared" si="32"/>
        <v>184.25900000000001</v>
      </c>
      <c r="AB39" s="4">
        <f t="shared" si="21"/>
        <v>-629.07800000000134</v>
      </c>
      <c r="AC39" s="4" t="e">
        <f t="shared" si="14"/>
        <v>#N/A</v>
      </c>
      <c r="AH39" s="4"/>
    </row>
    <row r="40" spans="1:34" x14ac:dyDescent="0.25">
      <c r="A40">
        <f t="shared" si="6"/>
        <v>30</v>
      </c>
      <c r="B40" s="1">
        <v>34943</v>
      </c>
      <c r="C40" s="4">
        <v>68000</v>
      </c>
      <c r="D40" s="4">
        <v>1575</v>
      </c>
      <c r="E40" s="4">
        <v>1651.3630000000001</v>
      </c>
      <c r="F40" s="4">
        <v>1507.5070000000001</v>
      </c>
      <c r="G40" s="4">
        <v>234.57400000000001</v>
      </c>
      <c r="H40" s="4">
        <f t="shared" si="34"/>
        <v>-90.718000000000018</v>
      </c>
      <c r="I40" s="4">
        <f t="shared" si="35"/>
        <v>1665.7180000000001</v>
      </c>
      <c r="J40" s="15">
        <f t="shared" si="36"/>
        <v>2.4495852941176472E-2</v>
      </c>
      <c r="K40">
        <v>520</v>
      </c>
      <c r="L40" s="26">
        <f t="shared" si="33"/>
        <v>4.7107409502262444E-5</v>
      </c>
      <c r="M40" s="16">
        <v>4.6999999999999997E-5</v>
      </c>
      <c r="N40" s="17">
        <v>6.9999999999999999E-6</v>
      </c>
      <c r="O40" s="4">
        <v>1419.857</v>
      </c>
      <c r="P40" s="4">
        <v>143.541</v>
      </c>
      <c r="Q40" s="4">
        <f t="shared" si="37"/>
        <v>1563.3979999999999</v>
      </c>
      <c r="R40" s="4">
        <v>1676.848</v>
      </c>
      <c r="S40" s="4">
        <v>249.74299999999999</v>
      </c>
      <c r="T40" s="4">
        <f t="shared" si="38"/>
        <v>1427.105</v>
      </c>
      <c r="U40" s="42">
        <f t="shared" si="30"/>
        <v>73210.287322021657</v>
      </c>
      <c r="V40" s="10">
        <v>71413</v>
      </c>
      <c r="W40" s="6">
        <v>1385</v>
      </c>
      <c r="X40" s="23">
        <f t="shared" si="40"/>
        <v>35.677617021276596</v>
      </c>
      <c r="Y40" s="9">
        <f t="shared" ref="Y40:Y101" si="41">X40*1000000/(U40+M40*X40*1000000)</f>
        <v>476.41850456502999</v>
      </c>
      <c r="Z40" s="4">
        <f t="shared" si="39"/>
        <v>212.21162189716313</v>
      </c>
      <c r="AA40" s="4">
        <f t="shared" ref="AA40:AA45" si="42">+R40-Q40</f>
        <v>113.45000000000005</v>
      </c>
      <c r="AB40" s="4">
        <f t="shared" si="21"/>
        <v>-515.62800000000129</v>
      </c>
      <c r="AC40" s="4" t="e">
        <f t="shared" si="14"/>
        <v>#N/A</v>
      </c>
      <c r="AH40" s="4"/>
    </row>
    <row r="41" spans="1:34" x14ac:dyDescent="0.25">
      <c r="A41">
        <f t="shared" si="6"/>
        <v>31</v>
      </c>
      <c r="B41" s="1">
        <v>34973</v>
      </c>
      <c r="C41" s="4">
        <v>74500</v>
      </c>
      <c r="D41" s="4">
        <v>1485</v>
      </c>
      <c r="E41" s="4">
        <v>1751.213</v>
      </c>
      <c r="F41" s="4">
        <v>1566.954</v>
      </c>
      <c r="G41" s="4">
        <v>259.875</v>
      </c>
      <c r="H41" s="4">
        <f t="shared" si="34"/>
        <v>-75.615999999999985</v>
      </c>
      <c r="I41" s="4">
        <f t="shared" si="35"/>
        <v>1560.616</v>
      </c>
      <c r="J41" s="15">
        <f t="shared" si="36"/>
        <v>2.0947865771812079E-2</v>
      </c>
      <c r="K41">
        <v>520</v>
      </c>
      <c r="L41" s="26">
        <f t="shared" si="33"/>
        <v>4.0284357253484766E-5</v>
      </c>
      <c r="M41" s="16">
        <v>4.0000000000000003E-5</v>
      </c>
      <c r="N41" s="17">
        <v>6.9999999999999999E-6</v>
      </c>
      <c r="O41" s="4">
        <v>1443.866</v>
      </c>
      <c r="P41" s="4">
        <v>247.559</v>
      </c>
      <c r="Q41" s="4">
        <f t="shared" si="37"/>
        <v>1691.425</v>
      </c>
      <c r="R41" s="4">
        <v>1446.6469999999999</v>
      </c>
      <c r="S41" s="4">
        <v>253.16300000000001</v>
      </c>
      <c r="T41" s="4">
        <f t="shared" si="38"/>
        <v>1193.4839999999999</v>
      </c>
      <c r="U41" s="42">
        <f t="shared" si="30"/>
        <v>76180.583609652225</v>
      </c>
      <c r="V41" s="10">
        <v>74341</v>
      </c>
      <c r="W41" s="6">
        <v>1409</v>
      </c>
      <c r="X41" s="23">
        <f t="shared" si="40"/>
        <v>36.166174999999996</v>
      </c>
      <c r="Y41" s="9">
        <f t="shared" si="41"/>
        <v>465.89546884470548</v>
      </c>
      <c r="Z41" s="4">
        <f t="shared" si="39"/>
        <v>213.85496356382981</v>
      </c>
      <c r="AA41" s="4">
        <f t="shared" si="42"/>
        <v>-244.77800000000002</v>
      </c>
      <c r="AB41" s="4">
        <f t="shared" si="21"/>
        <v>-760.40600000000131</v>
      </c>
      <c r="AC41" s="4" t="e">
        <f t="shared" si="14"/>
        <v>#N/A</v>
      </c>
      <c r="AH41" s="4"/>
    </row>
    <row r="42" spans="1:34" x14ac:dyDescent="0.25">
      <c r="A42">
        <f t="shared" si="6"/>
        <v>30</v>
      </c>
      <c r="B42" s="1">
        <v>35004</v>
      </c>
      <c r="C42" s="4">
        <v>71000</v>
      </c>
      <c r="D42" s="4">
        <v>1425</v>
      </c>
      <c r="E42" s="4">
        <v>1676.848</v>
      </c>
      <c r="F42" s="4">
        <v>1563.3979999999999</v>
      </c>
      <c r="G42" s="4">
        <v>212.23400000000001</v>
      </c>
      <c r="H42" s="4">
        <f t="shared" ref="H42:H47" si="43">E42-F42-G42</f>
        <v>-98.783999999999963</v>
      </c>
      <c r="I42" s="4">
        <f t="shared" ref="I42:I47" si="44">D42-H42</f>
        <v>1523.7839999999999</v>
      </c>
      <c r="J42" s="15">
        <f t="shared" ref="J42:J47" si="45">I42/C42</f>
        <v>2.1461746478873236E-2</v>
      </c>
      <c r="K42">
        <v>520</v>
      </c>
      <c r="L42" s="26">
        <f t="shared" ref="L42:L47" si="46">J42/K42</f>
        <v>4.1272589382448534E-5</v>
      </c>
      <c r="M42" s="16">
        <v>4.1E-5</v>
      </c>
      <c r="N42" s="17">
        <v>6.9999999999999999E-6</v>
      </c>
      <c r="O42" s="4">
        <v>1409.0160000000001</v>
      </c>
      <c r="P42" s="4">
        <v>120.483</v>
      </c>
      <c r="Q42" s="4">
        <f t="shared" ref="Q42:Q47" si="47">P42+O42</f>
        <v>1529.499</v>
      </c>
      <c r="R42" s="4">
        <v>1455.3320000000001</v>
      </c>
      <c r="S42" s="4">
        <v>248.471</v>
      </c>
      <c r="T42" s="4">
        <f t="shared" si="38"/>
        <v>1206.8610000000001</v>
      </c>
      <c r="U42" s="42">
        <f>V42*O42/W42</f>
        <v>74552.920709302329</v>
      </c>
      <c r="V42" s="10">
        <v>72806</v>
      </c>
      <c r="W42" s="6">
        <v>1376</v>
      </c>
      <c r="X42" s="23">
        <f t="shared" si="40"/>
        <v>35.495902439024391</v>
      </c>
      <c r="Y42" s="9">
        <f t="shared" si="41"/>
        <v>467.00063708582263</v>
      </c>
      <c r="Z42" s="4">
        <f t="shared" si="39"/>
        <v>214.72169933618756</v>
      </c>
      <c r="AA42" s="4">
        <f t="shared" si="42"/>
        <v>-74.166999999999916</v>
      </c>
      <c r="AB42" s="4">
        <f t="shared" si="21"/>
        <v>-834.57300000000123</v>
      </c>
      <c r="AC42" s="4" t="e">
        <f t="shared" si="14"/>
        <v>#N/A</v>
      </c>
      <c r="AH42" s="4"/>
    </row>
    <row r="43" spans="1:34" x14ac:dyDescent="0.25">
      <c r="A43">
        <f t="shared" si="6"/>
        <v>31</v>
      </c>
      <c r="B43" s="1">
        <v>35034</v>
      </c>
      <c r="C43" s="4">
        <v>73000</v>
      </c>
      <c r="D43" s="4">
        <v>1175</v>
      </c>
      <c r="E43" s="4">
        <v>1446.6469999999999</v>
      </c>
      <c r="F43" s="4">
        <v>1691.425</v>
      </c>
      <c r="G43" s="4">
        <v>205.625</v>
      </c>
      <c r="H43" s="4">
        <f t="shared" si="43"/>
        <v>-450.40300000000002</v>
      </c>
      <c r="I43" s="4">
        <f t="shared" si="44"/>
        <v>1625.403</v>
      </c>
      <c r="J43" s="15">
        <f t="shared" si="45"/>
        <v>2.2265794520547947E-2</v>
      </c>
      <c r="K43">
        <v>520</v>
      </c>
      <c r="L43" s="26">
        <f t="shared" si="46"/>
        <v>4.2818835616438358E-5</v>
      </c>
      <c r="M43" s="16">
        <v>4.3000000000000002E-5</v>
      </c>
      <c r="N43" s="17">
        <v>6.9999999999999999E-6</v>
      </c>
      <c r="O43" s="4">
        <v>1645.45</v>
      </c>
      <c r="P43" s="4">
        <v>168.363</v>
      </c>
      <c r="Q43" s="4">
        <f t="shared" si="47"/>
        <v>1813.8130000000001</v>
      </c>
      <c r="R43" s="4">
        <v>1591.681</v>
      </c>
      <c r="S43" s="4">
        <v>259.11099999999999</v>
      </c>
      <c r="T43" s="4">
        <f t="shared" si="38"/>
        <v>1332.5700000000002</v>
      </c>
      <c r="U43" s="42">
        <f>V43*O43/W43</f>
        <v>77990.439079029253</v>
      </c>
      <c r="V43" s="10">
        <v>76168</v>
      </c>
      <c r="W43" s="6">
        <v>1607</v>
      </c>
      <c r="X43" s="23">
        <f t="shared" si="40"/>
        <v>37.015837209302326</v>
      </c>
      <c r="Y43" s="9">
        <f t="shared" si="41"/>
        <v>465.12755845840303</v>
      </c>
      <c r="Z43" s="4">
        <f t="shared" ref="Z43:Z94" si="48">SUM(X38:X43)</f>
        <v>216.75076571215652</v>
      </c>
      <c r="AA43" s="4">
        <f t="shared" si="42"/>
        <v>-222.13200000000006</v>
      </c>
      <c r="AB43" s="4">
        <f t="shared" si="21"/>
        <v>-1056.7050000000013</v>
      </c>
      <c r="AC43" s="4">
        <f t="shared" si="14"/>
        <v>-1056.7050000000013</v>
      </c>
      <c r="AH43" s="4"/>
    </row>
    <row r="44" spans="1:34" x14ac:dyDescent="0.25">
      <c r="A44">
        <f t="shared" si="6"/>
        <v>31</v>
      </c>
      <c r="B44" s="1">
        <v>35065</v>
      </c>
      <c r="C44" s="4">
        <v>69000</v>
      </c>
      <c r="D44" s="4">
        <v>1250</v>
      </c>
      <c r="E44" s="4">
        <v>1455.3320000000001</v>
      </c>
      <c r="F44" s="4">
        <v>1529.499</v>
      </c>
      <c r="G44" s="4">
        <v>213.41499999999999</v>
      </c>
      <c r="H44" s="4">
        <f t="shared" si="43"/>
        <v>-287.58199999999988</v>
      </c>
      <c r="I44" s="4">
        <f t="shared" si="44"/>
        <v>1537.5819999999999</v>
      </c>
      <c r="J44" s="15">
        <f t="shared" si="45"/>
        <v>2.2283797101449274E-2</v>
      </c>
      <c r="K44">
        <v>520</v>
      </c>
      <c r="L44" s="26">
        <f t="shared" si="46"/>
        <v>4.2853455964325525E-5</v>
      </c>
      <c r="M44" s="16">
        <v>4.3000000000000002E-5</v>
      </c>
      <c r="N44" s="17">
        <v>1.9999999999999999E-6</v>
      </c>
      <c r="O44" s="4">
        <v>1449.8630000000001</v>
      </c>
      <c r="P44" s="4">
        <v>152.40799999999999</v>
      </c>
      <c r="Q44" s="4">
        <f t="shared" si="47"/>
        <v>1602.271</v>
      </c>
      <c r="R44" s="4">
        <v>1498.32</v>
      </c>
      <c r="S44" s="4">
        <v>69.688999999999993</v>
      </c>
      <c r="T44" s="4">
        <f t="shared" ref="T44:T49" si="49">R44-S44</f>
        <v>1428.6309999999999</v>
      </c>
      <c r="U44" s="39">
        <f>32461+2962+9319+24490+1428+1920</f>
        <v>72580</v>
      </c>
      <c r="V44" s="10"/>
      <c r="W44" s="6"/>
      <c r="X44" s="23">
        <f t="shared" ref="X44:X49" si="50">R44/M44/1000000</f>
        <v>34.84465116279069</v>
      </c>
      <c r="Y44" s="9">
        <f t="shared" si="41"/>
        <v>470.37582875517006</v>
      </c>
      <c r="Z44" s="4">
        <f t="shared" si="48"/>
        <v>216.46003389622379</v>
      </c>
      <c r="AA44" s="4">
        <f t="shared" si="42"/>
        <v>-103.95100000000002</v>
      </c>
      <c r="AB44" s="4">
        <f t="shared" si="21"/>
        <v>-1160.6560000000013</v>
      </c>
      <c r="AC44" s="4" t="e">
        <f t="shared" si="14"/>
        <v>#N/A</v>
      </c>
      <c r="AH44" s="4"/>
    </row>
    <row r="45" spans="1:34" x14ac:dyDescent="0.25">
      <c r="A45">
        <f t="shared" si="6"/>
        <v>29</v>
      </c>
      <c r="B45" s="1">
        <v>35096</v>
      </c>
      <c r="C45" s="4">
        <v>67000</v>
      </c>
      <c r="D45" s="4">
        <v>1100</v>
      </c>
      <c r="E45" s="4">
        <v>1591.681</v>
      </c>
      <c r="F45" s="4">
        <v>1813.8130000000001</v>
      </c>
      <c r="G45" s="4">
        <v>179.07</v>
      </c>
      <c r="H45" s="4">
        <f t="shared" si="43"/>
        <v>-401.20200000000006</v>
      </c>
      <c r="I45" s="4">
        <f t="shared" si="44"/>
        <v>1501.202</v>
      </c>
      <c r="J45" s="15">
        <f t="shared" si="45"/>
        <v>2.2405999999999999E-2</v>
      </c>
      <c r="K45">
        <v>520</v>
      </c>
      <c r="L45" s="51">
        <f t="shared" si="46"/>
        <v>4.3088461538461534E-5</v>
      </c>
      <c r="M45" s="14">
        <v>4.3000000000000002E-5</v>
      </c>
      <c r="N45" s="12">
        <v>1.9999999999999999E-6</v>
      </c>
      <c r="O45" s="4">
        <v>1130.731</v>
      </c>
      <c r="P45" s="4">
        <v>84.966999999999999</v>
      </c>
      <c r="Q45" s="4">
        <f t="shared" si="47"/>
        <v>1215.6980000000001</v>
      </c>
      <c r="R45" s="4">
        <v>1350.338</v>
      </c>
      <c r="S45" s="4">
        <v>62.805999999999997</v>
      </c>
      <c r="T45" s="4">
        <f t="shared" si="49"/>
        <v>1287.5319999999999</v>
      </c>
      <c r="U45" s="39">
        <f>28418+3581+8779+23846+563+2690</f>
        <v>67877</v>
      </c>
      <c r="V45" s="10"/>
      <c r="W45" s="6"/>
      <c r="X45" s="23">
        <f t="shared" si="50"/>
        <v>31.403209302325582</v>
      </c>
      <c r="Y45" s="9">
        <f t="shared" si="41"/>
        <v>453.62439477776218</v>
      </c>
      <c r="Z45" s="4">
        <f t="shared" si="48"/>
        <v>210.60339213471957</v>
      </c>
      <c r="AA45" s="4">
        <f t="shared" si="42"/>
        <v>134.63999999999987</v>
      </c>
      <c r="AB45" s="4">
        <f t="shared" si="21"/>
        <v>-1026.0160000000014</v>
      </c>
      <c r="AC45" s="4" t="e">
        <f t="shared" si="14"/>
        <v>#N/A</v>
      </c>
      <c r="AH45" s="4"/>
    </row>
    <row r="46" spans="1:34" x14ac:dyDescent="0.25">
      <c r="A46">
        <f t="shared" si="6"/>
        <v>31</v>
      </c>
      <c r="B46" s="1">
        <v>35125</v>
      </c>
      <c r="C46" s="4">
        <v>68000</v>
      </c>
      <c r="D46" s="4">
        <v>1350</v>
      </c>
      <c r="E46" s="4">
        <v>1498.32</v>
      </c>
      <c r="F46" s="4">
        <v>1602.271</v>
      </c>
      <c r="G46" s="4">
        <v>62.790999999999997</v>
      </c>
      <c r="H46" s="4">
        <f t="shared" si="43"/>
        <v>-166.74200000000002</v>
      </c>
      <c r="I46" s="4">
        <f t="shared" si="44"/>
        <v>1516.742</v>
      </c>
      <c r="J46" s="15">
        <f t="shared" si="45"/>
        <v>2.2305029411764706E-2</v>
      </c>
      <c r="K46">
        <v>520</v>
      </c>
      <c r="L46" s="26">
        <f t="shared" si="46"/>
        <v>4.2894287330316745E-5</v>
      </c>
      <c r="M46" s="14">
        <v>4.3000000000000002E-5</v>
      </c>
      <c r="N46" s="12">
        <v>1.9999999999999999E-6</v>
      </c>
      <c r="O46" s="4">
        <v>1073.6659999999999</v>
      </c>
      <c r="P46" s="4">
        <v>247.01</v>
      </c>
      <c r="Q46" s="4">
        <f t="shared" si="47"/>
        <v>1320.6759999999999</v>
      </c>
      <c r="R46" s="4">
        <v>1483.4069999999999</v>
      </c>
      <c r="S46" s="4">
        <v>98.995999999999995</v>
      </c>
      <c r="T46" s="4">
        <f t="shared" si="49"/>
        <v>1384.4109999999998</v>
      </c>
      <c r="U46" s="39">
        <f>32149+3839+8950+24108+1184+2787</f>
        <v>73017</v>
      </c>
      <c r="V46" s="10"/>
      <c r="W46" s="6"/>
      <c r="X46" s="23">
        <f t="shared" si="50"/>
        <v>34.497837209302318</v>
      </c>
      <c r="Y46" s="9">
        <f t="shared" si="41"/>
        <v>463.05568786090413</v>
      </c>
      <c r="Z46" s="4">
        <f t="shared" si="48"/>
        <v>209.42361232274533</v>
      </c>
      <c r="AA46" s="4">
        <f t="shared" ref="AA46:AA51" si="51">+R46-Q46</f>
        <v>162.73099999999999</v>
      </c>
      <c r="AB46" s="4">
        <f t="shared" si="21"/>
        <v>-863.28500000000145</v>
      </c>
      <c r="AC46" s="4" t="e">
        <f t="shared" si="14"/>
        <v>#N/A</v>
      </c>
      <c r="AH46" s="4"/>
    </row>
    <row r="47" spans="1:34" x14ac:dyDescent="0.25">
      <c r="A47">
        <f t="shared" si="6"/>
        <v>30</v>
      </c>
      <c r="B47" s="1">
        <v>35156</v>
      </c>
      <c r="C47" s="4">
        <v>72000</v>
      </c>
      <c r="D47" s="4">
        <v>1375</v>
      </c>
      <c r="E47" s="4">
        <v>1350.338</v>
      </c>
      <c r="F47" s="4">
        <v>1215.6980000000001</v>
      </c>
      <c r="G47" s="4">
        <v>63.953000000000003</v>
      </c>
      <c r="H47" s="4">
        <f t="shared" si="43"/>
        <v>70.68699999999987</v>
      </c>
      <c r="I47" s="4">
        <f t="shared" si="44"/>
        <v>1304.3130000000001</v>
      </c>
      <c r="J47" s="15">
        <f t="shared" si="45"/>
        <v>1.8115458333333334E-2</v>
      </c>
      <c r="K47">
        <v>520</v>
      </c>
      <c r="L47" s="26">
        <f t="shared" si="46"/>
        <v>3.4837419871794876E-5</v>
      </c>
      <c r="M47" s="14">
        <v>3.4999999999999997E-5</v>
      </c>
      <c r="N47" s="12">
        <v>1.9999999999999999E-6</v>
      </c>
      <c r="O47" s="4">
        <v>1074.7139999999999</v>
      </c>
      <c r="P47" s="4">
        <v>18.62</v>
      </c>
      <c r="Q47" s="4">
        <f t="shared" si="47"/>
        <v>1093.3339999999998</v>
      </c>
      <c r="R47" s="4">
        <v>1145.944</v>
      </c>
      <c r="S47" s="4">
        <v>65.483000000000004</v>
      </c>
      <c r="T47" s="4">
        <f t="shared" si="49"/>
        <v>1080.461</v>
      </c>
      <c r="U47" s="39">
        <f>30105+4240+8967+22371+1408+2005</f>
        <v>69096</v>
      </c>
      <c r="V47" s="10"/>
      <c r="W47" s="6"/>
      <c r="X47" s="23">
        <f t="shared" si="50"/>
        <v>32.741257142857144</v>
      </c>
      <c r="Y47" s="9">
        <f t="shared" si="41"/>
        <v>466.12117032035934</v>
      </c>
      <c r="Z47" s="4">
        <f t="shared" si="48"/>
        <v>205.99869446560245</v>
      </c>
      <c r="AA47" s="4">
        <f t="shared" si="51"/>
        <v>52.610000000000127</v>
      </c>
      <c r="AB47" s="4">
        <f t="shared" si="21"/>
        <v>-810.67500000000132</v>
      </c>
      <c r="AC47" s="4" t="e">
        <f t="shared" si="14"/>
        <v>#N/A</v>
      </c>
      <c r="AH47" s="4"/>
    </row>
    <row r="48" spans="1:34" x14ac:dyDescent="0.25">
      <c r="A48">
        <f t="shared" si="6"/>
        <v>31</v>
      </c>
      <c r="B48" s="1">
        <v>35186</v>
      </c>
      <c r="C48" s="4">
        <v>78700</v>
      </c>
      <c r="D48" s="4">
        <v>1525</v>
      </c>
      <c r="E48" s="4">
        <v>1483.4069999999999</v>
      </c>
      <c r="F48" s="4">
        <v>1320.6759999999999</v>
      </c>
      <c r="G48" s="4">
        <v>70.930000000000007</v>
      </c>
      <c r="H48" s="4">
        <f t="shared" ref="H48:H53" si="52">E48-F48-G48</f>
        <v>91.800999999999988</v>
      </c>
      <c r="I48" s="4">
        <f t="shared" ref="I48:I53" si="53">D48-H48</f>
        <v>1433.1990000000001</v>
      </c>
      <c r="J48" s="15">
        <f t="shared" ref="J48:J53" si="54">I48/C48</f>
        <v>1.8210914866581957E-2</v>
      </c>
      <c r="K48">
        <v>520</v>
      </c>
      <c r="L48" s="26">
        <f t="shared" ref="L48:L55" si="55">J48/K48</f>
        <v>3.5020990128042225E-5</v>
      </c>
      <c r="M48" s="14">
        <v>3.4999999999999997E-5</v>
      </c>
      <c r="N48" s="12">
        <v>1.9999999999999999E-6</v>
      </c>
      <c r="O48" s="4">
        <v>1349.7439999999999</v>
      </c>
      <c r="P48" s="4">
        <v>219.745</v>
      </c>
      <c r="Q48" s="4">
        <f t="shared" ref="Q48:Q53" si="56">P48+O48</f>
        <v>1569.489</v>
      </c>
      <c r="R48" s="4">
        <v>1317.703</v>
      </c>
      <c r="S48" s="4">
        <v>75.296999999999997</v>
      </c>
      <c r="T48" s="4">
        <f t="shared" si="49"/>
        <v>1242.4059999999999</v>
      </c>
      <c r="U48" s="39">
        <f>31794+3992+9290+25750+1455+4895</f>
        <v>77176</v>
      </c>
      <c r="V48" s="10"/>
      <c r="W48" s="6"/>
      <c r="X48" s="23">
        <f t="shared" si="50"/>
        <v>37.648657142857139</v>
      </c>
      <c r="Y48" s="9">
        <f t="shared" si="41"/>
        <v>479.63920294163142</v>
      </c>
      <c r="Z48" s="4">
        <f t="shared" si="48"/>
        <v>208.15144916943518</v>
      </c>
      <c r="AA48" s="4">
        <f t="shared" si="51"/>
        <v>-251.78600000000006</v>
      </c>
      <c r="AB48" s="4">
        <f t="shared" si="21"/>
        <v>-1062.4610000000014</v>
      </c>
      <c r="AC48" s="4" t="e">
        <f t="shared" si="14"/>
        <v>#N/A</v>
      </c>
      <c r="AH48" s="4"/>
    </row>
    <row r="49" spans="1:35" x14ac:dyDescent="0.25">
      <c r="A49">
        <f t="shared" si="6"/>
        <v>30</v>
      </c>
      <c r="B49" s="1">
        <v>35217</v>
      </c>
      <c r="C49" s="4">
        <v>76600</v>
      </c>
      <c r="D49" s="4">
        <v>1482</v>
      </c>
      <c r="E49" s="4">
        <v>1145.944</v>
      </c>
      <c r="F49" s="4">
        <v>1093.3340000000001</v>
      </c>
      <c r="G49" s="4">
        <v>84.686000000000007</v>
      </c>
      <c r="H49" s="4">
        <f t="shared" si="52"/>
        <v>-32.076000000000107</v>
      </c>
      <c r="I49" s="4">
        <f t="shared" si="53"/>
        <v>1514.076</v>
      </c>
      <c r="J49" s="15">
        <f t="shared" si="54"/>
        <v>1.9766005221932115E-2</v>
      </c>
      <c r="K49">
        <v>520</v>
      </c>
      <c r="L49" s="26">
        <f t="shared" si="55"/>
        <v>3.8011548503715604E-5</v>
      </c>
      <c r="M49" s="14">
        <v>3.8000000000000002E-5</v>
      </c>
      <c r="N49" s="12">
        <v>1.9999999999999999E-6</v>
      </c>
      <c r="O49" s="4">
        <v>1517.8579999999999</v>
      </c>
      <c r="P49" s="4">
        <v>86.454999999999998</v>
      </c>
      <c r="Q49" s="4">
        <f t="shared" si="56"/>
        <v>1604.3129999999999</v>
      </c>
      <c r="R49" s="4">
        <v>1386.8689999999999</v>
      </c>
      <c r="S49" s="4">
        <v>72.992999999999995</v>
      </c>
      <c r="T49" s="4">
        <f t="shared" si="49"/>
        <v>1313.876</v>
      </c>
      <c r="U49" s="39">
        <f>29349+2780+9426+25350+6904+1411</f>
        <v>75220</v>
      </c>
      <c r="V49" s="10"/>
      <c r="W49" s="6"/>
      <c r="X49" s="23">
        <f t="shared" si="50"/>
        <v>36.496552631578943</v>
      </c>
      <c r="Y49" s="9">
        <f t="shared" si="41"/>
        <v>476.41357893871032</v>
      </c>
      <c r="Z49" s="4">
        <f t="shared" si="48"/>
        <v>207.63216459171181</v>
      </c>
      <c r="AA49" s="4">
        <f t="shared" si="51"/>
        <v>-217.44399999999996</v>
      </c>
      <c r="AB49" s="4">
        <f t="shared" si="21"/>
        <v>-1279.9050000000013</v>
      </c>
      <c r="AC49" s="4">
        <f t="shared" si="14"/>
        <v>-1279.9050000000013</v>
      </c>
      <c r="AH49" s="4"/>
    </row>
    <row r="50" spans="1:35" x14ac:dyDescent="0.25">
      <c r="A50">
        <f t="shared" si="6"/>
        <v>31</v>
      </c>
      <c r="B50" s="1">
        <v>35247</v>
      </c>
      <c r="C50" s="4">
        <v>81000</v>
      </c>
      <c r="D50" s="4">
        <v>1370</v>
      </c>
      <c r="E50" s="4">
        <v>1317.703</v>
      </c>
      <c r="F50" s="4">
        <v>1569.489</v>
      </c>
      <c r="G50" s="4">
        <v>78.286000000000001</v>
      </c>
      <c r="H50" s="4">
        <f t="shared" si="52"/>
        <v>-330.07200000000006</v>
      </c>
      <c r="I50" s="4">
        <f t="shared" si="53"/>
        <v>1700.0720000000001</v>
      </c>
      <c r="J50" s="15">
        <f t="shared" si="54"/>
        <v>2.0988543209876545E-2</v>
      </c>
      <c r="K50">
        <v>520</v>
      </c>
      <c r="L50" s="26">
        <f t="shared" si="55"/>
        <v>4.0362583095916431E-5</v>
      </c>
      <c r="M50" s="14">
        <v>4.0000000000000003E-5</v>
      </c>
      <c r="N50" s="12">
        <v>3.9999999999999998E-6</v>
      </c>
      <c r="O50" s="4">
        <v>1633.104</v>
      </c>
      <c r="P50" s="4">
        <v>381.24299999999999</v>
      </c>
      <c r="Q50" s="4">
        <f t="shared" si="56"/>
        <v>2014.347</v>
      </c>
      <c r="R50" s="4">
        <v>1508.835</v>
      </c>
      <c r="S50" s="4">
        <v>150.88399999999999</v>
      </c>
      <c r="T50" s="4">
        <f>R50-S50</f>
        <v>1357.951</v>
      </c>
      <c r="U50" s="39">
        <f>33635+3658+9226+25698+1427+5101</f>
        <v>78745</v>
      </c>
      <c r="V50" s="10"/>
      <c r="W50" s="6"/>
      <c r="X50" s="23">
        <f t="shared" ref="X50:X55" si="57">R50/M50/1000000</f>
        <v>37.720874999999999</v>
      </c>
      <c r="Y50" s="9">
        <f t="shared" si="41"/>
        <v>470.01959470223443</v>
      </c>
      <c r="Z50" s="4">
        <f t="shared" si="48"/>
        <v>210.50838842892111</v>
      </c>
      <c r="AA50" s="4">
        <f t="shared" si="51"/>
        <v>-505.51199999999994</v>
      </c>
      <c r="AB50" s="4">
        <f t="shared" si="21"/>
        <v>-1785.4170000000013</v>
      </c>
      <c r="AC50" s="4" t="e">
        <f t="shared" si="14"/>
        <v>#N/A</v>
      </c>
      <c r="AH50" s="4"/>
    </row>
    <row r="51" spans="1:35" x14ac:dyDescent="0.25">
      <c r="A51">
        <f t="shared" si="6"/>
        <v>31</v>
      </c>
      <c r="B51" s="1">
        <v>35278</v>
      </c>
      <c r="C51" s="4">
        <v>82000</v>
      </c>
      <c r="D51" s="4">
        <v>1540</v>
      </c>
      <c r="E51" s="4">
        <v>1386.8689999999999</v>
      </c>
      <c r="F51" s="4">
        <v>1604.3130000000001</v>
      </c>
      <c r="G51" s="4">
        <v>81.052999999999997</v>
      </c>
      <c r="H51" s="4">
        <f t="shared" si="52"/>
        <v>-298.49700000000018</v>
      </c>
      <c r="I51" s="4">
        <f t="shared" si="53"/>
        <v>1838.4970000000003</v>
      </c>
      <c r="J51" s="15">
        <f t="shared" si="54"/>
        <v>2.2420695121951224E-2</v>
      </c>
      <c r="K51">
        <v>520</v>
      </c>
      <c r="L51" s="26">
        <f t="shared" si="55"/>
        <v>4.3116721388367741E-5</v>
      </c>
      <c r="M51" s="14">
        <v>4.3000000000000002E-5</v>
      </c>
      <c r="N51" s="12">
        <v>3.9999999999999998E-6</v>
      </c>
      <c r="O51" s="4">
        <v>1611.3879999999999</v>
      </c>
      <c r="P51" s="4">
        <v>429.25400000000002</v>
      </c>
      <c r="Q51" s="4">
        <f t="shared" si="56"/>
        <v>2040.6419999999998</v>
      </c>
      <c r="R51" s="4">
        <v>1659.683</v>
      </c>
      <c r="S51" s="4">
        <v>154.38900000000001</v>
      </c>
      <c r="T51" s="4">
        <f>R51-S51</f>
        <v>1505.2939999999999</v>
      </c>
      <c r="U51" s="39">
        <f>35074+4244+9297+25971+1453+5679</f>
        <v>81718</v>
      </c>
      <c r="V51" s="10"/>
      <c r="W51" s="6"/>
      <c r="X51" s="23">
        <f t="shared" si="57"/>
        <v>38.597279069767438</v>
      </c>
      <c r="Y51" s="9">
        <f t="shared" si="41"/>
        <v>462.92098414113326</v>
      </c>
      <c r="Z51" s="4">
        <f t="shared" si="48"/>
        <v>217.70245819636298</v>
      </c>
      <c r="AA51" s="4">
        <f t="shared" si="51"/>
        <v>-380.95899999999983</v>
      </c>
      <c r="AB51" s="4">
        <f t="shared" si="21"/>
        <v>-2166.3760000000011</v>
      </c>
      <c r="AC51" s="4" t="e">
        <f t="shared" si="14"/>
        <v>#N/A</v>
      </c>
      <c r="AH51" s="4"/>
    </row>
    <row r="52" spans="1:35" x14ac:dyDescent="0.25">
      <c r="A52">
        <f t="shared" si="6"/>
        <v>30</v>
      </c>
      <c r="B52" s="1">
        <v>35309</v>
      </c>
      <c r="C52" s="4">
        <v>84550</v>
      </c>
      <c r="D52" s="4">
        <v>1300</v>
      </c>
      <c r="E52" s="4">
        <v>1508.835</v>
      </c>
      <c r="F52" s="4">
        <v>2014.347</v>
      </c>
      <c r="G52" s="4">
        <v>130</v>
      </c>
      <c r="H52" s="4">
        <f t="shared" si="52"/>
        <v>-635.51199999999994</v>
      </c>
      <c r="I52" s="4">
        <f t="shared" si="53"/>
        <v>1935.5119999999999</v>
      </c>
      <c r="J52" s="15">
        <f t="shared" si="54"/>
        <v>2.2891921939680662E-2</v>
      </c>
      <c r="K52">
        <v>520</v>
      </c>
      <c r="L52" s="26">
        <f t="shared" si="55"/>
        <v>4.4022926807078199E-5</v>
      </c>
      <c r="M52" s="14">
        <v>4.3999999999999999E-5</v>
      </c>
      <c r="N52" s="12">
        <v>3.9999999999999998E-6</v>
      </c>
      <c r="O52" s="4">
        <v>1691.665</v>
      </c>
      <c r="P52" s="4">
        <v>401.91</v>
      </c>
      <c r="Q52" s="4">
        <f t="shared" si="56"/>
        <v>2093.5749999999998</v>
      </c>
      <c r="R52" s="4">
        <v>1652.7560000000001</v>
      </c>
      <c r="S52" s="4">
        <v>150.251</v>
      </c>
      <c r="T52" s="4">
        <f>R52-S52</f>
        <v>1502.5050000000001</v>
      </c>
      <c r="U52" s="39">
        <f>34651+4460+8955+25218+1395+5072</f>
        <v>79751</v>
      </c>
      <c r="V52" s="10"/>
      <c r="W52" s="6"/>
      <c r="X52" s="23">
        <f t="shared" si="57"/>
        <v>37.562636363636365</v>
      </c>
      <c r="Y52" s="9">
        <f t="shared" si="41"/>
        <v>461.43615736399647</v>
      </c>
      <c r="Z52" s="4">
        <f t="shared" si="48"/>
        <v>220.76725735069704</v>
      </c>
      <c r="AA52" s="4">
        <f t="shared" ref="AA52:AA57" si="58">+R52-Q52</f>
        <v>-440.81899999999973</v>
      </c>
      <c r="AB52" s="4">
        <f t="shared" si="21"/>
        <v>-2607.1950000000006</v>
      </c>
      <c r="AC52" s="4" t="e">
        <f t="shared" si="14"/>
        <v>#N/A</v>
      </c>
      <c r="AH52" s="4"/>
    </row>
    <row r="53" spans="1:35" x14ac:dyDescent="0.25">
      <c r="A53">
        <f t="shared" si="6"/>
        <v>31</v>
      </c>
      <c r="B53" s="1">
        <v>35339</v>
      </c>
      <c r="C53" s="4">
        <v>80475</v>
      </c>
      <c r="D53" s="4">
        <v>1375</v>
      </c>
      <c r="E53" s="4">
        <v>1659.683</v>
      </c>
      <c r="F53" s="4">
        <v>2040.6420000000001</v>
      </c>
      <c r="G53" s="4">
        <v>127.907</v>
      </c>
      <c r="H53" s="4">
        <f t="shared" si="52"/>
        <v>-508.86600000000004</v>
      </c>
      <c r="I53" s="4">
        <f t="shared" si="53"/>
        <v>1883.866</v>
      </c>
      <c r="J53" s="15">
        <f t="shared" si="54"/>
        <v>2.3409332090711402E-2</v>
      </c>
      <c r="K53">
        <v>520</v>
      </c>
      <c r="L53" s="51">
        <f t="shared" si="55"/>
        <v>4.501794632829116E-5</v>
      </c>
      <c r="M53" s="14">
        <v>4.5000000000000003E-5</v>
      </c>
      <c r="N53" s="12">
        <v>3.9999999999999998E-6</v>
      </c>
      <c r="O53" s="4">
        <v>1719.011</v>
      </c>
      <c r="P53" s="4">
        <v>373.04700000000003</v>
      </c>
      <c r="Q53" s="4">
        <f t="shared" si="56"/>
        <v>2092.058</v>
      </c>
      <c r="R53" s="4">
        <v>1763.2360000000001</v>
      </c>
      <c r="S53" s="4">
        <v>156.732</v>
      </c>
      <c r="T53" s="4">
        <f>R53-S53</f>
        <v>1606.5040000000001</v>
      </c>
      <c r="U53" s="39">
        <f>34726+4307+9279+27820+1670+5696</f>
        <v>83498</v>
      </c>
      <c r="V53" s="10"/>
      <c r="W53" s="6"/>
      <c r="X53" s="23">
        <f t="shared" si="57"/>
        <v>39.18302222222222</v>
      </c>
      <c r="Y53" s="9">
        <f t="shared" si="41"/>
        <v>459.56432325496928</v>
      </c>
      <c r="Z53" s="4">
        <f t="shared" si="48"/>
        <v>227.20902243006208</v>
      </c>
      <c r="AA53" s="4">
        <f t="shared" si="58"/>
        <v>-328.82199999999989</v>
      </c>
      <c r="AB53" s="4">
        <f t="shared" si="21"/>
        <v>-2936.0170000000007</v>
      </c>
      <c r="AC53" s="4" t="e">
        <f t="shared" si="14"/>
        <v>#N/A</v>
      </c>
      <c r="AH53" s="4"/>
    </row>
    <row r="54" spans="1:35" x14ac:dyDescent="0.25">
      <c r="A54">
        <f t="shared" si="6"/>
        <v>30</v>
      </c>
      <c r="B54" s="1">
        <v>35370</v>
      </c>
      <c r="C54" s="4">
        <v>78600</v>
      </c>
      <c r="D54" s="4">
        <v>1295</v>
      </c>
      <c r="E54" s="4">
        <v>1652.7560000000001</v>
      </c>
      <c r="F54" s="4">
        <v>2093.5749999999998</v>
      </c>
      <c r="G54" s="4">
        <v>117.727</v>
      </c>
      <c r="H54" s="4">
        <f t="shared" ref="H54:H59" si="59">E54-F54-G54</f>
        <v>-558.54599999999971</v>
      </c>
      <c r="I54" s="4">
        <f t="shared" ref="I54:I59" si="60">D54-H54</f>
        <v>1853.5459999999998</v>
      </c>
      <c r="J54" s="15">
        <f t="shared" ref="J54:J59" si="61">I54/C54</f>
        <v>2.3582010178117046E-2</v>
      </c>
      <c r="K54">
        <v>520</v>
      </c>
      <c r="L54" s="51">
        <f t="shared" si="55"/>
        <v>4.5350019573302009E-5</v>
      </c>
      <c r="M54" s="14">
        <v>4.5000000000000003E-5</v>
      </c>
      <c r="N54" s="12">
        <v>3.9999999999999998E-6</v>
      </c>
      <c r="O54" s="4">
        <v>1955.7529999999999</v>
      </c>
      <c r="P54" s="4">
        <v>275.06700000000001</v>
      </c>
      <c r="Q54" s="4">
        <f t="shared" ref="Q54:Q59" si="62">P54+O54</f>
        <v>2230.8199999999997</v>
      </c>
      <c r="R54" s="4">
        <v>1733.829</v>
      </c>
      <c r="S54" s="4">
        <v>154.11799999999999</v>
      </c>
      <c r="T54" s="4">
        <f t="shared" ref="T54:T59" si="63">R54-S54</f>
        <v>1579.711</v>
      </c>
      <c r="U54" s="39">
        <f>76522+3566</f>
        <v>80088</v>
      </c>
      <c r="V54" s="10"/>
      <c r="W54" s="6"/>
      <c r="X54" s="23">
        <f t="shared" si="57"/>
        <v>38.529533333333326</v>
      </c>
      <c r="Y54" s="9">
        <f t="shared" si="41"/>
        <v>470.89552756555133</v>
      </c>
      <c r="Z54" s="4">
        <f t="shared" si="48"/>
        <v>228.08989862053826</v>
      </c>
      <c r="AA54" s="4">
        <f t="shared" si="58"/>
        <v>-496.99099999999976</v>
      </c>
      <c r="AB54" s="4">
        <f t="shared" si="21"/>
        <v>-3433.0080000000007</v>
      </c>
      <c r="AC54" s="4" t="e">
        <f t="shared" si="14"/>
        <v>#N/A</v>
      </c>
      <c r="AH54" s="4"/>
    </row>
    <row r="55" spans="1:35" x14ac:dyDescent="0.25">
      <c r="A55">
        <f t="shared" si="6"/>
        <v>31</v>
      </c>
      <c r="B55" s="1">
        <v>35400</v>
      </c>
      <c r="C55" s="4">
        <v>78500</v>
      </c>
      <c r="D55" s="4">
        <v>1400</v>
      </c>
      <c r="E55" s="4">
        <v>1763.2360000000001</v>
      </c>
      <c r="F55" s="4">
        <v>2092.058</v>
      </c>
      <c r="G55" s="4">
        <v>124.444</v>
      </c>
      <c r="H55" s="4">
        <f t="shared" si="59"/>
        <v>-453.26599999999991</v>
      </c>
      <c r="I55" s="4">
        <f t="shared" si="60"/>
        <v>1853.2659999999998</v>
      </c>
      <c r="J55" s="15">
        <f t="shared" si="61"/>
        <v>2.3608484076433119E-2</v>
      </c>
      <c r="K55">
        <v>520</v>
      </c>
      <c r="L55" s="51">
        <f t="shared" si="55"/>
        <v>4.5400930916217538E-5</v>
      </c>
      <c r="M55" s="14">
        <v>4.5000000000000003E-5</v>
      </c>
      <c r="N55" s="12">
        <v>3.9999999999999998E-6</v>
      </c>
      <c r="O55" s="4">
        <v>1857.1189999999999</v>
      </c>
      <c r="P55" s="4">
        <v>147.828</v>
      </c>
      <c r="Q55" s="4">
        <f t="shared" si="62"/>
        <v>2004.9469999999999</v>
      </c>
      <c r="R55" s="4">
        <v>1765.5239999999999</v>
      </c>
      <c r="S55" s="4">
        <v>156.935</v>
      </c>
      <c r="T55" s="4">
        <f t="shared" si="63"/>
        <v>1608.5889999999999</v>
      </c>
      <c r="U55" s="39">
        <f>79725+2408</f>
        <v>82133</v>
      </c>
      <c r="V55" s="10"/>
      <c r="W55" s="6"/>
      <c r="X55" s="23">
        <f t="shared" si="57"/>
        <v>39.233866666666664</v>
      </c>
      <c r="Y55" s="9">
        <f t="shared" si="41"/>
        <v>467.63476633589721</v>
      </c>
      <c r="Z55" s="4">
        <f t="shared" si="48"/>
        <v>230.827212655626</v>
      </c>
      <c r="AA55" s="4">
        <f t="shared" si="58"/>
        <v>-239.423</v>
      </c>
      <c r="AB55" s="4">
        <f t="shared" si="21"/>
        <v>-3672.4310000000009</v>
      </c>
      <c r="AC55" s="4">
        <f t="shared" si="14"/>
        <v>-3672.4310000000009</v>
      </c>
      <c r="AH55" s="4"/>
    </row>
    <row r="56" spans="1:35" x14ac:dyDescent="0.25">
      <c r="A56">
        <f t="shared" si="6"/>
        <v>31</v>
      </c>
      <c r="B56" s="1">
        <v>35431</v>
      </c>
      <c r="C56" s="4">
        <v>77000</v>
      </c>
      <c r="D56" s="4">
        <v>1650</v>
      </c>
      <c r="E56" s="4">
        <v>1733.829</v>
      </c>
      <c r="F56" s="4">
        <v>2230.8200000000002</v>
      </c>
      <c r="G56" s="4">
        <v>115.789</v>
      </c>
      <c r="H56" s="4">
        <f t="shared" si="59"/>
        <v>-612.7800000000002</v>
      </c>
      <c r="I56" s="4">
        <f t="shared" si="60"/>
        <v>2262.7800000000002</v>
      </c>
      <c r="J56" s="15">
        <f t="shared" si="61"/>
        <v>2.9386753246753248E-2</v>
      </c>
      <c r="K56">
        <v>520</v>
      </c>
      <c r="L56" s="26">
        <f>J56/K56</f>
        <v>5.6512987012987018E-5</v>
      </c>
      <c r="M56" s="14">
        <v>5.7000000000000003E-5</v>
      </c>
      <c r="N56" s="12">
        <v>1.5999999999999999E-5</v>
      </c>
      <c r="O56" s="4">
        <v>1569.287</v>
      </c>
      <c r="P56" s="4">
        <v>57.258000000000003</v>
      </c>
      <c r="Q56" s="4">
        <f t="shared" si="62"/>
        <v>1626.5450000000001</v>
      </c>
      <c r="R56" s="4">
        <v>2116.5520000000001</v>
      </c>
      <c r="S56" s="4">
        <v>594.12</v>
      </c>
      <c r="T56" s="4">
        <f t="shared" si="63"/>
        <v>1522.4320000000002</v>
      </c>
      <c r="U56" s="39">
        <f>74281+1659+1505</f>
        <v>77445</v>
      </c>
      <c r="V56" s="10"/>
      <c r="W56" s="6"/>
      <c r="X56" s="23">
        <f t="shared" ref="X56:X61" si="64">R56/M56/1000000</f>
        <v>37.13249122807018</v>
      </c>
      <c r="Y56" s="9">
        <f t="shared" si="41"/>
        <v>466.71401317146479</v>
      </c>
      <c r="Z56" s="4">
        <f t="shared" si="48"/>
        <v>230.23882888369621</v>
      </c>
      <c r="AA56" s="4">
        <f t="shared" si="58"/>
        <v>490.00700000000006</v>
      </c>
      <c r="AB56" s="4">
        <f t="shared" si="21"/>
        <v>-3182.4240000000009</v>
      </c>
      <c r="AC56" s="4" t="e">
        <f t="shared" si="14"/>
        <v>#N/A</v>
      </c>
      <c r="AH56" s="4">
        <v>43.826999999999998</v>
      </c>
      <c r="AI56" s="4">
        <f t="shared" ref="AI56:AI94" si="65">AH56/1.055056+P56</f>
        <v>98.797975129282236</v>
      </c>
    </row>
    <row r="57" spans="1:35" x14ac:dyDescent="0.25">
      <c r="A57">
        <f t="shared" si="6"/>
        <v>28</v>
      </c>
      <c r="B57" s="1">
        <v>35462</v>
      </c>
      <c r="C57" s="4">
        <v>71000</v>
      </c>
      <c r="D57" s="4">
        <v>1700</v>
      </c>
      <c r="E57" s="4">
        <v>1765.5239999999999</v>
      </c>
      <c r="F57" s="4">
        <v>2004.9469999999999</v>
      </c>
      <c r="G57" s="4">
        <v>151.11099999999999</v>
      </c>
      <c r="H57" s="4">
        <f t="shared" si="59"/>
        <v>-390.53399999999999</v>
      </c>
      <c r="I57" s="4">
        <f t="shared" si="60"/>
        <v>2090.5340000000001</v>
      </c>
      <c r="J57" s="15">
        <f t="shared" si="61"/>
        <v>2.9444140845070424E-2</v>
      </c>
      <c r="K57">
        <v>520</v>
      </c>
      <c r="L57" s="26">
        <f>J57/K57</f>
        <v>5.6623347778981587E-5</v>
      </c>
      <c r="M57" s="14">
        <v>5.7000000000000003E-5</v>
      </c>
      <c r="N57" s="12">
        <v>1.5999999999999999E-5</v>
      </c>
      <c r="O57" s="4">
        <v>1304.432</v>
      </c>
      <c r="P57" s="4">
        <v>71.844999999999999</v>
      </c>
      <c r="Q57" s="4">
        <f t="shared" si="62"/>
        <v>1376.277</v>
      </c>
      <c r="R57" s="4">
        <v>1951.7059999999999</v>
      </c>
      <c r="S57" s="4">
        <v>547.84699999999998</v>
      </c>
      <c r="T57" s="4">
        <f t="shared" si="63"/>
        <v>1403.8589999999999</v>
      </c>
      <c r="U57" s="39">
        <f>67993+1516+2065</f>
        <v>71574</v>
      </c>
      <c r="V57" s="10"/>
      <c r="W57" s="6"/>
      <c r="X57" s="23">
        <f t="shared" si="64"/>
        <v>34.240456140350872</v>
      </c>
      <c r="Y57" s="9">
        <f t="shared" si="41"/>
        <v>465.69367372481764</v>
      </c>
      <c r="Z57" s="4">
        <f t="shared" si="48"/>
        <v>225.88200595427963</v>
      </c>
      <c r="AA57" s="4">
        <f t="shared" si="58"/>
        <v>575.42899999999986</v>
      </c>
      <c r="AB57" s="4">
        <f t="shared" si="21"/>
        <v>-2606.9950000000008</v>
      </c>
      <c r="AC57" s="4" t="e">
        <f t="shared" si="14"/>
        <v>#N/A</v>
      </c>
      <c r="AH57" s="4">
        <v>98.337000000000003</v>
      </c>
      <c r="AI57" s="4">
        <f t="shared" si="65"/>
        <v>165.05047914044371</v>
      </c>
    </row>
    <row r="58" spans="1:35" x14ac:dyDescent="0.25">
      <c r="A58">
        <f t="shared" si="6"/>
        <v>31</v>
      </c>
      <c r="B58" s="1">
        <v>35490</v>
      </c>
      <c r="C58" s="4">
        <v>70000</v>
      </c>
      <c r="D58" s="4">
        <v>1850</v>
      </c>
      <c r="E58" s="4">
        <v>2116.5520000000001</v>
      </c>
      <c r="F58" s="4">
        <v>1626.5450000000001</v>
      </c>
      <c r="G58" s="4">
        <v>519.298</v>
      </c>
      <c r="H58" s="4">
        <f t="shared" si="59"/>
        <v>-29.29099999999994</v>
      </c>
      <c r="I58" s="4">
        <f t="shared" si="60"/>
        <v>1879.2909999999999</v>
      </c>
      <c r="J58" s="15">
        <f t="shared" si="61"/>
        <v>2.6847014285714284E-2</v>
      </c>
      <c r="K58">
        <v>520</v>
      </c>
      <c r="L58" s="26">
        <f>J58/K58</f>
        <v>5.1628873626373623E-5</v>
      </c>
      <c r="M58" s="14">
        <v>5.1999999999999997E-5</v>
      </c>
      <c r="N58" s="12">
        <v>1.5999999999999999E-5</v>
      </c>
      <c r="O58" s="4">
        <v>1510.538</v>
      </c>
      <c r="P58" s="4">
        <v>-1.7849999999999999</v>
      </c>
      <c r="Q58" s="4">
        <f t="shared" si="62"/>
        <v>1508.7529999999999</v>
      </c>
      <c r="R58" s="4">
        <v>2070.0569999999998</v>
      </c>
      <c r="S58" s="4">
        <v>636.94100000000003</v>
      </c>
      <c r="T58" s="4">
        <f t="shared" si="63"/>
        <v>1433.1159999999998</v>
      </c>
      <c r="U58" s="39">
        <f>79684+1676+2577</f>
        <v>83937</v>
      </c>
      <c r="V58" s="10"/>
      <c r="W58" s="6"/>
      <c r="X58" s="23">
        <f t="shared" si="64"/>
        <v>39.808788461538455</v>
      </c>
      <c r="Y58" s="9">
        <f t="shared" si="41"/>
        <v>462.85490807502526</v>
      </c>
      <c r="Z58" s="4">
        <f t="shared" si="48"/>
        <v>228.12815805218176</v>
      </c>
      <c r="AA58" s="4">
        <f t="shared" ref="AA58:AA67" si="66">+R58-Q58</f>
        <v>561.30399999999986</v>
      </c>
      <c r="AB58" s="4">
        <f t="shared" si="21"/>
        <v>-2045.6910000000007</v>
      </c>
      <c r="AC58" s="4" t="e">
        <f t="shared" si="14"/>
        <v>#N/A</v>
      </c>
      <c r="AH58" s="4">
        <v>80.628</v>
      </c>
      <c r="AI58" s="4">
        <f t="shared" si="65"/>
        <v>74.635588101484672</v>
      </c>
    </row>
    <row r="59" spans="1:35" x14ac:dyDescent="0.25">
      <c r="A59">
        <f t="shared" si="6"/>
        <v>30</v>
      </c>
      <c r="B59" s="1">
        <v>35521</v>
      </c>
      <c r="C59" s="4">
        <v>69500</v>
      </c>
      <c r="D59" s="4">
        <v>1825</v>
      </c>
      <c r="E59" s="4">
        <v>1951.7059999999999</v>
      </c>
      <c r="F59" s="4">
        <v>1376.277</v>
      </c>
      <c r="G59" s="4">
        <v>512.28099999999995</v>
      </c>
      <c r="H59" s="4">
        <f t="shared" si="59"/>
        <v>63.147999999999911</v>
      </c>
      <c r="I59" s="4">
        <f t="shared" si="60"/>
        <v>1761.8520000000001</v>
      </c>
      <c r="J59" s="15">
        <f t="shared" si="61"/>
        <v>2.5350388489208633E-2</v>
      </c>
      <c r="K59">
        <v>520</v>
      </c>
      <c r="L59" s="26">
        <f>J59/K59</f>
        <v>4.8750747094631987E-5</v>
      </c>
      <c r="M59" s="14">
        <v>4.8999999999999998E-5</v>
      </c>
      <c r="N59" s="12">
        <v>1.5999999999999999E-5</v>
      </c>
      <c r="O59" s="4">
        <v>1460.451</v>
      </c>
      <c r="P59" s="4">
        <v>123.15</v>
      </c>
      <c r="Q59" s="4">
        <f t="shared" si="62"/>
        <v>1583.6010000000001</v>
      </c>
      <c r="R59" s="4">
        <v>1842.7439999999999</v>
      </c>
      <c r="S59" s="4">
        <v>601.71199999999999</v>
      </c>
      <c r="T59" s="4">
        <f t="shared" si="63"/>
        <v>1241.0319999999999</v>
      </c>
      <c r="U59" s="39">
        <f>73354+1411+2792</f>
        <v>77557</v>
      </c>
      <c r="V59" s="10"/>
      <c r="W59" s="6"/>
      <c r="X59" s="23">
        <f t="shared" si="64"/>
        <v>37.607020408163265</v>
      </c>
      <c r="Y59" s="9">
        <f t="shared" si="41"/>
        <v>473.64158262479111</v>
      </c>
      <c r="Z59" s="4">
        <f t="shared" si="48"/>
        <v>226.55215623812276</v>
      </c>
      <c r="AA59" s="4">
        <f t="shared" si="66"/>
        <v>259.1429999999998</v>
      </c>
      <c r="AB59" s="4">
        <f t="shared" si="21"/>
        <v>-1786.5480000000009</v>
      </c>
      <c r="AC59" s="4" t="e">
        <f t="shared" si="14"/>
        <v>#N/A</v>
      </c>
      <c r="AH59" s="4">
        <v>206.28899999999999</v>
      </c>
      <c r="AI59" s="4">
        <f t="shared" si="65"/>
        <v>318.67421861967512</v>
      </c>
    </row>
    <row r="60" spans="1:35" x14ac:dyDescent="0.25">
      <c r="A60">
        <f t="shared" si="6"/>
        <v>31</v>
      </c>
      <c r="B60" s="1">
        <v>35551</v>
      </c>
      <c r="C60" s="4">
        <v>69100</v>
      </c>
      <c r="D60" s="4">
        <v>1750</v>
      </c>
      <c r="E60" s="4">
        <v>2070.0569999999998</v>
      </c>
      <c r="F60" s="4">
        <v>1508.7529999999999</v>
      </c>
      <c r="G60" s="4">
        <v>571.42899999999997</v>
      </c>
      <c r="H60" s="4">
        <f t="shared" ref="H60:H71" si="67">E60-F60-G60</f>
        <v>-10.125000000000114</v>
      </c>
      <c r="I60" s="4">
        <f t="shared" ref="I60:I71" si="68">D60-H60</f>
        <v>1760.125</v>
      </c>
      <c r="J60" s="15">
        <f t="shared" ref="J60:J71" si="69">I60/C60</f>
        <v>2.5472141823444285E-2</v>
      </c>
      <c r="K60">
        <v>520</v>
      </c>
      <c r="L60" s="26">
        <f t="shared" ref="L60:L71" si="70">J60/K60</f>
        <v>4.8984888122008238E-5</v>
      </c>
      <c r="M60" s="14">
        <v>4.8999999999999998E-5</v>
      </c>
      <c r="N60" s="12">
        <v>1.5999999999999999E-5</v>
      </c>
      <c r="O60" s="4">
        <v>1454.894</v>
      </c>
      <c r="P60" s="4">
        <v>-63.433</v>
      </c>
      <c r="Q60" s="4">
        <f t="shared" ref="Q60:Q67" si="71">P60+O60</f>
        <v>1391.461</v>
      </c>
      <c r="R60" s="4">
        <v>1840.7429999999999</v>
      </c>
      <c r="S60" s="4">
        <v>601.05899999999997</v>
      </c>
      <c r="T60" s="4">
        <f t="shared" ref="T60:T67" si="72">R60-S60</f>
        <v>1239.684</v>
      </c>
      <c r="U60" s="39">
        <f>72695+1458+3881</f>
        <v>78034</v>
      </c>
      <c r="V60" s="10"/>
      <c r="W60" s="6"/>
      <c r="X60" s="23">
        <f t="shared" si="64"/>
        <v>37.566183673469389</v>
      </c>
      <c r="Y60" s="9">
        <f t="shared" si="41"/>
        <v>470.31367191340303</v>
      </c>
      <c r="Z60" s="4">
        <f t="shared" si="48"/>
        <v>225.58880657825881</v>
      </c>
      <c r="AA60" s="4">
        <f t="shared" si="66"/>
        <v>449.28199999999993</v>
      </c>
      <c r="AB60" s="4">
        <f t="shared" si="21"/>
        <v>-1337.266000000001</v>
      </c>
      <c r="AC60" s="4" t="e">
        <f t="shared" si="14"/>
        <v>#N/A</v>
      </c>
      <c r="AH60" s="4">
        <v>200.84200000000001</v>
      </c>
      <c r="AI60" s="4">
        <f t="shared" si="65"/>
        <v>126.92845948651069</v>
      </c>
    </row>
    <row r="61" spans="1:35" x14ac:dyDescent="0.25">
      <c r="A61">
        <f t="shared" si="6"/>
        <v>30</v>
      </c>
      <c r="B61" s="1">
        <v>35582</v>
      </c>
      <c r="C61" s="4">
        <v>72700</v>
      </c>
      <c r="D61" s="4">
        <v>1460</v>
      </c>
      <c r="E61" s="4">
        <v>1842.7439999999999</v>
      </c>
      <c r="F61" s="4">
        <v>1583.6010000000001</v>
      </c>
      <c r="G61" s="4">
        <v>476.73500000000001</v>
      </c>
      <c r="H61" s="4">
        <f t="shared" si="67"/>
        <v>-217.59200000000021</v>
      </c>
      <c r="I61" s="4">
        <f t="shared" si="68"/>
        <v>1677.5920000000001</v>
      </c>
      <c r="J61" s="15">
        <f t="shared" si="69"/>
        <v>2.3075543328748283E-2</v>
      </c>
      <c r="K61">
        <v>520</v>
      </c>
      <c r="L61" s="26">
        <f t="shared" si="70"/>
        <v>4.4376044862977465E-5</v>
      </c>
      <c r="M61" s="14">
        <v>4.3999999999999999E-5</v>
      </c>
      <c r="N61" s="12">
        <v>1.5999999999999999E-5</v>
      </c>
      <c r="O61" s="4">
        <v>1625.9839999999999</v>
      </c>
      <c r="P61" s="4">
        <v>-162.03200000000001</v>
      </c>
      <c r="Q61" s="4">
        <f t="shared" si="71"/>
        <v>1463.952</v>
      </c>
      <c r="R61" s="4">
        <v>1672.0889999999999</v>
      </c>
      <c r="S61" s="4">
        <v>608.03200000000004</v>
      </c>
      <c r="T61" s="21">
        <f t="shared" si="72"/>
        <v>1064.0569999999998</v>
      </c>
      <c r="U61" s="39">
        <f>73068+1411+2923</f>
        <v>77402</v>
      </c>
      <c r="V61" s="10"/>
      <c r="W61" s="6"/>
      <c r="X61" s="23">
        <f t="shared" si="64"/>
        <v>38.002022727272724</v>
      </c>
      <c r="Y61" s="9">
        <f t="shared" si="41"/>
        <v>480.58755033235633</v>
      </c>
      <c r="Z61" s="4">
        <f t="shared" si="48"/>
        <v>224.3569626388649</v>
      </c>
      <c r="AA61" s="4">
        <f t="shared" si="66"/>
        <v>208.13699999999994</v>
      </c>
      <c r="AB61" s="4">
        <f t="shared" si="21"/>
        <v>-1129.129000000001</v>
      </c>
      <c r="AC61" s="4">
        <f t="shared" si="14"/>
        <v>-1129.129000000001</v>
      </c>
      <c r="AH61" s="4">
        <v>-92.587000000000003</v>
      </c>
      <c r="AI61" s="4">
        <f t="shared" si="65"/>
        <v>-249.78753145994148</v>
      </c>
    </row>
    <row r="62" spans="1:35" x14ac:dyDescent="0.25">
      <c r="A62">
        <f t="shared" si="6"/>
        <v>31</v>
      </c>
      <c r="B62" s="1">
        <v>35612</v>
      </c>
      <c r="C62" s="4">
        <v>75000</v>
      </c>
      <c r="D62" s="4">
        <v>1640</v>
      </c>
      <c r="E62" s="4">
        <v>1840.7429999999999</v>
      </c>
      <c r="F62" s="4">
        <v>1391.461</v>
      </c>
      <c r="G62" s="4">
        <v>535.51</v>
      </c>
      <c r="H62" s="4">
        <f t="shared" si="67"/>
        <v>-86.228000000000065</v>
      </c>
      <c r="I62" s="4">
        <f t="shared" si="68"/>
        <v>1726.2280000000001</v>
      </c>
      <c r="J62" s="15">
        <f t="shared" si="69"/>
        <v>2.3016373333333333E-2</v>
      </c>
      <c r="K62">
        <v>520</v>
      </c>
      <c r="L62" s="26">
        <f t="shared" si="70"/>
        <v>4.4262256410256408E-5</v>
      </c>
      <c r="M62" s="14">
        <v>4.3999999999999999E-5</v>
      </c>
      <c r="N62" s="12">
        <v>6.9999999999999999E-6</v>
      </c>
      <c r="O62" s="4">
        <v>1829.954</v>
      </c>
      <c r="P62" s="4">
        <v>17.978000000000002</v>
      </c>
      <c r="Q62" s="24">
        <f t="shared" si="71"/>
        <v>1847.932</v>
      </c>
      <c r="R62" s="4">
        <v>1735.4960000000001</v>
      </c>
      <c r="S62" s="4">
        <v>276.11700000000002</v>
      </c>
      <c r="T62" s="21">
        <f t="shared" si="72"/>
        <v>1459.3790000000001</v>
      </c>
      <c r="U62" s="39">
        <f>74847+1458+3738</f>
        <v>80043</v>
      </c>
      <c r="V62" s="10"/>
      <c r="W62" s="6"/>
      <c r="X62" s="23">
        <f t="shared" ref="X62:X67" si="73">R62/M62/1000000</f>
        <v>39.443090909090913</v>
      </c>
      <c r="Y62" s="9">
        <f t="shared" si="41"/>
        <v>482.31616914415878</v>
      </c>
      <c r="Z62" s="4">
        <f t="shared" si="48"/>
        <v>226.66756231988563</v>
      </c>
      <c r="AA62" s="4">
        <f t="shared" si="66"/>
        <v>-112.43599999999992</v>
      </c>
      <c r="AB62" s="4">
        <f t="shared" si="21"/>
        <v>-1241.565000000001</v>
      </c>
      <c r="AC62" s="4" t="e">
        <f t="shared" si="14"/>
        <v>#N/A</v>
      </c>
      <c r="AH62" s="4">
        <v>41.628</v>
      </c>
      <c r="AI62" s="4">
        <f t="shared" si="65"/>
        <v>57.433725572860588</v>
      </c>
    </row>
    <row r="63" spans="1:35" x14ac:dyDescent="0.25">
      <c r="A63">
        <f t="shared" si="6"/>
        <v>31</v>
      </c>
      <c r="B63" s="1">
        <v>35643</v>
      </c>
      <c r="C63" s="4">
        <v>79000</v>
      </c>
      <c r="D63" s="4">
        <v>1540</v>
      </c>
      <c r="E63" s="4">
        <v>1672.0889999999999</v>
      </c>
      <c r="F63" s="4">
        <v>1463.952</v>
      </c>
      <c r="G63" s="4">
        <v>560</v>
      </c>
      <c r="H63" s="4">
        <f t="shared" si="67"/>
        <v>-351.86300000000006</v>
      </c>
      <c r="I63" s="4">
        <f t="shared" si="68"/>
        <v>1891.8630000000001</v>
      </c>
      <c r="J63" s="15">
        <f t="shared" si="69"/>
        <v>2.3947632911392406E-2</v>
      </c>
      <c r="K63">
        <v>520</v>
      </c>
      <c r="L63" s="26">
        <f t="shared" si="70"/>
        <v>4.6053140214216168E-5</v>
      </c>
      <c r="M63" s="14">
        <v>4.6E-5</v>
      </c>
      <c r="N63" s="12">
        <v>6.9999999999999999E-6</v>
      </c>
      <c r="O63" s="4">
        <v>1894.2159999999999</v>
      </c>
      <c r="P63" s="4">
        <v>123.66500000000001</v>
      </c>
      <c r="Q63" s="24">
        <f t="shared" si="71"/>
        <v>2017.8809999999999</v>
      </c>
      <c r="R63" s="4">
        <v>1882.5360000000001</v>
      </c>
      <c r="S63" s="4">
        <v>286.52199999999999</v>
      </c>
      <c r="T63" s="21">
        <f t="shared" si="72"/>
        <v>1596.0140000000001</v>
      </c>
      <c r="U63" s="39">
        <f>78185+1454+3712</f>
        <v>83351</v>
      </c>
      <c r="V63" s="10"/>
      <c r="W63" s="6"/>
      <c r="X63" s="23">
        <f t="shared" si="73"/>
        <v>40.924695652173916</v>
      </c>
      <c r="Y63" s="9">
        <f t="shared" si="41"/>
        <v>480.14781003775215</v>
      </c>
      <c r="Z63" s="4">
        <f t="shared" si="48"/>
        <v>233.35180183170866</v>
      </c>
      <c r="AA63" s="4">
        <f t="shared" si="66"/>
        <v>-135.3449999999998</v>
      </c>
      <c r="AB63" s="4">
        <f t="shared" si="21"/>
        <v>-1376.9100000000008</v>
      </c>
      <c r="AC63" s="4" t="e">
        <f t="shared" si="14"/>
        <v>#N/A</v>
      </c>
      <c r="AH63" s="4">
        <v>87.236000000000004</v>
      </c>
      <c r="AI63" s="4">
        <f t="shared" si="65"/>
        <v>206.34876275761667</v>
      </c>
    </row>
    <row r="64" spans="1:35" x14ac:dyDescent="0.25">
      <c r="A64">
        <f t="shared" si="6"/>
        <v>30</v>
      </c>
      <c r="B64" s="1">
        <v>35674</v>
      </c>
      <c r="C64" s="4">
        <v>78000</v>
      </c>
      <c r="D64" s="4">
        <v>1550</v>
      </c>
      <c r="E64" s="4">
        <v>1735.4960000000001</v>
      </c>
      <c r="F64" s="4">
        <v>1810.0340000000001</v>
      </c>
      <c r="G64" s="4">
        <v>246.59100000000001</v>
      </c>
      <c r="H64" s="4">
        <f t="shared" si="67"/>
        <v>-321.12900000000002</v>
      </c>
      <c r="I64" s="4">
        <f t="shared" si="68"/>
        <v>1871.1289999999999</v>
      </c>
      <c r="J64" s="15">
        <f t="shared" si="69"/>
        <v>2.3988833333333331E-2</v>
      </c>
      <c r="K64">
        <v>520</v>
      </c>
      <c r="L64" s="26">
        <f t="shared" si="70"/>
        <v>4.6132371794871791E-5</v>
      </c>
      <c r="M64" s="53">
        <v>4.6E-5</v>
      </c>
      <c r="N64" s="12">
        <v>6.9999999999999999E-6</v>
      </c>
      <c r="O64" s="4">
        <v>1991.826</v>
      </c>
      <c r="P64" s="4">
        <v>-85.350999999999999</v>
      </c>
      <c r="Q64" s="24">
        <f t="shared" si="71"/>
        <v>1906.4749999999999</v>
      </c>
      <c r="R64" s="4">
        <v>1804.075</v>
      </c>
      <c r="S64" s="4">
        <v>274.58</v>
      </c>
      <c r="T64" s="21">
        <f t="shared" si="72"/>
        <v>1529.4950000000001</v>
      </c>
      <c r="U64" s="39">
        <f>74762+1397+4322</f>
        <v>80481</v>
      </c>
      <c r="V64" s="10"/>
      <c r="W64" s="6"/>
      <c r="X64" s="23">
        <f t="shared" si="73"/>
        <v>39.21902173913044</v>
      </c>
      <c r="Y64" s="9">
        <f t="shared" si="41"/>
        <v>476.62375879380846</v>
      </c>
      <c r="Z64" s="4">
        <f t="shared" si="48"/>
        <v>232.76203510930065</v>
      </c>
      <c r="AA64" s="4">
        <f t="shared" si="66"/>
        <v>-102.39999999999986</v>
      </c>
      <c r="AB64" s="4">
        <f t="shared" si="21"/>
        <v>-1479.3100000000006</v>
      </c>
      <c r="AC64" s="4" t="e">
        <f t="shared" si="14"/>
        <v>#N/A</v>
      </c>
      <c r="AH64" s="4">
        <v>210.07499999999999</v>
      </c>
      <c r="AI64" s="4">
        <f t="shared" si="65"/>
        <v>113.76165373591544</v>
      </c>
    </row>
    <row r="65" spans="1:52" x14ac:dyDescent="0.25">
      <c r="A65">
        <f t="shared" si="6"/>
        <v>31</v>
      </c>
      <c r="B65" s="1">
        <v>35704</v>
      </c>
      <c r="C65" s="4">
        <v>76000</v>
      </c>
      <c r="D65" s="4">
        <v>1720</v>
      </c>
      <c r="E65" s="4">
        <v>1882.5360000000001</v>
      </c>
      <c r="F65" s="4">
        <v>1838.646</v>
      </c>
      <c r="G65" s="4">
        <v>261.73899999999998</v>
      </c>
      <c r="H65" s="4">
        <f t="shared" si="67"/>
        <v>-217.84899999999988</v>
      </c>
      <c r="I65" s="4">
        <f t="shared" si="68"/>
        <v>1937.8489999999999</v>
      </c>
      <c r="J65" s="15">
        <f t="shared" si="69"/>
        <v>2.5498013157894735E-2</v>
      </c>
      <c r="K65">
        <v>520</v>
      </c>
      <c r="L65" s="51">
        <f t="shared" si="70"/>
        <v>4.9034640688259104E-5</v>
      </c>
      <c r="M65" s="47">
        <v>4.8999999999999998E-5</v>
      </c>
      <c r="N65" s="12">
        <v>6.9999999999999999E-6</v>
      </c>
      <c r="O65" s="4">
        <v>2073.2939999999999</v>
      </c>
      <c r="P65" s="4">
        <v>134.18700000000001</v>
      </c>
      <c r="Q65" s="24">
        <f t="shared" si="71"/>
        <v>2207.4809999999998</v>
      </c>
      <c r="R65" s="4">
        <v>2003.6569999999999</v>
      </c>
      <c r="S65" s="4">
        <v>286.32299999999998</v>
      </c>
      <c r="T65" s="21">
        <f t="shared" si="72"/>
        <v>1717.3339999999998</v>
      </c>
      <c r="U65" s="39">
        <f>75625+1671+6519</f>
        <v>83815</v>
      </c>
      <c r="V65" s="10"/>
      <c r="W65" s="6"/>
      <c r="X65" s="23">
        <f t="shared" si="73"/>
        <v>40.890959183673473</v>
      </c>
      <c r="Y65" s="9">
        <f t="shared" si="41"/>
        <v>476.48099624389914</v>
      </c>
      <c r="Z65" s="4">
        <f t="shared" si="48"/>
        <v>236.04597388481085</v>
      </c>
      <c r="AA65" s="4">
        <f t="shared" si="66"/>
        <v>-203.82399999999984</v>
      </c>
      <c r="AB65" s="4">
        <f t="shared" si="21"/>
        <v>-1683.1340000000005</v>
      </c>
      <c r="AC65" s="4" t="e">
        <f t="shared" si="14"/>
        <v>#N/A</v>
      </c>
      <c r="AH65" s="4">
        <v>-165.90600000000001</v>
      </c>
      <c r="AI65" s="4">
        <f t="shared" si="65"/>
        <v>-23.061525196766809</v>
      </c>
    </row>
    <row r="66" spans="1:52" x14ac:dyDescent="0.25">
      <c r="A66">
        <f t="shared" si="6"/>
        <v>30</v>
      </c>
      <c r="B66" s="1">
        <v>35735</v>
      </c>
      <c r="C66" s="4">
        <v>78900</v>
      </c>
      <c r="D66" s="4">
        <v>1473.5</v>
      </c>
      <c r="E66" s="4">
        <v>1804.075</v>
      </c>
      <c r="F66" s="4">
        <v>2077.1770000000001</v>
      </c>
      <c r="G66" s="4">
        <v>224.22800000000001</v>
      </c>
      <c r="H66" s="4">
        <f t="shared" si="67"/>
        <v>-497.3300000000001</v>
      </c>
      <c r="I66" s="4">
        <f t="shared" si="68"/>
        <v>1970.8300000000002</v>
      </c>
      <c r="J66" s="15">
        <f t="shared" si="69"/>
        <v>2.4978833967046896E-2</v>
      </c>
      <c r="K66">
        <v>520</v>
      </c>
      <c r="L66" s="51">
        <f t="shared" si="70"/>
        <v>4.8036219167397879E-5</v>
      </c>
      <c r="M66" s="14">
        <v>4.8000000000000001E-5</v>
      </c>
      <c r="N66" s="12">
        <v>6.9999999999999999E-6</v>
      </c>
      <c r="O66" s="4">
        <v>2057.59</v>
      </c>
      <c r="P66" s="4">
        <v>-59.137</v>
      </c>
      <c r="Q66" s="24">
        <f t="shared" si="71"/>
        <v>1998.4530000000002</v>
      </c>
      <c r="R66" s="4">
        <v>1994.1849999999999</v>
      </c>
      <c r="S66" s="4">
        <v>283.46199999999999</v>
      </c>
      <c r="T66" s="21">
        <f t="shared" si="72"/>
        <v>1710.723</v>
      </c>
      <c r="U66" s="39">
        <f>77433+1629+3481</f>
        <v>82543</v>
      </c>
      <c r="V66" s="10"/>
      <c r="W66" s="6"/>
      <c r="X66" s="23">
        <f t="shared" si="73"/>
        <v>41.545520833333327</v>
      </c>
      <c r="Y66" s="9">
        <f t="shared" si="41"/>
        <v>491.44670281289029</v>
      </c>
      <c r="Z66" s="4">
        <f t="shared" si="48"/>
        <v>240.02531104467482</v>
      </c>
      <c r="AA66" s="4">
        <f t="shared" si="66"/>
        <v>-4.2680000000002565</v>
      </c>
      <c r="AB66" s="4">
        <f t="shared" si="21"/>
        <v>-1687.4020000000007</v>
      </c>
      <c r="AC66" s="4" t="e">
        <f t="shared" si="14"/>
        <v>#N/A</v>
      </c>
      <c r="AH66" s="4">
        <v>250.95500000000001</v>
      </c>
      <c r="AI66" s="4">
        <f t="shared" si="65"/>
        <v>178.72241220181678</v>
      </c>
      <c r="AR66" s="88">
        <f>AVERAGE(AR68:AR101)</f>
        <v>4.3573492368913921E-5</v>
      </c>
      <c r="AS66" s="88">
        <f>AVERAGE(AS68:AS101)</f>
        <v>4.4168815362814194E-5</v>
      </c>
      <c r="AT66" s="88">
        <f>AVERAGE(AT68:AT101)</f>
        <v>5.9532299390025914E-7</v>
      </c>
      <c r="AU66" s="88"/>
    </row>
    <row r="67" spans="1:52" x14ac:dyDescent="0.25">
      <c r="A67">
        <f t="shared" si="6"/>
        <v>31</v>
      </c>
      <c r="B67" s="1">
        <v>35765</v>
      </c>
      <c r="C67" s="4">
        <v>81000</v>
      </c>
      <c r="D67" s="4">
        <v>1825</v>
      </c>
      <c r="E67" s="4">
        <v>2003.6569999999999</v>
      </c>
      <c r="F67" s="4">
        <v>1939.107</v>
      </c>
      <c r="G67" s="4">
        <v>260.714</v>
      </c>
      <c r="H67" s="4">
        <f t="shared" si="67"/>
        <v>-196.16400000000004</v>
      </c>
      <c r="I67" s="4">
        <f t="shared" si="68"/>
        <v>2021.164</v>
      </c>
      <c r="J67" s="15">
        <f t="shared" si="69"/>
        <v>2.4952641975308641E-2</v>
      </c>
      <c r="K67">
        <v>520</v>
      </c>
      <c r="L67" s="26">
        <f t="shared" si="70"/>
        <v>4.7985849952516614E-5</v>
      </c>
      <c r="M67" s="14">
        <v>4.8000000000000001E-5</v>
      </c>
      <c r="N67" s="12">
        <v>6.9999999999999999E-6</v>
      </c>
      <c r="O67" s="4">
        <v>1929.14</v>
      </c>
      <c r="P67" s="4">
        <v>84.739000000000004</v>
      </c>
      <c r="Q67" s="24">
        <f t="shared" si="71"/>
        <v>2013.8790000000001</v>
      </c>
      <c r="R67" s="4">
        <v>1993.232</v>
      </c>
      <c r="S67" s="4">
        <v>281.86500000000001</v>
      </c>
      <c r="T67" s="21">
        <f t="shared" si="72"/>
        <v>1711.367</v>
      </c>
      <c r="U67" s="39">
        <f>81068+815+2162</f>
        <v>84045</v>
      </c>
      <c r="V67" s="10"/>
      <c r="W67" s="6"/>
      <c r="X67" s="23">
        <f t="shared" si="73"/>
        <v>41.525666666666666</v>
      </c>
      <c r="Y67" s="9">
        <f t="shared" si="41"/>
        <v>482.64202670583308</v>
      </c>
      <c r="Z67" s="4">
        <f t="shared" si="48"/>
        <v>243.54895498406876</v>
      </c>
      <c r="AA67" s="4">
        <f t="shared" si="66"/>
        <v>-20.647000000000162</v>
      </c>
      <c r="AB67" s="4">
        <f t="shared" si="21"/>
        <v>-1708.0490000000009</v>
      </c>
      <c r="AC67" s="4">
        <f t="shared" si="14"/>
        <v>-1708.0490000000009</v>
      </c>
      <c r="AH67" s="4">
        <v>250.898</v>
      </c>
      <c r="AI67" s="4">
        <f t="shared" si="65"/>
        <v>322.54438663350572</v>
      </c>
      <c r="AQ67" t="s">
        <v>25</v>
      </c>
      <c r="AR67" t="s">
        <v>26</v>
      </c>
      <c r="AS67" t="s">
        <v>28</v>
      </c>
      <c r="AT67" t="s">
        <v>27</v>
      </c>
    </row>
    <row r="68" spans="1:52" x14ac:dyDescent="0.25">
      <c r="A68">
        <f t="shared" si="6"/>
        <v>31</v>
      </c>
      <c r="B68" s="1">
        <v>35796</v>
      </c>
      <c r="C68" s="4">
        <v>78500</v>
      </c>
      <c r="D68" s="4">
        <v>1560</v>
      </c>
      <c r="E68" s="4">
        <v>1944.1849999999999</v>
      </c>
      <c r="F68" s="4">
        <v>2116.7269999999999</v>
      </c>
      <c r="G68" s="4">
        <v>227.5</v>
      </c>
      <c r="H68" s="4">
        <f t="shared" si="67"/>
        <v>-400.04199999999992</v>
      </c>
      <c r="I68" s="4">
        <f t="shared" si="68"/>
        <v>1960.0419999999999</v>
      </c>
      <c r="J68" s="15">
        <f t="shared" si="69"/>
        <v>2.4968687898089172E-2</v>
      </c>
      <c r="K68">
        <v>520</v>
      </c>
      <c r="L68" s="51">
        <f t="shared" si="70"/>
        <v>4.8016707496325328E-5</v>
      </c>
      <c r="M68" s="14">
        <v>4.8000000000000001E-5</v>
      </c>
      <c r="N68" s="12">
        <v>6.9999999999999999E-6</v>
      </c>
      <c r="O68" s="4">
        <v>1780.4829999999999</v>
      </c>
      <c r="P68" s="4">
        <v>-99.911000000000001</v>
      </c>
      <c r="Q68" s="24">
        <f>P68+O68</f>
        <v>1680.5719999999999</v>
      </c>
      <c r="R68" s="4">
        <v>1919.2170000000001</v>
      </c>
      <c r="S68" s="4">
        <f t="shared" ref="S68:S73" si="74">R68*N68/M68</f>
        <v>279.88581249999999</v>
      </c>
      <c r="T68" s="21">
        <f t="shared" ref="T68:T73" si="75">R68-S68</f>
        <v>1639.3311875000002</v>
      </c>
      <c r="U68" s="39">
        <f>82155+2137</f>
        <v>84292</v>
      </c>
      <c r="V68" s="10"/>
      <c r="W68" s="6"/>
      <c r="X68" s="23">
        <f t="shared" ref="X68:X73" si="76">R68/M68/1000000</f>
        <v>39.983687500000002</v>
      </c>
      <c r="Y68" s="9">
        <f t="shared" si="41"/>
        <v>463.78753126753793</v>
      </c>
      <c r="Z68" s="4">
        <f t="shared" si="48"/>
        <v>244.08955157497783</v>
      </c>
      <c r="AA68" s="4">
        <f t="shared" ref="AA68:AA73" si="77">+R68-Q68</f>
        <v>238.64500000000021</v>
      </c>
      <c r="AB68" s="4">
        <f t="shared" si="21"/>
        <v>-1469.4040000000007</v>
      </c>
      <c r="AC68" s="4" t="e">
        <f t="shared" si="14"/>
        <v>#N/A</v>
      </c>
      <c r="AH68" s="4">
        <v>294.755</v>
      </c>
      <c r="AI68" s="4">
        <f t="shared" si="65"/>
        <v>179.46279627242535</v>
      </c>
      <c r="AK68" s="18">
        <f>P68</f>
        <v>-99.911000000000001</v>
      </c>
      <c r="AL68" s="18">
        <f>R68</f>
        <v>1919.2170000000001</v>
      </c>
      <c r="AM68" s="18">
        <f>O68</f>
        <v>1780.4829999999999</v>
      </c>
      <c r="AN68" s="4">
        <v>79295.241999999998</v>
      </c>
      <c r="AO68" s="18">
        <v>38.954819944999997</v>
      </c>
      <c r="AP68" s="4">
        <f>AO68/AN68*1000000</f>
        <v>491.26301859322149</v>
      </c>
      <c r="AQ68" s="2">
        <f>M68</f>
        <v>4.8000000000000001E-5</v>
      </c>
      <c r="AR68" s="88">
        <f>AM68/AO68/1000000</f>
        <v>4.5706359380273092E-5</v>
      </c>
      <c r="AS68" s="88">
        <f>(AM68-AK68)/AO68/1000000</f>
        <v>4.8271151109282841E-5</v>
      </c>
      <c r="AT68" s="88">
        <f>-AK68/AO68/1000000</f>
        <v>2.5647917290097489E-6</v>
      </c>
      <c r="AU68" s="9">
        <f t="shared" ref="AU68:AU99" si="78">Y68</f>
        <v>463.78753126753793</v>
      </c>
      <c r="AV68" s="9">
        <f t="shared" ref="AV68:AV87" si="79">AO68*1000000/(AN68+M68*AO68*1000000)</f>
        <v>479.94560139786529</v>
      </c>
      <c r="AW68">
        <f>X68/AO68</f>
        <v>1.0264118164697631</v>
      </c>
      <c r="AX68" s="88">
        <f>(AW68-1)/AU68</f>
        <v>5.6948095171034943E-5</v>
      </c>
      <c r="AY68" s="88">
        <f>(AW68-1)/AV68</f>
        <v>5.5030854315233587E-5</v>
      </c>
      <c r="AZ68" s="18">
        <f t="shared" ref="AZ68:AZ74" si="80">AO68/A68</f>
        <v>1.2566070949999999</v>
      </c>
    </row>
    <row r="69" spans="1:52" x14ac:dyDescent="0.25">
      <c r="A69">
        <f t="shared" si="6"/>
        <v>28</v>
      </c>
      <c r="B69" s="1">
        <v>35827</v>
      </c>
      <c r="C69" s="4">
        <v>79500</v>
      </c>
      <c r="D69" s="4">
        <v>1810</v>
      </c>
      <c r="E69" s="4">
        <v>1933.232</v>
      </c>
      <c r="F69" s="4">
        <v>1844.4010000000001</v>
      </c>
      <c r="G69" s="4">
        <v>263.95800000000003</v>
      </c>
      <c r="H69" s="4">
        <f t="shared" si="67"/>
        <v>-175.12700000000012</v>
      </c>
      <c r="I69" s="4">
        <f t="shared" si="68"/>
        <v>1985.1270000000002</v>
      </c>
      <c r="J69" s="15">
        <f t="shared" si="69"/>
        <v>2.4970150943396229E-2</v>
      </c>
      <c r="K69">
        <v>520</v>
      </c>
      <c r="L69" s="51">
        <f t="shared" si="70"/>
        <v>4.8019521044992751E-5</v>
      </c>
      <c r="M69" s="14">
        <v>4.8000000000000001E-5</v>
      </c>
      <c r="N69" s="12">
        <v>6.9999999999999999E-6</v>
      </c>
      <c r="O69" s="4">
        <v>1682.54</v>
      </c>
      <c r="P69" s="4">
        <v>-10.305999999999999</v>
      </c>
      <c r="Q69" s="24">
        <f>P69+O69</f>
        <v>1672.2339999999999</v>
      </c>
      <c r="R69" s="4">
        <v>1805.7370000000001</v>
      </c>
      <c r="S69" s="4">
        <f t="shared" si="74"/>
        <v>263.33664583333331</v>
      </c>
      <c r="T69" s="21">
        <f t="shared" si="75"/>
        <v>1542.4003541666668</v>
      </c>
      <c r="U69" s="39">
        <f>74693+2545</f>
        <v>77238</v>
      </c>
      <c r="V69" s="10"/>
      <c r="W69" s="6"/>
      <c r="X69" s="23">
        <f t="shared" si="76"/>
        <v>37.619520833333333</v>
      </c>
      <c r="Y69" s="9">
        <f t="shared" si="41"/>
        <v>475.93297408665455</v>
      </c>
      <c r="Z69" s="4">
        <f t="shared" si="48"/>
        <v>240.78437675613725</v>
      </c>
      <c r="AA69" s="4">
        <f t="shared" si="77"/>
        <v>133.50300000000016</v>
      </c>
      <c r="AB69" s="4">
        <f t="shared" si="21"/>
        <v>-1335.9010000000005</v>
      </c>
      <c r="AC69" s="4" t="e">
        <f t="shared" si="14"/>
        <v>#N/A</v>
      </c>
      <c r="AH69" s="4">
        <v>214.08500000000001</v>
      </c>
      <c r="AI69" s="4">
        <f t="shared" si="65"/>
        <v>192.60739985744831</v>
      </c>
      <c r="AK69" s="18">
        <f t="shared" ref="AK69:AK101" si="81">P69</f>
        <v>-10.305999999999999</v>
      </c>
      <c r="AL69" s="18">
        <f t="shared" ref="AL69:AL101" si="82">R69</f>
        <v>1805.7370000000001</v>
      </c>
      <c r="AM69" s="18">
        <f t="shared" ref="AM69:AM101" si="83">O69</f>
        <v>1682.54</v>
      </c>
      <c r="AN69" s="4">
        <v>72348.195999999996</v>
      </c>
      <c r="AO69" s="18">
        <v>36.649819944999997</v>
      </c>
      <c r="AP69" s="4">
        <f t="shared" ref="AP69:AP101" si="84">AO69/AN69*1000000</f>
        <v>506.57544999463431</v>
      </c>
      <c r="AQ69" s="2">
        <f t="shared" ref="AQ69:AQ103" si="85">M69</f>
        <v>4.8000000000000001E-5</v>
      </c>
      <c r="AR69" s="88">
        <f t="shared" ref="AR69:AR101" si="86">AM69/AO69/1000000</f>
        <v>4.5908547505143824E-5</v>
      </c>
      <c r="AS69" s="88">
        <f t="shared" ref="AS69:AS101" si="87">(AM69-AK69)/AO69/1000000</f>
        <v>4.6189749432341998E-5</v>
      </c>
      <c r="AT69" s="88">
        <f t="shared" ref="AT69:AT101" si="88">-AK69/AO69/1000000</f>
        <v>2.8120192719817194E-7</v>
      </c>
      <c r="AU69" s="9">
        <f t="shared" si="78"/>
        <v>475.93297408665455</v>
      </c>
      <c r="AV69" s="9">
        <f t="shared" si="79"/>
        <v>494.5501555501823</v>
      </c>
      <c r="AW69">
        <f t="shared" ref="AW69:AW101" si="89">X69/AO69</f>
        <v>1.0264585444018157</v>
      </c>
      <c r="AX69" s="88">
        <f t="shared" ref="AX69:AX101" si="90">(AW69-1)/AU69</f>
        <v>5.5593005407098212E-5</v>
      </c>
      <c r="AY69" s="88">
        <f t="shared" ref="AY69:AY101" si="91">(AW69-1)/AV69</f>
        <v>5.3500224607918371E-5</v>
      </c>
      <c r="AZ69" s="18">
        <f t="shared" si="80"/>
        <v>1.3089221408928571</v>
      </c>
    </row>
    <row r="70" spans="1:52" x14ac:dyDescent="0.25">
      <c r="A70">
        <f t="shared" si="6"/>
        <v>31</v>
      </c>
      <c r="B70" s="1">
        <v>35855</v>
      </c>
      <c r="C70" s="4">
        <v>81250</v>
      </c>
      <c r="D70" s="4">
        <v>1700</v>
      </c>
      <c r="E70" s="4">
        <v>1919.2170000000001</v>
      </c>
      <c r="F70" s="4">
        <v>1880.394</v>
      </c>
      <c r="G70" s="4">
        <v>247.917</v>
      </c>
      <c r="H70" s="4">
        <f t="shared" si="67"/>
        <v>-209.09399999999991</v>
      </c>
      <c r="I70" s="4">
        <f t="shared" si="68"/>
        <v>1909.0939999999998</v>
      </c>
      <c r="J70" s="15">
        <f t="shared" si="69"/>
        <v>2.3496541538461535E-2</v>
      </c>
      <c r="K70">
        <v>520</v>
      </c>
      <c r="L70" s="26">
        <f t="shared" si="70"/>
        <v>4.5185656804733724E-5</v>
      </c>
      <c r="M70" s="14">
        <v>4.5000000000000003E-5</v>
      </c>
      <c r="N70" s="12">
        <v>6.9999999999999999E-6</v>
      </c>
      <c r="O70" s="4">
        <v>1986.875</v>
      </c>
      <c r="P70" s="4">
        <v>-44.44</v>
      </c>
      <c r="Q70" s="4">
        <f>P70+O70</f>
        <v>1942.4349999999999</v>
      </c>
      <c r="R70" s="4">
        <v>1924.8620000000001</v>
      </c>
      <c r="S70" s="4">
        <f t="shared" si="74"/>
        <v>299.42297777777776</v>
      </c>
      <c r="T70" s="21">
        <f t="shared" si="75"/>
        <v>1625.4390222222223</v>
      </c>
      <c r="U70" s="39">
        <f>82930+4585</f>
        <v>87515</v>
      </c>
      <c r="V70" s="10"/>
      <c r="W70" s="6"/>
      <c r="X70" s="23">
        <f t="shared" si="76"/>
        <v>42.77471111111111</v>
      </c>
      <c r="Y70" s="9">
        <f t="shared" si="41"/>
        <v>478.25108575314118</v>
      </c>
      <c r="Z70" s="4">
        <f t="shared" si="48"/>
        <v>244.34006612811791</v>
      </c>
      <c r="AA70" s="4">
        <f t="shared" si="77"/>
        <v>-17.572999999999865</v>
      </c>
      <c r="AB70" s="4">
        <f t="shared" si="21"/>
        <v>-1353.4740000000004</v>
      </c>
      <c r="AC70" s="4" t="e">
        <f t="shared" si="14"/>
        <v>#N/A</v>
      </c>
      <c r="AH70" s="4">
        <v>237.196</v>
      </c>
      <c r="AI70" s="4">
        <f t="shared" si="65"/>
        <v>180.37839826511578</v>
      </c>
      <c r="AK70" s="18">
        <f t="shared" si="81"/>
        <v>-44.44</v>
      </c>
      <c r="AL70" s="18">
        <f t="shared" si="82"/>
        <v>1924.8620000000001</v>
      </c>
      <c r="AM70" s="18">
        <f t="shared" si="83"/>
        <v>1986.875</v>
      </c>
      <c r="AN70" s="4">
        <v>80407.682000000001</v>
      </c>
      <c r="AO70" s="18">
        <v>41.740406018000002</v>
      </c>
      <c r="AP70" s="4">
        <f t="shared" si="84"/>
        <v>519.10967932143603</v>
      </c>
      <c r="AQ70" s="2">
        <f t="shared" si="85"/>
        <v>4.5000000000000003E-5</v>
      </c>
      <c r="AR70" s="88">
        <f t="shared" si="86"/>
        <v>4.7600758822115588E-5</v>
      </c>
      <c r="AS70" s="88">
        <f t="shared" si="87"/>
        <v>4.8665434618053836E-5</v>
      </c>
      <c r="AT70" s="88">
        <f t="shared" si="88"/>
        <v>1.064675795938253E-6</v>
      </c>
      <c r="AU70" s="9">
        <f t="shared" si="78"/>
        <v>478.25108575314118</v>
      </c>
      <c r="AV70" s="9">
        <f t="shared" si="79"/>
        <v>507.26011570168538</v>
      </c>
      <c r="AW70">
        <f t="shared" si="89"/>
        <v>1.0247794689075396</v>
      </c>
      <c r="AX70" s="88">
        <f t="shared" si="90"/>
        <v>5.1812676741794132E-5</v>
      </c>
      <c r="AY70" s="88">
        <f t="shared" si="91"/>
        <v>4.8849629885177348E-5</v>
      </c>
      <c r="AZ70" s="89">
        <f t="shared" si="80"/>
        <v>1.3464647102580645</v>
      </c>
    </row>
    <row r="71" spans="1:52" x14ac:dyDescent="0.25">
      <c r="A71">
        <f t="shared" si="6"/>
        <v>30</v>
      </c>
      <c r="B71" s="1">
        <v>35886</v>
      </c>
      <c r="C71" s="4">
        <v>76000</v>
      </c>
      <c r="D71" s="4">
        <v>1575</v>
      </c>
      <c r="E71" s="4">
        <v>1805.7370000000001</v>
      </c>
      <c r="F71" s="4">
        <v>1692.846</v>
      </c>
      <c r="G71" s="4">
        <v>239.67400000000001</v>
      </c>
      <c r="H71" s="4">
        <f t="shared" si="67"/>
        <v>-126.78299999999993</v>
      </c>
      <c r="I71" s="4">
        <f t="shared" si="68"/>
        <v>1701.7829999999999</v>
      </c>
      <c r="J71" s="15">
        <f t="shared" si="69"/>
        <v>2.2391881578947368E-2</v>
      </c>
      <c r="K71">
        <v>520</v>
      </c>
      <c r="L71" s="26">
        <f t="shared" si="70"/>
        <v>4.306131072874494E-5</v>
      </c>
      <c r="M71" s="14">
        <v>4.3000000000000002E-5</v>
      </c>
      <c r="N71" s="12">
        <v>6.9999999999999999E-6</v>
      </c>
      <c r="O71" s="4">
        <v>1942.135</v>
      </c>
      <c r="P71" s="4">
        <v>16.253</v>
      </c>
      <c r="Q71" s="4">
        <f>P71+O71</f>
        <v>1958.3879999999999</v>
      </c>
      <c r="R71" s="4">
        <v>1751.758</v>
      </c>
      <c r="S71" s="4">
        <f t="shared" si="74"/>
        <v>285.16990697674419</v>
      </c>
      <c r="T71" s="21">
        <f t="shared" si="75"/>
        <v>1466.5880930232559</v>
      </c>
      <c r="U71" s="39">
        <f>80303+3083</f>
        <v>83386</v>
      </c>
      <c r="V71" s="10"/>
      <c r="W71" s="6"/>
      <c r="X71" s="23">
        <f t="shared" si="76"/>
        <v>40.738558139534881</v>
      </c>
      <c r="Y71" s="9">
        <f t="shared" si="41"/>
        <v>478.50165539401308</v>
      </c>
      <c r="Z71" s="4">
        <f t="shared" si="48"/>
        <v>244.18766508397934</v>
      </c>
      <c r="AA71" s="4">
        <f t="shared" si="77"/>
        <v>-206.62999999999988</v>
      </c>
      <c r="AB71" s="4">
        <f t="shared" si="21"/>
        <v>-1560.1040000000003</v>
      </c>
      <c r="AC71" s="4" t="e">
        <f t="shared" si="14"/>
        <v>#N/A</v>
      </c>
      <c r="AH71" s="4">
        <v>137.315</v>
      </c>
      <c r="AI71" s="4">
        <f t="shared" si="65"/>
        <v>146.40248969533371</v>
      </c>
      <c r="AK71" s="18">
        <f t="shared" si="81"/>
        <v>16.253</v>
      </c>
      <c r="AL71" s="18">
        <f t="shared" si="82"/>
        <v>1751.758</v>
      </c>
      <c r="AM71" s="18">
        <f t="shared" si="83"/>
        <v>1942.135</v>
      </c>
      <c r="AN71" s="4">
        <v>75716.494000000006</v>
      </c>
      <c r="AO71" s="18">
        <v>39.663999293000003</v>
      </c>
      <c r="AP71" s="4">
        <f t="shared" si="84"/>
        <v>523.8488630099539</v>
      </c>
      <c r="AQ71" s="2">
        <f t="shared" si="85"/>
        <v>4.3000000000000002E-5</v>
      </c>
      <c r="AR71" s="88">
        <f t="shared" si="86"/>
        <v>4.8964679170482753E-5</v>
      </c>
      <c r="AS71" s="88">
        <f t="shared" si="87"/>
        <v>4.8554912120016204E-5</v>
      </c>
      <c r="AT71" s="88">
        <f t="shared" si="88"/>
        <v>-4.0976705046655161E-7</v>
      </c>
      <c r="AU71" s="9">
        <f t="shared" si="78"/>
        <v>478.50165539401308</v>
      </c>
      <c r="AV71" s="9">
        <f t="shared" si="79"/>
        <v>512.30884945322555</v>
      </c>
      <c r="AW71">
        <f t="shared" si="89"/>
        <v>1.0270915405831131</v>
      </c>
      <c r="AX71" s="88">
        <f t="shared" si="90"/>
        <v>5.6617443801328386E-5</v>
      </c>
      <c r="AY71" s="88">
        <f t="shared" si="91"/>
        <v>5.2881266080075064E-5</v>
      </c>
      <c r="AZ71" s="18">
        <f t="shared" si="80"/>
        <v>1.3221333097666668</v>
      </c>
    </row>
    <row r="72" spans="1:52" x14ac:dyDescent="0.25">
      <c r="A72">
        <f t="shared" si="6"/>
        <v>31</v>
      </c>
      <c r="B72" s="1">
        <v>35916</v>
      </c>
      <c r="C72" s="4">
        <v>81585</v>
      </c>
      <c r="D72" s="4">
        <v>1600</v>
      </c>
      <c r="E72" s="4">
        <v>1924.8620000000001</v>
      </c>
      <c r="F72" s="30">
        <v>1942.4349999999999</v>
      </c>
      <c r="G72" s="30">
        <v>248.88900000000001</v>
      </c>
      <c r="H72" s="4">
        <f t="shared" ref="H72:H77" si="92">E72-F72-G72</f>
        <v>-266.46199999999988</v>
      </c>
      <c r="I72" s="4">
        <f t="shared" ref="I72:I77" si="93">D72-H72</f>
        <v>1866.462</v>
      </c>
      <c r="J72" s="15">
        <f t="shared" ref="J72:J77" si="94">I72/C72</f>
        <v>2.2877514248942819E-2</v>
      </c>
      <c r="K72">
        <v>520</v>
      </c>
      <c r="L72" s="26">
        <f t="shared" ref="L72:L77" si="95">J72/K72</f>
        <v>4.3995219709505419E-5</v>
      </c>
      <c r="M72" s="14">
        <v>4.3999999999999999E-5</v>
      </c>
      <c r="N72" s="12">
        <v>6.9999999999999999E-6</v>
      </c>
      <c r="O72" s="4">
        <v>1786.213</v>
      </c>
      <c r="P72" s="4">
        <v>209.73400000000001</v>
      </c>
      <c r="Q72" s="4">
        <f t="shared" ref="Q72:Q77" si="96">P72+O72</f>
        <v>1995.9469999999999</v>
      </c>
      <c r="R72" s="4">
        <v>1763.6969999999999</v>
      </c>
      <c r="S72" s="4">
        <f t="shared" si="74"/>
        <v>280.58815909090907</v>
      </c>
      <c r="T72" s="21">
        <f t="shared" si="75"/>
        <v>1483.1088409090908</v>
      </c>
      <c r="U72" s="39">
        <f>78852+3287</f>
        <v>82139</v>
      </c>
      <c r="V72" s="10"/>
      <c r="W72" s="6"/>
      <c r="X72" s="23">
        <f t="shared" si="76"/>
        <v>40.084022727272725</v>
      </c>
      <c r="Y72" s="9">
        <f t="shared" si="41"/>
        <v>477.74415079020315</v>
      </c>
      <c r="Z72" s="4">
        <f t="shared" si="48"/>
        <v>242.72616697791872</v>
      </c>
      <c r="AA72" s="4">
        <f t="shared" si="77"/>
        <v>-232.25</v>
      </c>
      <c r="AB72" s="4">
        <f t="shared" si="21"/>
        <v>-1792.3540000000003</v>
      </c>
      <c r="AC72" s="4" t="e">
        <f t="shared" si="14"/>
        <v>#N/A</v>
      </c>
      <c r="AH72" s="4">
        <v>-9.6590000000000007</v>
      </c>
      <c r="AI72" s="4">
        <f t="shared" si="65"/>
        <v>200.5790357137441</v>
      </c>
      <c r="AK72" s="18">
        <f t="shared" si="81"/>
        <v>209.73400000000001</v>
      </c>
      <c r="AL72" s="18">
        <f t="shared" si="82"/>
        <v>1763.6969999999999</v>
      </c>
      <c r="AM72" s="18">
        <f t="shared" si="83"/>
        <v>1786.213</v>
      </c>
      <c r="AN72" s="4">
        <v>74197.850000000006</v>
      </c>
      <c r="AO72" s="18">
        <v>39.204889408</v>
      </c>
      <c r="AP72" s="4">
        <f t="shared" si="84"/>
        <v>528.383092070727</v>
      </c>
      <c r="AQ72" s="2">
        <f t="shared" si="85"/>
        <v>4.3999999999999999E-5</v>
      </c>
      <c r="AR72" s="88">
        <f t="shared" si="86"/>
        <v>4.5560975352107799E-5</v>
      </c>
      <c r="AS72" s="88">
        <f t="shared" si="87"/>
        <v>4.0211285474977254E-5</v>
      </c>
      <c r="AT72" s="88">
        <f t="shared" si="88"/>
        <v>-5.3496898771305424E-6</v>
      </c>
      <c r="AU72" s="9">
        <f t="shared" si="78"/>
        <v>477.74415079020315</v>
      </c>
      <c r="AV72" s="9">
        <f t="shared" si="79"/>
        <v>516.37789668277333</v>
      </c>
      <c r="AW72">
        <f t="shared" si="89"/>
        <v>1.0224240734395065</v>
      </c>
      <c r="AX72" s="88">
        <f t="shared" si="90"/>
        <v>4.6937410750956104E-5</v>
      </c>
      <c r="AY72" s="88">
        <f t="shared" si="91"/>
        <v>4.3425703508146607E-5</v>
      </c>
      <c r="AZ72" s="18">
        <f t="shared" si="80"/>
        <v>1.2646738518709677</v>
      </c>
    </row>
    <row r="73" spans="1:52" x14ac:dyDescent="0.25">
      <c r="A73">
        <f t="shared" si="6"/>
        <v>30</v>
      </c>
      <c r="B73" s="1">
        <v>35947</v>
      </c>
      <c r="C73" s="4">
        <v>86500</v>
      </c>
      <c r="D73" s="4">
        <v>1530</v>
      </c>
      <c r="E73" s="4">
        <v>1751.758</v>
      </c>
      <c r="F73" s="30">
        <v>1958.3879999999999</v>
      </c>
      <c r="G73" s="30">
        <v>249.07</v>
      </c>
      <c r="H73" s="4">
        <f t="shared" si="92"/>
        <v>-455.69999999999987</v>
      </c>
      <c r="I73" s="4">
        <f t="shared" si="93"/>
        <v>1985.6999999999998</v>
      </c>
      <c r="J73" s="15">
        <f t="shared" si="94"/>
        <v>2.2956069364161849E-2</v>
      </c>
      <c r="K73">
        <v>520</v>
      </c>
      <c r="L73" s="26">
        <f t="shared" si="95"/>
        <v>4.4146287238772786E-5</v>
      </c>
      <c r="M73" s="14">
        <v>4.3999999999999999E-5</v>
      </c>
      <c r="N73" s="12">
        <v>6.9999999999999999E-6</v>
      </c>
      <c r="O73" s="4">
        <v>1640.374</v>
      </c>
      <c r="P73" s="4">
        <v>-48.985999999999997</v>
      </c>
      <c r="Q73" s="4">
        <f t="shared" si="96"/>
        <v>1591.3879999999999</v>
      </c>
      <c r="R73" s="4">
        <v>1742.585</v>
      </c>
      <c r="S73" s="4">
        <f t="shared" si="74"/>
        <v>277.22943181818187</v>
      </c>
      <c r="T73" s="21">
        <f t="shared" si="75"/>
        <v>1465.3555681818182</v>
      </c>
      <c r="U73" s="39">
        <f>77465+2439</f>
        <v>79904</v>
      </c>
      <c r="V73" s="10"/>
      <c r="W73" s="6"/>
      <c r="X73" s="23">
        <f t="shared" si="76"/>
        <v>39.60420454545455</v>
      </c>
      <c r="Y73" s="9">
        <f t="shared" si="41"/>
        <v>485.06872082224311</v>
      </c>
      <c r="Z73" s="4">
        <f t="shared" si="48"/>
        <v>240.80470485670662</v>
      </c>
      <c r="AA73" s="4">
        <f t="shared" si="77"/>
        <v>151.19700000000012</v>
      </c>
      <c r="AB73" s="4">
        <f t="shared" si="21"/>
        <v>-1641.1570000000002</v>
      </c>
      <c r="AC73" s="4">
        <f t="shared" si="14"/>
        <v>-1641.1570000000002</v>
      </c>
      <c r="AH73" s="4">
        <v>176.625</v>
      </c>
      <c r="AI73" s="4">
        <f t="shared" si="65"/>
        <v>118.42217549021095</v>
      </c>
      <c r="AK73" s="18">
        <f t="shared" si="81"/>
        <v>-48.985999999999997</v>
      </c>
      <c r="AL73" s="18">
        <f t="shared" si="82"/>
        <v>1742.585</v>
      </c>
      <c r="AM73" s="18">
        <f t="shared" si="83"/>
        <v>1640.374</v>
      </c>
      <c r="AN73" s="4">
        <v>72757.415999999997</v>
      </c>
      <c r="AO73" s="18">
        <v>38.627420651000001</v>
      </c>
      <c r="AP73" s="4">
        <f t="shared" si="84"/>
        <v>530.90698893154763</v>
      </c>
      <c r="AQ73" s="2">
        <f t="shared" si="85"/>
        <v>4.3999999999999999E-5</v>
      </c>
      <c r="AR73" s="88">
        <f t="shared" si="86"/>
        <v>4.2466568369160143E-5</v>
      </c>
      <c r="AS73" s="88">
        <f t="shared" si="87"/>
        <v>4.3734734847129E-5</v>
      </c>
      <c r="AT73" s="88">
        <f t="shared" si="88"/>
        <v>1.2681664779688526E-6</v>
      </c>
      <c r="AU73" s="9">
        <f t="shared" si="78"/>
        <v>485.06872082224311</v>
      </c>
      <c r="AV73" s="9">
        <f t="shared" si="79"/>
        <v>518.7881458262126</v>
      </c>
      <c r="AW73">
        <f t="shared" si="89"/>
        <v>1.0252873186454727</v>
      </c>
      <c r="AX73" s="88">
        <f t="shared" si="90"/>
        <v>5.2131414704720677E-5</v>
      </c>
      <c r="AY73" s="88">
        <f t="shared" si="91"/>
        <v>4.8743054074993578E-5</v>
      </c>
      <c r="AZ73" s="18">
        <f t="shared" si="80"/>
        <v>1.2875806883666667</v>
      </c>
    </row>
    <row r="74" spans="1:52" x14ac:dyDescent="0.25">
      <c r="A74">
        <f t="shared" si="6"/>
        <v>31</v>
      </c>
      <c r="B74" s="1">
        <v>35977</v>
      </c>
      <c r="C74" s="4">
        <v>86150</v>
      </c>
      <c r="D74" s="4">
        <v>1500</v>
      </c>
      <c r="E74" s="4">
        <v>1763.6969999999999</v>
      </c>
      <c r="F74" s="30">
        <v>1995.9469999999999</v>
      </c>
      <c r="G74" s="30">
        <v>238.636</v>
      </c>
      <c r="H74" s="4">
        <f t="shared" si="92"/>
        <v>-470.88599999999997</v>
      </c>
      <c r="I74" s="4">
        <f t="shared" si="93"/>
        <v>1970.886</v>
      </c>
      <c r="J74" s="15">
        <f t="shared" si="94"/>
        <v>2.2877376668601276E-2</v>
      </c>
      <c r="K74">
        <v>520</v>
      </c>
      <c r="L74" s="26">
        <f t="shared" si="95"/>
        <v>4.3994955131925529E-5</v>
      </c>
      <c r="M74" s="14">
        <v>4.3999999999999999E-5</v>
      </c>
      <c r="N74" s="12">
        <v>6.9999999999999999E-6</v>
      </c>
      <c r="O74" s="4">
        <v>1928.029</v>
      </c>
      <c r="P74" s="4">
        <v>103.751</v>
      </c>
      <c r="Q74" s="4">
        <f t="shared" si="96"/>
        <v>2031.78</v>
      </c>
      <c r="R74" s="4">
        <v>1798.7570000000001</v>
      </c>
      <c r="S74" s="4">
        <v>286.18200000000002</v>
      </c>
      <c r="T74" s="21">
        <f t="shared" ref="T74:T85" si="97">R74-S74</f>
        <v>1512.575</v>
      </c>
      <c r="U74" s="39">
        <f>79376+2798</f>
        <v>82174</v>
      </c>
      <c r="V74" s="10"/>
      <c r="W74" s="6"/>
      <c r="X74" s="23">
        <f t="shared" ref="X74:X79" si="98">R74/M74/1000000</f>
        <v>40.880840909090914</v>
      </c>
      <c r="Y74" s="9">
        <f t="shared" si="41"/>
        <v>486.83456837186986</v>
      </c>
      <c r="Z74" s="4">
        <f t="shared" si="48"/>
        <v>241.70185826579751</v>
      </c>
      <c r="AA74" s="4">
        <f t="shared" ref="AA74:AA85" si="99">+R74-Q74</f>
        <v>-233.02299999999991</v>
      </c>
      <c r="AB74" s="4">
        <f t="shared" si="21"/>
        <v>-1874.18</v>
      </c>
      <c r="AC74" s="4" t="e">
        <f t="shared" si="14"/>
        <v>#N/A</v>
      </c>
      <c r="AH74" s="4">
        <v>298.387</v>
      </c>
      <c r="AI74" s="4">
        <f t="shared" si="65"/>
        <v>386.56726757252693</v>
      </c>
      <c r="AK74" s="18">
        <f t="shared" si="81"/>
        <v>103.751</v>
      </c>
      <c r="AL74" s="18">
        <f t="shared" si="82"/>
        <v>1798.7570000000001</v>
      </c>
      <c r="AM74" s="18">
        <f t="shared" si="83"/>
        <v>1928.029</v>
      </c>
      <c r="AN74" s="4">
        <v>73926.725999999995</v>
      </c>
      <c r="AO74" s="18">
        <v>39.602907105</v>
      </c>
      <c r="AP74" s="4">
        <f t="shared" si="84"/>
        <v>535.7048695082209</v>
      </c>
      <c r="AQ74" s="2">
        <f t="shared" si="85"/>
        <v>4.3999999999999999E-5</v>
      </c>
      <c r="AR74" s="88">
        <f t="shared" si="86"/>
        <v>4.8684027030848449E-5</v>
      </c>
      <c r="AS74" s="88">
        <f t="shared" si="87"/>
        <v>4.6064244606166266E-5</v>
      </c>
      <c r="AT74" s="88">
        <f t="shared" si="88"/>
        <v>-2.6197824246821797E-6</v>
      </c>
      <c r="AU74" s="9">
        <f t="shared" si="78"/>
        <v>486.83456837186986</v>
      </c>
      <c r="AV74" s="9">
        <f t="shared" si="79"/>
        <v>523.36854213908259</v>
      </c>
      <c r="AW74">
        <f t="shared" si="89"/>
        <v>1.0322686867583408</v>
      </c>
      <c r="AX74" s="88">
        <f t="shared" si="90"/>
        <v>6.6282652988791673E-5</v>
      </c>
      <c r="AY74" s="88">
        <f t="shared" si="91"/>
        <v>6.1655762928459657E-5</v>
      </c>
      <c r="AZ74" s="18">
        <f t="shared" si="80"/>
        <v>1.2775131324193549</v>
      </c>
    </row>
    <row r="75" spans="1:52" x14ac:dyDescent="0.25">
      <c r="A75">
        <f t="shared" si="6"/>
        <v>31</v>
      </c>
      <c r="B75" s="1">
        <v>36008</v>
      </c>
      <c r="C75" s="4">
        <v>70550</v>
      </c>
      <c r="D75" s="4">
        <v>1650</v>
      </c>
      <c r="E75" s="4">
        <v>1742.585</v>
      </c>
      <c r="F75" s="30">
        <v>1591.3879999999999</v>
      </c>
      <c r="G75" s="30">
        <v>262.5</v>
      </c>
      <c r="H75" s="4">
        <f t="shared" si="92"/>
        <v>-111.30299999999988</v>
      </c>
      <c r="I75" s="4">
        <f t="shared" si="93"/>
        <v>1761.3029999999999</v>
      </c>
      <c r="J75" s="15">
        <f t="shared" si="94"/>
        <v>2.4965315379163713E-2</v>
      </c>
      <c r="K75">
        <v>520</v>
      </c>
      <c r="L75" s="51">
        <f t="shared" si="95"/>
        <v>4.8010221883007142E-5</v>
      </c>
      <c r="M75" s="14">
        <v>4.8000000000000001E-5</v>
      </c>
      <c r="N75" s="12">
        <v>6.9999999999999999E-6</v>
      </c>
      <c r="O75" s="4">
        <v>1939.057</v>
      </c>
      <c r="P75" s="4">
        <v>-10.227</v>
      </c>
      <c r="Q75" s="4">
        <f t="shared" si="96"/>
        <v>1928.83</v>
      </c>
      <c r="R75" s="4">
        <v>1947.4449999999999</v>
      </c>
      <c r="S75" s="4">
        <v>283.93700000000001</v>
      </c>
      <c r="T75" s="21">
        <f t="shared" si="97"/>
        <v>1663.5079999999998</v>
      </c>
      <c r="U75" s="39">
        <f>78953+3610</f>
        <v>82563</v>
      </c>
      <c r="V75" s="10"/>
      <c r="W75" s="6"/>
      <c r="X75" s="23">
        <f t="shared" si="98"/>
        <v>40.571770833333325</v>
      </c>
      <c r="Y75" s="9">
        <f t="shared" si="41"/>
        <v>480.07995737489404</v>
      </c>
      <c r="Z75" s="4">
        <f t="shared" si="48"/>
        <v>244.6541082657975</v>
      </c>
      <c r="AA75" s="4">
        <f t="shared" si="99"/>
        <v>18.615000000000009</v>
      </c>
      <c r="AB75" s="4">
        <f t="shared" si="21"/>
        <v>-1855.5650000000001</v>
      </c>
      <c r="AC75" s="4" t="e">
        <f t="shared" si="14"/>
        <v>#N/A</v>
      </c>
      <c r="AH75" s="4">
        <v>213.47300000000001</v>
      </c>
      <c r="AI75" s="4">
        <f t="shared" si="65"/>
        <v>192.10633586084532</v>
      </c>
      <c r="AK75" s="18">
        <f t="shared" si="81"/>
        <v>-10.227</v>
      </c>
      <c r="AL75" s="18">
        <f t="shared" si="82"/>
        <v>1947.4449999999999</v>
      </c>
      <c r="AM75" s="18">
        <f t="shared" si="83"/>
        <v>1939.057</v>
      </c>
      <c r="AN75" s="4">
        <v>73829.475000000006</v>
      </c>
      <c r="AO75" s="18">
        <v>39.277845163999999</v>
      </c>
      <c r="AP75" s="4">
        <f t="shared" si="84"/>
        <v>532.00764551014345</v>
      </c>
      <c r="AQ75" s="2">
        <f t="shared" si="85"/>
        <v>4.8000000000000001E-5</v>
      </c>
      <c r="AR75" s="88">
        <f t="shared" si="86"/>
        <v>4.9367703139102895E-5</v>
      </c>
      <c r="AS75" s="88">
        <f t="shared" si="87"/>
        <v>4.9628078930017551E-5</v>
      </c>
      <c r="AT75" s="88">
        <f t="shared" si="88"/>
        <v>2.6037579091465866E-7</v>
      </c>
      <c r="AU75" s="9">
        <f t="shared" si="78"/>
        <v>480.07995737489404</v>
      </c>
      <c r="AV75" s="9">
        <f t="shared" si="79"/>
        <v>518.76038981871716</v>
      </c>
      <c r="AW75">
        <f t="shared" si="89"/>
        <v>1.0329428883873515</v>
      </c>
      <c r="AX75" s="88">
        <f t="shared" si="90"/>
        <v>6.8619586969398123E-5</v>
      </c>
      <c r="AY75" s="88">
        <f t="shared" si="91"/>
        <v>6.3503091280472484E-5</v>
      </c>
      <c r="AZ75" s="18">
        <f>AO75/A75</f>
        <v>1.2670272633548387</v>
      </c>
    </row>
    <row r="76" spans="1:52" x14ac:dyDescent="0.25">
      <c r="A76">
        <f t="shared" si="6"/>
        <v>30</v>
      </c>
      <c r="B76" s="1">
        <v>36039</v>
      </c>
      <c r="C76" s="4">
        <v>78950</v>
      </c>
      <c r="D76" s="4">
        <v>1500</v>
      </c>
      <c r="E76" s="4">
        <v>1798.7570000000001</v>
      </c>
      <c r="F76" s="30">
        <v>2031.78</v>
      </c>
      <c r="G76" s="30">
        <v>238.636</v>
      </c>
      <c r="H76" s="4">
        <f t="shared" si="92"/>
        <v>-471.65899999999988</v>
      </c>
      <c r="I76" s="4">
        <f t="shared" si="93"/>
        <v>1971.6589999999999</v>
      </c>
      <c r="J76" s="15">
        <f t="shared" si="94"/>
        <v>2.4973514882837236E-2</v>
      </c>
      <c r="K76">
        <v>520</v>
      </c>
      <c r="L76" s="51">
        <f t="shared" si="95"/>
        <v>4.8025990159302377E-5</v>
      </c>
      <c r="M76" s="14">
        <v>4.8000000000000001E-5</v>
      </c>
      <c r="N76" s="12">
        <v>6.9999999999999999E-6</v>
      </c>
      <c r="O76" s="4">
        <v>1939.432</v>
      </c>
      <c r="P76" s="46">
        <v>221.00299999999999</v>
      </c>
      <c r="Q76" s="24">
        <f t="shared" ref="Q76:Q89" si="100">P76+O76</f>
        <v>2160.4349999999999</v>
      </c>
      <c r="R76" s="4">
        <v>1927.23</v>
      </c>
      <c r="S76" s="4">
        <v>280.99</v>
      </c>
      <c r="T76" s="21">
        <f t="shared" si="97"/>
        <v>1646.24</v>
      </c>
      <c r="U76" s="39">
        <f>78609+2709</f>
        <v>81318</v>
      </c>
      <c r="V76" s="10"/>
      <c r="W76" s="6"/>
      <c r="X76" s="23">
        <f t="shared" si="98"/>
        <v>40.150624999999998</v>
      </c>
      <c r="Y76" s="9">
        <f t="shared" si="41"/>
        <v>482.31742527469743</v>
      </c>
      <c r="Z76" s="4">
        <f t="shared" si="48"/>
        <v>242.03002215468638</v>
      </c>
      <c r="AA76" s="4">
        <f t="shared" si="99"/>
        <v>-233.20499999999993</v>
      </c>
      <c r="AB76" s="4">
        <f t="shared" si="21"/>
        <v>-2088.77</v>
      </c>
      <c r="AC76" s="4" t="e">
        <f t="shared" si="14"/>
        <v>#N/A</v>
      </c>
      <c r="AD76" s="4"/>
      <c r="AH76" s="4">
        <v>-34.921999999999997</v>
      </c>
      <c r="AI76" s="4">
        <f t="shared" si="65"/>
        <v>187.90333514808691</v>
      </c>
      <c r="AK76" s="18">
        <f t="shared" si="81"/>
        <v>221.00299999999999</v>
      </c>
      <c r="AL76" s="18">
        <f t="shared" si="82"/>
        <v>1927.23</v>
      </c>
      <c r="AM76" s="18">
        <f t="shared" si="83"/>
        <v>1939.432</v>
      </c>
      <c r="AN76" s="4">
        <v>73449.240999999995</v>
      </c>
      <c r="AO76" s="18">
        <v>39.076429890999997</v>
      </c>
      <c r="AP76" s="4">
        <f t="shared" si="84"/>
        <v>532.0195193167483</v>
      </c>
      <c r="AQ76" s="2">
        <f t="shared" si="85"/>
        <v>4.8000000000000001E-5</v>
      </c>
      <c r="AR76" s="88">
        <f t="shared" si="86"/>
        <v>4.9631760255731192E-5</v>
      </c>
      <c r="AS76" s="88">
        <f t="shared" si="87"/>
        <v>4.3976100293537439E-5</v>
      </c>
      <c r="AT76" s="88">
        <f t="shared" si="88"/>
        <v>-5.6556599621937555E-6</v>
      </c>
      <c r="AU76" s="9">
        <f t="shared" si="78"/>
        <v>482.31742527469743</v>
      </c>
      <c r="AV76" s="9">
        <f t="shared" si="79"/>
        <v>518.77167965380931</v>
      </c>
      <c r="AW76">
        <f t="shared" si="89"/>
        <v>1.0274895918587335</v>
      </c>
      <c r="AX76" s="88">
        <f t="shared" si="90"/>
        <v>5.6994813826345015E-5</v>
      </c>
      <c r="AY76" s="88">
        <f t="shared" si="91"/>
        <v>5.2989769752038155E-5</v>
      </c>
      <c r="AZ76" s="18">
        <f t="shared" ref="AZ76:AZ101" si="101">AO76/A76</f>
        <v>1.3025476630333332</v>
      </c>
    </row>
    <row r="77" spans="1:52" x14ac:dyDescent="0.25">
      <c r="A77">
        <f t="shared" si="6"/>
        <v>31</v>
      </c>
      <c r="B77" s="1">
        <v>36069</v>
      </c>
      <c r="C77" s="4">
        <v>77150.2</v>
      </c>
      <c r="D77" s="4">
        <v>1695</v>
      </c>
      <c r="E77" s="4">
        <v>1947.4449999999999</v>
      </c>
      <c r="F77" s="30">
        <v>1928.83</v>
      </c>
      <c r="G77" s="30">
        <v>247.18799999999999</v>
      </c>
      <c r="H77" s="4">
        <f t="shared" si="92"/>
        <v>-228.57299999999998</v>
      </c>
      <c r="I77" s="4">
        <f t="shared" si="93"/>
        <v>1923.5729999999999</v>
      </c>
      <c r="J77" s="15">
        <f t="shared" si="94"/>
        <v>2.4932832319294052E-2</v>
      </c>
      <c r="K77">
        <v>520</v>
      </c>
      <c r="L77" s="26">
        <f t="shared" si="95"/>
        <v>4.7947754460180867E-5</v>
      </c>
      <c r="M77" s="14">
        <v>4.8000000000000001E-5</v>
      </c>
      <c r="N77" s="12">
        <v>6.9999999999999999E-6</v>
      </c>
      <c r="O77" s="4">
        <v>1855.204</v>
      </c>
      <c r="P77" s="4">
        <v>-353.25900000000001</v>
      </c>
      <c r="Q77" s="4">
        <f t="shared" si="96"/>
        <v>1501.9449999999999</v>
      </c>
      <c r="R77" s="4">
        <v>1920.366</v>
      </c>
      <c r="S77" s="4">
        <v>279.98899999999998</v>
      </c>
      <c r="T77" s="21">
        <f t="shared" si="97"/>
        <v>1640.377</v>
      </c>
      <c r="U77" s="39">
        <f>79200+2684</f>
        <v>81884</v>
      </c>
      <c r="V77" s="10"/>
      <c r="W77" s="6"/>
      <c r="X77" s="23">
        <f t="shared" si="98"/>
        <v>40.007624999999997</v>
      </c>
      <c r="Y77" s="9">
        <f t="shared" si="41"/>
        <v>477.39308713343172</v>
      </c>
      <c r="Z77" s="4">
        <f t="shared" si="48"/>
        <v>241.29908901515148</v>
      </c>
      <c r="AA77" s="4">
        <f t="shared" si="99"/>
        <v>418.42100000000005</v>
      </c>
      <c r="AB77" s="4">
        <f t="shared" si="21"/>
        <v>-1670.3489999999999</v>
      </c>
      <c r="AC77" s="4" t="e">
        <f t="shared" si="14"/>
        <v>#N/A</v>
      </c>
      <c r="AD77" s="4"/>
      <c r="AH77" s="4">
        <v>225.15299999999999</v>
      </c>
      <c r="AI77" s="4">
        <f t="shared" si="65"/>
        <v>-139.85516172032575</v>
      </c>
      <c r="AK77" s="18">
        <f t="shared" si="81"/>
        <v>-353.25900000000001</v>
      </c>
      <c r="AL77" s="18">
        <f t="shared" si="82"/>
        <v>1920.366</v>
      </c>
      <c r="AM77" s="18">
        <f t="shared" si="83"/>
        <v>1855.204</v>
      </c>
      <c r="AN77" s="4">
        <v>73128.619000000006</v>
      </c>
      <c r="AO77" s="18">
        <v>39.077769138999997</v>
      </c>
      <c r="AP77" s="4">
        <f t="shared" si="84"/>
        <v>534.37039661585834</v>
      </c>
      <c r="AQ77" s="2">
        <f t="shared" si="85"/>
        <v>4.8000000000000001E-5</v>
      </c>
      <c r="AR77" s="88">
        <f t="shared" si="86"/>
        <v>4.7474665030161311E-5</v>
      </c>
      <c r="AS77" s="88">
        <f t="shared" si="87"/>
        <v>5.6514561825279118E-5</v>
      </c>
      <c r="AT77" s="88">
        <f t="shared" si="88"/>
        <v>9.0398967951178172E-6</v>
      </c>
      <c r="AU77" s="9">
        <f t="shared" si="78"/>
        <v>477.39308713343172</v>
      </c>
      <c r="AV77" s="9">
        <f t="shared" si="79"/>
        <v>521.0066901367594</v>
      </c>
      <c r="AW77">
        <f t="shared" si="89"/>
        <v>1.0237950088115955</v>
      </c>
      <c r="AX77" s="88">
        <f t="shared" si="90"/>
        <v>4.9843639241773817E-5</v>
      </c>
      <c r="AY77" s="88">
        <f t="shared" si="91"/>
        <v>4.5671215479688939E-5</v>
      </c>
      <c r="AZ77" s="18">
        <f t="shared" si="101"/>
        <v>1.2605731980322579</v>
      </c>
    </row>
    <row r="78" spans="1:52" x14ac:dyDescent="0.25">
      <c r="A78">
        <f t="shared" si="6"/>
        <v>30</v>
      </c>
      <c r="B78" s="1">
        <v>36100</v>
      </c>
      <c r="C78" s="4">
        <v>76000</v>
      </c>
      <c r="D78" s="4">
        <v>1600</v>
      </c>
      <c r="E78" s="4">
        <v>1927.23</v>
      </c>
      <c r="F78" s="30">
        <v>1990.047</v>
      </c>
      <c r="G78" s="4">
        <v>233.333</v>
      </c>
      <c r="H78" s="4">
        <f t="shared" ref="H78:H83" si="102">E78-F78-G78</f>
        <v>-296.14999999999998</v>
      </c>
      <c r="I78" s="4">
        <f t="shared" ref="I78:I83" si="103">D78-H78</f>
        <v>1896.15</v>
      </c>
      <c r="J78" s="15">
        <f t="shared" ref="J78:J83" si="104">I78/C78</f>
        <v>2.4949342105263159E-2</v>
      </c>
      <c r="K78">
        <v>520</v>
      </c>
      <c r="L78" s="26">
        <f t="shared" ref="L78:L93" si="105">J78/K78</f>
        <v>4.7979504048582999E-5</v>
      </c>
      <c r="M78" s="14">
        <v>4.8000000000000001E-5</v>
      </c>
      <c r="N78" s="12">
        <v>6.9999999999999999E-6</v>
      </c>
      <c r="O78" s="4">
        <v>1792.65</v>
      </c>
      <c r="P78" s="4">
        <v>-73.004000000000005</v>
      </c>
      <c r="Q78" s="24">
        <f t="shared" si="100"/>
        <v>1719.6460000000002</v>
      </c>
      <c r="R78" s="4">
        <v>1907.6469999999999</v>
      </c>
      <c r="S78" s="4">
        <v>278.13499999999999</v>
      </c>
      <c r="T78" s="21">
        <f t="shared" si="97"/>
        <v>1629.5119999999999</v>
      </c>
      <c r="U78" s="39">
        <f>79263+1190</f>
        <v>80453</v>
      </c>
      <c r="V78" s="10"/>
      <c r="W78" s="6"/>
      <c r="X78" s="23">
        <f t="shared" si="98"/>
        <v>39.742645833333327</v>
      </c>
      <c r="Y78" s="9">
        <f t="shared" si="41"/>
        <v>482.54411883545947</v>
      </c>
      <c r="Z78" s="4">
        <f t="shared" si="48"/>
        <v>240.95771212121207</v>
      </c>
      <c r="AA78" s="4">
        <f t="shared" si="99"/>
        <v>188.00099999999975</v>
      </c>
      <c r="AB78" s="4">
        <f t="shared" si="21"/>
        <v>-1482.3480000000002</v>
      </c>
      <c r="AC78" s="4" t="e">
        <f t="shared" si="14"/>
        <v>#N/A</v>
      </c>
      <c r="AD78" s="4"/>
      <c r="AH78" s="4">
        <v>266.86799999999999</v>
      </c>
      <c r="AI78" s="4">
        <f t="shared" si="65"/>
        <v>179.93802393048333</v>
      </c>
      <c r="AK78" s="18">
        <f t="shared" si="81"/>
        <v>-73.004000000000005</v>
      </c>
      <c r="AL78" s="18">
        <f t="shared" si="82"/>
        <v>1907.6469999999999</v>
      </c>
      <c r="AM78" s="18">
        <f t="shared" si="83"/>
        <v>1792.65</v>
      </c>
      <c r="AN78" s="4">
        <v>74122.289999999994</v>
      </c>
      <c r="AO78" s="18">
        <v>38.695088421000001</v>
      </c>
      <c r="AP78" s="4">
        <f t="shared" si="84"/>
        <v>522.04388748647682</v>
      </c>
      <c r="AQ78" s="2">
        <f t="shared" si="85"/>
        <v>4.8000000000000001E-5</v>
      </c>
      <c r="AR78" s="88">
        <f t="shared" si="86"/>
        <v>4.6327585054105238E-5</v>
      </c>
      <c r="AS78" s="88">
        <f t="shared" si="87"/>
        <v>4.821423276519769E-5</v>
      </c>
      <c r="AT78" s="88">
        <f t="shared" si="88"/>
        <v>1.88664771109246E-6</v>
      </c>
      <c r="AU78" s="9">
        <f t="shared" si="78"/>
        <v>482.54411883545947</v>
      </c>
      <c r="AV78" s="9">
        <f t="shared" si="79"/>
        <v>509.28223885606548</v>
      </c>
      <c r="AW78">
        <f t="shared" si="89"/>
        <v>1.0270721028192511</v>
      </c>
      <c r="AX78" s="88">
        <f t="shared" si="90"/>
        <v>5.6102855184693052E-5</v>
      </c>
      <c r="AY78" s="88">
        <f t="shared" si="91"/>
        <v>5.3157366885716739E-5</v>
      </c>
      <c r="AZ78" s="18">
        <f t="shared" si="101"/>
        <v>1.2898362807000001</v>
      </c>
    </row>
    <row r="79" spans="1:52" x14ac:dyDescent="0.25">
      <c r="A79">
        <f t="shared" si="6"/>
        <v>31</v>
      </c>
      <c r="B79" s="1">
        <v>36130</v>
      </c>
      <c r="C79" s="4">
        <v>72450</v>
      </c>
      <c r="D79" s="4">
        <v>1950</v>
      </c>
      <c r="E79" s="4">
        <v>1920.366</v>
      </c>
      <c r="F79" s="30">
        <v>1501.9449999999999</v>
      </c>
      <c r="G79" s="4">
        <v>284.375</v>
      </c>
      <c r="H79" s="4">
        <f t="shared" si="102"/>
        <v>134.04600000000005</v>
      </c>
      <c r="I79" s="4">
        <f t="shared" si="103"/>
        <v>1815.954</v>
      </c>
      <c r="J79" s="15">
        <f t="shared" si="104"/>
        <v>2.5064927536231883E-2</v>
      </c>
      <c r="K79">
        <v>520</v>
      </c>
      <c r="L79" s="51">
        <f t="shared" si="105"/>
        <v>4.8201783723522848E-5</v>
      </c>
      <c r="M79" s="14">
        <v>4.8000000000000001E-5</v>
      </c>
      <c r="N79" s="12">
        <v>6.9999999999999999E-6</v>
      </c>
      <c r="O79" s="4">
        <v>1811.33</v>
      </c>
      <c r="P79" s="4">
        <v>-68.061000000000007</v>
      </c>
      <c r="Q79" s="4">
        <f t="shared" si="100"/>
        <v>1743.269</v>
      </c>
      <c r="R79" s="4">
        <v>1970.1659999999999</v>
      </c>
      <c r="S79" s="4">
        <v>287.25</v>
      </c>
      <c r="T79" s="21">
        <f t="shared" si="97"/>
        <v>1682.9159999999999</v>
      </c>
      <c r="U79" s="39">
        <f>82380+1053</f>
        <v>83433</v>
      </c>
      <c r="V79" s="10"/>
      <c r="W79" s="6"/>
      <c r="X79" s="23">
        <f t="shared" si="98"/>
        <v>41.045124999999999</v>
      </c>
      <c r="Y79" s="9">
        <f t="shared" si="41"/>
        <v>480.60425535043981</v>
      </c>
      <c r="Z79" s="4">
        <f t="shared" si="48"/>
        <v>242.39863257575752</v>
      </c>
      <c r="AA79" s="4">
        <f t="shared" si="99"/>
        <v>226.89699999999993</v>
      </c>
      <c r="AB79" s="4">
        <f t="shared" si="21"/>
        <v>-1255.4510000000002</v>
      </c>
      <c r="AC79" s="4">
        <f t="shared" si="14"/>
        <v>-1255.4510000000002</v>
      </c>
      <c r="AD79" s="4"/>
      <c r="AH79" s="4">
        <v>261.50299999999999</v>
      </c>
      <c r="AI79" s="4">
        <f t="shared" si="65"/>
        <v>179.79598579032771</v>
      </c>
      <c r="AK79" s="18">
        <f t="shared" si="81"/>
        <v>-68.061000000000007</v>
      </c>
      <c r="AL79" s="18">
        <f t="shared" si="82"/>
        <v>1970.1659999999999</v>
      </c>
      <c r="AM79" s="18">
        <f t="shared" si="83"/>
        <v>1811.33</v>
      </c>
      <c r="AN79" s="4">
        <v>78529.510999999999</v>
      </c>
      <c r="AO79" s="18">
        <v>39.799214188999997</v>
      </c>
      <c r="AP79" s="4">
        <f t="shared" si="84"/>
        <v>506.80583238319161</v>
      </c>
      <c r="AQ79" s="2">
        <f t="shared" si="85"/>
        <v>4.8000000000000001E-5</v>
      </c>
      <c r="AR79" s="88">
        <f t="shared" si="86"/>
        <v>4.5511702602927998E-5</v>
      </c>
      <c r="AS79" s="88">
        <f t="shared" si="87"/>
        <v>4.7221811744198701E-5</v>
      </c>
      <c r="AT79" s="88">
        <f t="shared" si="88"/>
        <v>1.710109141270714E-6</v>
      </c>
      <c r="AU79" s="9">
        <f t="shared" si="78"/>
        <v>480.60425535043981</v>
      </c>
      <c r="AV79" s="9">
        <f t="shared" si="79"/>
        <v>494.76972756948635</v>
      </c>
      <c r="AW79">
        <f t="shared" si="89"/>
        <v>1.0313049098176506</v>
      </c>
      <c r="AX79" s="88">
        <f t="shared" si="90"/>
        <v>6.5136563959102082E-5</v>
      </c>
      <c r="AY79" s="88">
        <f t="shared" si="91"/>
        <v>6.3271675838845728E-5</v>
      </c>
      <c r="AZ79" s="18">
        <f t="shared" si="101"/>
        <v>1.2838456189999998</v>
      </c>
    </row>
    <row r="80" spans="1:52" x14ac:dyDescent="0.25">
      <c r="A80">
        <f t="shared" si="6"/>
        <v>31</v>
      </c>
      <c r="B80" s="1">
        <v>36161</v>
      </c>
      <c r="C80" s="4">
        <v>77500</v>
      </c>
      <c r="D80" s="4">
        <v>1875</v>
      </c>
      <c r="E80" s="4">
        <v>1907.6469999999999</v>
      </c>
      <c r="F80" s="30">
        <v>1693.404</v>
      </c>
      <c r="G80" s="4">
        <v>273.43799999999999</v>
      </c>
      <c r="H80" s="4">
        <f t="shared" si="102"/>
        <v>-59.19500000000005</v>
      </c>
      <c r="I80" s="4">
        <f t="shared" si="103"/>
        <v>1934.1950000000002</v>
      </c>
      <c r="J80" s="15">
        <f t="shared" si="104"/>
        <v>2.4957354838709679E-2</v>
      </c>
      <c r="K80">
        <v>520</v>
      </c>
      <c r="L80" s="26">
        <f t="shared" si="105"/>
        <v>4.7994913151364766E-5</v>
      </c>
      <c r="M80" s="14">
        <v>4.8000000000000001E-5</v>
      </c>
      <c r="N80" s="12">
        <v>9.0000000000000002E-6</v>
      </c>
      <c r="O80" s="4">
        <v>1485.5820000000001</v>
      </c>
      <c r="P80" s="4">
        <v>-157.21299999999999</v>
      </c>
      <c r="Q80" s="4">
        <f t="shared" si="100"/>
        <v>1328.3690000000001</v>
      </c>
      <c r="R80" s="4">
        <v>1876.355</v>
      </c>
      <c r="S80" s="4">
        <v>351.81700000000001</v>
      </c>
      <c r="T80" s="21">
        <f t="shared" si="97"/>
        <v>1524.538</v>
      </c>
      <c r="U80" s="39">
        <f>78958+55</f>
        <v>79013</v>
      </c>
      <c r="V80" s="10"/>
      <c r="W80" s="6"/>
      <c r="X80" s="23">
        <f t="shared" ref="X80:X85" si="106">R80/M80/1000000</f>
        <v>39.090729166666662</v>
      </c>
      <c r="Y80" s="9">
        <f t="shared" si="41"/>
        <v>483.2617241992678</v>
      </c>
      <c r="Z80" s="4">
        <f t="shared" si="48"/>
        <v>240.60852083333333</v>
      </c>
      <c r="AA80" s="4">
        <f t="shared" si="99"/>
        <v>547.98599999999988</v>
      </c>
      <c r="AB80" s="4">
        <f t="shared" si="21"/>
        <v>-707.46500000000037</v>
      </c>
      <c r="AC80" s="4" t="e">
        <f t="shared" si="14"/>
        <v>#N/A</v>
      </c>
      <c r="AD80" s="4"/>
      <c r="AH80" s="4">
        <v>237.51</v>
      </c>
      <c r="AI80" s="4">
        <f t="shared" si="65"/>
        <v>67.903012799320607</v>
      </c>
      <c r="AK80" s="18">
        <f t="shared" si="81"/>
        <v>-157.21299999999999</v>
      </c>
      <c r="AL80" s="18">
        <f t="shared" si="82"/>
        <v>1876.355</v>
      </c>
      <c r="AM80" s="18">
        <f t="shared" si="83"/>
        <v>1485.5820000000001</v>
      </c>
      <c r="AN80" s="4">
        <v>76928.159</v>
      </c>
      <c r="AO80" s="18">
        <v>38.407438071999998</v>
      </c>
      <c r="AP80" s="4">
        <f t="shared" si="84"/>
        <v>499.26371008046613</v>
      </c>
      <c r="AQ80" s="2">
        <f t="shared" si="85"/>
        <v>4.8000000000000001E-5</v>
      </c>
      <c r="AR80" s="88">
        <f t="shared" si="86"/>
        <v>3.8679539031347871E-5</v>
      </c>
      <c r="AS80" s="88">
        <f t="shared" si="87"/>
        <v>4.2772834702495805E-5</v>
      </c>
      <c r="AT80" s="88">
        <f t="shared" si="88"/>
        <v>4.0932956711479346E-6</v>
      </c>
      <c r="AU80" s="9">
        <f t="shared" si="78"/>
        <v>483.2617241992678</v>
      </c>
      <c r="AV80" s="9">
        <f t="shared" si="79"/>
        <v>487.57904497869549</v>
      </c>
      <c r="AW80">
        <f t="shared" si="89"/>
        <v>1.0177905928894748</v>
      </c>
      <c r="AX80" s="88">
        <f t="shared" si="90"/>
        <v>3.6813577402498903E-5</v>
      </c>
      <c r="AY80" s="88">
        <f t="shared" si="91"/>
        <v>3.6487607645755515E-5</v>
      </c>
      <c r="AZ80" s="18">
        <f t="shared" si="101"/>
        <v>1.2389496152258064</v>
      </c>
    </row>
    <row r="81" spans="1:52" x14ac:dyDescent="0.25">
      <c r="A81">
        <f t="shared" si="6"/>
        <v>28</v>
      </c>
      <c r="B81" s="1">
        <v>36192</v>
      </c>
      <c r="C81" s="4">
        <v>66000</v>
      </c>
      <c r="D81" s="4">
        <v>1455</v>
      </c>
      <c r="E81" s="4">
        <v>1970.1659999999999</v>
      </c>
      <c r="F81" s="30">
        <v>1743.269</v>
      </c>
      <c r="G81" s="4">
        <v>212.18799999999999</v>
      </c>
      <c r="H81" s="4">
        <f t="shared" si="102"/>
        <v>14.708999999999946</v>
      </c>
      <c r="I81" s="4">
        <f t="shared" si="103"/>
        <v>1440.2910000000002</v>
      </c>
      <c r="J81" s="15">
        <f t="shared" si="104"/>
        <v>2.1822590909090913E-2</v>
      </c>
      <c r="K81">
        <v>520</v>
      </c>
      <c r="L81" s="26">
        <f t="shared" si="105"/>
        <v>4.1966520979020989E-5</v>
      </c>
      <c r="M81" s="14">
        <v>4.1999999999999998E-5</v>
      </c>
      <c r="N81" s="12">
        <v>9.0000000000000002E-6</v>
      </c>
      <c r="O81" s="4">
        <v>1271.3389999999999</v>
      </c>
      <c r="P81" s="4">
        <v>-340.49799999999999</v>
      </c>
      <c r="Q81" s="4">
        <f t="shared" si="100"/>
        <v>930.84099999999989</v>
      </c>
      <c r="R81" s="4">
        <v>1467.979</v>
      </c>
      <c r="S81" s="4">
        <v>314.58800000000002</v>
      </c>
      <c r="T81" s="21">
        <f t="shared" si="97"/>
        <v>1153.3910000000001</v>
      </c>
      <c r="U81" s="39">
        <f>69876+76</f>
        <v>69952</v>
      </c>
      <c r="V81" s="10"/>
      <c r="W81" s="6"/>
      <c r="X81" s="23">
        <f t="shared" si="106"/>
        <v>34.951880952380954</v>
      </c>
      <c r="Y81" s="9">
        <f t="shared" si="41"/>
        <v>489.3852034369956</v>
      </c>
      <c r="Z81" s="4">
        <f t="shared" si="48"/>
        <v>234.98863095238093</v>
      </c>
      <c r="AA81" s="4">
        <f t="shared" si="99"/>
        <v>537.13800000000015</v>
      </c>
      <c r="AB81" s="4">
        <f t="shared" si="21"/>
        <v>-170.32700000000023</v>
      </c>
      <c r="AC81" s="4" t="e">
        <f t="shared" si="14"/>
        <v>#N/A</v>
      </c>
      <c r="AD81" s="4"/>
      <c r="AH81" s="4">
        <v>226.61799999999999</v>
      </c>
      <c r="AI81" s="4">
        <f t="shared" si="65"/>
        <v>-125.70560983303255</v>
      </c>
      <c r="AK81" s="18">
        <f t="shared" si="81"/>
        <v>-340.49799999999999</v>
      </c>
      <c r="AL81" s="18">
        <f t="shared" si="82"/>
        <v>1467.979</v>
      </c>
      <c r="AM81" s="18">
        <f t="shared" si="83"/>
        <v>1271.3389999999999</v>
      </c>
      <c r="AN81" s="4">
        <v>66622.834000000003</v>
      </c>
      <c r="AO81" s="18">
        <v>34.224950606</v>
      </c>
      <c r="AP81" s="4">
        <f t="shared" si="84"/>
        <v>513.71201960577059</v>
      </c>
      <c r="AQ81" s="2">
        <f t="shared" si="85"/>
        <v>4.1999999999999998E-5</v>
      </c>
      <c r="AR81" s="88">
        <f t="shared" si="86"/>
        <v>3.714655470611901E-5</v>
      </c>
      <c r="AS81" s="88">
        <f t="shared" si="87"/>
        <v>4.7095378414291346E-5</v>
      </c>
      <c r="AT81" s="88">
        <f t="shared" si="88"/>
        <v>9.9488237081723377E-6</v>
      </c>
      <c r="AU81" s="9">
        <f t="shared" si="78"/>
        <v>489.3852034369956</v>
      </c>
      <c r="AV81" s="9">
        <f t="shared" si="79"/>
        <v>502.86231026029805</v>
      </c>
      <c r="AW81">
        <f t="shared" si="89"/>
        <v>1.0212397778085767</v>
      </c>
      <c r="AX81" s="88">
        <f t="shared" si="90"/>
        <v>4.3400939912788183E-5</v>
      </c>
      <c r="AY81" s="88">
        <f t="shared" si="91"/>
        <v>4.2237760466840835E-5</v>
      </c>
      <c r="AZ81" s="18">
        <f t="shared" si="101"/>
        <v>1.2223196645000001</v>
      </c>
    </row>
    <row r="82" spans="1:52" x14ac:dyDescent="0.25">
      <c r="A82">
        <f t="shared" ref="A82:A114" si="107">DAY((B83-1))</f>
        <v>31</v>
      </c>
      <c r="B82" s="1">
        <v>36220</v>
      </c>
      <c r="C82" s="4">
        <v>64000</v>
      </c>
      <c r="D82" s="4">
        <v>1470</v>
      </c>
      <c r="E82" s="4">
        <v>1876.355</v>
      </c>
      <c r="F82" s="30">
        <v>1328.3689999999999</v>
      </c>
      <c r="G82" s="4">
        <v>275.625</v>
      </c>
      <c r="H82" s="4">
        <f t="shared" si="102"/>
        <v>272.3610000000001</v>
      </c>
      <c r="I82" s="4">
        <f t="shared" si="103"/>
        <v>1197.6389999999999</v>
      </c>
      <c r="J82" s="15">
        <f t="shared" si="104"/>
        <v>1.8713109374999998E-2</v>
      </c>
      <c r="K82">
        <v>520</v>
      </c>
      <c r="L82" s="26">
        <f t="shared" si="105"/>
        <v>3.598674879807692E-5</v>
      </c>
      <c r="M82" s="14">
        <v>3.6000000000000001E-5</v>
      </c>
      <c r="N82" s="12">
        <v>9.0000000000000002E-6</v>
      </c>
      <c r="O82" s="4">
        <v>1185.6849999999999</v>
      </c>
      <c r="P82" s="4">
        <v>-305.10700000000003</v>
      </c>
      <c r="Q82" s="4">
        <f t="shared" si="100"/>
        <v>880.57799999999997</v>
      </c>
      <c r="R82" s="4">
        <v>1297.914</v>
      </c>
      <c r="S82" s="4">
        <v>324.47899999999998</v>
      </c>
      <c r="T82" s="21">
        <f t="shared" si="97"/>
        <v>973.43499999999995</v>
      </c>
      <c r="U82" s="39">
        <f>73538+336</f>
        <v>73874</v>
      </c>
      <c r="V82" s="10"/>
      <c r="W82" s="6"/>
      <c r="X82" s="23">
        <f t="shared" si="106"/>
        <v>36.053166666666662</v>
      </c>
      <c r="Y82" s="9">
        <f t="shared" si="41"/>
        <v>479.60953430913924</v>
      </c>
      <c r="Z82" s="4">
        <f t="shared" si="48"/>
        <v>230.89117261904761</v>
      </c>
      <c r="AA82" s="4">
        <f t="shared" si="99"/>
        <v>417.33600000000001</v>
      </c>
      <c r="AB82" s="4">
        <f t="shared" si="21"/>
        <v>247.00899999999979</v>
      </c>
      <c r="AC82" s="4" t="e">
        <f t="shared" ref="AC82:AC95" si="108">IF(MOD(MONTH(B82),6)=0,AB82,NA())</f>
        <v>#N/A</v>
      </c>
      <c r="AD82" s="4"/>
      <c r="AH82" s="4">
        <v>186.77099999999999</v>
      </c>
      <c r="AI82" s="4">
        <f t="shared" si="65"/>
        <v>-128.08227335041934</v>
      </c>
      <c r="AK82" s="18">
        <f t="shared" si="81"/>
        <v>-305.10700000000003</v>
      </c>
      <c r="AL82" s="18">
        <f t="shared" si="82"/>
        <v>1297.914</v>
      </c>
      <c r="AM82" s="18">
        <f t="shared" si="83"/>
        <v>1185.6849999999999</v>
      </c>
      <c r="AN82" s="4">
        <v>65059.237999999998</v>
      </c>
      <c r="AO82" s="18">
        <v>35.355015014999999</v>
      </c>
      <c r="AP82" s="4">
        <f t="shared" si="84"/>
        <v>543.42805267716165</v>
      </c>
      <c r="AQ82" s="2">
        <f t="shared" si="85"/>
        <v>3.6000000000000001E-5</v>
      </c>
      <c r="AR82" s="88">
        <f t="shared" si="86"/>
        <v>3.3536543528462701E-5</v>
      </c>
      <c r="AS82" s="88">
        <f t="shared" si="87"/>
        <v>4.2166351771241072E-5</v>
      </c>
      <c r="AT82" s="88">
        <f t="shared" si="88"/>
        <v>8.6298082427783707E-6</v>
      </c>
      <c r="AU82" s="9">
        <f t="shared" si="78"/>
        <v>479.60953430913924</v>
      </c>
      <c r="AV82" s="9">
        <f t="shared" si="79"/>
        <v>533.0007407115487</v>
      </c>
      <c r="AW82">
        <f t="shared" si="89"/>
        <v>1.0197468916749282</v>
      </c>
      <c r="AX82" s="88">
        <f t="shared" si="90"/>
        <v>4.1172850542624983E-5</v>
      </c>
      <c r="AY82" s="88">
        <f t="shared" si="91"/>
        <v>3.7048525764835384E-5</v>
      </c>
      <c r="AZ82" s="18">
        <f t="shared" si="101"/>
        <v>1.1404843553225805</v>
      </c>
    </row>
    <row r="83" spans="1:52" x14ac:dyDescent="0.25">
      <c r="A83">
        <f t="shared" si="107"/>
        <v>30</v>
      </c>
      <c r="B83" s="1">
        <v>36251</v>
      </c>
      <c r="C83" s="4">
        <v>79000</v>
      </c>
      <c r="D83" s="4">
        <v>1635</v>
      </c>
      <c r="E83" s="4">
        <v>1467.979</v>
      </c>
      <c r="F83" s="30">
        <v>930.82399999999996</v>
      </c>
      <c r="G83" s="4">
        <v>350.35700000000003</v>
      </c>
      <c r="H83" s="4">
        <f t="shared" si="102"/>
        <v>186.79800000000006</v>
      </c>
      <c r="I83" s="4">
        <f t="shared" si="103"/>
        <v>1448.202</v>
      </c>
      <c r="J83" s="15">
        <f t="shared" si="104"/>
        <v>1.833167088607595E-2</v>
      </c>
      <c r="K83">
        <v>520</v>
      </c>
      <c r="L83" s="26">
        <f t="shared" si="105"/>
        <v>3.5253213242453747E-5</v>
      </c>
      <c r="M83" s="14">
        <v>3.4999999999999997E-5</v>
      </c>
      <c r="N83" s="12">
        <v>9.0000000000000002E-6</v>
      </c>
      <c r="O83" s="4">
        <v>1517.31</v>
      </c>
      <c r="P83" s="4">
        <v>63.145000000000003</v>
      </c>
      <c r="Q83" s="24">
        <f t="shared" si="100"/>
        <v>1580.4549999999999</v>
      </c>
      <c r="R83" s="4">
        <v>1318.643</v>
      </c>
      <c r="S83" s="4">
        <v>339.02300000000002</v>
      </c>
      <c r="T83" s="21">
        <f t="shared" si="97"/>
        <v>979.62</v>
      </c>
      <c r="U83" s="39">
        <f>73725+1278</f>
        <v>75003</v>
      </c>
      <c r="V83" s="10"/>
      <c r="W83" s="6"/>
      <c r="X83" s="23">
        <f t="shared" si="106"/>
        <v>37.675514285714293</v>
      </c>
      <c r="Y83" s="9">
        <f t="shared" si="41"/>
        <v>493.64128974155199</v>
      </c>
      <c r="Z83" s="4">
        <f t="shared" si="48"/>
        <v>228.5590619047619</v>
      </c>
      <c r="AA83" s="4">
        <f t="shared" si="99"/>
        <v>-261.8119999999999</v>
      </c>
      <c r="AB83" s="4">
        <f t="shared" si="21"/>
        <v>-14.803000000000111</v>
      </c>
      <c r="AC83" s="4" t="e">
        <f t="shared" si="108"/>
        <v>#N/A</v>
      </c>
      <c r="AD83" s="4"/>
      <c r="AH83" s="4">
        <v>270.84399999999999</v>
      </c>
      <c r="AI83" s="4">
        <f t="shared" si="65"/>
        <v>319.85554427442713</v>
      </c>
      <c r="AK83" s="18">
        <f t="shared" si="81"/>
        <v>63.145000000000003</v>
      </c>
      <c r="AL83" s="18">
        <f t="shared" si="82"/>
        <v>1318.643</v>
      </c>
      <c r="AM83" s="18">
        <f t="shared" si="83"/>
        <v>1517.31</v>
      </c>
      <c r="AN83" s="4">
        <v>66565.528999999995</v>
      </c>
      <c r="AO83" s="18">
        <v>36.773742466999998</v>
      </c>
      <c r="AP83" s="4">
        <f t="shared" si="84"/>
        <v>552.44423081201683</v>
      </c>
      <c r="AQ83" s="2">
        <f t="shared" si="85"/>
        <v>3.4999999999999997E-5</v>
      </c>
      <c r="AR83" s="88">
        <f t="shared" si="86"/>
        <v>4.1260690324396619E-5</v>
      </c>
      <c r="AS83" s="88">
        <f t="shared" si="87"/>
        <v>3.9543568384559658E-5</v>
      </c>
      <c r="AT83" s="88">
        <f t="shared" si="88"/>
        <v>-1.7171219398369646E-6</v>
      </c>
      <c r="AU83" s="9">
        <f t="shared" si="78"/>
        <v>493.64128974155199</v>
      </c>
      <c r="AV83" s="9">
        <f t="shared" si="79"/>
        <v>541.96503972950393</v>
      </c>
      <c r="AW83">
        <f t="shared" si="89"/>
        <v>1.0245221660407158</v>
      </c>
      <c r="AX83" s="88">
        <f t="shared" si="90"/>
        <v>4.9676083727830912E-5</v>
      </c>
      <c r="AY83" s="88">
        <f t="shared" si="91"/>
        <v>4.5246767306162124E-5</v>
      </c>
      <c r="AZ83" s="18">
        <f t="shared" si="101"/>
        <v>1.2257914155666667</v>
      </c>
    </row>
    <row r="84" spans="1:52" x14ac:dyDescent="0.25">
      <c r="A84">
        <f t="shared" si="107"/>
        <v>31</v>
      </c>
      <c r="B84" s="1">
        <v>36281</v>
      </c>
      <c r="C84" s="4">
        <v>67000</v>
      </c>
      <c r="D84" s="4">
        <v>1300</v>
      </c>
      <c r="E84" s="4">
        <v>1297.914</v>
      </c>
      <c r="F84" s="30">
        <v>880.57799999999997</v>
      </c>
      <c r="G84" s="4">
        <v>325</v>
      </c>
      <c r="H84" s="4">
        <f t="shared" ref="H84:H89" si="109">E84-F84-G84</f>
        <v>92.336000000000013</v>
      </c>
      <c r="I84" s="4">
        <f t="shared" ref="I84:I89" si="110">D84-H84</f>
        <v>1207.664</v>
      </c>
      <c r="J84" s="15">
        <f t="shared" ref="J84:J89" si="111">I84/C84</f>
        <v>1.8024835820895521E-2</v>
      </c>
      <c r="K84">
        <v>520</v>
      </c>
      <c r="L84" s="26">
        <f t="shared" si="105"/>
        <v>3.4663145809414466E-5</v>
      </c>
      <c r="M84" s="14">
        <v>3.4999999999999997E-5</v>
      </c>
      <c r="N84" s="12">
        <v>9.0000000000000002E-6</v>
      </c>
      <c r="O84" s="4">
        <v>1417.01</v>
      </c>
      <c r="P84" s="4">
        <v>-73.617000000000004</v>
      </c>
      <c r="Q84" s="4">
        <f t="shared" si="100"/>
        <v>1343.393</v>
      </c>
      <c r="R84" s="4">
        <v>1283.991</v>
      </c>
      <c r="S84" s="4">
        <v>330.11399999999998</v>
      </c>
      <c r="T84" s="21">
        <f t="shared" si="97"/>
        <v>953.87699999999995</v>
      </c>
      <c r="U84" s="39">
        <f>73742+1007</f>
        <v>74749</v>
      </c>
      <c r="V84" s="10"/>
      <c r="W84" s="6"/>
      <c r="X84" s="23">
        <f t="shared" si="106"/>
        <v>36.685457142857146</v>
      </c>
      <c r="Y84" s="9">
        <f t="shared" si="41"/>
        <v>482.49393664990964</v>
      </c>
      <c r="Z84" s="4">
        <f t="shared" si="48"/>
        <v>225.50187321428569</v>
      </c>
      <c r="AA84" s="4">
        <f t="shared" si="99"/>
        <v>-59.402000000000044</v>
      </c>
      <c r="AB84" s="4">
        <f t="shared" si="21"/>
        <v>-74.205000000000155</v>
      </c>
      <c r="AC84" s="4" t="e">
        <f t="shared" si="108"/>
        <v>#N/A</v>
      </c>
      <c r="AD84" s="4"/>
      <c r="AH84" s="4">
        <v>260.34800000000001</v>
      </c>
      <c r="AI84" s="4">
        <f t="shared" si="65"/>
        <v>173.14525716928773</v>
      </c>
      <c r="AK84" s="18">
        <f t="shared" si="81"/>
        <v>-73.617000000000004</v>
      </c>
      <c r="AL84" s="18">
        <f t="shared" si="82"/>
        <v>1283.991</v>
      </c>
      <c r="AM84" s="18">
        <f t="shared" si="83"/>
        <v>1417.01</v>
      </c>
      <c r="AN84" s="4">
        <v>63363.237999999998</v>
      </c>
      <c r="AO84" s="18">
        <v>35.873494198000003</v>
      </c>
      <c r="AP84" s="4">
        <f t="shared" si="84"/>
        <v>566.15626553049583</v>
      </c>
      <c r="AQ84" s="2">
        <f t="shared" si="85"/>
        <v>3.4999999999999997E-5</v>
      </c>
      <c r="AR84" s="88">
        <f t="shared" si="86"/>
        <v>3.9500194549740851E-5</v>
      </c>
      <c r="AS84" s="88">
        <f t="shared" si="87"/>
        <v>4.1552322496733662E-5</v>
      </c>
      <c r="AT84" s="88">
        <f t="shared" si="88"/>
        <v>2.0521279469928037E-6</v>
      </c>
      <c r="AU84" s="9">
        <f t="shared" si="78"/>
        <v>482.49393664990964</v>
      </c>
      <c r="AV84" s="9">
        <f t="shared" si="79"/>
        <v>555.15559684800223</v>
      </c>
      <c r="AW84">
        <f t="shared" si="89"/>
        <v>1.0226340634780542</v>
      </c>
      <c r="AX84" s="88">
        <f t="shared" si="90"/>
        <v>4.6910565623288085E-5</v>
      </c>
      <c r="AY84" s="88">
        <f t="shared" si="91"/>
        <v>4.0770666109759566E-5</v>
      </c>
      <c r="AZ84" s="18">
        <f t="shared" si="101"/>
        <v>1.1572094902580645</v>
      </c>
    </row>
    <row r="85" spans="1:52" x14ac:dyDescent="0.25">
      <c r="A85">
        <f t="shared" si="107"/>
        <v>30</v>
      </c>
      <c r="B85" s="1">
        <v>36312</v>
      </c>
      <c r="C85" s="4">
        <v>70000</v>
      </c>
      <c r="D85" s="4">
        <v>1000</v>
      </c>
      <c r="E85" s="4">
        <v>1318.643</v>
      </c>
      <c r="F85" s="30">
        <v>1454.165</v>
      </c>
      <c r="G85" s="4">
        <v>257.14299999999997</v>
      </c>
      <c r="H85" s="4">
        <f t="shared" si="109"/>
        <v>-392.66499999999991</v>
      </c>
      <c r="I85" s="4">
        <f t="shared" si="110"/>
        <v>1392.665</v>
      </c>
      <c r="J85" s="15">
        <f t="shared" si="111"/>
        <v>1.9895214285714287E-2</v>
      </c>
      <c r="K85">
        <v>520</v>
      </c>
      <c r="L85" s="26">
        <f t="shared" si="105"/>
        <v>3.8260027472527477E-5</v>
      </c>
      <c r="M85" s="14">
        <v>3.8000000000000002E-5</v>
      </c>
      <c r="N85" s="12">
        <v>9.0000000000000002E-6</v>
      </c>
      <c r="O85" s="4">
        <v>1059.4059999999999</v>
      </c>
      <c r="P85" s="4">
        <v>-87.924999999999997</v>
      </c>
      <c r="Q85" s="4">
        <f t="shared" si="100"/>
        <v>971.48099999999999</v>
      </c>
      <c r="R85" s="4">
        <v>1284.6010000000001</v>
      </c>
      <c r="S85" s="4">
        <v>304.19400000000002</v>
      </c>
      <c r="T85" s="21">
        <f t="shared" si="97"/>
        <v>980.40700000000015</v>
      </c>
      <c r="U85" s="39">
        <f>66138+879</f>
        <v>67017</v>
      </c>
      <c r="V85" s="10"/>
      <c r="W85" s="6"/>
      <c r="X85" s="23">
        <f t="shared" si="106"/>
        <v>33.805289473684212</v>
      </c>
      <c r="Y85" s="9">
        <f t="shared" si="41"/>
        <v>494.9413919841237</v>
      </c>
      <c r="Z85" s="4">
        <f t="shared" si="48"/>
        <v>218.26203768796992</v>
      </c>
      <c r="AA85" s="4">
        <f t="shared" si="99"/>
        <v>313.12000000000012</v>
      </c>
      <c r="AB85" s="4">
        <f t="shared" si="21"/>
        <v>238.91499999999996</v>
      </c>
      <c r="AC85" s="4">
        <f t="shared" si="108"/>
        <v>238.91499999999996</v>
      </c>
      <c r="AD85" s="4"/>
      <c r="AH85" s="4">
        <v>219.47399999999999</v>
      </c>
      <c r="AI85" s="4">
        <f t="shared" si="65"/>
        <v>120.09618560531383</v>
      </c>
      <c r="AK85" s="18">
        <f t="shared" si="81"/>
        <v>-87.924999999999997</v>
      </c>
      <c r="AL85" s="18">
        <f t="shared" si="82"/>
        <v>1284.6010000000001</v>
      </c>
      <c r="AM85" s="18">
        <f t="shared" si="83"/>
        <v>1059.4059999999999</v>
      </c>
      <c r="AN85" s="4">
        <v>57158.595999999998</v>
      </c>
      <c r="AO85" s="18">
        <v>33.181924352000003</v>
      </c>
      <c r="AP85" s="4">
        <f t="shared" si="84"/>
        <v>580.52378249458752</v>
      </c>
      <c r="AQ85" s="2">
        <f t="shared" si="85"/>
        <v>3.8000000000000002E-5</v>
      </c>
      <c r="AR85" s="88">
        <f t="shared" si="86"/>
        <v>3.1927201953739174E-5</v>
      </c>
      <c r="AS85" s="88">
        <f t="shared" si="87"/>
        <v>3.4576987995901023E-5</v>
      </c>
      <c r="AT85" s="88">
        <f t="shared" si="88"/>
        <v>2.6497860421618502E-6</v>
      </c>
      <c r="AU85" s="9">
        <f t="shared" si="78"/>
        <v>494.9413919841237</v>
      </c>
      <c r="AV85" s="9">
        <f t="shared" si="79"/>
        <v>567.99389191694854</v>
      </c>
      <c r="AW85">
        <f t="shared" si="89"/>
        <v>1.0187862860234216</v>
      </c>
      <c r="AX85" s="88">
        <f t="shared" si="90"/>
        <v>3.7956587037731922E-5</v>
      </c>
      <c r="AY85" s="88">
        <f t="shared" si="91"/>
        <v>3.3074802899761632E-5</v>
      </c>
      <c r="AZ85" s="18">
        <f t="shared" si="101"/>
        <v>1.1060641450666668</v>
      </c>
    </row>
    <row r="86" spans="1:52" x14ac:dyDescent="0.25">
      <c r="A86">
        <f t="shared" si="107"/>
        <v>31</v>
      </c>
      <c r="B86" s="1">
        <v>36342</v>
      </c>
      <c r="C86" s="4">
        <v>79500</v>
      </c>
      <c r="D86" s="4">
        <v>925</v>
      </c>
      <c r="E86" s="4">
        <v>1283.991</v>
      </c>
      <c r="F86" s="30">
        <v>1343.393</v>
      </c>
      <c r="G86" s="4">
        <v>237.857</v>
      </c>
      <c r="H86" s="4">
        <f t="shared" si="109"/>
        <v>-297.25900000000001</v>
      </c>
      <c r="I86" s="4">
        <f t="shared" si="110"/>
        <v>1222.259</v>
      </c>
      <c r="J86" s="15">
        <f t="shared" si="111"/>
        <v>1.5374327044025157E-2</v>
      </c>
      <c r="K86">
        <v>520</v>
      </c>
      <c r="L86" s="26">
        <f t="shared" si="105"/>
        <v>2.9566013546202223E-5</v>
      </c>
      <c r="M86" s="14">
        <v>3.0000000000000001E-5</v>
      </c>
      <c r="N86" s="12">
        <v>-9.9999999999999995E-7</v>
      </c>
      <c r="O86" s="4">
        <v>1325.9590000000001</v>
      </c>
      <c r="P86" s="46">
        <v>-99.840999999999994</v>
      </c>
      <c r="Q86" s="24">
        <f t="shared" si="100"/>
        <v>1226.1180000000002</v>
      </c>
      <c r="R86" s="4">
        <v>1096.7180000000001</v>
      </c>
      <c r="S86" s="4">
        <v>-36.521000000000001</v>
      </c>
      <c r="T86" s="21">
        <f>R86-S86</f>
        <v>1133.239</v>
      </c>
      <c r="U86" s="39">
        <f>72741+664</f>
        <v>73405</v>
      </c>
      <c r="V86" s="10"/>
      <c r="W86" s="6"/>
      <c r="X86" s="23">
        <f t="shared" ref="X86:X91" si="112">R86/M86/1000000</f>
        <v>36.557266666666671</v>
      </c>
      <c r="Y86" s="9">
        <f t="shared" si="41"/>
        <v>490.69025048075633</v>
      </c>
      <c r="Z86" s="4">
        <f t="shared" si="48"/>
        <v>215.72857518796991</v>
      </c>
      <c r="AA86" s="4">
        <f>+R86-Q86</f>
        <v>-129.40000000000009</v>
      </c>
      <c r="AB86" s="4">
        <f t="shared" si="21"/>
        <v>109.51499999999987</v>
      </c>
      <c r="AC86" s="4" t="e">
        <f t="shared" si="108"/>
        <v>#N/A</v>
      </c>
      <c r="AD86" s="4"/>
      <c r="AH86" s="4">
        <v>225.62100000000001</v>
      </c>
      <c r="AI86" s="4">
        <f t="shared" si="65"/>
        <v>114.00641663001777</v>
      </c>
      <c r="AK86" s="18">
        <f t="shared" si="81"/>
        <v>-99.840999999999994</v>
      </c>
      <c r="AL86" s="18">
        <f t="shared" si="82"/>
        <v>1096.7180000000001</v>
      </c>
      <c r="AM86" s="18">
        <f t="shared" si="83"/>
        <v>1325.9590000000001</v>
      </c>
      <c r="AN86" s="4">
        <v>63284.052000000003</v>
      </c>
      <c r="AO86" s="18">
        <v>35.865670940000001</v>
      </c>
      <c r="AP86" s="4">
        <f t="shared" si="84"/>
        <v>566.74106360951725</v>
      </c>
      <c r="AQ86" s="2">
        <f t="shared" si="85"/>
        <v>3.0000000000000001E-5</v>
      </c>
      <c r="AR86" s="88">
        <f t="shared" si="86"/>
        <v>3.6970143461646337E-5</v>
      </c>
      <c r="AS86" s="88">
        <f t="shared" si="87"/>
        <v>3.975389174749396E-5</v>
      </c>
      <c r="AT86" s="88">
        <f t="shared" si="88"/>
        <v>2.7837482858476253E-6</v>
      </c>
      <c r="AU86" s="9">
        <f t="shared" si="78"/>
        <v>490.69025048075633</v>
      </c>
      <c r="AV86" s="9">
        <f t="shared" si="79"/>
        <v>557.26629286358002</v>
      </c>
      <c r="AW86">
        <f t="shared" si="89"/>
        <v>1.0192829440671456</v>
      </c>
      <c r="AX86" s="88">
        <f t="shared" si="90"/>
        <v>3.9297589565419379E-5</v>
      </c>
      <c r="AY86" s="88">
        <f t="shared" si="91"/>
        <v>3.4602746145039307E-5</v>
      </c>
      <c r="AZ86" s="18">
        <f t="shared" si="101"/>
        <v>1.1569571270967742</v>
      </c>
    </row>
    <row r="87" spans="1:52" x14ac:dyDescent="0.25">
      <c r="A87">
        <f t="shared" si="107"/>
        <v>31</v>
      </c>
      <c r="B87" s="1">
        <v>36373</v>
      </c>
      <c r="C87" s="4">
        <v>68000</v>
      </c>
      <c r="D87" s="4">
        <v>1100</v>
      </c>
      <c r="E87" s="4">
        <v>1284.6010000000001</v>
      </c>
      <c r="F87" s="30">
        <v>971.48099999999999</v>
      </c>
      <c r="G87" s="4">
        <v>260.52600000000001</v>
      </c>
      <c r="H87" s="4">
        <f t="shared" si="109"/>
        <v>52.594000000000108</v>
      </c>
      <c r="I87" s="4">
        <f t="shared" si="110"/>
        <v>1047.4059999999999</v>
      </c>
      <c r="J87" s="15">
        <f t="shared" si="111"/>
        <v>1.5403029411764704E-2</v>
      </c>
      <c r="K87">
        <v>520</v>
      </c>
      <c r="L87" s="26">
        <f t="shared" si="105"/>
        <v>2.9621210407239815E-5</v>
      </c>
      <c r="M87" s="14">
        <v>3.0000000000000001E-5</v>
      </c>
      <c r="N87" s="12">
        <v>-9.9999999999999995E-7</v>
      </c>
      <c r="O87" s="4">
        <v>1506.546</v>
      </c>
      <c r="P87" s="4">
        <v>-70.756</v>
      </c>
      <c r="Q87" s="4">
        <f t="shared" si="100"/>
        <v>1435.79</v>
      </c>
      <c r="R87" s="4">
        <v>1134.819</v>
      </c>
      <c r="S87" s="4">
        <v>-37.789000000000001</v>
      </c>
      <c r="T87" s="21">
        <f>R87-S87</f>
        <v>1172.6079999999999</v>
      </c>
      <c r="U87" s="39">
        <f>76407+1070</f>
        <v>77477</v>
      </c>
      <c r="V87" s="10"/>
      <c r="W87" s="6"/>
      <c r="X87" s="23">
        <f t="shared" si="112"/>
        <v>37.827300000000001</v>
      </c>
      <c r="Y87" s="9">
        <f t="shared" si="41"/>
        <v>481.19100258957241</v>
      </c>
      <c r="Z87" s="4">
        <f t="shared" si="48"/>
        <v>218.60399423558897</v>
      </c>
      <c r="AA87" s="4">
        <f t="shared" ref="AA87:AA95" si="113">+R87-Q87</f>
        <v>-300.971</v>
      </c>
      <c r="AB87" s="4">
        <f t="shared" si="21"/>
        <v>-191.45600000000013</v>
      </c>
      <c r="AC87" s="4" t="e">
        <f t="shared" si="108"/>
        <v>#N/A</v>
      </c>
      <c r="AD87" s="4"/>
      <c r="AH87" s="4">
        <v>204.88800000000001</v>
      </c>
      <c r="AI87" s="4">
        <f t="shared" si="65"/>
        <v>123.44032701960845</v>
      </c>
      <c r="AK87" s="18">
        <f t="shared" si="81"/>
        <v>-70.756</v>
      </c>
      <c r="AL87" s="18">
        <f t="shared" si="82"/>
        <v>1134.819</v>
      </c>
      <c r="AM87" s="18">
        <f t="shared" si="83"/>
        <v>1506.546</v>
      </c>
      <c r="AN87" s="4">
        <v>65945.429999999993</v>
      </c>
      <c r="AO87" s="18">
        <v>37.186218629999999</v>
      </c>
      <c r="AP87" s="4">
        <f t="shared" si="84"/>
        <v>563.89379264036961</v>
      </c>
      <c r="AQ87" s="2">
        <f t="shared" si="85"/>
        <v>3.0000000000000001E-5</v>
      </c>
      <c r="AR87" s="88">
        <f t="shared" si="86"/>
        <v>4.0513557320522865E-5</v>
      </c>
      <c r="AS87" s="88">
        <f t="shared" si="87"/>
        <v>4.2416305236464971E-5</v>
      </c>
      <c r="AT87" s="88">
        <f t="shared" si="88"/>
        <v>1.9027479159421057E-6</v>
      </c>
      <c r="AU87" s="9">
        <f t="shared" si="78"/>
        <v>481.19100258957241</v>
      </c>
      <c r="AV87" s="9">
        <f t="shared" si="79"/>
        <v>554.51319616276885</v>
      </c>
      <c r="AW87">
        <f t="shared" si="89"/>
        <v>1.0172397569212055</v>
      </c>
      <c r="AX87" s="88">
        <f t="shared" si="90"/>
        <v>3.5827263661265903E-5</v>
      </c>
      <c r="AY87" s="88">
        <f t="shared" si="91"/>
        <v>3.108989477708485E-5</v>
      </c>
      <c r="AZ87" s="18">
        <f t="shared" si="101"/>
        <v>1.1995554396774193</v>
      </c>
    </row>
    <row r="88" spans="1:52" x14ac:dyDescent="0.25">
      <c r="A88">
        <f t="shared" si="107"/>
        <v>30</v>
      </c>
      <c r="B88" s="1">
        <v>36404</v>
      </c>
      <c r="C88" s="4">
        <v>70000</v>
      </c>
      <c r="D88" s="4">
        <v>1410</v>
      </c>
      <c r="E88" s="4">
        <v>1096.7180000000001</v>
      </c>
      <c r="F88" s="30">
        <v>1181.1420000000001</v>
      </c>
      <c r="G88" s="4">
        <v>-47</v>
      </c>
      <c r="H88" s="4">
        <f t="shared" si="109"/>
        <v>-37.423999999999978</v>
      </c>
      <c r="I88" s="4">
        <f t="shared" si="110"/>
        <v>1447.424</v>
      </c>
      <c r="J88" s="15">
        <f t="shared" si="111"/>
        <v>2.0677485714285713E-2</v>
      </c>
      <c r="K88">
        <v>520</v>
      </c>
      <c r="L88" s="26">
        <f t="shared" si="105"/>
        <v>3.9764395604395604E-5</v>
      </c>
      <c r="M88" s="14">
        <v>4.0000000000000003E-5</v>
      </c>
      <c r="N88" s="12">
        <v>-9.9999999999999995E-7</v>
      </c>
      <c r="O88" s="4">
        <v>1808.9639999999999</v>
      </c>
      <c r="P88" s="46">
        <v>81.646000000000001</v>
      </c>
      <c r="Q88" s="24">
        <f t="shared" si="100"/>
        <v>1890.61</v>
      </c>
      <c r="R88" s="4">
        <v>1544.0039999999999</v>
      </c>
      <c r="S88" s="4">
        <v>-38.6</v>
      </c>
      <c r="T88" s="21">
        <f>R88-S88</f>
        <v>1582.6039999999998</v>
      </c>
      <c r="U88" s="39">
        <f>75950+1614</f>
        <v>77564</v>
      </c>
      <c r="V88" s="10"/>
      <c r="W88" s="6"/>
      <c r="X88" s="23">
        <f t="shared" si="112"/>
        <v>38.600099999999991</v>
      </c>
      <c r="Y88" s="9">
        <f t="shared" si="41"/>
        <v>487.94177640988124</v>
      </c>
      <c r="Z88" s="4">
        <f t="shared" si="48"/>
        <v>221.15092756892233</v>
      </c>
      <c r="AA88" s="4">
        <f t="shared" si="113"/>
        <v>-346.60599999999999</v>
      </c>
      <c r="AB88" s="4">
        <f t="shared" si="21"/>
        <v>-538.06200000000013</v>
      </c>
      <c r="AC88" s="4" t="e">
        <f t="shared" si="108"/>
        <v>#N/A</v>
      </c>
      <c r="AD88" s="4"/>
      <c r="AH88" s="4">
        <v>170.767</v>
      </c>
      <c r="AI88" s="4">
        <f t="shared" si="65"/>
        <v>243.501863575014</v>
      </c>
      <c r="AK88" s="18">
        <f t="shared" si="81"/>
        <v>81.646000000000001</v>
      </c>
      <c r="AL88" s="18">
        <f t="shared" si="82"/>
        <v>1544.0039999999999</v>
      </c>
      <c r="AM88" s="18">
        <f t="shared" si="83"/>
        <v>1808.9639999999999</v>
      </c>
      <c r="AN88" s="4">
        <v>67190.941000000006</v>
      </c>
      <c r="AO88" s="18">
        <v>37.594505312999999</v>
      </c>
      <c r="AP88" s="4">
        <f t="shared" si="84"/>
        <v>559.51746996667293</v>
      </c>
      <c r="AQ88" s="2">
        <f t="shared" si="85"/>
        <v>4.0000000000000003E-5</v>
      </c>
      <c r="AR88" s="88">
        <f t="shared" si="86"/>
        <v>4.8117776386180267E-5</v>
      </c>
      <c r="AS88" s="88">
        <f t="shared" si="87"/>
        <v>4.5946022846128571E-5</v>
      </c>
      <c r="AT88" s="88">
        <f t="shared" si="88"/>
        <v>-2.1717535400516946E-6</v>
      </c>
      <c r="AU88" s="9">
        <f t="shared" si="78"/>
        <v>487.94177640988124</v>
      </c>
      <c r="AV88" s="9">
        <f>AO88*1000000/(AN88+M88*AO88*1000000)</f>
        <v>547.26920277752276</v>
      </c>
      <c r="AW88">
        <f t="shared" si="89"/>
        <v>1.0267484484402103</v>
      </c>
      <c r="AX88" s="88">
        <f t="shared" si="90"/>
        <v>5.4818934826644232E-5</v>
      </c>
      <c r="AY88" s="88">
        <f t="shared" si="91"/>
        <v>4.887621723359452E-5</v>
      </c>
      <c r="AZ88" s="18">
        <f t="shared" si="101"/>
        <v>1.2531501771</v>
      </c>
    </row>
    <row r="89" spans="1:52" x14ac:dyDescent="0.25">
      <c r="A89">
        <f t="shared" si="107"/>
        <v>31</v>
      </c>
      <c r="B89" s="1">
        <v>36434</v>
      </c>
      <c r="C89" s="4">
        <v>71125</v>
      </c>
      <c r="D89" s="4">
        <v>1210</v>
      </c>
      <c r="E89" s="4">
        <v>1134.819</v>
      </c>
      <c r="F89" s="30">
        <v>1435.79</v>
      </c>
      <c r="G89" s="4">
        <v>-40.332999999999998</v>
      </c>
      <c r="H89" s="4">
        <f t="shared" si="109"/>
        <v>-260.63800000000003</v>
      </c>
      <c r="I89" s="4">
        <f t="shared" si="110"/>
        <v>1470.6379999999999</v>
      </c>
      <c r="J89" s="15">
        <f t="shared" si="111"/>
        <v>2.0676808435852373E-2</v>
      </c>
      <c r="K89">
        <v>520</v>
      </c>
      <c r="L89" s="26">
        <f t="shared" si="105"/>
        <v>3.9763093145869949E-5</v>
      </c>
      <c r="M89" s="14">
        <v>4.0000000000000003E-5</v>
      </c>
      <c r="N89" s="12">
        <v>-9.9999999999999995E-7</v>
      </c>
      <c r="O89" s="4">
        <v>1919.318</v>
      </c>
      <c r="P89" s="4">
        <v>224.08500000000001</v>
      </c>
      <c r="Q89" s="4">
        <f t="shared" si="100"/>
        <v>2143.4029999999998</v>
      </c>
      <c r="R89" s="4">
        <v>1594.875</v>
      </c>
      <c r="S89" s="4">
        <v>-39.872</v>
      </c>
      <c r="T89" s="21">
        <f>R89-S89</f>
        <v>1634.7470000000001</v>
      </c>
      <c r="U89" s="39">
        <f>80725+1097</f>
        <v>81822</v>
      </c>
      <c r="V89" s="10"/>
      <c r="W89" s="6"/>
      <c r="X89" s="23">
        <f t="shared" si="112"/>
        <v>39.871875000000003</v>
      </c>
      <c r="Y89" s="9">
        <f t="shared" si="41"/>
        <v>477.98332171997572</v>
      </c>
      <c r="Z89" s="4">
        <f t="shared" si="48"/>
        <v>223.34728828320806</v>
      </c>
      <c r="AA89" s="4">
        <f t="shared" si="113"/>
        <v>-548.52799999999979</v>
      </c>
      <c r="AB89" s="4">
        <f t="shared" si="21"/>
        <v>-1086.5899999999999</v>
      </c>
      <c r="AC89" s="4" t="e">
        <f t="shared" si="108"/>
        <v>#N/A</v>
      </c>
      <c r="AD89" s="4"/>
      <c r="AH89" s="4">
        <v>187.97300000000001</v>
      </c>
      <c r="AI89" s="4">
        <f t="shared" si="65"/>
        <v>402.24900266905263</v>
      </c>
      <c r="AK89" s="18">
        <f t="shared" si="81"/>
        <v>224.08500000000001</v>
      </c>
      <c r="AL89" s="18">
        <f t="shared" si="82"/>
        <v>1594.875</v>
      </c>
      <c r="AM89" s="18">
        <f t="shared" si="83"/>
        <v>1919.318</v>
      </c>
      <c r="AN89" s="4">
        <v>69824.066000000006</v>
      </c>
      <c r="AO89" s="18">
        <v>38.730142852999997</v>
      </c>
      <c r="AP89" s="4">
        <f t="shared" si="84"/>
        <v>554.68186073552329</v>
      </c>
      <c r="AQ89" s="2">
        <f t="shared" si="85"/>
        <v>4.0000000000000003E-5</v>
      </c>
      <c r="AR89" s="88">
        <f t="shared" si="86"/>
        <v>4.9556181790621298E-5</v>
      </c>
      <c r="AS89" s="88">
        <f t="shared" si="87"/>
        <v>4.377037818926322E-5</v>
      </c>
      <c r="AT89" s="88">
        <f t="shared" si="88"/>
        <v>-5.7858036013580734E-6</v>
      </c>
      <c r="AU89" s="9">
        <f t="shared" si="78"/>
        <v>477.98332171997572</v>
      </c>
      <c r="AV89" s="9">
        <f t="shared" ref="AV89:AV101" si="114">AO89*1000000/(AN89+M89*AO89*1000000)</f>
        <v>542.64211129525518</v>
      </c>
      <c r="AW89">
        <f t="shared" si="89"/>
        <v>1.0294791617819083</v>
      </c>
      <c r="AX89" s="88">
        <f t="shared" si="90"/>
        <v>6.1674038491197771E-5</v>
      </c>
      <c r="AY89" s="88">
        <f t="shared" si="91"/>
        <v>5.4325237883848164E-5</v>
      </c>
      <c r="AZ89" s="18">
        <f t="shared" si="101"/>
        <v>1.2493594468709677</v>
      </c>
    </row>
    <row r="90" spans="1:52" x14ac:dyDescent="0.25">
      <c r="A90">
        <f t="shared" si="107"/>
        <v>30</v>
      </c>
      <c r="B90" s="1">
        <v>36465</v>
      </c>
      <c r="C90" s="4">
        <v>72500</v>
      </c>
      <c r="D90" s="4">
        <v>1300</v>
      </c>
      <c r="E90" s="4">
        <v>1544.0039999999999</v>
      </c>
      <c r="F90" s="30">
        <v>1795.828</v>
      </c>
      <c r="G90" s="4">
        <v>-32.5</v>
      </c>
      <c r="H90" s="4">
        <f t="shared" ref="H90:H95" si="115">E90-F90-G90</f>
        <v>-219.32400000000007</v>
      </c>
      <c r="I90" s="4">
        <f t="shared" ref="I90:I101" si="116">D90-H90</f>
        <v>1519.3240000000001</v>
      </c>
      <c r="J90" s="15">
        <f>I90/C90</f>
        <v>2.0956193103448276E-2</v>
      </c>
      <c r="K90">
        <v>520</v>
      </c>
      <c r="L90" s="51">
        <f t="shared" si="105"/>
        <v>4.0300371352785149E-5</v>
      </c>
      <c r="M90" s="14">
        <v>4.0000000000000003E-5</v>
      </c>
      <c r="N90" s="12">
        <v>-9.9999999999999995E-7</v>
      </c>
      <c r="O90" s="4">
        <v>1659.502</v>
      </c>
      <c r="P90" s="4">
        <v>0.93400000000000005</v>
      </c>
      <c r="Q90" s="4">
        <f t="shared" ref="Q90:Q101" si="117">P90+O90</f>
        <v>1660.4359999999999</v>
      </c>
      <c r="R90" s="4">
        <v>1542.4690000000001</v>
      </c>
      <c r="S90" s="4">
        <v>-38.561999999999998</v>
      </c>
      <c r="T90" s="21">
        <f t="shared" ref="T90:T101" si="118">R90-S90</f>
        <v>1581.0309999999999</v>
      </c>
      <c r="U90" s="39">
        <f>76466+1570</f>
        <v>78036</v>
      </c>
      <c r="V90" s="10"/>
      <c r="W90" s="6"/>
      <c r="X90" s="23">
        <f t="shared" si="112"/>
        <v>38.561725000000003</v>
      </c>
      <c r="Y90" s="9">
        <f t="shared" si="41"/>
        <v>484.57485403495264</v>
      </c>
      <c r="Z90" s="4">
        <f t="shared" si="48"/>
        <v>225.22355614035089</v>
      </c>
      <c r="AA90" s="4">
        <f t="shared" si="113"/>
        <v>-117.96699999999987</v>
      </c>
      <c r="AB90" s="4">
        <f t="shared" si="21"/>
        <v>-1204.5569999999998</v>
      </c>
      <c r="AC90" s="4" t="e">
        <f t="shared" si="108"/>
        <v>#N/A</v>
      </c>
      <c r="AD90" s="4"/>
      <c r="AH90" s="4">
        <v>246.006</v>
      </c>
      <c r="AI90" s="4">
        <f t="shared" si="65"/>
        <v>234.10266592863317</v>
      </c>
      <c r="AK90" s="18">
        <f t="shared" si="81"/>
        <v>0.93400000000000005</v>
      </c>
      <c r="AL90" s="18">
        <f t="shared" si="82"/>
        <v>1542.4690000000001</v>
      </c>
      <c r="AM90" s="18">
        <f t="shared" si="83"/>
        <v>1659.502</v>
      </c>
      <c r="AN90" s="4">
        <v>71181.736000000004</v>
      </c>
      <c r="AO90" s="18">
        <v>37.734274573999997</v>
      </c>
      <c r="AP90" s="4">
        <f t="shared" si="84"/>
        <v>530.11174908687235</v>
      </c>
      <c r="AQ90" s="2">
        <f t="shared" si="85"/>
        <v>4.0000000000000003E-5</v>
      </c>
      <c r="AR90" s="88">
        <f t="shared" si="86"/>
        <v>4.3978637955410563E-5</v>
      </c>
      <c r="AS90" s="88">
        <f t="shared" si="87"/>
        <v>4.395388592266197E-5</v>
      </c>
      <c r="AT90" s="88">
        <f t="shared" si="88"/>
        <v>-2.4752032748591727E-8</v>
      </c>
      <c r="AU90" s="9">
        <f t="shared" si="78"/>
        <v>484.57485403495264</v>
      </c>
      <c r="AV90" s="9">
        <f t="shared" si="114"/>
        <v>519.10441510879082</v>
      </c>
      <c r="AW90">
        <f t="shared" si="89"/>
        <v>1.0219283512228996</v>
      </c>
      <c r="AX90" s="88">
        <f t="shared" si="90"/>
        <v>4.5252763407566125E-5</v>
      </c>
      <c r="AY90" s="88">
        <f t="shared" si="91"/>
        <v>4.2242659828473984E-5</v>
      </c>
      <c r="AZ90" s="18">
        <f t="shared" si="101"/>
        <v>1.2578091524666666</v>
      </c>
    </row>
    <row r="91" spans="1:52" x14ac:dyDescent="0.25">
      <c r="A91">
        <f t="shared" si="107"/>
        <v>31</v>
      </c>
      <c r="B91" s="1">
        <v>36495</v>
      </c>
      <c r="C91" s="4">
        <v>83000</v>
      </c>
      <c r="D91" s="4">
        <v>1225</v>
      </c>
      <c r="E91" s="4">
        <v>1594.875</v>
      </c>
      <c r="F91" s="30">
        <v>2143.3829999999998</v>
      </c>
      <c r="G91" s="4">
        <v>-30.625</v>
      </c>
      <c r="H91" s="4">
        <f t="shared" si="115"/>
        <v>-517.88299999999981</v>
      </c>
      <c r="I91" s="4">
        <f t="shared" si="116"/>
        <v>1742.8829999999998</v>
      </c>
      <c r="J91" s="15">
        <f t="shared" ref="J91:J96" si="119">I91/C91</f>
        <v>2.0998590361445781E-2</v>
      </c>
      <c r="K91">
        <v>520</v>
      </c>
      <c r="L91" s="51">
        <f t="shared" si="105"/>
        <v>4.0381904541241888E-5</v>
      </c>
      <c r="M91" s="14">
        <v>4.0000000000000003E-5</v>
      </c>
      <c r="N91" s="12">
        <v>-9.9999999999999995E-7</v>
      </c>
      <c r="O91" s="4">
        <v>1933.8720000000001</v>
      </c>
      <c r="P91" s="4">
        <v>-94.382999999999996</v>
      </c>
      <c r="Q91" s="4">
        <f t="shared" si="117"/>
        <v>1839.489</v>
      </c>
      <c r="R91" s="4">
        <v>1647.16</v>
      </c>
      <c r="S91" s="4">
        <v>-41.179000000000002</v>
      </c>
      <c r="T91" s="21">
        <f t="shared" si="118"/>
        <v>1688.3390000000002</v>
      </c>
      <c r="U91" s="39">
        <f>83100+614</f>
        <v>83714</v>
      </c>
      <c r="V91" s="10"/>
      <c r="W91" s="6"/>
      <c r="X91" s="23">
        <f t="shared" si="112"/>
        <v>41.179000000000002</v>
      </c>
      <c r="Y91" s="9">
        <f t="shared" si="41"/>
        <v>482.40909565896243</v>
      </c>
      <c r="Z91" s="4">
        <f t="shared" si="48"/>
        <v>232.59726666666666</v>
      </c>
      <c r="AA91" s="4">
        <f t="shared" si="113"/>
        <v>-192.32899999999995</v>
      </c>
      <c r="AB91" s="4">
        <f>AB92-AA92</f>
        <v>-1396.8859999999997</v>
      </c>
      <c r="AC91" s="4">
        <f t="shared" si="108"/>
        <v>-1396.8859999999997</v>
      </c>
      <c r="AD91" s="4"/>
      <c r="AH91" s="4">
        <v>324.41399999999999</v>
      </c>
      <c r="AI91" s="4">
        <f t="shared" si="65"/>
        <v>213.10210031694999</v>
      </c>
      <c r="AK91" s="18">
        <f t="shared" si="81"/>
        <v>-94.382999999999996</v>
      </c>
      <c r="AL91" s="18">
        <f t="shared" si="82"/>
        <v>1647.16</v>
      </c>
      <c r="AM91" s="18">
        <f t="shared" si="83"/>
        <v>1933.8720000000001</v>
      </c>
      <c r="AN91" s="4">
        <v>78265.971999999994</v>
      </c>
      <c r="AO91" s="18">
        <v>40.369662320000003</v>
      </c>
      <c r="AP91" s="4">
        <f t="shared" si="84"/>
        <v>515.80094501349845</v>
      </c>
      <c r="AQ91" s="2">
        <f t="shared" si="85"/>
        <v>4.0000000000000003E-5</v>
      </c>
      <c r="AR91" s="88">
        <f t="shared" si="86"/>
        <v>4.7904091559416347E-5</v>
      </c>
      <c r="AS91" s="88">
        <f t="shared" si="87"/>
        <v>5.0242060087660397E-5</v>
      </c>
      <c r="AT91" s="88">
        <f t="shared" si="88"/>
        <v>2.3379685282440574E-6</v>
      </c>
      <c r="AU91" s="9">
        <f t="shared" si="78"/>
        <v>482.40909565896243</v>
      </c>
      <c r="AV91" s="9">
        <f t="shared" si="114"/>
        <v>505.37404854059685</v>
      </c>
      <c r="AW91">
        <f t="shared" si="89"/>
        <v>1.0200481657137626</v>
      </c>
      <c r="AX91" s="88">
        <f t="shared" si="90"/>
        <v>4.1558432239709558E-5</v>
      </c>
      <c r="AY91" s="88">
        <f t="shared" si="91"/>
        <v>3.9669954901042138E-5</v>
      </c>
      <c r="AZ91" s="18">
        <f t="shared" si="101"/>
        <v>1.3022471716129034</v>
      </c>
    </row>
    <row r="92" spans="1:52" x14ac:dyDescent="0.25">
      <c r="A92">
        <f t="shared" si="107"/>
        <v>31</v>
      </c>
      <c r="B92" s="1">
        <v>36526</v>
      </c>
      <c r="C92" s="34">
        <v>78000</v>
      </c>
      <c r="D92" s="34">
        <v>1800</v>
      </c>
      <c r="E92" s="4">
        <v>1542.4690000000001</v>
      </c>
      <c r="F92" s="30">
        <v>1660.4359999999999</v>
      </c>
      <c r="G92" s="4">
        <v>-45</v>
      </c>
      <c r="H92" s="4">
        <f t="shared" si="115"/>
        <v>-72.966999999999871</v>
      </c>
      <c r="I92" s="4">
        <f t="shared" si="116"/>
        <v>1872.9669999999999</v>
      </c>
      <c r="J92" s="15">
        <f t="shared" si="119"/>
        <v>2.4012397435897434E-2</v>
      </c>
      <c r="K92">
        <v>520</v>
      </c>
      <c r="L92" s="51">
        <f t="shared" si="105"/>
        <v>4.6177687376725833E-5</v>
      </c>
      <c r="M92" s="14">
        <v>4.6E-5</v>
      </c>
      <c r="N92" s="12">
        <v>5.0000000000000004E-6</v>
      </c>
      <c r="O92" s="4">
        <v>1783.0650000000001</v>
      </c>
      <c r="P92" s="4">
        <v>-178.28100000000001</v>
      </c>
      <c r="Q92" s="4">
        <f t="shared" si="117"/>
        <v>1604.7840000000001</v>
      </c>
      <c r="R92" s="4">
        <v>1872.09</v>
      </c>
      <c r="S92" s="4">
        <v>203.49600000000001</v>
      </c>
      <c r="T92" s="21">
        <f t="shared" si="118"/>
        <v>1668.5939999999998</v>
      </c>
      <c r="U92" s="39">
        <f>81426+939</f>
        <v>82365</v>
      </c>
      <c r="V92" s="10"/>
      <c r="W92" s="6"/>
      <c r="X92" s="23">
        <f>R92/M92/1000000</f>
        <v>40.697608695652171</v>
      </c>
      <c r="Y92" s="9">
        <f t="shared" si="41"/>
        <v>483.1317023849254</v>
      </c>
      <c r="Z92" s="4">
        <f t="shared" si="48"/>
        <v>236.73760869565217</v>
      </c>
      <c r="AA92" s="4">
        <f t="shared" si="113"/>
        <v>267.30599999999981</v>
      </c>
      <c r="AB92" s="4">
        <f>AB93-AA93</f>
        <v>-1129.58</v>
      </c>
      <c r="AC92" s="4" t="e">
        <f t="shared" si="108"/>
        <v>#N/A</v>
      </c>
      <c r="AD92" s="4"/>
      <c r="AH92" s="4">
        <v>387.28100000000001</v>
      </c>
      <c r="AI92" s="4">
        <f t="shared" si="65"/>
        <v>188.79051089610408</v>
      </c>
      <c r="AK92" s="18">
        <f t="shared" si="81"/>
        <v>-178.28100000000001</v>
      </c>
      <c r="AL92" s="18">
        <f t="shared" si="82"/>
        <v>1872.09</v>
      </c>
      <c r="AM92" s="18">
        <f t="shared" si="83"/>
        <v>1783.0650000000001</v>
      </c>
      <c r="AN92" s="4">
        <v>78146.506999999998</v>
      </c>
      <c r="AO92" s="18">
        <v>39.723552884</v>
      </c>
      <c r="AP92" s="4">
        <f t="shared" si="84"/>
        <v>508.32154128142923</v>
      </c>
      <c r="AQ92" s="2">
        <f t="shared" si="85"/>
        <v>4.6E-5</v>
      </c>
      <c r="AR92" s="88">
        <f t="shared" si="86"/>
        <v>4.4886845977923331E-5</v>
      </c>
      <c r="AS92" s="88">
        <f t="shared" si="87"/>
        <v>4.9374888639178043E-5</v>
      </c>
      <c r="AT92" s="88">
        <f t="shared" si="88"/>
        <v>4.4880426612547211E-6</v>
      </c>
      <c r="AU92" s="9">
        <f t="shared" si="78"/>
        <v>483.1317023849254</v>
      </c>
      <c r="AV92" s="9">
        <f t="shared" si="114"/>
        <v>496.70714204107003</v>
      </c>
      <c r="AW92">
        <f t="shared" si="89"/>
        <v>1.0245208633401093</v>
      </c>
      <c r="AX92" s="88">
        <f t="shared" si="90"/>
        <v>5.0753993619265283E-5</v>
      </c>
      <c r="AY92" s="88">
        <f t="shared" si="91"/>
        <v>4.9366842681883123E-5</v>
      </c>
      <c r="AZ92" s="18">
        <f t="shared" si="101"/>
        <v>1.2814049317419356</v>
      </c>
    </row>
    <row r="93" spans="1:52" x14ac:dyDescent="0.25">
      <c r="A93">
        <f t="shared" si="107"/>
        <v>29</v>
      </c>
      <c r="B93" s="1">
        <v>36557</v>
      </c>
      <c r="C93" s="4">
        <v>74500</v>
      </c>
      <c r="D93" s="4">
        <v>1635</v>
      </c>
      <c r="E93" s="4">
        <v>1647.16</v>
      </c>
      <c r="F93" s="30">
        <v>1839.489</v>
      </c>
      <c r="G93" s="4">
        <v>-40.875</v>
      </c>
      <c r="H93" s="4">
        <f t="shared" si="115"/>
        <v>-151.45399999999995</v>
      </c>
      <c r="I93" s="4">
        <f t="shared" si="116"/>
        <v>1786.454</v>
      </c>
      <c r="J93" s="15">
        <f t="shared" si="119"/>
        <v>2.397924832214765E-2</v>
      </c>
      <c r="K93">
        <v>520</v>
      </c>
      <c r="L93" s="51">
        <f t="shared" si="105"/>
        <v>4.6113939081053171E-5</v>
      </c>
      <c r="M93" s="14">
        <v>4.6E-5</v>
      </c>
      <c r="N93" s="12">
        <v>5.0000000000000004E-6</v>
      </c>
      <c r="O93" s="4">
        <v>1483.8340000000001</v>
      </c>
      <c r="P93" s="4">
        <v>-101.38800000000001</v>
      </c>
      <c r="Q93" s="4">
        <f t="shared" si="117"/>
        <v>1382.4460000000001</v>
      </c>
      <c r="R93" s="4">
        <v>1765.4449999999999</v>
      </c>
      <c r="S93" s="4">
        <v>191.904</v>
      </c>
      <c r="T93" s="21">
        <f t="shared" si="118"/>
        <v>1573.5409999999999</v>
      </c>
      <c r="U93" s="39">
        <f>76940+1328</f>
        <v>78268</v>
      </c>
      <c r="V93" s="10"/>
      <c r="W93" s="6"/>
      <c r="X93" s="23">
        <f>R93/M93/1000000</f>
        <v>38.379239130434783</v>
      </c>
      <c r="Y93" s="9">
        <f t="shared" si="41"/>
        <v>479.54001143440445</v>
      </c>
      <c r="Z93" s="4">
        <f t="shared" si="48"/>
        <v>237.28954782608696</v>
      </c>
      <c r="AA93" s="4">
        <f t="shared" si="113"/>
        <v>382.9989999999998</v>
      </c>
      <c r="AB93" s="4">
        <f>AB94-AA94</f>
        <v>-746.58100000000013</v>
      </c>
      <c r="AC93" s="4" t="e">
        <f t="shared" si="108"/>
        <v>#N/A</v>
      </c>
      <c r="AD93" s="4"/>
      <c r="AH93" s="4">
        <v>314.41300000000001</v>
      </c>
      <c r="AI93" s="4">
        <f t="shared" si="65"/>
        <v>196.61798262082769</v>
      </c>
      <c r="AK93" s="18">
        <f t="shared" si="81"/>
        <v>-101.38800000000001</v>
      </c>
      <c r="AL93" s="18">
        <f t="shared" si="82"/>
        <v>1765.4449999999999</v>
      </c>
      <c r="AM93" s="18">
        <f t="shared" si="83"/>
        <v>1483.8340000000001</v>
      </c>
      <c r="AN93" s="4">
        <v>71984.678</v>
      </c>
      <c r="AO93" s="18">
        <v>37.448161820999999</v>
      </c>
      <c r="AP93" s="4">
        <f t="shared" si="84"/>
        <v>520.22406519620745</v>
      </c>
      <c r="AQ93" s="2">
        <f t="shared" si="85"/>
        <v>4.6E-5</v>
      </c>
      <c r="AR93" s="88">
        <f t="shared" si="86"/>
        <v>3.9623680518489497E-5</v>
      </c>
      <c r="AS93" s="88">
        <f t="shared" si="87"/>
        <v>4.2331103128032486E-5</v>
      </c>
      <c r="AT93" s="88">
        <f t="shared" si="88"/>
        <v>2.7074226095429903E-6</v>
      </c>
      <c r="AU93" s="9">
        <f t="shared" si="78"/>
        <v>479.54001143440445</v>
      </c>
      <c r="AV93" s="9">
        <f t="shared" si="114"/>
        <v>508.06589241498307</v>
      </c>
      <c r="AW93">
        <f t="shared" si="89"/>
        <v>1.0248630977906279</v>
      </c>
      <c r="AX93" s="88">
        <f t="shared" si="90"/>
        <v>5.1847806643406401E-5</v>
      </c>
      <c r="AY93" s="88">
        <f t="shared" si="91"/>
        <v>4.8936758325670033E-5</v>
      </c>
      <c r="AZ93" s="18">
        <f t="shared" si="101"/>
        <v>1.2913159248620689</v>
      </c>
    </row>
    <row r="94" spans="1:52" x14ac:dyDescent="0.25">
      <c r="A94">
        <f t="shared" si="107"/>
        <v>31</v>
      </c>
      <c r="B94" s="1">
        <v>36586</v>
      </c>
      <c r="C94" s="4">
        <v>70000</v>
      </c>
      <c r="D94" s="4">
        <v>1350</v>
      </c>
      <c r="E94" s="4">
        <v>1872.09</v>
      </c>
      <c r="F94" s="4">
        <v>1604.7840000000001</v>
      </c>
      <c r="G94" s="4">
        <v>146.739</v>
      </c>
      <c r="H94" s="4">
        <f t="shared" si="115"/>
        <v>120.56699999999981</v>
      </c>
      <c r="I94" s="4">
        <f t="shared" si="116"/>
        <v>1229.4330000000002</v>
      </c>
      <c r="J94" s="15">
        <f t="shared" si="119"/>
        <v>1.7563328571428574E-2</v>
      </c>
      <c r="K94">
        <v>520</v>
      </c>
      <c r="L94" s="26">
        <f t="shared" ref="L94:L101" si="120">J94/K94</f>
        <v>3.3775631868131874E-5</v>
      </c>
      <c r="M94" s="14">
        <v>3.4E-5</v>
      </c>
      <c r="N94" s="12">
        <v>5.0000000000000004E-6</v>
      </c>
      <c r="O94" s="4">
        <v>1468.9649999999999</v>
      </c>
      <c r="P94" s="4">
        <v>132.41300000000001</v>
      </c>
      <c r="Q94" s="4">
        <f t="shared" si="117"/>
        <v>1601.3779999999999</v>
      </c>
      <c r="R94" s="4">
        <v>1348.7080000000001</v>
      </c>
      <c r="S94" s="4">
        <v>198.39500000000001</v>
      </c>
      <c r="T94" s="21">
        <f t="shared" si="118"/>
        <v>1150.3130000000001</v>
      </c>
      <c r="U94" s="39">
        <f>78399+1632</f>
        <v>80031</v>
      </c>
      <c r="V94" s="10"/>
      <c r="W94" s="6"/>
      <c r="X94" s="23">
        <f>R94/M94/1000000</f>
        <v>39.667882352941177</v>
      </c>
      <c r="Y94" s="9">
        <f t="shared" si="41"/>
        <v>487.44193519275319</v>
      </c>
      <c r="Z94" s="4">
        <f t="shared" si="48"/>
        <v>238.35733017902814</v>
      </c>
      <c r="AA94" s="4">
        <f t="shared" si="113"/>
        <v>-252.66999999999985</v>
      </c>
      <c r="AB94" s="4">
        <f>AB95-AA95</f>
        <v>-999.25099999999998</v>
      </c>
      <c r="AC94" s="4" t="e">
        <f t="shared" si="108"/>
        <v>#N/A</v>
      </c>
      <c r="AD94" s="4"/>
      <c r="AH94" s="4">
        <v>-9.7230000000000008</v>
      </c>
      <c r="AI94" s="4">
        <f t="shared" si="65"/>
        <v>123.19737542651765</v>
      </c>
      <c r="AK94" s="18">
        <f t="shared" si="81"/>
        <v>132.41300000000001</v>
      </c>
      <c r="AL94" s="18">
        <f t="shared" si="82"/>
        <v>1348.7080000000001</v>
      </c>
      <c r="AM94" s="18">
        <f t="shared" si="83"/>
        <v>1468.9649999999999</v>
      </c>
      <c r="AN94" s="4">
        <v>71503.173999999999</v>
      </c>
      <c r="AO94" s="18">
        <v>38.959437311000002</v>
      </c>
      <c r="AP94" s="4">
        <f t="shared" si="84"/>
        <v>544.86304777183739</v>
      </c>
      <c r="AQ94" s="2">
        <f t="shared" si="85"/>
        <v>3.4E-5</v>
      </c>
      <c r="AR94" s="88">
        <f t="shared" si="86"/>
        <v>3.7704985014895093E-5</v>
      </c>
      <c r="AS94" s="88">
        <f t="shared" si="87"/>
        <v>3.430624496269691E-5</v>
      </c>
      <c r="AT94" s="88">
        <f t="shared" si="88"/>
        <v>-3.3987400521981835E-6</v>
      </c>
      <c r="AU94" s="9">
        <f t="shared" si="78"/>
        <v>487.44193519275319</v>
      </c>
      <c r="AV94" s="9">
        <f t="shared" si="114"/>
        <v>534.95286217723219</v>
      </c>
      <c r="AW94">
        <f t="shared" si="89"/>
        <v>1.018184170276534</v>
      </c>
      <c r="AX94" s="88">
        <f t="shared" si="90"/>
        <v>3.7305305439802272E-5</v>
      </c>
      <c r="AY94" s="88">
        <f t="shared" si="91"/>
        <v>3.3992098299138492E-5</v>
      </c>
      <c r="AZ94" s="18">
        <f t="shared" si="101"/>
        <v>1.2567560422903226</v>
      </c>
    </row>
    <row r="95" spans="1:52" x14ac:dyDescent="0.25">
      <c r="A95">
        <f t="shared" si="107"/>
        <v>30</v>
      </c>
      <c r="B95" s="1">
        <v>36617</v>
      </c>
      <c r="C95" s="34">
        <v>73269</v>
      </c>
      <c r="D95" s="34">
        <v>1450</v>
      </c>
      <c r="E95" s="4">
        <v>1765.4449999999999</v>
      </c>
      <c r="F95" s="4">
        <v>1382.4459999999999</v>
      </c>
      <c r="G95" s="4">
        <v>157.60900000000001</v>
      </c>
      <c r="H95" s="4">
        <f t="shared" si="115"/>
        <v>225.39000000000001</v>
      </c>
      <c r="I95" s="4">
        <f t="shared" si="116"/>
        <v>1224.6099999999999</v>
      </c>
      <c r="J95" s="15">
        <f t="shared" si="119"/>
        <v>1.6713889912514157E-2</v>
      </c>
      <c r="K95">
        <v>520</v>
      </c>
      <c r="L95" s="26">
        <f t="shared" si="120"/>
        <v>3.2142095985604147E-5</v>
      </c>
      <c r="M95" s="14">
        <v>3.1999999999999999E-5</v>
      </c>
      <c r="N95" s="12">
        <v>5.0000000000000004E-6</v>
      </c>
      <c r="O95" s="4">
        <v>1235.547</v>
      </c>
      <c r="P95" s="4">
        <v>13.686</v>
      </c>
      <c r="Q95" s="4">
        <f t="shared" si="117"/>
        <v>1249.2329999999999</v>
      </c>
      <c r="R95" s="4">
        <v>1133.626</v>
      </c>
      <c r="S95" s="4">
        <v>177.18600000000001</v>
      </c>
      <c r="T95" s="21">
        <f t="shared" si="118"/>
        <v>956.43999999999994</v>
      </c>
      <c r="U95" s="39">
        <f>68606+1849</f>
        <v>70455</v>
      </c>
      <c r="V95" s="10"/>
      <c r="W95" s="6"/>
      <c r="X95" s="23">
        <f>R95/M95/1000000</f>
        <v>35.425812499999999</v>
      </c>
      <c r="Y95" s="9">
        <f t="shared" si="41"/>
        <v>494.85252727158081</v>
      </c>
      <c r="Z95" s="4">
        <f>SUM(X90:X95)</f>
        <v>233.91126767902816</v>
      </c>
      <c r="AA95" s="4">
        <f t="shared" si="113"/>
        <v>-115.60699999999997</v>
      </c>
      <c r="AB95" s="4">
        <f t="shared" ref="AB95:AB100" si="121">AB96-AA96</f>
        <v>-1114.8579999999999</v>
      </c>
      <c r="AC95" s="4" t="e">
        <f t="shared" si="108"/>
        <v>#N/A</v>
      </c>
      <c r="AD95" s="4"/>
      <c r="AH95" s="4">
        <v>172.62700000000001</v>
      </c>
      <c r="AI95" s="4">
        <f>AH95/1.055056+P95</f>
        <v>177.30480317253304</v>
      </c>
      <c r="AK95" s="18">
        <f t="shared" si="81"/>
        <v>13.686</v>
      </c>
      <c r="AL95" s="18">
        <f t="shared" si="82"/>
        <v>1133.626</v>
      </c>
      <c r="AM95" s="18">
        <f t="shared" si="83"/>
        <v>1235.547</v>
      </c>
      <c r="AN95" s="4">
        <v>62048.021999999997</v>
      </c>
      <c r="AO95" s="18">
        <v>34.812370276999999</v>
      </c>
      <c r="AP95" s="4">
        <f t="shared" si="84"/>
        <v>561.05527871621757</v>
      </c>
      <c r="AQ95" s="2">
        <f t="shared" si="85"/>
        <v>3.1999999999999999E-5</v>
      </c>
      <c r="AR95" s="88">
        <f t="shared" si="86"/>
        <v>3.5491608016599406E-5</v>
      </c>
      <c r="AS95" s="88">
        <f t="shared" si="87"/>
        <v>3.5098471901732733E-5</v>
      </c>
      <c r="AT95" s="88">
        <f t="shared" si="88"/>
        <v>-3.9313611486667805E-7</v>
      </c>
      <c r="AU95" s="9">
        <f t="shared" si="78"/>
        <v>494.85252727158081</v>
      </c>
      <c r="AV95" s="9">
        <f t="shared" si="114"/>
        <v>551.15988156521701</v>
      </c>
      <c r="AW95">
        <f t="shared" si="89"/>
        <v>1.0176213862520385</v>
      </c>
      <c r="AX95" s="88">
        <f t="shared" si="90"/>
        <v>3.5609369015847505E-5</v>
      </c>
      <c r="AY95" s="88">
        <f t="shared" si="91"/>
        <v>3.197146026302965E-5</v>
      </c>
      <c r="AZ95" s="18">
        <f t="shared" si="101"/>
        <v>1.1604123425666666</v>
      </c>
    </row>
    <row r="96" spans="1:52" x14ac:dyDescent="0.25">
      <c r="A96">
        <f t="shared" si="107"/>
        <v>31</v>
      </c>
      <c r="B96" s="1">
        <v>36647</v>
      </c>
      <c r="C96" s="4">
        <v>70000</v>
      </c>
      <c r="D96" s="4">
        <v>800</v>
      </c>
      <c r="E96" s="87">
        <v>1348.7080000000001</v>
      </c>
      <c r="F96" s="87">
        <v>1601.3779999999999</v>
      </c>
      <c r="G96" s="87">
        <v>125</v>
      </c>
      <c r="H96" s="4">
        <f t="shared" ref="H96:H101" si="122">E96-F96-G96</f>
        <v>-377.66999999999985</v>
      </c>
      <c r="I96" s="4">
        <f t="shared" si="116"/>
        <v>1177.6699999999998</v>
      </c>
      <c r="J96" s="15">
        <f t="shared" si="119"/>
        <v>1.682385714285714E-2</v>
      </c>
      <c r="K96">
        <v>520</v>
      </c>
      <c r="L96" s="26">
        <f t="shared" si="120"/>
        <v>3.2353571428571426E-5</v>
      </c>
      <c r="M96" s="14">
        <v>3.1999999999999999E-5</v>
      </c>
      <c r="N96" s="12">
        <v>5.0000000000000004E-6</v>
      </c>
      <c r="O96" s="4">
        <v>1539.1220000000001</v>
      </c>
      <c r="P96" s="4">
        <v>-2.9430000000000001</v>
      </c>
      <c r="Q96" s="4">
        <f t="shared" si="117"/>
        <v>1536.1790000000001</v>
      </c>
      <c r="R96" s="4">
        <v>1241.2470000000001</v>
      </c>
      <c r="S96" s="4">
        <v>194.00700000000001</v>
      </c>
      <c r="T96" s="21">
        <f t="shared" si="118"/>
        <v>1047.24</v>
      </c>
      <c r="U96" s="39">
        <f>75289+2475</f>
        <v>77764</v>
      </c>
      <c r="V96" s="10"/>
      <c r="W96" s="6"/>
      <c r="X96" s="23">
        <f t="shared" ref="X96:X101" si="123">R96/M96/1000000</f>
        <v>38.788968750000009</v>
      </c>
      <c r="Y96" s="9">
        <f t="shared" si="41"/>
        <v>490.96699552119628</v>
      </c>
      <c r="Z96" s="4">
        <f t="shared" ref="Z96:Z105" si="124">SUM(X91:X96)</f>
        <v>234.13851142902817</v>
      </c>
      <c r="AA96" s="4">
        <f t="shared" ref="AA96:AA101" si="125">+R96-Q96</f>
        <v>-294.93200000000002</v>
      </c>
      <c r="AB96" s="4">
        <f t="shared" si="121"/>
        <v>-1409.79</v>
      </c>
      <c r="AC96" s="4" t="e">
        <f t="shared" ref="AC96:AC101" si="126">IF(MOD(MONTH(B96),6)=0,AB96,NA())</f>
        <v>#N/A</v>
      </c>
      <c r="AD96" s="4"/>
      <c r="AH96" s="4">
        <v>137.14500000000001</v>
      </c>
      <c r="AI96" s="4">
        <f>AH96/1.055056+P96</f>
        <v>127.04536080738843</v>
      </c>
      <c r="AK96" s="18">
        <f t="shared" si="81"/>
        <v>-2.9430000000000001</v>
      </c>
      <c r="AL96" s="18">
        <f t="shared" si="82"/>
        <v>1241.2470000000001</v>
      </c>
      <c r="AM96" s="18">
        <f t="shared" si="83"/>
        <v>1539.1220000000001</v>
      </c>
      <c r="AN96" s="4">
        <v>64629.055999999997</v>
      </c>
      <c r="AO96" s="18">
        <v>38.129240154000001</v>
      </c>
      <c r="AP96" s="4">
        <f t="shared" si="84"/>
        <v>589.97055680342908</v>
      </c>
      <c r="AQ96" s="2">
        <f t="shared" si="85"/>
        <v>3.1999999999999999E-5</v>
      </c>
      <c r="AR96" s="88">
        <f t="shared" si="86"/>
        <v>4.0365923731594122E-5</v>
      </c>
      <c r="AS96" s="88">
        <f t="shared" si="87"/>
        <v>4.0443108589936785E-5</v>
      </c>
      <c r="AT96" s="88">
        <f t="shared" si="88"/>
        <v>7.7184858342666464E-8</v>
      </c>
      <c r="AU96" s="9">
        <f t="shared" si="78"/>
        <v>490.96699552119628</v>
      </c>
      <c r="AV96" s="9">
        <f t="shared" si="114"/>
        <v>579.0388488964137</v>
      </c>
      <c r="AW96">
        <f t="shared" si="89"/>
        <v>1.0173024322891155</v>
      </c>
      <c r="AX96" s="88">
        <f t="shared" si="90"/>
        <v>3.5241538528975425E-5</v>
      </c>
      <c r="AY96" s="88">
        <f t="shared" si="91"/>
        <v>2.9881297812905187E-5</v>
      </c>
      <c r="AZ96" s="18">
        <f t="shared" si="101"/>
        <v>1.2299754888387098</v>
      </c>
    </row>
    <row r="97" spans="1:52" x14ac:dyDescent="0.25">
      <c r="A97">
        <f t="shared" si="107"/>
        <v>30</v>
      </c>
      <c r="B97" s="1">
        <v>36678</v>
      </c>
      <c r="C97" s="4">
        <v>73000</v>
      </c>
      <c r="D97" s="4">
        <v>1025</v>
      </c>
      <c r="E97" s="87">
        <v>1133.626</v>
      </c>
      <c r="F97" s="87">
        <v>1249.2329999999999</v>
      </c>
      <c r="G97" s="87">
        <v>160.15600000000001</v>
      </c>
      <c r="H97" s="4">
        <f t="shared" si="122"/>
        <v>-275.76299999999998</v>
      </c>
      <c r="I97" s="4">
        <f t="shared" si="116"/>
        <v>1300.7629999999999</v>
      </c>
      <c r="J97" s="15">
        <f>I97/C97</f>
        <v>1.7818671232876712E-2</v>
      </c>
      <c r="K97">
        <v>520</v>
      </c>
      <c r="L97" s="26">
        <f t="shared" si="120"/>
        <v>3.4266675447839831E-5</v>
      </c>
      <c r="M97" s="14">
        <v>3.4E-5</v>
      </c>
      <c r="N97" s="12">
        <v>5.0000000000000004E-6</v>
      </c>
      <c r="O97" s="4">
        <v>1685.4649999999999</v>
      </c>
      <c r="P97" s="4">
        <v>38.533999999999999</v>
      </c>
      <c r="Q97" s="4">
        <f t="shared" si="117"/>
        <v>1723.999</v>
      </c>
      <c r="R97" s="4">
        <v>1312.4780000000001</v>
      </c>
      <c r="S97" s="4">
        <v>193.066</v>
      </c>
      <c r="T97" s="21">
        <f t="shared" si="118"/>
        <v>1119.412</v>
      </c>
      <c r="U97" s="39">
        <f>75352+1981</f>
        <v>77333</v>
      </c>
      <c r="V97" s="10"/>
      <c r="W97" s="6"/>
      <c r="X97" s="23">
        <f t="shared" si="123"/>
        <v>38.602294117647062</v>
      </c>
      <c r="Y97" s="9">
        <f t="shared" si="41"/>
        <v>490.83933494112728</v>
      </c>
      <c r="Z97" s="4">
        <f t="shared" si="124"/>
        <v>231.5618055466752</v>
      </c>
      <c r="AA97" s="4">
        <f t="shared" si="125"/>
        <v>-411.52099999999996</v>
      </c>
      <c r="AB97" s="4">
        <f t="shared" si="121"/>
        <v>-1821.3109999999999</v>
      </c>
      <c r="AC97" s="4">
        <f t="shared" si="126"/>
        <v>-1821.3109999999999</v>
      </c>
      <c r="AD97" s="4"/>
      <c r="AH97" s="4"/>
      <c r="AK97" s="18">
        <f t="shared" si="81"/>
        <v>38.533999999999999</v>
      </c>
      <c r="AL97" s="18">
        <f t="shared" si="82"/>
        <v>1312.4780000000001</v>
      </c>
      <c r="AM97" s="18">
        <f t="shared" si="83"/>
        <v>1685.4649999999999</v>
      </c>
      <c r="AN97" s="4">
        <v>71529.087</v>
      </c>
      <c r="AO97" s="18">
        <v>37.892592876999998</v>
      </c>
      <c r="AP97" s="4">
        <f t="shared" si="84"/>
        <v>529.75082538100889</v>
      </c>
      <c r="AQ97" s="2">
        <f t="shared" si="85"/>
        <v>3.4E-5</v>
      </c>
      <c r="AR97" s="88">
        <f t="shared" si="86"/>
        <v>4.4480065153394169E-5</v>
      </c>
      <c r="AS97" s="88">
        <f t="shared" si="87"/>
        <v>4.3463138174417519E-5</v>
      </c>
      <c r="AT97" s="88">
        <f t="shared" si="88"/>
        <v>-1.0169269789766571E-6</v>
      </c>
      <c r="AU97" s="9">
        <f t="shared" si="78"/>
        <v>490.83933494112728</v>
      </c>
      <c r="AV97" s="9">
        <f t="shared" si="114"/>
        <v>520.37802203380249</v>
      </c>
      <c r="AW97">
        <f t="shared" si="89"/>
        <v>1.0187292868279234</v>
      </c>
      <c r="AX97" s="88">
        <f t="shared" si="90"/>
        <v>3.8157672979020425E-5</v>
      </c>
      <c r="AY97" s="88">
        <f t="shared" si="91"/>
        <v>3.5991694566045298E-5</v>
      </c>
      <c r="AZ97" s="18">
        <f t="shared" si="101"/>
        <v>1.2630864292333333</v>
      </c>
    </row>
    <row r="98" spans="1:52" x14ac:dyDescent="0.25">
      <c r="A98">
        <f t="shared" si="107"/>
        <v>31</v>
      </c>
      <c r="B98" s="1">
        <v>36708</v>
      </c>
      <c r="C98" s="4">
        <v>75000</v>
      </c>
      <c r="D98" s="4">
        <v>1178.5</v>
      </c>
      <c r="E98" s="87">
        <v>1241.2470000000001</v>
      </c>
      <c r="F98" s="87">
        <v>1536.1790000000001</v>
      </c>
      <c r="G98" s="4">
        <v>184.14099999999999</v>
      </c>
      <c r="H98" s="4">
        <f t="shared" si="122"/>
        <v>-479.07299999999998</v>
      </c>
      <c r="I98" s="4">
        <f t="shared" si="116"/>
        <v>1657.5729999999999</v>
      </c>
      <c r="J98" s="15">
        <f>I98/C98</f>
        <v>2.2100973333333333E-2</v>
      </c>
      <c r="K98">
        <v>520</v>
      </c>
      <c r="L98" s="26">
        <f t="shared" si="120"/>
        <v>4.2501871794871792E-5</v>
      </c>
      <c r="M98" s="14">
        <v>4.3000000000000002E-5</v>
      </c>
      <c r="N98" s="12">
        <v>6.0000000000000002E-6</v>
      </c>
      <c r="O98" s="4">
        <v>1935.2950000000001</v>
      </c>
      <c r="P98" s="4">
        <v>143.06800000000001</v>
      </c>
      <c r="Q98" s="4">
        <f t="shared" si="117"/>
        <v>2078.3630000000003</v>
      </c>
      <c r="R98" s="4">
        <v>1750.2940000000001</v>
      </c>
      <c r="S98" s="4">
        <v>244.166</v>
      </c>
      <c r="T98" s="21">
        <f t="shared" si="118"/>
        <v>1506.1280000000002</v>
      </c>
      <c r="U98" s="39">
        <f>79100+1457</f>
        <v>80557</v>
      </c>
      <c r="V98" s="10"/>
      <c r="W98" s="6"/>
      <c r="X98" s="23">
        <f t="shared" si="123"/>
        <v>40.704511627906982</v>
      </c>
      <c r="Y98" s="9">
        <f t="shared" si="41"/>
        <v>494.54318869852506</v>
      </c>
      <c r="Z98" s="4">
        <f t="shared" si="124"/>
        <v>231.56870847893001</v>
      </c>
      <c r="AA98" s="4">
        <f t="shared" si="125"/>
        <v>-328.06900000000019</v>
      </c>
      <c r="AB98" s="4">
        <f t="shared" si="121"/>
        <v>-2149.38</v>
      </c>
      <c r="AC98" s="4" t="e">
        <f t="shared" si="126"/>
        <v>#N/A</v>
      </c>
      <c r="AD98" s="4"/>
      <c r="AH98" s="4"/>
      <c r="AK98" s="18">
        <f t="shared" si="81"/>
        <v>143.06800000000001</v>
      </c>
      <c r="AL98" s="18">
        <f t="shared" si="82"/>
        <v>1750.2940000000001</v>
      </c>
      <c r="AM98" s="18">
        <f t="shared" si="83"/>
        <v>1935.2950000000001</v>
      </c>
      <c r="AN98" s="4">
        <v>72127.388999999996</v>
      </c>
      <c r="AO98" s="18">
        <v>39.768278473999999</v>
      </c>
      <c r="AP98" s="4">
        <f t="shared" si="84"/>
        <v>551.36168139955817</v>
      </c>
      <c r="AQ98" s="2">
        <f t="shared" si="85"/>
        <v>4.3000000000000002E-5</v>
      </c>
      <c r="AR98" s="88">
        <f t="shared" si="86"/>
        <v>4.8664289083201618E-5</v>
      </c>
      <c r="AS98" s="88">
        <f t="shared" si="87"/>
        <v>4.5066748392735572E-5</v>
      </c>
      <c r="AT98" s="88">
        <f t="shared" si="88"/>
        <v>-3.5975406904660476E-6</v>
      </c>
      <c r="AU98" s="9">
        <f t="shared" si="78"/>
        <v>494.54318869852506</v>
      </c>
      <c r="AV98" s="9">
        <f t="shared" si="114"/>
        <v>538.59243449778569</v>
      </c>
      <c r="AW98">
        <f t="shared" si="89"/>
        <v>1.02354220976699</v>
      </c>
      <c r="AX98" s="88">
        <f t="shared" si="90"/>
        <v>4.7603951090591908E-5</v>
      </c>
      <c r="AY98" s="88">
        <f t="shared" si="91"/>
        <v>4.3710620979929011E-5</v>
      </c>
      <c r="AZ98" s="18">
        <f t="shared" si="101"/>
        <v>1.2828476927096775</v>
      </c>
    </row>
    <row r="99" spans="1:52" x14ac:dyDescent="0.25">
      <c r="A99">
        <f t="shared" si="107"/>
        <v>31</v>
      </c>
      <c r="B99" s="1">
        <v>36739</v>
      </c>
      <c r="C99" s="4">
        <v>71000</v>
      </c>
      <c r="D99" s="4">
        <v>1165</v>
      </c>
      <c r="E99" s="87">
        <v>1312.4780000000001</v>
      </c>
      <c r="F99" s="87">
        <v>1723.999</v>
      </c>
      <c r="G99" s="87">
        <v>171.32400000000001</v>
      </c>
      <c r="H99" s="4">
        <f t="shared" si="122"/>
        <v>-582.84500000000003</v>
      </c>
      <c r="I99" s="4">
        <f t="shared" si="116"/>
        <v>1747.845</v>
      </c>
      <c r="J99" s="15">
        <f>I99/C99</f>
        <v>2.4617535211267607E-2</v>
      </c>
      <c r="K99">
        <v>520</v>
      </c>
      <c r="L99" s="51">
        <f t="shared" si="120"/>
        <v>4.7341413867822323E-5</v>
      </c>
      <c r="M99" s="14">
        <v>4.6999999999999997E-5</v>
      </c>
      <c r="N99" s="12">
        <v>6.0000000000000002E-6</v>
      </c>
      <c r="O99" s="4">
        <v>1772.6379999999999</v>
      </c>
      <c r="P99" s="4">
        <v>219.155</v>
      </c>
      <c r="Q99" s="4">
        <f t="shared" si="117"/>
        <v>1991.7929999999999</v>
      </c>
      <c r="R99" s="4">
        <v>1808.9590000000001</v>
      </c>
      <c r="S99" s="4">
        <v>231.00399999999999</v>
      </c>
      <c r="T99" s="21">
        <f t="shared" si="118"/>
        <v>1577.9550000000002</v>
      </c>
      <c r="U99" s="39">
        <f>74094+874</f>
        <v>74968</v>
      </c>
      <c r="V99" s="10"/>
      <c r="W99" s="6"/>
      <c r="X99" s="23">
        <f t="shared" si="123"/>
        <v>38.488489361702129</v>
      </c>
      <c r="Y99" s="9">
        <f t="shared" si="41"/>
        <v>501.30260253863571</v>
      </c>
      <c r="Z99" s="4">
        <f t="shared" si="124"/>
        <v>231.67795871019737</v>
      </c>
      <c r="AA99" s="4">
        <f t="shared" si="125"/>
        <v>-182.83399999999983</v>
      </c>
      <c r="AB99" s="4">
        <f t="shared" si="121"/>
        <v>-2332.2139999999999</v>
      </c>
      <c r="AC99" s="4" t="e">
        <f t="shared" si="126"/>
        <v>#N/A</v>
      </c>
      <c r="AH99" s="4"/>
      <c r="AK99" s="18">
        <f t="shared" si="81"/>
        <v>219.155</v>
      </c>
      <c r="AL99" s="18">
        <f t="shared" si="82"/>
        <v>1808.9590000000001</v>
      </c>
      <c r="AM99" s="18">
        <f t="shared" si="83"/>
        <v>1772.6379999999999</v>
      </c>
      <c r="AN99" s="4">
        <v>63830.94</v>
      </c>
      <c r="AO99" s="18">
        <v>37.510185485999997</v>
      </c>
      <c r="AP99" s="4">
        <f t="shared" si="84"/>
        <v>587.64895967378823</v>
      </c>
      <c r="AQ99" s="2">
        <f t="shared" si="85"/>
        <v>4.6999999999999997E-5</v>
      </c>
      <c r="AR99" s="88">
        <f t="shared" si="86"/>
        <v>4.7257510914245019E-5</v>
      </c>
      <c r="AS99" s="88">
        <f t="shared" si="87"/>
        <v>4.1414964492239296E-5</v>
      </c>
      <c r="AT99" s="88">
        <f t="shared" si="88"/>
        <v>-5.8425464220057154E-6</v>
      </c>
      <c r="AU99" s="9">
        <f t="shared" si="78"/>
        <v>501.30260253863571</v>
      </c>
      <c r="AV99" s="9">
        <f t="shared" si="114"/>
        <v>571.85462035517889</v>
      </c>
      <c r="AW99">
        <f t="shared" si="89"/>
        <v>1.0260810194091754</v>
      </c>
      <c r="AX99" s="88">
        <f t="shared" si="90"/>
        <v>5.2026499118694122E-5</v>
      </c>
      <c r="AY99" s="88">
        <f t="shared" si="91"/>
        <v>4.5607779461459067E-5</v>
      </c>
      <c r="AZ99" s="18">
        <f t="shared" si="101"/>
        <v>1.2100059834193548</v>
      </c>
    </row>
    <row r="100" spans="1:52" x14ac:dyDescent="0.25">
      <c r="A100">
        <f t="shared" si="107"/>
        <v>30</v>
      </c>
      <c r="B100" s="1">
        <v>36770</v>
      </c>
      <c r="C100">
        <v>72000</v>
      </c>
      <c r="D100">
        <v>1250</v>
      </c>
      <c r="E100" s="87">
        <v>1750.924</v>
      </c>
      <c r="F100" s="87">
        <v>2078.3629999999998</v>
      </c>
      <c r="G100" s="87">
        <v>174.41900000000001</v>
      </c>
      <c r="H100" s="4">
        <f t="shared" si="122"/>
        <v>-501.85799999999983</v>
      </c>
      <c r="I100" s="4">
        <f t="shared" si="116"/>
        <v>1751.8579999999997</v>
      </c>
      <c r="J100" s="15">
        <f>I100/C100</f>
        <v>2.4331361111111106E-2</v>
      </c>
      <c r="K100">
        <v>520</v>
      </c>
      <c r="L100" s="26">
        <f t="shared" si="120"/>
        <v>4.679107905982905E-5</v>
      </c>
      <c r="M100" s="14">
        <v>4.6999999999999997E-5</v>
      </c>
      <c r="N100" s="12">
        <v>6.0000000000000002E-6</v>
      </c>
      <c r="O100" s="4">
        <v>1710.653</v>
      </c>
      <c r="P100" s="4">
        <v>126.595</v>
      </c>
      <c r="Q100" s="4">
        <f t="shared" si="117"/>
        <v>1837.248</v>
      </c>
      <c r="R100" s="4">
        <v>1795.7180000000001</v>
      </c>
      <c r="S100" s="4">
        <v>229.31299999999999</v>
      </c>
      <c r="T100" s="21">
        <f t="shared" si="118"/>
        <v>1566.4050000000002</v>
      </c>
      <c r="U100">
        <f>75579+988</f>
        <v>76567</v>
      </c>
      <c r="W100" s="6"/>
      <c r="X100" s="23">
        <f t="shared" si="123"/>
        <v>38.206765957446812</v>
      </c>
      <c r="Y100" s="9">
        <f t="shared" si="41"/>
        <v>487.56305208105232</v>
      </c>
      <c r="Z100" s="4">
        <f t="shared" si="124"/>
        <v>230.216842314703</v>
      </c>
      <c r="AA100" s="4">
        <f t="shared" si="125"/>
        <v>-41.529999999999973</v>
      </c>
      <c r="AB100" s="4">
        <f t="shared" si="121"/>
        <v>-2373.7440000000001</v>
      </c>
      <c r="AC100" s="4" t="e">
        <f t="shared" si="126"/>
        <v>#N/A</v>
      </c>
      <c r="AH100" s="4"/>
      <c r="AK100" s="18">
        <f t="shared" si="81"/>
        <v>126.595</v>
      </c>
      <c r="AL100" s="18">
        <f t="shared" si="82"/>
        <v>1795.7180000000001</v>
      </c>
      <c r="AM100" s="18">
        <f t="shared" si="83"/>
        <v>1710.653</v>
      </c>
      <c r="AN100" s="4">
        <v>66303.998000000007</v>
      </c>
      <c r="AO100" s="18">
        <v>37.249099964000003</v>
      </c>
      <c r="AP100" s="4">
        <f t="shared" si="84"/>
        <v>561.7926684300395</v>
      </c>
      <c r="AQ100" s="2">
        <f t="shared" si="85"/>
        <v>4.6999999999999997E-5</v>
      </c>
      <c r="AR100" s="88">
        <f t="shared" si="86"/>
        <v>4.5924680103768634E-5</v>
      </c>
      <c r="AS100" s="88">
        <f t="shared" si="87"/>
        <v>4.2526074496590211E-5</v>
      </c>
      <c r="AT100" s="88">
        <f t="shared" si="88"/>
        <v>-3.3986056071784229E-6</v>
      </c>
      <c r="AU100" s="9">
        <f>Y100</f>
        <v>487.56305208105232</v>
      </c>
      <c r="AV100" s="9">
        <f t="shared" si="114"/>
        <v>547.3405487803924</v>
      </c>
      <c r="AW100">
        <f t="shared" si="89"/>
        <v>1.0257097753871198</v>
      </c>
      <c r="AX100" s="88">
        <f t="shared" si="90"/>
        <v>5.2731180669625149E-5</v>
      </c>
      <c r="AY100" s="88">
        <f t="shared" si="91"/>
        <v>4.6972173803690309E-5</v>
      </c>
      <c r="AZ100" s="18">
        <f t="shared" si="101"/>
        <v>1.2416366654666668</v>
      </c>
    </row>
    <row r="101" spans="1:52" x14ac:dyDescent="0.25">
      <c r="A101">
        <f t="shared" si="107"/>
        <v>31</v>
      </c>
      <c r="B101" s="1">
        <v>36800</v>
      </c>
      <c r="C101">
        <v>68000</v>
      </c>
      <c r="D101">
        <v>1325</v>
      </c>
      <c r="E101" s="87">
        <v>1808.9590000000001</v>
      </c>
      <c r="F101" s="87">
        <v>1991.7929999999999</v>
      </c>
      <c r="G101" s="87">
        <v>169.149</v>
      </c>
      <c r="H101" s="4">
        <f t="shared" si="122"/>
        <v>-351.98299999999983</v>
      </c>
      <c r="I101" s="4">
        <f t="shared" si="116"/>
        <v>1676.9829999999997</v>
      </c>
      <c r="J101" s="15">
        <f>I101/C101</f>
        <v>2.4661514705882348E-2</v>
      </c>
      <c r="K101">
        <v>520</v>
      </c>
      <c r="L101" s="51">
        <f t="shared" si="120"/>
        <v>4.7425989819004518E-5</v>
      </c>
      <c r="M101" s="14">
        <v>4.6999999999999997E-5</v>
      </c>
      <c r="N101" s="12">
        <v>6.0000000000000002E-6</v>
      </c>
      <c r="O101" s="4">
        <v>1747.1990000000001</v>
      </c>
      <c r="P101" s="4">
        <v>-73.159000000000006</v>
      </c>
      <c r="Q101" s="4">
        <f t="shared" si="117"/>
        <v>1674.04</v>
      </c>
      <c r="R101" s="4">
        <v>1879.2840000000001</v>
      </c>
      <c r="S101" s="4">
        <v>239.98500000000001</v>
      </c>
      <c r="T101" s="21">
        <f t="shared" si="118"/>
        <v>1639.299</v>
      </c>
      <c r="U101">
        <f>82107+519</f>
        <v>82626</v>
      </c>
      <c r="W101" s="6"/>
      <c r="X101" s="23">
        <f t="shared" si="123"/>
        <v>39.984765957446811</v>
      </c>
      <c r="Y101" s="9">
        <f t="shared" si="41"/>
        <v>473.16290845726064</v>
      </c>
      <c r="Z101" s="4">
        <f t="shared" si="124"/>
        <v>234.77579577214982</v>
      </c>
      <c r="AA101" s="4">
        <f t="shared" si="125"/>
        <v>205.24400000000014</v>
      </c>
      <c r="AB101" s="44">
        <v>-2168.5</v>
      </c>
      <c r="AC101" s="4" t="e">
        <f t="shared" si="126"/>
        <v>#N/A</v>
      </c>
      <c r="AH101" s="4"/>
      <c r="AK101" s="18">
        <f t="shared" si="81"/>
        <v>-73.159000000000006</v>
      </c>
      <c r="AL101" s="18">
        <f t="shared" si="82"/>
        <v>1879.2840000000001</v>
      </c>
      <c r="AM101" s="18">
        <f t="shared" si="83"/>
        <v>1747.1990000000001</v>
      </c>
      <c r="AN101" s="4">
        <v>72189.254000000001</v>
      </c>
      <c r="AO101" s="18">
        <v>38.99762063</v>
      </c>
      <c r="AP101" s="4">
        <f t="shared" si="84"/>
        <v>540.21365326756256</v>
      </c>
      <c r="AQ101" s="2">
        <f t="shared" si="85"/>
        <v>4.6999999999999997E-5</v>
      </c>
      <c r="AR101" s="88">
        <f t="shared" si="86"/>
        <v>4.4802707749198388E-5</v>
      </c>
      <c r="AS101" s="88">
        <f t="shared" si="87"/>
        <v>4.6678693997029131E-5</v>
      </c>
      <c r="AT101" s="88">
        <f t="shared" si="88"/>
        <v>1.8759862478307311E-6</v>
      </c>
      <c r="AU101" s="88"/>
      <c r="AV101" s="9">
        <f t="shared" si="114"/>
        <v>526.83723392715569</v>
      </c>
      <c r="AW101">
        <f t="shared" si="89"/>
        <v>1.025312962983373</v>
      </c>
      <c r="AX101" s="88" t="e">
        <f t="shared" si="90"/>
        <v>#DIV/0!</v>
      </c>
      <c r="AY101" s="88">
        <f t="shared" si="91"/>
        <v>4.8047027342173382E-5</v>
      </c>
      <c r="AZ101" s="18">
        <f t="shared" si="101"/>
        <v>1.2579877622580644</v>
      </c>
    </row>
    <row r="102" spans="1:52" x14ac:dyDescent="0.25">
      <c r="A102">
        <f t="shared" si="107"/>
        <v>30</v>
      </c>
      <c r="B102" s="1">
        <v>36831</v>
      </c>
      <c r="E102" s="20">
        <f>R100</f>
        <v>1795.7180000000001</v>
      </c>
      <c r="F102" s="20">
        <f>Q100</f>
        <v>1837.248</v>
      </c>
      <c r="G102" s="20">
        <f>E102*N100/M100</f>
        <v>229.24059574468089</v>
      </c>
      <c r="M102" s="14">
        <v>4.6999999999999997E-5</v>
      </c>
      <c r="N102" s="12">
        <v>6.0000000000000002E-6</v>
      </c>
      <c r="U102">
        <f>79584+805</f>
        <v>80389</v>
      </c>
      <c r="X102" s="28"/>
      <c r="Z102" s="4">
        <f t="shared" si="124"/>
        <v>195.98682702214978</v>
      </c>
      <c r="AH102" s="4"/>
      <c r="AN102" s="4"/>
      <c r="AO102" s="18"/>
      <c r="AP102" s="4"/>
      <c r="AQ102" s="2">
        <f t="shared" si="85"/>
        <v>4.6999999999999997E-5</v>
      </c>
    </row>
    <row r="103" spans="1:52" x14ac:dyDescent="0.25">
      <c r="A103">
        <f t="shared" si="107"/>
        <v>31</v>
      </c>
      <c r="B103" s="1">
        <v>36861</v>
      </c>
      <c r="E103" s="20">
        <f>R101</f>
        <v>1879.2840000000001</v>
      </c>
      <c r="F103" s="20">
        <f>Q101</f>
        <v>1674.04</v>
      </c>
      <c r="G103" s="20">
        <f>E103*N101/M101</f>
        <v>239.90859574468089</v>
      </c>
      <c r="M103" s="14">
        <v>4.6999999999999997E-5</v>
      </c>
      <c r="N103" s="12">
        <v>6.0000000000000002E-6</v>
      </c>
      <c r="U103">
        <f>86749+1993</f>
        <v>88742</v>
      </c>
      <c r="X103" s="28"/>
      <c r="Z103" s="4">
        <f t="shared" si="124"/>
        <v>157.38453290450275</v>
      </c>
      <c r="AH103" s="4"/>
      <c r="AN103" s="4"/>
      <c r="AO103" s="18"/>
      <c r="AP103" s="4"/>
      <c r="AQ103" s="2">
        <f t="shared" si="85"/>
        <v>4.6999999999999997E-5</v>
      </c>
    </row>
    <row r="104" spans="1:52" x14ac:dyDescent="0.25">
      <c r="A104">
        <f t="shared" si="107"/>
        <v>31</v>
      </c>
      <c r="B104" s="1">
        <v>36892</v>
      </c>
      <c r="E104" s="20"/>
      <c r="F104" s="20"/>
      <c r="G104" s="20"/>
      <c r="M104" s="14">
        <v>5.1E-5</v>
      </c>
      <c r="N104" s="12">
        <v>1.2E-5</v>
      </c>
      <c r="X104" s="28"/>
      <c r="Z104" s="4">
        <f t="shared" si="124"/>
        <v>116.68002127659575</v>
      </c>
      <c r="AH104" s="4"/>
      <c r="AN104" s="4"/>
      <c r="AO104" s="18"/>
      <c r="AP104" s="4"/>
      <c r="AQ104" s="2"/>
    </row>
    <row r="105" spans="1:52" x14ac:dyDescent="0.25">
      <c r="A105">
        <f t="shared" si="107"/>
        <v>28</v>
      </c>
      <c r="B105" s="1">
        <v>36923</v>
      </c>
      <c r="E105" s="20"/>
      <c r="F105" s="20"/>
      <c r="G105" s="20"/>
      <c r="M105" s="14">
        <v>5.8E-5</v>
      </c>
      <c r="N105" s="12">
        <v>1.2E-5</v>
      </c>
      <c r="X105" s="28"/>
      <c r="Z105" s="4">
        <f t="shared" si="124"/>
        <v>78.191531914893631</v>
      </c>
      <c r="AH105" s="4"/>
      <c r="AN105" s="4"/>
      <c r="AO105" s="18"/>
      <c r="AP105" s="4"/>
      <c r="AQ105" s="2"/>
    </row>
    <row r="106" spans="1:52" x14ac:dyDescent="0.25">
      <c r="A106">
        <f t="shared" si="107"/>
        <v>31</v>
      </c>
      <c r="B106" s="1">
        <v>36951</v>
      </c>
      <c r="E106" s="20"/>
      <c r="F106" s="20"/>
      <c r="G106" s="20"/>
      <c r="M106" s="14">
        <v>5.5999999999999999E-5</v>
      </c>
      <c r="N106" s="12">
        <v>1.2E-5</v>
      </c>
      <c r="X106" s="28"/>
      <c r="Z106" s="4"/>
      <c r="AH106" s="4"/>
      <c r="AN106" s="4"/>
      <c r="AO106" s="18"/>
      <c r="AP106" s="4"/>
      <c r="AQ106" s="2"/>
    </row>
    <row r="107" spans="1:52" x14ac:dyDescent="0.25">
      <c r="A107">
        <f t="shared" si="107"/>
        <v>30</v>
      </c>
      <c r="B107" s="1">
        <v>36982</v>
      </c>
      <c r="E107" s="20"/>
      <c r="F107" s="20"/>
      <c r="G107" s="20"/>
      <c r="M107" s="14">
        <v>5.1E-5</v>
      </c>
      <c r="N107" s="12">
        <v>1.2E-5</v>
      </c>
      <c r="X107" s="28"/>
      <c r="Z107" s="4"/>
      <c r="AH107" s="4"/>
      <c r="AN107" s="4"/>
      <c r="AO107" s="18"/>
      <c r="AP107" s="4"/>
      <c r="AQ107" s="2"/>
    </row>
    <row r="108" spans="1:52" x14ac:dyDescent="0.25">
      <c r="A108">
        <f t="shared" si="107"/>
        <v>31</v>
      </c>
      <c r="B108" s="1">
        <v>37012</v>
      </c>
      <c r="E108" s="20"/>
      <c r="F108" s="20"/>
      <c r="G108" s="20"/>
      <c r="M108" s="14">
        <v>4.3000000000000002E-5</v>
      </c>
      <c r="N108" s="12">
        <v>1.2E-5</v>
      </c>
      <c r="X108" s="28"/>
      <c r="Z108" s="4"/>
      <c r="AH108" s="4"/>
      <c r="AN108" s="4"/>
      <c r="AO108" s="18"/>
      <c r="AP108" s="4"/>
      <c r="AQ108" s="2"/>
    </row>
    <row r="109" spans="1:52" x14ac:dyDescent="0.25">
      <c r="A109">
        <f t="shared" si="107"/>
        <v>30</v>
      </c>
      <c r="B109" s="1">
        <v>37043</v>
      </c>
      <c r="E109" s="20"/>
      <c r="F109" s="20"/>
      <c r="G109" s="20"/>
      <c r="M109" s="14"/>
      <c r="N109" s="12">
        <v>1.2E-5</v>
      </c>
      <c r="X109" s="28"/>
      <c r="Z109" s="4"/>
      <c r="AH109" s="4"/>
      <c r="AN109" s="4"/>
      <c r="AO109" s="18"/>
      <c r="AP109" s="4"/>
      <c r="AQ109" s="2"/>
    </row>
    <row r="110" spans="1:52" x14ac:dyDescent="0.25">
      <c r="A110">
        <f t="shared" si="107"/>
        <v>31</v>
      </c>
      <c r="B110" s="1">
        <v>37073</v>
      </c>
      <c r="E110" s="20"/>
      <c r="F110" s="20"/>
      <c r="G110" s="20"/>
      <c r="M110" s="14"/>
      <c r="N110" s="12"/>
      <c r="X110" s="28"/>
      <c r="Z110" s="4"/>
      <c r="AH110" s="4"/>
      <c r="AN110" s="4"/>
      <c r="AO110" s="18"/>
      <c r="AP110" s="4"/>
      <c r="AQ110" s="2"/>
    </row>
    <row r="111" spans="1:52" x14ac:dyDescent="0.25">
      <c r="A111">
        <f t="shared" si="107"/>
        <v>31</v>
      </c>
      <c r="B111" s="1">
        <v>37104</v>
      </c>
      <c r="E111" s="20"/>
      <c r="F111" s="20"/>
      <c r="G111" s="20"/>
      <c r="M111" s="14"/>
      <c r="N111" s="12"/>
      <c r="X111" s="28"/>
      <c r="Z111" s="4"/>
      <c r="AH111" s="4"/>
      <c r="AN111" s="4"/>
      <c r="AO111" s="18"/>
      <c r="AP111" s="4"/>
      <c r="AQ111" s="2"/>
    </row>
    <row r="112" spans="1:52" x14ac:dyDescent="0.25">
      <c r="A112">
        <f t="shared" si="107"/>
        <v>30</v>
      </c>
      <c r="B112" s="1">
        <v>37135</v>
      </c>
      <c r="E112" s="20"/>
      <c r="F112" s="20"/>
      <c r="G112" s="20"/>
      <c r="M112" s="14"/>
      <c r="N112" s="12"/>
      <c r="X112" s="28"/>
      <c r="Z112" s="4"/>
      <c r="AH112" s="4"/>
      <c r="AN112" s="4"/>
      <c r="AO112" s="18"/>
      <c r="AP112" s="4"/>
      <c r="AQ112" s="2"/>
    </row>
    <row r="113" spans="1:43" x14ac:dyDescent="0.25">
      <c r="A113">
        <f t="shared" si="107"/>
        <v>31</v>
      </c>
      <c r="B113" s="1">
        <v>37165</v>
      </c>
      <c r="E113" s="20"/>
      <c r="F113" s="20"/>
      <c r="G113" s="20"/>
      <c r="M113" s="14"/>
      <c r="N113" s="12"/>
      <c r="X113" s="28"/>
      <c r="Z113" s="4"/>
      <c r="AH113" s="4"/>
      <c r="AN113" s="4"/>
      <c r="AO113" s="18"/>
      <c r="AP113" s="4"/>
      <c r="AQ113" s="2"/>
    </row>
    <row r="114" spans="1:43" x14ac:dyDescent="0.25">
      <c r="A114">
        <f t="shared" si="107"/>
        <v>30</v>
      </c>
      <c r="B114" s="1">
        <v>37196</v>
      </c>
      <c r="E114" s="20"/>
      <c r="F114" s="20"/>
      <c r="G114" s="20"/>
      <c r="M114" s="14"/>
      <c r="N114" s="12"/>
      <c r="X114" s="28"/>
      <c r="Z114" s="4"/>
      <c r="AH114" s="4"/>
      <c r="AN114" s="4"/>
      <c r="AO114" s="18"/>
      <c r="AP114" s="4"/>
      <c r="AQ114" s="2"/>
    </row>
    <row r="115" spans="1:43" x14ac:dyDescent="0.25">
      <c r="B115" s="1">
        <v>37226</v>
      </c>
      <c r="M115" s="14"/>
      <c r="N115" s="12"/>
      <c r="X115" s="28"/>
      <c r="Z115" s="4"/>
      <c r="AH115" s="4"/>
      <c r="AO115" s="18"/>
      <c r="AP115" s="4"/>
    </row>
    <row r="116" spans="1:43" x14ac:dyDescent="0.25">
      <c r="B116" s="1"/>
      <c r="M116" s="14"/>
      <c r="N116" s="12"/>
      <c r="X116" s="28"/>
      <c r="Z116" s="4"/>
      <c r="AH116" s="4"/>
      <c r="AO116" s="18"/>
      <c r="AP116" s="4"/>
    </row>
    <row r="117" spans="1:43" x14ac:dyDescent="0.25">
      <c r="B117" s="1"/>
      <c r="M117" s="14"/>
      <c r="N117" s="12"/>
      <c r="X117" s="28"/>
      <c r="Z117" s="4"/>
      <c r="AH117" s="4"/>
      <c r="AP117" s="4"/>
    </row>
    <row r="118" spans="1:43" x14ac:dyDescent="0.25">
      <c r="B118" s="1"/>
      <c r="M118" s="12"/>
      <c r="N118" s="12"/>
      <c r="X118" s="28"/>
      <c r="Z118" s="4"/>
      <c r="AH118" s="4"/>
      <c r="AP118" s="4"/>
    </row>
    <row r="119" spans="1:43" x14ac:dyDescent="0.25">
      <c r="B119" s="1"/>
      <c r="M119" s="12"/>
      <c r="N119" s="12"/>
      <c r="X119" s="28"/>
      <c r="Z119" s="4"/>
      <c r="AH119" s="4"/>
    </row>
    <row r="120" spans="1:43" x14ac:dyDescent="0.25">
      <c r="B120" s="1"/>
      <c r="M120" s="12"/>
      <c r="N120" s="12"/>
      <c r="X120" s="28"/>
      <c r="Z120" s="4"/>
      <c r="AH120" s="4"/>
    </row>
    <row r="121" spans="1:43" x14ac:dyDescent="0.25">
      <c r="B121" s="1"/>
      <c r="N121" s="12"/>
    </row>
  </sheetData>
  <conditionalFormatting sqref="AS68:AS101">
    <cfRule type="cellIs" dxfId="0" priority="1" stopIfTrue="1" operator="greaterThanOrEqual">
      <formula>$AR$2</formula>
    </cfRule>
  </conditionalFormatting>
  <pageMargins left="0.5" right="0.5" top="0.5" bottom="0.75" header="0.5" footer="0.5"/>
  <pageSetup scale="59" fitToHeight="2" orientation="landscape" verticalDpi="144" r:id="rId1"/>
  <headerFooter alignWithMargins="0">
    <oddFooter>&amp;L&amp;F&amp;C&amp;A&amp;R&amp;D  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pane xSplit="1" ySplit="7" topLeftCell="B101" activePane="bottomRight" state="frozen"/>
      <selection pane="topRight" activeCell="B1" sqref="B1"/>
      <selection pane="bottomLeft" activeCell="A8" sqref="A8"/>
      <selection pane="bottomRight" activeCell="D108" sqref="D108"/>
    </sheetView>
  </sheetViews>
  <sheetFormatPr defaultRowHeight="13.2" x14ac:dyDescent="0.25"/>
  <cols>
    <col min="3" max="3" width="9.44140625" customWidth="1"/>
  </cols>
  <sheetData>
    <row r="1" spans="1:9" x14ac:dyDescent="0.25">
      <c r="B1">
        <v>0</v>
      </c>
      <c r="D1" s="4">
        <f>$C$107+$C$108*B1</f>
        <v>-73.626719302339922</v>
      </c>
      <c r="F1" s="4">
        <f>$E$107+$E$108*$B1</f>
        <v>-84.227429043618685</v>
      </c>
      <c r="H1">
        <v>0</v>
      </c>
      <c r="I1" s="4">
        <f>$I$107+$I$108*$H1</f>
        <v>-103.62645320817529</v>
      </c>
    </row>
    <row r="2" spans="1:9" x14ac:dyDescent="0.25">
      <c r="B2">
        <v>1.45</v>
      </c>
      <c r="D2" s="4">
        <f>$C$107+$C$108*B2</f>
        <v>73.169918351230962</v>
      </c>
      <c r="F2" s="4">
        <f>$E$107+$E$108*$B2</f>
        <v>76.458914167657866</v>
      </c>
      <c r="H2">
        <v>1.45</v>
      </c>
      <c r="I2" s="4">
        <f>$I$107+$I$108*$H2</f>
        <v>80.126629648323529</v>
      </c>
    </row>
    <row r="3" spans="1:9" x14ac:dyDescent="0.25">
      <c r="A3" s="45" t="s">
        <v>13</v>
      </c>
      <c r="B3" s="45" t="s">
        <v>86</v>
      </c>
      <c r="C3" s="45" t="s">
        <v>31</v>
      </c>
      <c r="D3" s="45" t="s">
        <v>31</v>
      </c>
    </row>
    <row r="6" spans="1:9" x14ac:dyDescent="0.25">
      <c r="A6" s="45"/>
      <c r="B6" s="45" t="s">
        <v>86</v>
      </c>
      <c r="C6" s="45" t="s">
        <v>31</v>
      </c>
      <c r="D6" s="45" t="s">
        <v>31</v>
      </c>
      <c r="E6" s="45" t="s">
        <v>31</v>
      </c>
      <c r="F6" s="45" t="s">
        <v>31</v>
      </c>
    </row>
    <row r="7" spans="1:9" x14ac:dyDescent="0.25">
      <c r="A7" s="45"/>
      <c r="B7" s="45" t="s">
        <v>76</v>
      </c>
      <c r="C7" s="45" t="s">
        <v>77</v>
      </c>
      <c r="D7" s="45" t="s">
        <v>78</v>
      </c>
      <c r="E7" s="45" t="s">
        <v>91</v>
      </c>
      <c r="F7" s="45" t="s">
        <v>92</v>
      </c>
    </row>
    <row r="8" spans="1:9" x14ac:dyDescent="0.25">
      <c r="A8" s="1">
        <f>daily!B18</f>
        <v>34274</v>
      </c>
      <c r="B8" s="23">
        <f>daily!T18</f>
        <v>0.97925365853658541</v>
      </c>
      <c r="C8" s="4">
        <f>daily!N18</f>
        <v>26.102566666666668</v>
      </c>
      <c r="D8" s="4">
        <f t="shared" ref="D8:D20" si="0">$C$107+$C$108*B8</f>
        <v>25.512001030852318</v>
      </c>
      <c r="E8" s="4">
        <f>daily!P18</f>
        <v>22.0428</v>
      </c>
      <c r="F8" s="4">
        <f t="shared" ref="F8:F39" si="1">$E$107+$E$108*$B8</f>
        <v>24.291667140179925</v>
      </c>
    </row>
    <row r="9" spans="1:9" x14ac:dyDescent="0.25">
      <c r="A9" s="1">
        <f>daily!B19</f>
        <v>34304</v>
      </c>
      <c r="B9" s="23">
        <f>daily!T19</f>
        <v>0.99337860780984721</v>
      </c>
      <c r="C9" s="4">
        <f>daily!N19</f>
        <v>29.328967741935482</v>
      </c>
      <c r="D9" s="4">
        <f t="shared" si="0"/>
        <v>26.941997624191686</v>
      </c>
      <c r="E9" s="4">
        <f>daily!P19</f>
        <v>24.479709677419354</v>
      </c>
      <c r="F9" s="4">
        <f t="shared" si="1"/>
        <v>25.856968137949039</v>
      </c>
    </row>
    <row r="10" spans="1:9" x14ac:dyDescent="0.25">
      <c r="A10" s="1">
        <f>daily!B20</f>
        <v>34335</v>
      </c>
      <c r="B10" s="23">
        <f>daily!T20</f>
        <v>1.0161290322580645</v>
      </c>
      <c r="C10" s="4">
        <f>daily!N20</f>
        <v>29.713806451612903</v>
      </c>
      <c r="D10" s="4">
        <f t="shared" si="0"/>
        <v>29.245229220184711</v>
      </c>
      <c r="E10" s="4">
        <f>daily!P20</f>
        <v>24.55958064516129</v>
      </c>
      <c r="F10" s="4">
        <f t="shared" si="1"/>
        <v>28.378128490423848</v>
      </c>
    </row>
    <row r="11" spans="1:9" x14ac:dyDescent="0.25">
      <c r="A11" s="1">
        <f>daily!B21</f>
        <v>34366</v>
      </c>
      <c r="B11" s="23">
        <f>daily!T21</f>
        <v>1.0379032258064516</v>
      </c>
      <c r="C11" s="4">
        <f>daily!N21</f>
        <v>31.8445</v>
      </c>
      <c r="D11" s="4">
        <f t="shared" si="0"/>
        <v>31.449628117095955</v>
      </c>
      <c r="E11" s="4">
        <f>daily!P21</f>
        <v>23.119</v>
      </c>
      <c r="F11" s="4">
        <f t="shared" si="1"/>
        <v>30.791104723296172</v>
      </c>
    </row>
    <row r="12" spans="1:9" x14ac:dyDescent="0.25">
      <c r="A12" s="1">
        <f>daily!B22</f>
        <v>34394</v>
      </c>
      <c r="B12" s="23">
        <f>daily!T22</f>
        <v>0.97239784946236552</v>
      </c>
      <c r="C12" s="4">
        <f>daily!N22</f>
        <v>25.274225806451611</v>
      </c>
      <c r="D12" s="4">
        <f t="shared" si="0"/>
        <v>24.817925361548646</v>
      </c>
      <c r="E12" s="4">
        <f>daily!P22</f>
        <v>18.876354838709673</v>
      </c>
      <c r="F12" s="4">
        <f t="shared" si="1"/>
        <v>23.531918940255039</v>
      </c>
    </row>
    <row r="13" spans="1:9" x14ac:dyDescent="0.25">
      <c r="A13" s="1">
        <f>daily!B23</f>
        <v>34425</v>
      </c>
      <c r="B13" s="23">
        <f>daily!T23</f>
        <v>1.0305576923076925</v>
      </c>
      <c r="C13" s="4">
        <f>daily!N23</f>
        <v>27.060799999999997</v>
      </c>
      <c r="D13" s="4">
        <f t="shared" si="0"/>
        <v>30.705973207172164</v>
      </c>
      <c r="E13" s="4">
        <f>daily!P23</f>
        <v>24.079599999999996</v>
      </c>
      <c r="F13" s="4">
        <f t="shared" si="1"/>
        <v>29.977086159950289</v>
      </c>
    </row>
    <row r="14" spans="1:9" x14ac:dyDescent="0.25">
      <c r="A14" s="1">
        <f>daily!B24</f>
        <v>34455</v>
      </c>
      <c r="B14" s="23">
        <f>daily!T24</f>
        <v>0.96440129032258048</v>
      </c>
      <c r="C14" s="4">
        <f>daily!N24</f>
        <v>24.374225806451612</v>
      </c>
      <c r="D14" s="4">
        <f t="shared" si="0"/>
        <v>24.008361227398055</v>
      </c>
      <c r="E14" s="4">
        <f>daily!P24</f>
        <v>23.026645161290322</v>
      </c>
      <c r="F14" s="4">
        <f t="shared" si="1"/>
        <v>22.645754908224163</v>
      </c>
    </row>
    <row r="15" spans="1:9" x14ac:dyDescent="0.25">
      <c r="A15" s="1">
        <f>daily!B25</f>
        <v>34486</v>
      </c>
      <c r="B15" s="23">
        <f>daily!T25</f>
        <v>1.0360649999999998</v>
      </c>
      <c r="C15" s="4">
        <f>daily!N25</f>
        <v>28.431066666666666</v>
      </c>
      <c r="D15" s="4">
        <f t="shared" si="0"/>
        <v>31.263527863554472</v>
      </c>
      <c r="E15" s="4">
        <f>daily!P25</f>
        <v>18.247366666666668</v>
      </c>
      <c r="F15" s="4">
        <f t="shared" si="1"/>
        <v>30.587395907547673</v>
      </c>
    </row>
    <row r="16" spans="1:9" x14ac:dyDescent="0.25">
      <c r="A16" s="1">
        <f>daily!B26</f>
        <v>34516</v>
      </c>
      <c r="B16" s="23">
        <f>daily!T26</f>
        <v>1.1575282258064514</v>
      </c>
      <c r="C16" s="4">
        <f>daily!N26</f>
        <v>38.932612903225809</v>
      </c>
      <c r="D16" s="4">
        <f t="shared" si="0"/>
        <v>43.56035072351554</v>
      </c>
      <c r="E16" s="4">
        <f>daily!P26</f>
        <v>27.042387096774195</v>
      </c>
      <c r="F16" s="4">
        <f t="shared" si="1"/>
        <v>44.047728038226467</v>
      </c>
    </row>
    <row r="17" spans="1:6" x14ac:dyDescent="0.25">
      <c r="A17" s="1">
        <f>daily!B27</f>
        <v>34547</v>
      </c>
      <c r="B17" s="23">
        <f>daily!T27</f>
        <v>1.1471917562724014</v>
      </c>
      <c r="C17" s="4">
        <f>daily!N27</f>
        <v>41.596387096774194</v>
      </c>
      <c r="D17" s="4">
        <f t="shared" si="0"/>
        <v>42.513896259510631</v>
      </c>
      <c r="E17" s="4">
        <f>daily!P27</f>
        <v>40.97916129032258</v>
      </c>
      <c r="F17" s="4">
        <f t="shared" si="1"/>
        <v>42.902259423646299</v>
      </c>
    </row>
    <row r="18" spans="1:6" x14ac:dyDescent="0.25">
      <c r="A18" s="1">
        <f>daily!B28</f>
        <v>34578</v>
      </c>
      <c r="B18" s="23">
        <f>daily!T28</f>
        <v>1.0912173333333333</v>
      </c>
      <c r="C18" s="4">
        <f>daily!N28</f>
        <v>37.655099999999997</v>
      </c>
      <c r="D18" s="4">
        <f t="shared" si="0"/>
        <v>36.847098271887106</v>
      </c>
      <c r="E18" s="4">
        <f>daily!P28</f>
        <v>26.235233333333333</v>
      </c>
      <c r="F18" s="4">
        <f t="shared" si="1"/>
        <v>36.699276433687501</v>
      </c>
    </row>
    <row r="19" spans="1:6" x14ac:dyDescent="0.25">
      <c r="A19" s="1">
        <f>daily!B29</f>
        <v>34608</v>
      </c>
      <c r="B19" s="23">
        <f>daily!T29</f>
        <v>1.0264741935483872</v>
      </c>
      <c r="C19" s="4">
        <f>daily!N29</f>
        <v>39.028677419354835</v>
      </c>
      <c r="D19" s="4">
        <f t="shared" si="0"/>
        <v>30.292563629428344</v>
      </c>
      <c r="E19" s="4">
        <f>daily!P29</f>
        <v>45.602290322580636</v>
      </c>
      <c r="F19" s="4">
        <f t="shared" si="1"/>
        <v>29.52456030950853</v>
      </c>
    </row>
    <row r="20" spans="1:6" x14ac:dyDescent="0.25">
      <c r="A20" s="1">
        <f>daily!B30</f>
        <v>34639</v>
      </c>
      <c r="B20" s="23">
        <f>daily!T30</f>
        <v>1.1358135135135135</v>
      </c>
      <c r="C20" s="4">
        <f>daily!N30</f>
        <v>41.614666666666672</v>
      </c>
      <c r="D20" s="4">
        <f t="shared" si="0"/>
        <v>41.361973653020399</v>
      </c>
      <c r="E20" s="4">
        <f>daily!P30</f>
        <v>48.156466666666667</v>
      </c>
      <c r="F20" s="4">
        <f t="shared" si="1"/>
        <v>41.641343409097402</v>
      </c>
    </row>
    <row r="21" spans="1:6" x14ac:dyDescent="0.25">
      <c r="A21" s="1">
        <f>daily!B31</f>
        <v>34669</v>
      </c>
      <c r="B21" s="23">
        <f>daily!T31</f>
        <v>1.2141996512641673</v>
      </c>
      <c r="C21" s="4">
        <f>daily!N31</f>
        <v>49.89725806451613</v>
      </c>
      <c r="D21" s="4">
        <f t="shared" ref="D21:D84" si="2">$C$107+$C$108*B21</f>
        <v>49.297712591258758</v>
      </c>
      <c r="E21" s="4">
        <f>daily!P31</f>
        <v>54.884193548387103</v>
      </c>
      <c r="F21" s="4">
        <f t="shared" si="1"/>
        <v>50.327951570206352</v>
      </c>
    </row>
    <row r="22" spans="1:6" x14ac:dyDescent="0.25">
      <c r="A22" s="1">
        <f>daily!B32</f>
        <v>34700</v>
      </c>
      <c r="B22" s="23">
        <f>daily!T32</f>
        <v>1.1848725806451612</v>
      </c>
      <c r="C22" s="4">
        <f>daily!N32</f>
        <v>48.348580645161292</v>
      </c>
      <c r="D22" s="4">
        <f t="shared" si="2"/>
        <v>46.328667516018129</v>
      </c>
      <c r="E22" s="4">
        <f>daily!P32</f>
        <v>60.971129032258062</v>
      </c>
      <c r="F22" s="4">
        <f t="shared" si="1"/>
        <v>47.077979339263607</v>
      </c>
    </row>
    <row r="23" spans="1:6" x14ac:dyDescent="0.25">
      <c r="A23" s="1">
        <f>daily!B33</f>
        <v>34731</v>
      </c>
      <c r="B23" s="23">
        <f>daily!T33</f>
        <v>1.1754074675324675</v>
      </c>
      <c r="C23" s="4">
        <f>daily!N33</f>
        <v>42.732928571428566</v>
      </c>
      <c r="D23" s="4">
        <f t="shared" si="2"/>
        <v>45.370428357429049</v>
      </c>
      <c r="E23" s="4">
        <f>daily!P33</f>
        <v>34.475464285714281</v>
      </c>
      <c r="F23" s="4">
        <f t="shared" si="1"/>
        <v>46.029072846739581</v>
      </c>
    </row>
    <row r="24" spans="1:6" x14ac:dyDescent="0.25">
      <c r="A24" s="1">
        <f>daily!B34</f>
        <v>34759</v>
      </c>
      <c r="B24" s="23">
        <f>daily!T34</f>
        <v>1.2054010263929618</v>
      </c>
      <c r="C24" s="4">
        <f>daily!N34</f>
        <v>51.499129032258061</v>
      </c>
      <c r="D24" s="4">
        <f t="shared" si="2"/>
        <v>48.406948076039413</v>
      </c>
      <c r="E24" s="4">
        <f>daily!P34</f>
        <v>57.479193548387094</v>
      </c>
      <c r="F24" s="4">
        <f t="shared" si="1"/>
        <v>49.352904083418906</v>
      </c>
    </row>
    <row r="25" spans="1:6" x14ac:dyDescent="0.25">
      <c r="A25" s="1">
        <f>daily!B35</f>
        <v>34790</v>
      </c>
      <c r="B25" s="23">
        <f>daily!T35</f>
        <v>1.1507611111111109</v>
      </c>
      <c r="C25" s="4">
        <f>daily!N35</f>
        <v>45.113799999999998</v>
      </c>
      <c r="D25" s="4">
        <f t="shared" si="2"/>
        <v>42.875254389796879</v>
      </c>
      <c r="E25" s="4">
        <f>daily!P35</f>
        <v>51.884900000000002</v>
      </c>
      <c r="F25" s="4">
        <f t="shared" si="1"/>
        <v>43.297808786857132</v>
      </c>
    </row>
    <row r="26" spans="1:6" x14ac:dyDescent="0.25">
      <c r="A26" s="1">
        <f>daily!B36</f>
        <v>34820</v>
      </c>
      <c r="B26" s="23">
        <f>daily!T36</f>
        <v>1.1170698924731182</v>
      </c>
      <c r="C26" s="4">
        <f>daily!N36</f>
        <v>39.246838709677419</v>
      </c>
      <c r="D26" s="4">
        <f t="shared" si="2"/>
        <v>39.46438706944609</v>
      </c>
      <c r="E26" s="4">
        <f>daily!P36</f>
        <v>47.168677419354843</v>
      </c>
      <c r="F26" s="4">
        <f t="shared" si="1"/>
        <v>39.564209668739437</v>
      </c>
    </row>
    <row r="27" spans="1:6" x14ac:dyDescent="0.25">
      <c r="A27" s="1">
        <f>daily!B37</f>
        <v>34851</v>
      </c>
      <c r="B27" s="23">
        <f>daily!T37</f>
        <v>1.1662256944444445</v>
      </c>
      <c r="C27" s="4">
        <f>daily!N37</f>
        <v>40.066966666666666</v>
      </c>
      <c r="D27" s="4">
        <f t="shared" si="2"/>
        <v>44.440874276725722</v>
      </c>
      <c r="E27" s="4">
        <f>daily!P37</f>
        <v>44.733533333333334</v>
      </c>
      <c r="F27" s="4">
        <f t="shared" si="1"/>
        <v>45.011565576594649</v>
      </c>
    </row>
    <row r="28" spans="1:6" x14ac:dyDescent="0.25">
      <c r="A28" s="1">
        <f>daily!B38</f>
        <v>34881</v>
      </c>
      <c r="B28" s="23">
        <f>daily!T38</f>
        <v>1.1333994509265615</v>
      </c>
      <c r="C28" s="4">
        <f>daily!N38</f>
        <v>42.607129032258065</v>
      </c>
      <c r="D28" s="4">
        <f t="shared" si="2"/>
        <v>41.117576224848094</v>
      </c>
      <c r="E28" s="4">
        <f>daily!P38</f>
        <v>48.629258064516122</v>
      </c>
      <c r="F28" s="4">
        <f t="shared" si="1"/>
        <v>41.373821416421222</v>
      </c>
    </row>
    <row r="29" spans="1:6" x14ac:dyDescent="0.25">
      <c r="A29" s="1">
        <f>daily!B39</f>
        <v>34912</v>
      </c>
      <c r="B29" s="23">
        <f>daily!T39</f>
        <v>1.2019306794783802</v>
      </c>
      <c r="C29" s="4">
        <f>daily!N39</f>
        <v>47.647129032258064</v>
      </c>
      <c r="D29" s="4">
        <f t="shared" si="2"/>
        <v>48.055613414969045</v>
      </c>
      <c r="E29" s="4">
        <f>daily!P39</f>
        <v>50.546903225806453</v>
      </c>
      <c r="F29" s="4">
        <f t="shared" si="1"/>
        <v>48.968326596950845</v>
      </c>
    </row>
    <row r="30" spans="1:6" x14ac:dyDescent="0.25">
      <c r="A30" s="1">
        <f>daily!B40</f>
        <v>34943</v>
      </c>
      <c r="B30" s="23">
        <f>daily!T40</f>
        <v>1.18925390070922</v>
      </c>
      <c r="C30" s="4">
        <f>daily!N40</f>
        <v>47.328566666666667</v>
      </c>
      <c r="D30" s="4">
        <f t="shared" si="2"/>
        <v>46.7722282428374</v>
      </c>
      <c r="E30" s="4">
        <f>daily!P40</f>
        <v>52.113266666666661</v>
      </c>
      <c r="F30" s="4">
        <f t="shared" si="1"/>
        <v>47.56350920100968</v>
      </c>
    </row>
    <row r="31" spans="1:6" x14ac:dyDescent="0.25">
      <c r="A31" s="1">
        <f>daily!B41</f>
        <v>34973</v>
      </c>
      <c r="B31" s="23">
        <f>daily!T41</f>
        <v>1.1666508064516126</v>
      </c>
      <c r="C31" s="4">
        <f>daily!N41</f>
        <v>46.576322580645162</v>
      </c>
      <c r="D31" s="4">
        <f t="shared" si="2"/>
        <v>44.483912216917744</v>
      </c>
      <c r="E31" s="4">
        <f>daily!P41</f>
        <v>54.562096774193549</v>
      </c>
      <c r="F31" s="4">
        <f t="shared" si="1"/>
        <v>45.058675710309871</v>
      </c>
    </row>
    <row r="32" spans="1:6" x14ac:dyDescent="0.25">
      <c r="A32" s="1">
        <f>daily!B42</f>
        <v>35004</v>
      </c>
      <c r="B32" s="23">
        <f>daily!T42</f>
        <v>1.1831967479674796</v>
      </c>
      <c r="C32" s="4">
        <f>daily!N42</f>
        <v>46.967200000000005</v>
      </c>
      <c r="D32" s="4">
        <f t="shared" si="2"/>
        <v>46.159007790256993</v>
      </c>
      <c r="E32" s="4">
        <f>daily!P42</f>
        <v>50.9833</v>
      </c>
      <c r="F32" s="4">
        <f t="shared" si="1"/>
        <v>46.892266632497666</v>
      </c>
    </row>
    <row r="33" spans="1:6" x14ac:dyDescent="0.25">
      <c r="A33" s="1">
        <f>daily!B43</f>
        <v>35034</v>
      </c>
      <c r="B33" s="23">
        <f>daily!T43</f>
        <v>1.1940592648162038</v>
      </c>
      <c r="C33" s="4">
        <f>daily!N43</f>
        <v>53.079032258064515</v>
      </c>
      <c r="D33" s="4">
        <f t="shared" si="2"/>
        <v>47.258718790152145</v>
      </c>
      <c r="E33" s="4">
        <f>daily!P43</f>
        <v>58.510096774193549</v>
      </c>
      <c r="F33" s="4">
        <f t="shared" si="1"/>
        <v>48.096030846630356</v>
      </c>
    </row>
    <row r="34" spans="1:6" x14ac:dyDescent="0.25">
      <c r="A34" s="1">
        <f>daily!B44</f>
        <v>35065</v>
      </c>
      <c r="B34" s="23">
        <f>daily!T44</f>
        <v>1.1240210052513127</v>
      </c>
      <c r="C34" s="4">
        <f>daily!N44</f>
        <v>46.769774193548386</v>
      </c>
      <c r="D34" s="4">
        <f t="shared" si="2"/>
        <v>40.168111196197614</v>
      </c>
      <c r="E34" s="4">
        <f>daily!P44</f>
        <v>51.68616129032258</v>
      </c>
      <c r="F34" s="4">
        <f t="shared" si="1"/>
        <v>40.334519250516848</v>
      </c>
    </row>
    <row r="35" spans="1:6" x14ac:dyDescent="0.25">
      <c r="A35" s="1">
        <f>daily!B45</f>
        <v>35096</v>
      </c>
      <c r="B35" s="23">
        <f>daily!T45</f>
        <v>1.0828692862870888</v>
      </c>
      <c r="C35" s="4">
        <f>daily!N45</f>
        <v>38.990724137931032</v>
      </c>
      <c r="D35" s="4">
        <f t="shared" si="2"/>
        <v>36.001949832326758</v>
      </c>
      <c r="E35" s="4">
        <f>daily!P45</f>
        <v>41.920620689655173</v>
      </c>
      <c r="F35" s="4">
        <f t="shared" si="1"/>
        <v>35.774161155882865</v>
      </c>
    </row>
    <row r="36" spans="1:6" x14ac:dyDescent="0.25">
      <c r="A36" s="1">
        <f>daily!B46</f>
        <v>35125</v>
      </c>
      <c r="B36" s="23">
        <f>daily!T46</f>
        <v>1.1128334583645909</v>
      </c>
      <c r="C36" s="4">
        <f>daily!N46</f>
        <v>34.634387096774191</v>
      </c>
      <c r="D36" s="4">
        <f t="shared" si="2"/>
        <v>39.035494460637324</v>
      </c>
      <c r="E36" s="4">
        <f>daily!P46</f>
        <v>42.602451612903224</v>
      </c>
      <c r="F36" s="4">
        <f t="shared" si="1"/>
        <v>39.094735803115455</v>
      </c>
    </row>
    <row r="37" spans="1:6" x14ac:dyDescent="0.25">
      <c r="A37" s="1">
        <f>daily!B47</f>
        <v>35156</v>
      </c>
      <c r="B37" s="23">
        <f>daily!T47</f>
        <v>1.0913752380952382</v>
      </c>
      <c r="C37" s="4">
        <f>daily!N47</f>
        <v>35.823799999999999</v>
      </c>
      <c r="D37" s="4">
        <f t="shared" si="2"/>
        <v>36.863084401623055</v>
      </c>
      <c r="E37" s="4">
        <f>daily!P47</f>
        <v>36.444466666666663</v>
      </c>
      <c r="F37" s="4">
        <f t="shared" si="1"/>
        <v>36.71677515007795</v>
      </c>
    </row>
    <row r="38" spans="1:6" x14ac:dyDescent="0.25">
      <c r="A38" s="1">
        <f>daily!B48</f>
        <v>35186</v>
      </c>
      <c r="B38" s="23">
        <f>daily!T48</f>
        <v>1.2144728110599077</v>
      </c>
      <c r="C38" s="4">
        <f>daily!N48</f>
        <v>43.540129032258065</v>
      </c>
      <c r="D38" s="4">
        <f t="shared" si="2"/>
        <v>49.325367032332437</v>
      </c>
      <c r="E38" s="4">
        <f>daily!P48</f>
        <v>50.628677419354837</v>
      </c>
      <c r="F38" s="4">
        <f t="shared" si="1"/>
        <v>50.35822263826833</v>
      </c>
    </row>
    <row r="39" spans="1:6" x14ac:dyDescent="0.25">
      <c r="A39" s="1">
        <f>daily!B49</f>
        <v>35217</v>
      </c>
      <c r="B39" s="23">
        <f>daily!T49</f>
        <v>1.2165517543859647</v>
      </c>
      <c r="C39" s="4">
        <f>daily!N49</f>
        <v>50.595266666666667</v>
      </c>
      <c r="D39" s="4">
        <f t="shared" si="2"/>
        <v>49.535837301392775</v>
      </c>
      <c r="E39" s="4">
        <f>daily!P49</f>
        <v>53.477099999999993</v>
      </c>
      <c r="F39" s="4">
        <f t="shared" si="1"/>
        <v>50.588607328480464</v>
      </c>
    </row>
    <row r="40" spans="1:6" x14ac:dyDescent="0.25">
      <c r="A40" s="1">
        <f>daily!B50</f>
        <v>35247</v>
      </c>
      <c r="B40" s="23">
        <f>daily!T50</f>
        <v>1.2168024193548386</v>
      </c>
      <c r="C40" s="4">
        <f>daily!N50</f>
        <v>52.680774193548388</v>
      </c>
      <c r="D40" s="4">
        <f t="shared" si="2"/>
        <v>49.561214387329485</v>
      </c>
      <c r="E40" s="4">
        <f>daily!P50</f>
        <v>64.97893548387097</v>
      </c>
      <c r="F40" s="4">
        <f t="shared" ref="F40:F71" si="3">$E$107+$E$108*$B40</f>
        <v>50.616385561045632</v>
      </c>
    </row>
    <row r="41" spans="1:6" x14ac:dyDescent="0.25">
      <c r="A41" s="1">
        <f>daily!B51</f>
        <v>35278</v>
      </c>
      <c r="B41" s="23">
        <f>daily!T51</f>
        <v>1.2450735183795947</v>
      </c>
      <c r="C41" s="4">
        <f>daily!N51</f>
        <v>51.980258064516129</v>
      </c>
      <c r="D41" s="4">
        <f t="shared" si="2"/>
        <v>52.423353890505581</v>
      </c>
      <c r="E41" s="4">
        <f>daily!P51</f>
        <v>65.827161290322579</v>
      </c>
      <c r="F41" s="4">
        <f t="shared" si="3"/>
        <v>53.749336954736634</v>
      </c>
    </row>
    <row r="42" spans="1:6" x14ac:dyDescent="0.25">
      <c r="A42" s="1">
        <f>daily!B52</f>
        <v>35309</v>
      </c>
      <c r="B42" s="23">
        <f>daily!T52</f>
        <v>1.2520878787878789</v>
      </c>
      <c r="C42" s="4">
        <f>daily!N52</f>
        <v>56.388833333333331</v>
      </c>
      <c r="D42" s="4">
        <f t="shared" si="2"/>
        <v>53.133481147903126</v>
      </c>
      <c r="E42" s="4">
        <f>daily!P52</f>
        <v>69.785833333333329</v>
      </c>
      <c r="F42" s="4">
        <f t="shared" si="3"/>
        <v>54.526655522993963</v>
      </c>
    </row>
    <row r="43" spans="1:6" x14ac:dyDescent="0.25">
      <c r="A43" s="1">
        <f>daily!B53</f>
        <v>35339</v>
      </c>
      <c r="B43" s="23">
        <f>daily!T53</f>
        <v>1.263968458781362</v>
      </c>
      <c r="C43" s="4">
        <f>daily!N53</f>
        <v>55.451967741935484</v>
      </c>
      <c r="D43" s="4">
        <f t="shared" si="2"/>
        <v>54.336259904053207</v>
      </c>
      <c r="E43" s="4">
        <f>daily!P53</f>
        <v>67.485741935483873</v>
      </c>
      <c r="F43" s="4">
        <f t="shared" si="3"/>
        <v>55.843239629464222</v>
      </c>
    </row>
    <row r="44" spans="1:6" x14ac:dyDescent="0.25">
      <c r="A44" s="1">
        <f>daily!B54</f>
        <v>35370</v>
      </c>
      <c r="B44" s="23">
        <f>daily!T54</f>
        <v>1.2843177777777777</v>
      </c>
      <c r="C44" s="4">
        <f>daily!N54</f>
        <v>65.191766666666666</v>
      </c>
      <c r="D44" s="4">
        <f t="shared" si="2"/>
        <v>56.396405840062698</v>
      </c>
      <c r="E44" s="4">
        <f>daily!P54</f>
        <v>74.36066666666666</v>
      </c>
      <c r="F44" s="4">
        <f t="shared" si="3"/>
        <v>58.098313875239256</v>
      </c>
    </row>
    <row r="45" spans="1:6" x14ac:dyDescent="0.25">
      <c r="A45" s="1">
        <f>daily!B55</f>
        <v>35400</v>
      </c>
      <c r="B45" s="23">
        <f>daily!T55</f>
        <v>1.2656086021505375</v>
      </c>
      <c r="C45" s="4">
        <f>daily!N55</f>
        <v>59.907064516129033</v>
      </c>
      <c r="D45" s="4">
        <f t="shared" si="2"/>
        <v>54.502306477753052</v>
      </c>
      <c r="E45" s="4">
        <f>daily!P55</f>
        <v>64.675709677419349</v>
      </c>
      <c r="F45" s="4">
        <f t="shared" si="3"/>
        <v>56.024997312453905</v>
      </c>
    </row>
    <row r="46" spans="1:6" x14ac:dyDescent="0.25">
      <c r="A46" s="1">
        <f>daily!B56</f>
        <v>35431</v>
      </c>
      <c r="B46" s="23">
        <f>daily!T56</f>
        <v>1.1978222976796831</v>
      </c>
      <c r="C46" s="4">
        <f>daily!N56</f>
        <v>50.62216129032258</v>
      </c>
      <c r="D46" s="4">
        <f t="shared" si="2"/>
        <v>47.639684701696041</v>
      </c>
      <c r="E46" s="4">
        <f>daily!P56</f>
        <v>52.469193548387096</v>
      </c>
      <c r="F46" s="4">
        <f t="shared" si="3"/>
        <v>48.513043253676102</v>
      </c>
    </row>
    <row r="47" spans="1:6" x14ac:dyDescent="0.25">
      <c r="A47" s="1">
        <f>daily!B57</f>
        <v>35462</v>
      </c>
      <c r="B47" s="23">
        <f>daily!T57</f>
        <v>1.2228734335839599</v>
      </c>
      <c r="C47" s="4">
        <f>daily!N57</f>
        <v>46.586857142857141</v>
      </c>
      <c r="D47" s="4">
        <f t="shared" si="2"/>
        <v>50.175838163868789</v>
      </c>
      <c r="E47" s="4">
        <f>daily!P57</f>
        <v>49.152750000000005</v>
      </c>
      <c r="F47" s="4">
        <f t="shared" si="3"/>
        <v>51.289164234191247</v>
      </c>
    </row>
    <row r="48" spans="1:6" x14ac:dyDescent="0.25">
      <c r="A48" s="1">
        <f>daily!B58</f>
        <v>35490</v>
      </c>
      <c r="B48" s="23">
        <f>daily!T58</f>
        <v>1.2841544665012405</v>
      </c>
      <c r="C48" s="4">
        <f>daily!N58</f>
        <v>48.727032258064519</v>
      </c>
      <c r="D48" s="4">
        <f t="shared" si="2"/>
        <v>56.379872359865061</v>
      </c>
      <c r="E48" s="4">
        <f>daily!P58</f>
        <v>48.669451612903224</v>
      </c>
      <c r="F48" s="4">
        <f t="shared" si="3"/>
        <v>58.080216018803441</v>
      </c>
    </row>
    <row r="49" spans="1:9" x14ac:dyDescent="0.25">
      <c r="A49" s="1">
        <f>daily!B59</f>
        <v>35521</v>
      </c>
      <c r="B49" s="23">
        <f>daily!T59</f>
        <v>1.2535673469387754</v>
      </c>
      <c r="C49" s="4">
        <f>daily!N59</f>
        <v>48.681699999999999</v>
      </c>
      <c r="D49" s="4">
        <f t="shared" si="2"/>
        <v>53.283261113466679</v>
      </c>
      <c r="E49" s="4">
        <f>daily!P59</f>
        <v>52.786700000000003</v>
      </c>
      <c r="F49" s="4">
        <f t="shared" si="3"/>
        <v>54.69060747269404</v>
      </c>
    </row>
    <row r="50" spans="1:9" x14ac:dyDescent="0.25">
      <c r="A50" s="1">
        <f>daily!B60</f>
        <v>35551</v>
      </c>
      <c r="B50" s="23">
        <f>daily!T60</f>
        <v>1.2118123765635285</v>
      </c>
      <c r="C50" s="4">
        <f>daily!N60</f>
        <v>46.932064516129032</v>
      </c>
      <c r="D50" s="4">
        <f t="shared" si="2"/>
        <v>49.056027143528269</v>
      </c>
      <c r="E50" s="4">
        <f>daily!P60</f>
        <v>44.885838709677422</v>
      </c>
      <c r="F50" s="4">
        <f t="shared" si="3"/>
        <v>50.063398162008809</v>
      </c>
    </row>
    <row r="51" spans="1:9" x14ac:dyDescent="0.25">
      <c r="A51" s="1">
        <f>daily!B61</f>
        <v>35582</v>
      </c>
      <c r="B51" s="23">
        <f>daily!T61</f>
        <v>1.2667340909090909</v>
      </c>
      <c r="C51" s="4">
        <f>daily!N61</f>
        <v>54.199466666666666</v>
      </c>
      <c r="D51" s="4">
        <f t="shared" si="2"/>
        <v>54.61624990221685</v>
      </c>
      <c r="E51" s="4">
        <f>daily!P61</f>
        <v>48.798400000000001</v>
      </c>
      <c r="F51" s="4">
        <f t="shared" si="3"/>
        <v>56.149721914479642</v>
      </c>
    </row>
    <row r="52" spans="1:9" x14ac:dyDescent="0.25">
      <c r="A52" s="1">
        <f>daily!B62</f>
        <v>35612</v>
      </c>
      <c r="B52" s="23">
        <f>daily!T62</f>
        <v>1.2723577712609973</v>
      </c>
      <c r="C52" s="4">
        <f>daily!N62</f>
        <v>59.030774193548389</v>
      </c>
      <c r="D52" s="4">
        <f t="shared" si="2"/>
        <v>55.185586017319139</v>
      </c>
      <c r="E52" s="4">
        <f>daily!P62</f>
        <v>59.610709677419358</v>
      </c>
      <c r="F52" s="4">
        <f t="shared" si="3"/>
        <v>56.772927866987885</v>
      </c>
    </row>
    <row r="53" spans="1:9" x14ac:dyDescent="0.25">
      <c r="A53" s="1">
        <f>daily!B63</f>
        <v>35643</v>
      </c>
      <c r="B53" s="23">
        <f>daily!T63</f>
        <v>1.3201514726507715</v>
      </c>
      <c r="C53" s="4">
        <f>daily!N63</f>
        <v>61.103741935483868</v>
      </c>
      <c r="D53" s="4">
        <f t="shared" si="2"/>
        <v>60.024175441483038</v>
      </c>
      <c r="E53" s="4">
        <f>daily!P63</f>
        <v>65.09293548387096</v>
      </c>
      <c r="F53" s="4">
        <f t="shared" si="3"/>
        <v>62.069338284128946</v>
      </c>
    </row>
    <row r="54" spans="1:9" x14ac:dyDescent="0.25">
      <c r="A54" s="1">
        <f>daily!B64</f>
        <v>35674</v>
      </c>
      <c r="B54" s="23">
        <f>daily!T64</f>
        <v>1.3073007246376811</v>
      </c>
      <c r="C54" s="4">
        <f>daily!N64</f>
        <v>66.394199999999998</v>
      </c>
      <c r="D54" s="4">
        <f t="shared" si="2"/>
        <v>58.723177786548575</v>
      </c>
      <c r="E54" s="4">
        <f>daily!P64</f>
        <v>63.549166666666665</v>
      </c>
      <c r="F54" s="4">
        <f t="shared" si="3"/>
        <v>60.645241935333701</v>
      </c>
    </row>
    <row r="55" spans="1:9" x14ac:dyDescent="0.25">
      <c r="A55" s="1">
        <f>daily!B65</f>
        <v>35704</v>
      </c>
      <c r="B55" s="23">
        <f>daily!T65</f>
        <v>1.3190631994733377</v>
      </c>
      <c r="C55" s="4">
        <f>daily!N65</f>
        <v>66.880451612903215</v>
      </c>
      <c r="D55" s="4">
        <f t="shared" si="2"/>
        <v>59.913999687485898</v>
      </c>
      <c r="E55" s="4">
        <f>daily!P65</f>
        <v>71.209064516129018</v>
      </c>
      <c r="F55" s="4">
        <f t="shared" si="3"/>
        <v>61.94873784461393</v>
      </c>
    </row>
    <row r="56" spans="1:9" x14ac:dyDescent="0.25">
      <c r="A56" s="1">
        <f>daily!B66</f>
        <v>35735</v>
      </c>
      <c r="B56" s="23">
        <f>daily!T66</f>
        <v>1.3848506944444443</v>
      </c>
      <c r="C56" s="4">
        <f>daily!N66</f>
        <v>68.586333333333343</v>
      </c>
      <c r="D56" s="4">
        <f t="shared" si="2"/>
        <v>66.574263867768423</v>
      </c>
      <c r="E56" s="4">
        <f>daily!P66</f>
        <v>66.615100000000012</v>
      </c>
      <c r="F56" s="4">
        <f t="shared" si="3"/>
        <v>69.239187496984528</v>
      </c>
    </row>
    <row r="57" spans="1:9" x14ac:dyDescent="0.25">
      <c r="A57" s="1">
        <f>daily!B67</f>
        <v>35765</v>
      </c>
      <c r="B57" s="23">
        <f>daily!T67</f>
        <v>1.3395376344086021</v>
      </c>
      <c r="C57" s="4">
        <f>daily!N67</f>
        <v>62.230322580645165</v>
      </c>
      <c r="D57" s="4">
        <f t="shared" si="2"/>
        <v>61.986812243591828</v>
      </c>
      <c r="E57" s="4">
        <f>daily!P67</f>
        <v>64.963838709677418</v>
      </c>
      <c r="F57" s="4">
        <f t="shared" si="3"/>
        <v>64.217677209486226</v>
      </c>
    </row>
    <row r="58" spans="1:9" x14ac:dyDescent="0.25">
      <c r="A58" s="1">
        <f>daily!B68</f>
        <v>35796</v>
      </c>
      <c r="B58" s="23">
        <f>daily!T68</f>
        <v>1.2897963709677418</v>
      </c>
      <c r="C58" s="4">
        <f>daily!N68</f>
        <v>57.434935483870966</v>
      </c>
      <c r="D58" s="4">
        <f t="shared" si="2"/>
        <v>56.951053467206464</v>
      </c>
      <c r="E58" s="4">
        <f>daily!P68</f>
        <v>54.211999999999996</v>
      </c>
      <c r="F58" s="4">
        <f t="shared" si="3"/>
        <v>58.705441534299609</v>
      </c>
      <c r="H58" s="23">
        <f>filings!AO68/filings!A68</f>
        <v>1.2566070949999999</v>
      </c>
      <c r="I58" s="4">
        <f>C58</f>
        <v>57.434935483870966</v>
      </c>
    </row>
    <row r="59" spans="1:9" x14ac:dyDescent="0.25">
      <c r="A59" s="1">
        <f>daily!B69</f>
        <v>35827</v>
      </c>
      <c r="B59" s="23">
        <f>daily!T69</f>
        <v>1.3435543154761906</v>
      </c>
      <c r="C59" s="4">
        <f>daily!N69</f>
        <v>60.090714285714284</v>
      </c>
      <c r="D59" s="4">
        <f t="shared" si="2"/>
        <v>62.393457261004784</v>
      </c>
      <c r="E59" s="4">
        <f>daily!P69</f>
        <v>59.722642857142851</v>
      </c>
      <c r="F59" s="4">
        <f t="shared" si="3"/>
        <v>64.662798445759876</v>
      </c>
      <c r="H59" s="23">
        <f>filings!AO69/filings!A69</f>
        <v>1.3089221408928571</v>
      </c>
      <c r="I59" s="4">
        <f t="shared" ref="I59:I91" si="4">C59</f>
        <v>60.090714285714284</v>
      </c>
    </row>
    <row r="60" spans="1:9" x14ac:dyDescent="0.25">
      <c r="A60" s="1">
        <f>daily!B70</f>
        <v>35855</v>
      </c>
      <c r="B60" s="23">
        <f>daily!T70</f>
        <v>1.3798293906810037</v>
      </c>
      <c r="C60" s="4">
        <f>daily!N70</f>
        <v>64.092741935483872</v>
      </c>
      <c r="D60" s="4">
        <f t="shared" si="2"/>
        <v>66.065911792519927</v>
      </c>
      <c r="E60" s="4">
        <f>daily!P70</f>
        <v>62.659193548387094</v>
      </c>
      <c r="F60" s="4">
        <f t="shared" si="3"/>
        <v>68.682735814294688</v>
      </c>
      <c r="H60" s="23">
        <f>filings!AO70/filings!A70</f>
        <v>1.3464647102580645</v>
      </c>
      <c r="I60" s="4">
        <f t="shared" si="4"/>
        <v>64.092741935483872</v>
      </c>
    </row>
    <row r="61" spans="1:9" x14ac:dyDescent="0.25">
      <c r="A61" s="1">
        <f>daily!B71</f>
        <v>35886</v>
      </c>
      <c r="B61" s="23">
        <f>daily!T71</f>
        <v>1.3579519379844962</v>
      </c>
      <c r="C61" s="4">
        <f>daily!N71</f>
        <v>64.737833333333327</v>
      </c>
      <c r="D61" s="4">
        <f t="shared" si="2"/>
        <v>63.851059036470048</v>
      </c>
      <c r="E61" s="4">
        <f>daily!P71</f>
        <v>65.279600000000002</v>
      </c>
      <c r="F61" s="4">
        <f t="shared" si="3"/>
        <v>66.258316591826087</v>
      </c>
      <c r="H61" s="23">
        <f>filings!AO71/filings!A71</f>
        <v>1.3221333097666668</v>
      </c>
      <c r="I61" s="4">
        <f t="shared" si="4"/>
        <v>64.737833333333327</v>
      </c>
    </row>
    <row r="62" spans="1:9" x14ac:dyDescent="0.25">
      <c r="A62" s="1">
        <f>daily!B72</f>
        <v>35916</v>
      </c>
      <c r="B62" s="23">
        <f>daily!T72</f>
        <v>1.2930329912023462</v>
      </c>
      <c r="C62" s="4">
        <f>daily!N72</f>
        <v>57.619774193548388</v>
      </c>
      <c r="D62" s="4">
        <f t="shared" si="2"/>
        <v>57.278725858793678</v>
      </c>
      <c r="E62" s="4">
        <f>daily!P72</f>
        <v>64.385387096774195</v>
      </c>
      <c r="F62" s="4">
        <f t="shared" si="3"/>
        <v>59.064117858342513</v>
      </c>
      <c r="H62" s="23">
        <f>filings!AO72/filings!A72</f>
        <v>1.2646738518709677</v>
      </c>
      <c r="I62" s="4">
        <f t="shared" si="4"/>
        <v>57.619774193548388</v>
      </c>
    </row>
    <row r="63" spans="1:9" x14ac:dyDescent="0.25">
      <c r="A63" s="1">
        <f>daily!B73</f>
        <v>35947</v>
      </c>
      <c r="B63" s="23">
        <f>daily!T73</f>
        <v>1.3201401515151516</v>
      </c>
      <c r="C63" s="4">
        <f>daily!N73</f>
        <v>54.679133333333333</v>
      </c>
      <c r="D63" s="4">
        <f t="shared" si="2"/>
        <v>60.023029300349634</v>
      </c>
      <c r="E63" s="4">
        <f>daily!P73</f>
        <v>53.046266666666661</v>
      </c>
      <c r="F63" s="4">
        <f t="shared" si="3"/>
        <v>62.068083696622892</v>
      </c>
      <c r="H63" s="23">
        <f>filings!AO73/filings!A73</f>
        <v>1.2875806883666667</v>
      </c>
      <c r="I63" s="4">
        <f t="shared" si="4"/>
        <v>54.679133333333333</v>
      </c>
    </row>
    <row r="64" spans="1:9" x14ac:dyDescent="0.25">
      <c r="A64" s="1">
        <f>daily!B74</f>
        <v>35977</v>
      </c>
      <c r="B64" s="23">
        <f>daily!T74</f>
        <v>1.3187368035190619</v>
      </c>
      <c r="C64" s="4">
        <f>daily!N74</f>
        <v>62.194483870967744</v>
      </c>
      <c r="D64" s="4">
        <f t="shared" si="2"/>
        <v>59.880955667740096</v>
      </c>
      <c r="E64" s="4">
        <f>daily!P74</f>
        <v>65.54129032258065</v>
      </c>
      <c r="F64" s="4">
        <f t="shared" si="3"/>
        <v>61.912567243005981</v>
      </c>
      <c r="H64" s="23">
        <f>filings!AO74/filings!A74</f>
        <v>1.2775131324193549</v>
      </c>
      <c r="I64" s="4">
        <f t="shared" si="4"/>
        <v>62.194483870967744</v>
      </c>
    </row>
    <row r="65" spans="1:9" x14ac:dyDescent="0.25">
      <c r="A65" s="1">
        <f>daily!B75</f>
        <v>36008</v>
      </c>
      <c r="B65" s="23">
        <f>daily!T75</f>
        <v>1.3087668010752687</v>
      </c>
      <c r="C65" s="4">
        <f>daily!N75</f>
        <v>62.550225806451614</v>
      </c>
      <c r="D65" s="4">
        <f t="shared" si="2"/>
        <v>58.871601987638911</v>
      </c>
      <c r="E65" s="4">
        <f>daily!P75</f>
        <v>62.22032258064516</v>
      </c>
      <c r="F65" s="4">
        <f t="shared" si="3"/>
        <v>60.807709839902088</v>
      </c>
      <c r="H65" s="23">
        <f>filings!AO75/filings!A75</f>
        <v>1.2670272633548387</v>
      </c>
      <c r="I65" s="4">
        <f t="shared" si="4"/>
        <v>62.550225806451614</v>
      </c>
    </row>
    <row r="66" spans="1:9" x14ac:dyDescent="0.25">
      <c r="A66" s="1">
        <f>daily!B76</f>
        <v>36039</v>
      </c>
      <c r="B66" s="23">
        <f>daily!T76</f>
        <v>1.3383541666666665</v>
      </c>
      <c r="C66" s="4">
        <f>daily!N76</f>
        <v>64.647733333333335</v>
      </c>
      <c r="D66" s="4">
        <f t="shared" si="2"/>
        <v>61.866999081324536</v>
      </c>
      <c r="E66" s="4">
        <f>daily!P76</f>
        <v>72.014499999999998</v>
      </c>
      <c r="F66" s="4">
        <f t="shared" si="3"/>
        <v>64.086527482755116</v>
      </c>
      <c r="H66" s="23">
        <f>filings!AO76/filings!A76</f>
        <v>1.3025476630333332</v>
      </c>
      <c r="I66" s="4">
        <f t="shared" si="4"/>
        <v>64.647733333333335</v>
      </c>
    </row>
    <row r="67" spans="1:9" x14ac:dyDescent="0.25">
      <c r="A67" s="1">
        <f>daily!B77</f>
        <v>36069</v>
      </c>
      <c r="B67" s="23">
        <f>daily!T77</f>
        <v>1.2905685483870968</v>
      </c>
      <c r="C67" s="4">
        <f>daily!N77</f>
        <v>59.845290322580645</v>
      </c>
      <c r="D67" s="4">
        <f t="shared" si="2"/>
        <v>57.029227983643239</v>
      </c>
      <c r="E67" s="4">
        <f>daily!P77</f>
        <v>48.449838709677415</v>
      </c>
      <c r="F67" s="4">
        <f t="shared" si="3"/>
        <v>58.791012821076492</v>
      </c>
      <c r="H67" s="23">
        <f>filings!AO77/filings!A77</f>
        <v>1.2605731980322579</v>
      </c>
      <c r="I67" s="4">
        <f t="shared" si="4"/>
        <v>59.845290322580645</v>
      </c>
    </row>
    <row r="68" spans="1:9" x14ac:dyDescent="0.25">
      <c r="A68" s="1">
        <f>daily!B78</f>
        <v>36100</v>
      </c>
      <c r="B68" s="23">
        <f>daily!T78</f>
        <v>1.3247548611111111</v>
      </c>
      <c r="C68" s="4">
        <f>daily!N78</f>
        <v>59.755000000000003</v>
      </c>
      <c r="D68" s="4">
        <f t="shared" si="2"/>
        <v>60.49021816409757</v>
      </c>
      <c r="E68" s="4">
        <f>daily!P78</f>
        <v>57.321533333333342</v>
      </c>
      <c r="F68" s="4">
        <f t="shared" si="3"/>
        <v>62.579477358662018</v>
      </c>
      <c r="H68" s="23">
        <f>filings!AO78/filings!A78</f>
        <v>1.2898362807000001</v>
      </c>
      <c r="I68" s="4">
        <f t="shared" si="4"/>
        <v>59.755000000000003</v>
      </c>
    </row>
    <row r="69" spans="1:9" x14ac:dyDescent="0.25">
      <c r="A69" s="1">
        <f>daily!B79</f>
        <v>36130</v>
      </c>
      <c r="B69" s="23">
        <f>daily!T79</f>
        <v>1.3240362903225806</v>
      </c>
      <c r="C69" s="4">
        <f>daily!N79</f>
        <v>58.43</v>
      </c>
      <c r="D69" s="4">
        <f t="shared" si="2"/>
        <v>60.417470732599412</v>
      </c>
      <c r="E69" s="4">
        <f>daily!P79</f>
        <v>56.234483870967743</v>
      </c>
      <c r="F69" s="4">
        <f t="shared" si="3"/>
        <v>62.499846660491386</v>
      </c>
      <c r="H69" s="23">
        <f>filings!AO79/filings!A79</f>
        <v>1.2838456189999998</v>
      </c>
      <c r="I69" s="4">
        <f t="shared" si="4"/>
        <v>58.43</v>
      </c>
    </row>
    <row r="70" spans="1:9" x14ac:dyDescent="0.25">
      <c r="A70" s="1">
        <f>daily!B80</f>
        <v>36161</v>
      </c>
      <c r="B70" s="23">
        <f>daily!T80</f>
        <v>1.2609912634408602</v>
      </c>
      <c r="C70" s="4">
        <f>daily!N80</f>
        <v>47.922000000000004</v>
      </c>
      <c r="D70" s="4">
        <f t="shared" si="2"/>
        <v>54.034851445002488</v>
      </c>
      <c r="E70" s="4">
        <f>daily!P80</f>
        <v>42.850612903225809</v>
      </c>
      <c r="F70" s="4">
        <f t="shared" si="3"/>
        <v>55.513312296849818</v>
      </c>
      <c r="H70" s="23">
        <f>filings!AO80/filings!A80</f>
        <v>1.2389496152258064</v>
      </c>
      <c r="I70" s="4">
        <f t="shared" si="4"/>
        <v>47.922000000000004</v>
      </c>
    </row>
    <row r="71" spans="1:9" x14ac:dyDescent="0.25">
      <c r="A71" s="1">
        <f>daily!B81</f>
        <v>36192</v>
      </c>
      <c r="B71" s="23">
        <f>daily!T81</f>
        <v>1.248281462585034</v>
      </c>
      <c r="C71" s="4">
        <f>daily!N81</f>
        <v>45.404964285714286</v>
      </c>
      <c r="D71" s="4">
        <f t="shared" si="2"/>
        <v>52.748123147842648</v>
      </c>
      <c r="E71" s="4">
        <f>daily!P81</f>
        <v>33.244321428571425</v>
      </c>
      <c r="F71" s="4">
        <f t="shared" si="3"/>
        <v>54.104835453769624</v>
      </c>
      <c r="H71" s="23">
        <f>filings!AO81/filings!A81</f>
        <v>1.2223196645000001</v>
      </c>
      <c r="I71" s="4">
        <f t="shared" si="4"/>
        <v>45.404964285714286</v>
      </c>
    </row>
    <row r="72" spans="1:9" x14ac:dyDescent="0.25">
      <c r="A72" s="1">
        <f>daily!B82</f>
        <v>36220</v>
      </c>
      <c r="B72" s="23">
        <f>daily!T82</f>
        <v>1.163005376344086</v>
      </c>
      <c r="C72" s="4">
        <f>daily!N82</f>
        <v>38.247903225806446</v>
      </c>
      <c r="D72" s="4">
        <f t="shared" si="2"/>
        <v>44.114852297892924</v>
      </c>
      <c r="E72" s="4">
        <f>daily!P82</f>
        <v>28.405741935483871</v>
      </c>
      <c r="F72" s="4">
        <f t="shared" ref="F72:F91" si="5">$E$107+$E$108*$B72</f>
        <v>44.654695825199013</v>
      </c>
      <c r="H72" s="23">
        <f>filings!AO82/filings!A82</f>
        <v>1.1404843553225805</v>
      </c>
      <c r="I72" s="4">
        <f t="shared" si="4"/>
        <v>38.247903225806446</v>
      </c>
    </row>
    <row r="73" spans="1:9" x14ac:dyDescent="0.25">
      <c r="A73" s="1">
        <f>daily!B83</f>
        <v>36251</v>
      </c>
      <c r="B73" s="23">
        <f>daily!T83</f>
        <v>1.2558504761904763</v>
      </c>
      <c r="C73" s="4">
        <f>daily!N83</f>
        <v>50.576999999999998</v>
      </c>
      <c r="D73" s="4">
        <f t="shared" si="2"/>
        <v>53.514402973796479</v>
      </c>
      <c r="E73" s="4">
        <f>daily!P83</f>
        <v>52.68183333333333</v>
      </c>
      <c r="F73" s="4">
        <f t="shared" si="5"/>
        <v>54.94361967306267</v>
      </c>
      <c r="H73" s="23">
        <f>filings!AO83/filings!A83</f>
        <v>1.2257914155666667</v>
      </c>
      <c r="I73" s="4">
        <f t="shared" si="4"/>
        <v>50.576999999999998</v>
      </c>
    </row>
    <row r="74" spans="1:9" x14ac:dyDescent="0.25">
      <c r="A74" s="1">
        <f>daily!B84</f>
        <v>36281</v>
      </c>
      <c r="B74" s="23">
        <f>daily!T84</f>
        <v>1.1834018433179725</v>
      </c>
      <c r="C74" s="4">
        <f>daily!N84</f>
        <v>45.71</v>
      </c>
      <c r="D74" s="4">
        <f t="shared" si="2"/>
        <v>46.179771450843702</v>
      </c>
      <c r="E74" s="4">
        <f>daily!P84</f>
        <v>43.335258064516132</v>
      </c>
      <c r="F74" s="4">
        <f t="shared" si="5"/>
        <v>46.914994923449626</v>
      </c>
      <c r="H74" s="23">
        <f>filings!AO84/filings!A84</f>
        <v>1.1572094902580645</v>
      </c>
      <c r="I74" s="4">
        <f t="shared" si="4"/>
        <v>45.71</v>
      </c>
    </row>
    <row r="75" spans="1:9" x14ac:dyDescent="0.25">
      <c r="A75" s="1">
        <f>daily!B85</f>
        <v>36312</v>
      </c>
      <c r="B75" s="23">
        <f>daily!T85</f>
        <v>1.1268429824561401</v>
      </c>
      <c r="C75" s="4">
        <f>daily!N85</f>
        <v>35.313533333333332</v>
      </c>
      <c r="D75" s="4">
        <f t="shared" si="2"/>
        <v>40.453805517027746</v>
      </c>
      <c r="E75" s="4">
        <f>daily!P85</f>
        <v>32.3827</v>
      </c>
      <c r="F75" s="4">
        <f t="shared" si="5"/>
        <v>40.647245593737054</v>
      </c>
      <c r="H75" s="23">
        <f>filings!AO85/filings!A85</f>
        <v>1.1060641450666668</v>
      </c>
      <c r="I75" s="4">
        <f t="shared" si="4"/>
        <v>35.313533333333332</v>
      </c>
    </row>
    <row r="76" spans="1:9" x14ac:dyDescent="0.25">
      <c r="A76" s="1">
        <f>daily!B86</f>
        <v>36342</v>
      </c>
      <c r="B76" s="23">
        <f>daily!T86</f>
        <v>1.1792666666666667</v>
      </c>
      <c r="C76" s="4">
        <f>daily!N86</f>
        <v>42.772870967741937</v>
      </c>
      <c r="D76" s="4">
        <f t="shared" si="2"/>
        <v>45.761130051867681</v>
      </c>
      <c r="E76" s="4">
        <f>daily!P86</f>
        <v>39.552193548387102</v>
      </c>
      <c r="F76" s="4">
        <f t="shared" si="5"/>
        <v>46.456742223704111</v>
      </c>
      <c r="H76" s="23">
        <f>filings!AO86/filings!A86</f>
        <v>1.1569571270967742</v>
      </c>
      <c r="I76" s="4">
        <f t="shared" si="4"/>
        <v>42.772870967741937</v>
      </c>
    </row>
    <row r="77" spans="1:9" x14ac:dyDescent="0.25">
      <c r="A77" s="1">
        <f>daily!B87</f>
        <v>36373</v>
      </c>
      <c r="B77" s="23">
        <f>daily!T87</f>
        <v>1.2202354838709675</v>
      </c>
      <c r="C77" s="4">
        <f>daily!N87</f>
        <v>48.598258064516131</v>
      </c>
      <c r="D77" s="4">
        <f t="shared" si="2"/>
        <v>49.908774613409136</v>
      </c>
      <c r="E77" s="4">
        <f>daily!P87</f>
        <v>46.3158064516129</v>
      </c>
      <c r="F77" s="4">
        <f t="shared" si="5"/>
        <v>50.996831480428483</v>
      </c>
      <c r="H77" s="23">
        <f>filings!AO87/filings!A87</f>
        <v>1.1995554396774193</v>
      </c>
      <c r="I77" s="4">
        <f t="shared" si="4"/>
        <v>48.598258064516131</v>
      </c>
    </row>
    <row r="78" spans="1:9" x14ac:dyDescent="0.25">
      <c r="A78" s="1">
        <f>daily!B88</f>
        <v>36404</v>
      </c>
      <c r="B78" s="23">
        <f>daily!T88</f>
        <v>1.2866699999999998</v>
      </c>
      <c r="C78" s="4">
        <f>daily!N88</f>
        <v>60.2988</v>
      </c>
      <c r="D78" s="4">
        <f t="shared" si="2"/>
        <v>56.634542607811795</v>
      </c>
      <c r="E78" s="4">
        <f>daily!P88</f>
        <v>63.020333333333333</v>
      </c>
      <c r="F78" s="4">
        <f t="shared" si="5"/>
        <v>58.358982832004187</v>
      </c>
      <c r="H78" s="23">
        <f>filings!AO88/filings!A88</f>
        <v>1.2531501771</v>
      </c>
      <c r="I78" s="4">
        <f t="shared" si="4"/>
        <v>60.2988</v>
      </c>
    </row>
    <row r="79" spans="1:9" x14ac:dyDescent="0.25">
      <c r="A79" s="1">
        <f>daily!B89</f>
        <v>36434</v>
      </c>
      <c r="B79" s="23">
        <f>daily!T89</f>
        <v>1.286189516129032</v>
      </c>
      <c r="C79" s="4">
        <f>daily!N89</f>
        <v>61.913483870967738</v>
      </c>
      <c r="D79" s="4">
        <f t="shared" si="2"/>
        <v>56.58589887215328</v>
      </c>
      <c r="E79" s="4">
        <f>daily!P89</f>
        <v>69.142032258064503</v>
      </c>
      <c r="F79" s="4">
        <f t="shared" si="5"/>
        <v>58.305736489798818</v>
      </c>
      <c r="H79" s="23">
        <f>filings!AO89/filings!A89</f>
        <v>1.2493594468709677</v>
      </c>
      <c r="I79" s="4">
        <f t="shared" si="4"/>
        <v>61.913483870967738</v>
      </c>
    </row>
    <row r="80" spans="1:9" x14ac:dyDescent="0.25">
      <c r="A80" s="1">
        <f>daily!B90</f>
        <v>36465</v>
      </c>
      <c r="B80" s="23">
        <f>daily!T90</f>
        <v>1.2853908333333333</v>
      </c>
      <c r="C80" s="4">
        <f>daily!N90</f>
        <v>55.316733333333332</v>
      </c>
      <c r="D80" s="4">
        <f t="shared" si="2"/>
        <v>56.505040976318583</v>
      </c>
      <c r="E80" s="4">
        <f>daily!P90</f>
        <v>55.347866666666661</v>
      </c>
      <c r="F80" s="4">
        <f t="shared" si="5"/>
        <v>58.217227925780463</v>
      </c>
      <c r="H80" s="23">
        <f>filings!AO90/filings!A90</f>
        <v>1.2578091524666666</v>
      </c>
      <c r="I80" s="4">
        <f t="shared" si="4"/>
        <v>55.316733333333332</v>
      </c>
    </row>
    <row r="81" spans="1:9" x14ac:dyDescent="0.25">
      <c r="A81" s="1">
        <f>daily!B91</f>
        <v>36495</v>
      </c>
      <c r="B81" s="23">
        <f>daily!T91</f>
        <v>1.3283548387096775</v>
      </c>
      <c r="C81" s="4">
        <f>daily!N91</f>
        <v>62.382967741935488</v>
      </c>
      <c r="D81" s="4">
        <f t="shared" si="2"/>
        <v>60.854676513820152</v>
      </c>
      <c r="E81" s="4">
        <f>daily!P91</f>
        <v>59.338354838709677</v>
      </c>
      <c r="F81" s="4">
        <f t="shared" si="5"/>
        <v>62.978420280011079</v>
      </c>
      <c r="H81" s="23">
        <f>filings!AO91/filings!A91</f>
        <v>1.3022471716129034</v>
      </c>
      <c r="I81" s="4">
        <f t="shared" si="4"/>
        <v>62.382967741935488</v>
      </c>
    </row>
    <row r="82" spans="1:9" x14ac:dyDescent="0.25">
      <c r="A82" s="1">
        <f>daily!B92</f>
        <v>36526</v>
      </c>
      <c r="B82" s="23">
        <f>daily!T92</f>
        <v>1.3128260869565218</v>
      </c>
      <c r="C82" s="4">
        <f>daily!N92</f>
        <v>57.518225806451618</v>
      </c>
      <c r="D82" s="4">
        <f t="shared" si="2"/>
        <v>59.282560276357913</v>
      </c>
      <c r="E82" s="4">
        <f>daily!P92</f>
        <v>51.767225806451613</v>
      </c>
      <c r="F82" s="4">
        <f t="shared" si="5"/>
        <v>61.257552463562604</v>
      </c>
      <c r="H82" s="23">
        <f>filings!AO92/filings!A92</f>
        <v>1.2814049317419356</v>
      </c>
      <c r="I82" s="4">
        <f t="shared" si="4"/>
        <v>57.518225806451618</v>
      </c>
    </row>
    <row r="83" spans="1:9" x14ac:dyDescent="0.25">
      <c r="A83" s="1">
        <f>daily!B93</f>
        <v>36557</v>
      </c>
      <c r="B83" s="23">
        <f>daily!T93</f>
        <v>1.3234220389805096</v>
      </c>
      <c r="C83" s="4">
        <f>daily!N93</f>
        <v>51.166689655172419</v>
      </c>
      <c r="D83" s="4">
        <f t="shared" si="2"/>
        <v>60.355284503847543</v>
      </c>
      <c r="E83" s="4">
        <f>daily!P93</f>
        <v>47.670551724137937</v>
      </c>
      <c r="F83" s="4">
        <f t="shared" si="5"/>
        <v>62.431776452236193</v>
      </c>
      <c r="H83" s="23">
        <f>filings!AO93/filings!A93</f>
        <v>1.2913159248620689</v>
      </c>
      <c r="I83" s="4">
        <f t="shared" si="4"/>
        <v>51.166689655172419</v>
      </c>
    </row>
    <row r="84" spans="1:9" x14ac:dyDescent="0.25">
      <c r="A84" s="1">
        <f>daily!B94</f>
        <v>36586</v>
      </c>
      <c r="B84" s="23">
        <f>daily!T94</f>
        <v>1.2796091081593928</v>
      </c>
      <c r="C84" s="4">
        <f>daily!N94</f>
        <v>47.385967741935481</v>
      </c>
      <c r="D84" s="4">
        <f t="shared" si="2"/>
        <v>55.919704551924468</v>
      </c>
      <c r="E84" s="4">
        <f>daily!P94</f>
        <v>51.657354838709672</v>
      </c>
      <c r="F84" s="4">
        <f t="shared" si="5"/>
        <v>57.576507735674909</v>
      </c>
      <c r="H84" s="23">
        <f>filings!AO94/filings!A94</f>
        <v>1.2567560422903226</v>
      </c>
      <c r="I84" s="4">
        <f t="shared" si="4"/>
        <v>47.385967741935481</v>
      </c>
    </row>
    <row r="85" spans="1:9" x14ac:dyDescent="0.25">
      <c r="A85" s="1">
        <f>daily!B95</f>
        <v>36617</v>
      </c>
      <c r="B85" s="23">
        <f>daily!T95</f>
        <v>1.1808604166666667</v>
      </c>
      <c r="C85" s="4">
        <f>daily!N95</f>
        <v>41.184899999999999</v>
      </c>
      <c r="D85" s="4">
        <f>$C$107+$C$108*B85</f>
        <v>45.922479804461048</v>
      </c>
      <c r="E85" s="4">
        <f>daily!P95</f>
        <v>41.641100000000002</v>
      </c>
      <c r="F85" s="4">
        <f t="shared" si="5"/>
        <v>46.633358678526861</v>
      </c>
      <c r="H85" s="23">
        <f>filings!AO95/filings!A95</f>
        <v>1.1604123425666666</v>
      </c>
      <c r="I85" s="4">
        <f t="shared" si="4"/>
        <v>41.184899999999999</v>
      </c>
    </row>
    <row r="86" spans="1:9" x14ac:dyDescent="0.25">
      <c r="A86" s="1">
        <f>daily!B96</f>
        <v>36647</v>
      </c>
      <c r="B86" s="23">
        <f>daily!T96</f>
        <v>1.251257056451613</v>
      </c>
      <c r="C86" s="4">
        <f>daily!N96</f>
        <v>49.649096774193552</v>
      </c>
      <c r="D86" s="4">
        <f t="shared" ref="D86:D91" si="6">$C$107+$C$108*B86</f>
        <v>53.049369475178082</v>
      </c>
      <c r="E86" s="4">
        <f>daily!P96</f>
        <v>49.554161290322583</v>
      </c>
      <c r="F86" s="4">
        <f t="shared" si="5"/>
        <v>54.434585313978232</v>
      </c>
      <c r="H86" s="23">
        <f>filings!AO96/filings!A96</f>
        <v>1.2299754888387098</v>
      </c>
      <c r="I86" s="4">
        <f t="shared" si="4"/>
        <v>49.649096774193552</v>
      </c>
    </row>
    <row r="87" spans="1:9" x14ac:dyDescent="0.25">
      <c r="A87" s="1">
        <f>daily!B97</f>
        <v>36678</v>
      </c>
      <c r="B87" s="23">
        <f>daily!T97</f>
        <v>1.2867431372549021</v>
      </c>
      <c r="C87" s="4">
        <f>daily!N97</f>
        <v>56.182166666666667</v>
      </c>
      <c r="D87" s="4">
        <f t="shared" si="6"/>
        <v>56.641946954782071</v>
      </c>
      <c r="E87" s="4">
        <f>daily!P97</f>
        <v>57.466633333333334</v>
      </c>
      <c r="F87" s="4">
        <f t="shared" si="5"/>
        <v>58.367087768585407</v>
      </c>
      <c r="H87" s="23">
        <f>filings!AO97/filings!A97</f>
        <v>1.2630864292333333</v>
      </c>
      <c r="I87" s="4">
        <f t="shared" si="4"/>
        <v>56.182166666666667</v>
      </c>
    </row>
    <row r="88" spans="1:9" x14ac:dyDescent="0.25">
      <c r="A88" s="1">
        <f>daily!B98</f>
        <v>36708</v>
      </c>
      <c r="B88" s="23">
        <f>daily!T98</f>
        <v>1.3130487621905476</v>
      </c>
      <c r="C88" s="4">
        <f>daily!N98</f>
        <v>62.428870967741936</v>
      </c>
      <c r="D88" s="4">
        <f t="shared" si="6"/>
        <v>59.305103707836338</v>
      </c>
      <c r="E88" s="4">
        <f>daily!P98</f>
        <v>67.043967741935489</v>
      </c>
      <c r="F88" s="4">
        <f t="shared" si="5"/>
        <v>61.282228924996616</v>
      </c>
      <c r="H88" s="23">
        <f>filings!AO98/filings!A98</f>
        <v>1.2828476927096775</v>
      </c>
      <c r="I88" s="4">
        <f t="shared" si="4"/>
        <v>62.428870967741936</v>
      </c>
    </row>
    <row r="89" spans="1:9" x14ac:dyDescent="0.25">
      <c r="A89" s="1">
        <f>daily!B99</f>
        <v>36739</v>
      </c>
      <c r="B89" s="23">
        <f>daily!T99</f>
        <v>1.2415641729581333</v>
      </c>
      <c r="C89" s="4">
        <f>daily!N99</f>
        <v>57.181870967741936</v>
      </c>
      <c r="D89" s="4">
        <f t="shared" si="6"/>
        <v>52.06807105723972</v>
      </c>
      <c r="E89" s="4">
        <f>daily!P99</f>
        <v>64.251387096774195</v>
      </c>
      <c r="F89" s="4">
        <f t="shared" si="5"/>
        <v>53.3604377251919</v>
      </c>
      <c r="H89" s="23">
        <f>filings!AO99/filings!A99</f>
        <v>1.2100059834193548</v>
      </c>
      <c r="I89" s="4">
        <f t="shared" si="4"/>
        <v>57.181870967741936</v>
      </c>
    </row>
    <row r="90" spans="1:9" x14ac:dyDescent="0.25">
      <c r="A90" s="1">
        <f>daily!B100</f>
        <v>36770</v>
      </c>
      <c r="B90" s="23">
        <f>daily!T100</f>
        <v>1.273558865248227</v>
      </c>
      <c r="C90" s="4">
        <f>daily!N100</f>
        <v>57.021766666666664</v>
      </c>
      <c r="D90" s="4">
        <f t="shared" si="6"/>
        <v>55.307183644099297</v>
      </c>
      <c r="E90" s="4">
        <f>daily!P100</f>
        <v>61.241599999999998</v>
      </c>
      <c r="F90" s="4">
        <f t="shared" si="5"/>
        <v>56.906030901926499</v>
      </c>
      <c r="H90" s="23">
        <f>filings!AO100/filings!A100</f>
        <v>1.2416366654666668</v>
      </c>
      <c r="I90" s="4">
        <f t="shared" si="4"/>
        <v>57.021766666666664</v>
      </c>
    </row>
    <row r="91" spans="1:9" x14ac:dyDescent="0.25">
      <c r="A91" s="1">
        <f>daily!B101</f>
        <v>36800</v>
      </c>
      <c r="B91" s="23">
        <f>daily!T101</f>
        <v>1.2898311599176391</v>
      </c>
      <c r="C91" s="4">
        <f>daily!N101</f>
        <v>56.361258064516129</v>
      </c>
      <c r="D91" s="4">
        <f t="shared" si="6"/>
        <v>56.954575467808155</v>
      </c>
      <c r="E91" s="4">
        <f>daily!P101</f>
        <v>54.001290322580644</v>
      </c>
      <c r="F91" s="4">
        <f t="shared" si="5"/>
        <v>58.709296781984563</v>
      </c>
      <c r="H91" s="23">
        <f>filings!AO101/filings!A101</f>
        <v>1.2579877622580644</v>
      </c>
      <c r="I91" s="4">
        <f t="shared" si="4"/>
        <v>56.361258064516129</v>
      </c>
    </row>
    <row r="92" spans="1:9" x14ac:dyDescent="0.25">
      <c r="A92" s="1">
        <f>daily!B102</f>
        <v>36831</v>
      </c>
      <c r="B92" s="23"/>
      <c r="C92" s="4"/>
      <c r="D92" s="4"/>
      <c r="E92" s="4"/>
      <c r="F92" s="4"/>
      <c r="H92" s="23"/>
      <c r="I92" s="4"/>
    </row>
    <row r="93" spans="1:9" x14ac:dyDescent="0.25">
      <c r="A93" s="1">
        <f>daily!B103</f>
        <v>36861</v>
      </c>
      <c r="B93" s="23"/>
      <c r="C93" s="4"/>
      <c r="D93" s="4"/>
      <c r="E93" s="4"/>
      <c r="F93" s="4"/>
      <c r="H93" s="23"/>
      <c r="I93" s="4"/>
    </row>
    <row r="94" spans="1:9" x14ac:dyDescent="0.25">
      <c r="A94" s="1">
        <f>daily!B104</f>
        <v>36892</v>
      </c>
      <c r="B94" s="23"/>
      <c r="C94" s="4"/>
      <c r="D94" s="4"/>
      <c r="E94" s="4"/>
      <c r="F94" s="4"/>
      <c r="H94" s="23"/>
      <c r="I94" s="4"/>
    </row>
    <row r="95" spans="1:9" x14ac:dyDescent="0.25">
      <c r="A95" s="1">
        <f>daily!B105</f>
        <v>36923</v>
      </c>
      <c r="B95" s="23"/>
      <c r="C95" s="4"/>
      <c r="D95" s="4"/>
      <c r="E95" s="4"/>
      <c r="F95" s="4"/>
      <c r="H95" s="23"/>
      <c r="I95" s="4"/>
    </row>
    <row r="96" spans="1:9" x14ac:dyDescent="0.25">
      <c r="A96" s="1">
        <f>daily!B106</f>
        <v>36951</v>
      </c>
      <c r="B96" s="23"/>
      <c r="C96" s="4"/>
      <c r="D96" s="4"/>
      <c r="E96" s="4"/>
      <c r="F96" s="4"/>
      <c r="H96" s="23"/>
      <c r="I96" s="4"/>
    </row>
    <row r="97" spans="1:9" x14ac:dyDescent="0.25">
      <c r="A97" s="1">
        <f>daily!B107</f>
        <v>36982</v>
      </c>
      <c r="B97" s="23"/>
      <c r="C97" s="4"/>
      <c r="D97" s="4"/>
      <c r="E97" s="4"/>
      <c r="F97" s="4"/>
      <c r="H97" s="23"/>
      <c r="I97" s="4"/>
    </row>
    <row r="98" spans="1:9" x14ac:dyDescent="0.25">
      <c r="A98" s="1">
        <f>daily!B114</f>
        <v>37196</v>
      </c>
      <c r="B98" s="23"/>
      <c r="C98" s="4"/>
    </row>
    <row r="99" spans="1:9" x14ac:dyDescent="0.25">
      <c r="A99" s="1">
        <f>daily!B115</f>
        <v>37226</v>
      </c>
      <c r="B99" s="23"/>
      <c r="C99" s="4"/>
    </row>
    <row r="100" spans="1:9" x14ac:dyDescent="0.25">
      <c r="A100" s="1">
        <f>daily!B116</f>
        <v>37257</v>
      </c>
      <c r="B100" s="23"/>
      <c r="C100" s="4"/>
    </row>
    <row r="101" spans="1:9" x14ac:dyDescent="0.25">
      <c r="A101" s="1"/>
      <c r="B101" s="23"/>
    </row>
    <row r="102" spans="1:9" x14ac:dyDescent="0.25">
      <c r="A102" s="1"/>
      <c r="B102" s="23"/>
    </row>
    <row r="103" spans="1:9" x14ac:dyDescent="0.25">
      <c r="A103" s="1" t="s">
        <v>63</v>
      </c>
      <c r="B103" s="32">
        <f>COUNT($C$8:$C$100)</f>
        <v>84</v>
      </c>
      <c r="C103" s="32">
        <f>SUMPRODUCT($B$8:$B$100,$C$8:$C$100)</f>
        <v>5131.2868993328093</v>
      </c>
      <c r="D103" t="s">
        <v>68</v>
      </c>
      <c r="E103" s="32">
        <f>SUMPRODUCT($B$8:$B$100,$E$8:$E$100)</f>
        <v>5245.7908311380233</v>
      </c>
      <c r="H103" s="32">
        <f>COUNT($H$8:$H$100)</f>
        <v>34</v>
      </c>
      <c r="I103" s="32">
        <f>SUMPRODUCT($H$8:$H$100,$I$8:$I$100)</f>
        <v>2330.5239511810514</v>
      </c>
    </row>
    <row r="104" spans="1:9" x14ac:dyDescent="0.25">
      <c r="A104" s="1" t="s">
        <v>64</v>
      </c>
      <c r="B104" s="23">
        <f>SUM($B$8:$B$100)</f>
        <v>102.08767154765587</v>
      </c>
      <c r="C104" s="32">
        <f>SUM($C$8:$C$100)</f>
        <v>4150.6155296917204</v>
      </c>
      <c r="D104" t="s">
        <v>66</v>
      </c>
      <c r="E104" s="4">
        <f>SUM($E$8:$E$100)</f>
        <v>4238.0646692647915</v>
      </c>
      <c r="H104" s="23">
        <f>SUM($H$8:$H$100)</f>
        <v>42.453051416846328</v>
      </c>
      <c r="I104" s="32">
        <f>SUM($I$8:$I$100)</f>
        <v>1856.6171940330528</v>
      </c>
    </row>
    <row r="105" spans="1:9" x14ac:dyDescent="0.25">
      <c r="A105" s="1" t="s">
        <v>65</v>
      </c>
      <c r="B105" s="32">
        <f>SUMPRODUCT($B$8:$B$100,$B$8:$B$100)</f>
        <v>124.92872988243222</v>
      </c>
      <c r="C105" s="32">
        <f>SUMPRODUCT($C$8:$C$100,$C$8:$C$100)</f>
        <v>215103.0103117532</v>
      </c>
      <c r="D105" t="s">
        <v>67</v>
      </c>
      <c r="E105" s="32">
        <f>SUMPRODUCT($E$8:$E$100,$E$8:$E$100)</f>
        <v>229960.57623816837</v>
      </c>
      <c r="H105" s="32">
        <f>SUMPRODUCT($H$8:$H$100,$H$8:$H$100)</f>
        <v>53.104880416137895</v>
      </c>
      <c r="I105" s="32">
        <f>SUMPRODUCT($I$8:$I$100,$I$8:$I$100)</f>
        <v>103456.87391604217</v>
      </c>
    </row>
    <row r="106" spans="1:9" x14ac:dyDescent="0.25">
      <c r="A106" s="1"/>
      <c r="B106" s="23"/>
    </row>
    <row r="107" spans="1:9" x14ac:dyDescent="0.25">
      <c r="A107" s="1"/>
      <c r="B107" s="23" t="s">
        <v>69</v>
      </c>
      <c r="C107">
        <f>(C104/$B103-C108*$B104/$B103)</f>
        <v>-73.626719302339922</v>
      </c>
      <c r="D107" s="33">
        <f>C107/1000000</f>
        <v>-7.3626719302339916E-5</v>
      </c>
      <c r="E107">
        <f>(E104/$B103-E108*$B104/$B103)</f>
        <v>-84.227429043618685</v>
      </c>
      <c r="F107" s="33">
        <f>E107/1000000</f>
        <v>-8.4227429043618685E-5</v>
      </c>
      <c r="H107" s="90">
        <f>H108*612.46</f>
        <v>7.761476767330433E-2</v>
      </c>
      <c r="I107">
        <f>(I104/$H103-I108*$H104/$H103)</f>
        <v>-103.62645320817529</v>
      </c>
    </row>
    <row r="108" spans="1:9" x14ac:dyDescent="0.25">
      <c r="A108" s="1"/>
      <c r="B108" s="23" t="s">
        <v>70</v>
      </c>
      <c r="C108">
        <f>($B103*C103-C104*$B104)/($B103*$B105-$B104*$B104)</f>
        <v>101.23906045073853</v>
      </c>
      <c r="D108" s="33">
        <f>C108/1000000</f>
        <v>1.0123906045073853E-4</v>
      </c>
      <c r="E108">
        <f>($B103*E103-E104*$B104)/($B103*$B105-$B104*$B104)</f>
        <v>110.81816773191487</v>
      </c>
      <c r="F108" s="33">
        <f>E108/1000000</f>
        <v>1.1081816773191487E-4</v>
      </c>
      <c r="H108" s="33">
        <f>I108/1000000</f>
        <v>1.267262640389647E-4</v>
      </c>
      <c r="I108">
        <f>($H103*I103-I104*$H104)/($H103*$H105-$H104*$H104)</f>
        <v>126.72626403896471</v>
      </c>
    </row>
    <row r="109" spans="1:9" x14ac:dyDescent="0.25">
      <c r="A109" s="1"/>
      <c r="B109" s="23"/>
    </row>
    <row r="110" spans="1:9" x14ac:dyDescent="0.25">
      <c r="A110" s="1"/>
      <c r="B110" s="23" t="s">
        <v>71</v>
      </c>
      <c r="C110" s="15">
        <f>RSQ($C$8:$C$100,$B$8:$B$100)</f>
        <v>0.87889543102719536</v>
      </c>
      <c r="E110" s="15">
        <f>RSQ($E$8:$E$100,$B$8:$B$100)</f>
        <v>0.65340598208816225</v>
      </c>
      <c r="I110" s="15">
        <f>RSQ($I$8:$I$100,$H$8:$H$100)</f>
        <v>0.75264916958393646</v>
      </c>
    </row>
    <row r="111" spans="1:9" x14ac:dyDescent="0.25">
      <c r="A111" s="1"/>
      <c r="B111" s="23" t="s">
        <v>154</v>
      </c>
      <c r="C111" s="32">
        <f>FDIST(C112,1,$B$103-2)</f>
        <v>2.4022188332912979E-39</v>
      </c>
      <c r="E111" s="32">
        <f>FDIST(E112,1,$B$103-2)</f>
        <v>1.4658162455086116E-20</v>
      </c>
      <c r="I111" s="32">
        <f>FDIST(I112,1,$B$103-2)</f>
        <v>1.3634969821206255E-15</v>
      </c>
    </row>
    <row r="112" spans="1:9" x14ac:dyDescent="0.25">
      <c r="A112" s="1"/>
      <c r="B112" s="23" t="s">
        <v>72</v>
      </c>
      <c r="C112" s="23">
        <f>(C110/1)/((1-C110)/($B103-2))</f>
        <v>595.10079558116422</v>
      </c>
      <c r="E112" s="23">
        <f>(E110/1)/((1-E110)/($B103-2))</f>
        <v>154.58804180762905</v>
      </c>
      <c r="I112" s="23">
        <f>(I110/1)/((1-I110)/($H103-2))</f>
        <v>97.370901832726759</v>
      </c>
    </row>
    <row r="113" spans="1:9" x14ac:dyDescent="0.25">
      <c r="A113" s="1"/>
      <c r="B113" s="23" t="s">
        <v>73</v>
      </c>
      <c r="C113" s="23">
        <f>FINV(0.05,1,$B$103-2)</f>
        <v>3.9573819776705932</v>
      </c>
      <c r="E113" s="23">
        <f>FINV(0.05,1,$B$103-2)</f>
        <v>3.9573819776705932</v>
      </c>
      <c r="I113" s="23">
        <f>FINV(0.05,1,$H$103-2)</f>
        <v>4.1490864077786682</v>
      </c>
    </row>
    <row r="114" spans="1:9" x14ac:dyDescent="0.25">
      <c r="A114" s="1"/>
      <c r="B114" s="23" t="s">
        <v>74</v>
      </c>
      <c r="C114" s="23">
        <f>FINV(0.01,1,$B$103-2)</f>
        <v>6.9544512371066958</v>
      </c>
      <c r="E114" s="23">
        <f>FINV(0.01,1,$B$103-2)</f>
        <v>6.9544512371066958</v>
      </c>
      <c r="I114" s="23">
        <f>FINV(0.01,1,$H$103-2)</f>
        <v>7.4992385634686798</v>
      </c>
    </row>
    <row r="115" spans="1:9" x14ac:dyDescent="0.25">
      <c r="A115" s="1"/>
      <c r="B115" s="23" t="s">
        <v>75</v>
      </c>
      <c r="C115" s="23">
        <f>FINV(0.001,1,$B$103-2)</f>
        <v>11.649717635009438</v>
      </c>
      <c r="E115" s="23">
        <f>FINV(0.001,1,$B$103-2)</f>
        <v>11.649717635009438</v>
      </c>
      <c r="I115" s="23">
        <f>FINV(0.001,1,$H$103-2)</f>
        <v>13.116732588969171</v>
      </c>
    </row>
    <row r="116" spans="1:9" x14ac:dyDescent="0.25">
      <c r="A116" s="1"/>
      <c r="B116" s="23"/>
    </row>
    <row r="117" spans="1:9" x14ac:dyDescent="0.25">
      <c r="A117" s="1"/>
      <c r="B117" s="23"/>
    </row>
    <row r="118" spans="1:9" x14ac:dyDescent="0.25">
      <c r="A118" s="1"/>
      <c r="B118" s="23"/>
    </row>
    <row r="119" spans="1:9" x14ac:dyDescent="0.25">
      <c r="A119" s="1"/>
      <c r="B119" s="23"/>
    </row>
    <row r="120" spans="1:9" x14ac:dyDescent="0.25">
      <c r="A120" s="1"/>
      <c r="B120" s="23"/>
    </row>
    <row r="121" spans="1:9" x14ac:dyDescent="0.25">
      <c r="A121" s="1"/>
      <c r="B121" s="23"/>
    </row>
    <row r="122" spans="1:9" x14ac:dyDescent="0.25">
      <c r="A122" s="1"/>
      <c r="B122" s="23"/>
    </row>
    <row r="123" spans="1:9" x14ac:dyDescent="0.25">
      <c r="A123" s="1"/>
      <c r="B123" s="2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ex4</vt:lpstr>
      <vt:lpstr>ex8</vt:lpstr>
      <vt:lpstr>ex9</vt:lpstr>
      <vt:lpstr>daily</vt:lpstr>
      <vt:lpstr>filings</vt:lpstr>
      <vt:lpstr>regr</vt:lpstr>
      <vt:lpstr>ex3</vt:lpstr>
      <vt:lpstr>ex5</vt:lpstr>
      <vt:lpstr>ex6</vt:lpstr>
      <vt:lpstr>ex7</vt:lpstr>
      <vt:lpstr>Chart89</vt:lpstr>
      <vt:lpstr>thrpt.trend</vt:lpstr>
      <vt:lpstr>thrpt.bymo</vt:lpstr>
      <vt:lpstr>trend.pct</vt:lpstr>
      <vt:lpstr>trend.dy</vt:lpstr>
      <vt:lpstr>trend.mo</vt:lpstr>
      <vt:lpstr>scatter1</vt:lpstr>
      <vt:lpstr>scatter1p</vt:lpstr>
      <vt:lpstr>daily!Print_Area</vt:lpstr>
      <vt:lpstr>filings!Print_Area</vt:lpstr>
      <vt:lpstr>daily!Print_Titles</vt:lpstr>
      <vt:lpstr>'ex8'!Print_Titles</vt:lpstr>
      <vt:lpstr>'ex9'!Print_Titles</vt:lpstr>
      <vt:lpstr>filings!Print_Titles</vt:lpstr>
    </vt:vector>
  </TitlesOfParts>
  <Company>Chevron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hots</dc:creator>
  <cp:lastModifiedBy>Havlíček Jan</cp:lastModifiedBy>
  <cp:lastPrinted>2001-04-26T00:17:23Z</cp:lastPrinted>
  <dcterms:created xsi:type="dcterms:W3CDTF">2000-06-07T19:50:09Z</dcterms:created>
  <dcterms:modified xsi:type="dcterms:W3CDTF">2023-09-10T11:31:51Z</dcterms:modified>
</cp:coreProperties>
</file>