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 tabRatio="601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92512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S21" i="3"/>
  <c r="T21" i="3"/>
  <c r="W21" i="3"/>
  <c r="X21" i="3"/>
  <c r="AA21" i="3"/>
  <c r="AB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S27" i="3"/>
  <c r="T27" i="3"/>
  <c r="W27" i="3"/>
  <c r="X27" i="3"/>
  <c r="AA27" i="3"/>
  <c r="AB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BO31" i="3"/>
  <c r="BP31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Q35" i="3"/>
  <c r="S35" i="3"/>
  <c r="U35" i="3"/>
  <c r="W35" i="3"/>
  <c r="Y35" i="3"/>
  <c r="AA35" i="3"/>
  <c r="AC35" i="3"/>
  <c r="AE35" i="3"/>
  <c r="AF35" i="3"/>
  <c r="AG35" i="3"/>
  <c r="AJ35" i="3"/>
  <c r="AN35" i="3"/>
  <c r="AR35" i="3"/>
  <c r="AV35" i="3"/>
  <c r="AZ35" i="3"/>
  <c r="BD35" i="3"/>
  <c r="BH35" i="3"/>
  <c r="BL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C37" i="3"/>
  <c r="D37" i="3"/>
  <c r="E37" i="3"/>
  <c r="G37" i="3"/>
  <c r="H37" i="3"/>
  <c r="I37" i="3"/>
  <c r="K37" i="3"/>
  <c r="L37" i="3"/>
  <c r="M37" i="3"/>
  <c r="O37" i="3"/>
  <c r="P37" i="3"/>
  <c r="Q37" i="3"/>
  <c r="S37" i="3"/>
  <c r="T37" i="3"/>
  <c r="U37" i="3"/>
  <c r="W37" i="3"/>
  <c r="X37" i="3"/>
  <c r="Y37" i="3"/>
  <c r="AA37" i="3"/>
  <c r="AB37" i="3"/>
  <c r="AC37" i="3"/>
  <c r="AE37" i="3"/>
  <c r="AF37" i="3"/>
  <c r="AG37" i="3"/>
  <c r="AI37" i="3"/>
  <c r="AJ37" i="3"/>
  <c r="AK37" i="3"/>
  <c r="AM37" i="3"/>
  <c r="AN37" i="3"/>
  <c r="AO37" i="3"/>
  <c r="AR37" i="3"/>
  <c r="AS37" i="3"/>
  <c r="AU37" i="3"/>
  <c r="AV37" i="3"/>
  <c r="AW37" i="3"/>
  <c r="AY37" i="3"/>
  <c r="AZ37" i="3"/>
  <c r="BA37" i="3"/>
  <c r="BC37" i="3"/>
  <c r="BD37" i="3"/>
  <c r="BE37" i="3"/>
  <c r="BG37" i="3"/>
  <c r="BH37" i="3"/>
  <c r="BI37" i="3"/>
  <c r="BK37" i="3"/>
  <c r="BL37" i="3"/>
  <c r="BM37" i="3"/>
  <c r="BO37" i="3"/>
  <c r="BP37" i="3"/>
  <c r="BQ37" i="3"/>
  <c r="C38" i="3"/>
  <c r="D38" i="3"/>
  <c r="E38" i="3"/>
  <c r="G38" i="3"/>
  <c r="H38" i="3"/>
  <c r="I38" i="3"/>
  <c r="K38" i="3"/>
  <c r="L38" i="3"/>
  <c r="M38" i="3"/>
  <c r="O38" i="3"/>
  <c r="P38" i="3"/>
  <c r="Q38" i="3"/>
  <c r="S38" i="3"/>
  <c r="T38" i="3"/>
  <c r="U38" i="3"/>
  <c r="W38" i="3"/>
  <c r="X38" i="3"/>
  <c r="Y38" i="3"/>
  <c r="AA38" i="3"/>
  <c r="AB38" i="3"/>
  <c r="AC38" i="3"/>
  <c r="AE38" i="3"/>
  <c r="AF38" i="3"/>
  <c r="AG38" i="3"/>
  <c r="AI38" i="3"/>
  <c r="AJ38" i="3"/>
  <c r="AK38" i="3"/>
  <c r="AM38" i="3"/>
  <c r="AN38" i="3"/>
  <c r="AO38" i="3"/>
  <c r="AQ38" i="3"/>
  <c r="AR38" i="3"/>
  <c r="AS38" i="3"/>
  <c r="AU38" i="3"/>
  <c r="AV38" i="3"/>
  <c r="AW38" i="3"/>
  <c r="AY38" i="3"/>
  <c r="AZ38" i="3"/>
  <c r="BA38" i="3"/>
  <c r="BC38" i="3"/>
  <c r="BD38" i="3"/>
  <c r="BE38" i="3"/>
  <c r="BG38" i="3"/>
  <c r="BH38" i="3"/>
  <c r="BI38" i="3"/>
  <c r="BK38" i="3"/>
  <c r="BL38" i="3"/>
  <c r="BM38" i="3"/>
  <c r="BO38" i="3"/>
  <c r="BP38" i="3"/>
  <c r="BQ38" i="3"/>
  <c r="BR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5" i="3"/>
  <c r="G45" i="3"/>
  <c r="K45" i="3"/>
  <c r="O45" i="3"/>
  <c r="S45" i="3"/>
  <c r="W45" i="3"/>
  <c r="AA45" i="3"/>
  <c r="AE45" i="3"/>
  <c r="AI45" i="3"/>
  <c r="AM45" i="3"/>
  <c r="AU45" i="3"/>
  <c r="AY45" i="3"/>
  <c r="BC45" i="3"/>
  <c r="BG45" i="3"/>
  <c r="BK45" i="3"/>
  <c r="BO45" i="3"/>
  <c r="C46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BK46" i="3"/>
  <c r="BO46" i="3"/>
  <c r="C47" i="3"/>
  <c r="G47" i="3"/>
  <c r="K47" i="3"/>
  <c r="O47" i="3"/>
  <c r="S47" i="3"/>
  <c r="W47" i="3"/>
  <c r="AA47" i="3"/>
  <c r="AE47" i="3"/>
  <c r="AI47" i="3"/>
  <c r="AM47" i="3"/>
  <c r="AU47" i="3"/>
  <c r="AY47" i="3"/>
  <c r="BC47" i="3"/>
  <c r="BG47" i="3"/>
  <c r="BK47" i="3"/>
  <c r="BO47" i="3"/>
  <c r="C50" i="3"/>
  <c r="G50" i="3"/>
  <c r="K50" i="3"/>
  <c r="O50" i="3"/>
  <c r="S50" i="3"/>
  <c r="W50" i="3"/>
  <c r="AA50" i="3"/>
  <c r="AE50" i="3"/>
  <c r="AI50" i="3"/>
  <c r="AM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BK54" i="3"/>
  <c r="BO54" i="3"/>
  <c r="C55" i="3"/>
  <c r="G55" i="3"/>
  <c r="K55" i="3"/>
  <c r="O55" i="3"/>
  <c r="S55" i="3"/>
  <c r="W55" i="3"/>
  <c r="AA55" i="3"/>
  <c r="AE55" i="3"/>
  <c r="AI55" i="3"/>
  <c r="AM55" i="3"/>
  <c r="AU55" i="3"/>
  <c r="AY55" i="3"/>
  <c r="BC55" i="3"/>
  <c r="BG55" i="3"/>
  <c r="BK55" i="3"/>
  <c r="BO55" i="3"/>
  <c r="K57" i="3"/>
  <c r="W57" i="3"/>
  <c r="AA57" i="3"/>
  <c r="AI57" i="3"/>
  <c r="AM57" i="3"/>
  <c r="AQ57" i="3"/>
  <c r="AU57" i="3"/>
  <c r="AY57" i="3"/>
  <c r="BC57" i="3"/>
  <c r="BG57" i="3"/>
  <c r="BK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U59" i="3"/>
  <c r="AY59" i="3"/>
  <c r="BC59" i="3"/>
  <c r="BG59" i="3"/>
  <c r="BK59" i="3"/>
  <c r="BO59" i="3"/>
  <c r="C60" i="3"/>
  <c r="G60" i="3"/>
  <c r="K60" i="3"/>
  <c r="O60" i="3"/>
  <c r="S60" i="3"/>
  <c r="W60" i="3"/>
  <c r="AA60" i="3"/>
  <c r="AE60" i="3"/>
  <c r="AI60" i="3"/>
  <c r="AM60" i="3"/>
  <c r="AU60" i="3"/>
  <c r="AY60" i="3"/>
  <c r="BC60" i="3"/>
  <c r="BG60" i="3"/>
  <c r="BK60" i="3"/>
  <c r="BO60" i="3"/>
  <c r="C61" i="3"/>
  <c r="G61" i="3"/>
  <c r="K61" i="3"/>
  <c r="O61" i="3"/>
  <c r="S61" i="3"/>
  <c r="W61" i="3"/>
  <c r="AA61" i="3"/>
  <c r="AE61" i="3"/>
  <c r="AI61" i="3"/>
  <c r="AM61" i="3"/>
  <c r="AU61" i="3"/>
  <c r="AY61" i="3"/>
  <c r="BC61" i="3"/>
  <c r="BG61" i="3"/>
  <c r="BK61" i="3"/>
  <c r="BO61" i="3"/>
  <c r="K63" i="3"/>
  <c r="W63" i="3"/>
  <c r="AA63" i="3"/>
  <c r="AI63" i="3"/>
  <c r="AM63" i="3"/>
  <c r="AQ63" i="3"/>
  <c r="AU63" i="3"/>
  <c r="AY63" i="3"/>
  <c r="BC63" i="3"/>
  <c r="BG63" i="3"/>
  <c r="BK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5" i="3"/>
  <c r="G65" i="3"/>
  <c r="K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BK65" i="3"/>
  <c r="BO65" i="3"/>
  <c r="C66" i="3"/>
  <c r="G66" i="3"/>
  <c r="K66" i="3"/>
  <c r="O66" i="3"/>
  <c r="S66" i="3"/>
  <c r="W66" i="3"/>
  <c r="AA66" i="3"/>
  <c r="AE66" i="3"/>
  <c r="AI66" i="3"/>
  <c r="AM66" i="3"/>
  <c r="AU66" i="3"/>
  <c r="AY66" i="3"/>
  <c r="BC66" i="3"/>
  <c r="BG66" i="3"/>
  <c r="BK66" i="3"/>
  <c r="BO66" i="3"/>
  <c r="C68" i="3"/>
  <c r="G68" i="3"/>
  <c r="K68" i="3"/>
  <c r="O68" i="3"/>
  <c r="S68" i="3"/>
  <c r="W68" i="3"/>
  <c r="AA68" i="3"/>
  <c r="AE68" i="3"/>
  <c r="AI68" i="3"/>
  <c r="AM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O70" i="3"/>
  <c r="S70" i="3"/>
  <c r="W70" i="3"/>
  <c r="AA70" i="3"/>
  <c r="AE70" i="3"/>
  <c r="BO70" i="3"/>
  <c r="S71" i="3"/>
  <c r="W71" i="3"/>
  <c r="AA71" i="3"/>
  <c r="AE71" i="3"/>
  <c r="BO71" i="3"/>
  <c r="C72" i="3"/>
  <c r="G72" i="3"/>
  <c r="K72" i="3"/>
  <c r="O72" i="3"/>
  <c r="S72" i="3"/>
  <c r="W72" i="3"/>
  <c r="AA72" i="3"/>
  <c r="AE72" i="3"/>
  <c r="AI72" i="3"/>
  <c r="AM72" i="3"/>
  <c r="AU72" i="3"/>
  <c r="AY72" i="3"/>
  <c r="BC72" i="3"/>
  <c r="BG72" i="3"/>
  <c r="BK72" i="3"/>
  <c r="BO72" i="3"/>
  <c r="C73" i="3"/>
  <c r="G73" i="3"/>
  <c r="K73" i="3"/>
  <c r="O73" i="3"/>
  <c r="S73" i="3"/>
  <c r="W73" i="3"/>
  <c r="AA73" i="3"/>
  <c r="AE73" i="3"/>
  <c r="AI73" i="3"/>
  <c r="AM73" i="3"/>
  <c r="AU73" i="3"/>
  <c r="AY73" i="3"/>
  <c r="BC73" i="3"/>
  <c r="BG73" i="3"/>
  <c r="BK73" i="3"/>
  <c r="BO73" i="3"/>
  <c r="C74" i="3"/>
  <c r="G74" i="3"/>
  <c r="K74" i="3"/>
  <c r="O74" i="3"/>
  <c r="S74" i="3"/>
  <c r="W74" i="3"/>
  <c r="AA74" i="3"/>
  <c r="AE74" i="3"/>
  <c r="AI74" i="3"/>
  <c r="AM74" i="3"/>
  <c r="AQ74" i="3"/>
  <c r="AU74" i="3"/>
  <c r="AY74" i="3"/>
  <c r="BC74" i="3"/>
  <c r="BG74" i="3"/>
  <c r="BK74" i="3"/>
  <c r="BO74" i="3"/>
  <c r="A77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J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I14" i="1"/>
  <c r="AJ14" i="1"/>
  <c r="AK14" i="1"/>
  <c r="AO14" i="1"/>
  <c r="AQ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A15" i="1"/>
  <c r="AC15" i="1"/>
  <c r="AE15" i="1"/>
  <c r="AF15" i="1"/>
  <c r="AG15" i="1"/>
  <c r="AI15" i="1"/>
  <c r="AJ15" i="1"/>
  <c r="AK15" i="1"/>
  <c r="AO15" i="1"/>
  <c r="AQ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B16" i="1"/>
  <c r="AC16" i="1"/>
  <c r="AE16" i="1"/>
  <c r="AF16" i="1"/>
  <c r="AG16" i="1"/>
  <c r="AJ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J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Q34" i="1"/>
  <c r="U34" i="1"/>
  <c r="Y34" i="1"/>
  <c r="AC34" i="1"/>
  <c r="AE34" i="1"/>
  <c r="AF34" i="1"/>
  <c r="AG34" i="1"/>
  <c r="AK34" i="1"/>
  <c r="AO34" i="1"/>
  <c r="AR34" i="1"/>
  <c r="AU34" i="1"/>
  <c r="AV34" i="1"/>
  <c r="AW34" i="1"/>
  <c r="BO34" i="1"/>
  <c r="BP34" i="1"/>
  <c r="BQ34" i="1"/>
  <c r="Q35" i="1"/>
  <c r="U35" i="1"/>
  <c r="Y35" i="1"/>
  <c r="AC35" i="1"/>
  <c r="AE35" i="1"/>
  <c r="AF35" i="1"/>
  <c r="AG35" i="1"/>
  <c r="AK35" i="1"/>
  <c r="AO35" i="1"/>
  <c r="AU35" i="1"/>
  <c r="AV35" i="1"/>
  <c r="AW35" i="1"/>
  <c r="BO35" i="1"/>
  <c r="BP35" i="1"/>
  <c r="BQ35" i="1"/>
  <c r="E36" i="1"/>
  <c r="I36" i="1"/>
  <c r="M36" i="1"/>
  <c r="O36" i="1"/>
  <c r="P36" i="1"/>
  <c r="Q36" i="1"/>
  <c r="U36" i="1"/>
  <c r="Y36" i="1"/>
  <c r="AC36" i="1"/>
  <c r="AE36" i="1"/>
  <c r="AF36" i="1"/>
  <c r="AG36" i="1"/>
  <c r="AK36" i="1"/>
  <c r="AO36" i="1"/>
  <c r="AS36" i="1"/>
  <c r="AU36" i="1"/>
  <c r="AV36" i="1"/>
  <c r="AW36" i="1"/>
  <c r="BA36" i="1"/>
  <c r="BE36" i="1"/>
  <c r="BI36" i="1"/>
  <c r="BK36" i="1"/>
  <c r="BL36" i="1"/>
  <c r="BM36" i="1"/>
  <c r="BO36" i="1"/>
  <c r="BP36" i="1"/>
  <c r="BQ36" i="1"/>
  <c r="BR36" i="1"/>
  <c r="E37" i="1"/>
  <c r="I37" i="1"/>
  <c r="M37" i="1"/>
  <c r="O37" i="1"/>
  <c r="P37" i="1"/>
  <c r="Q37" i="1"/>
  <c r="U37" i="1"/>
  <c r="Y37" i="1"/>
  <c r="AC37" i="1"/>
  <c r="AE37" i="1"/>
  <c r="AF37" i="1"/>
  <c r="AG37" i="1"/>
  <c r="AK37" i="1"/>
  <c r="AO37" i="1"/>
  <c r="AS37" i="1"/>
  <c r="AU37" i="1"/>
  <c r="AV37" i="1"/>
  <c r="AW37" i="1"/>
  <c r="BA37" i="1"/>
  <c r="BE37" i="1"/>
  <c r="BI37" i="1"/>
  <c r="BK37" i="1"/>
  <c r="BL37" i="1"/>
  <c r="BM37" i="1"/>
  <c r="BO37" i="1"/>
  <c r="BP37" i="1"/>
  <c r="BQ37" i="1"/>
  <c r="BR37" i="1"/>
  <c r="C38" i="1"/>
  <c r="D38" i="1"/>
  <c r="E38" i="1"/>
  <c r="G38" i="1"/>
  <c r="H38" i="1"/>
  <c r="I38" i="1"/>
  <c r="K38" i="1"/>
  <c r="L38" i="1"/>
  <c r="M38" i="1"/>
  <c r="O38" i="1"/>
  <c r="P38" i="1"/>
  <c r="Q38" i="1"/>
  <c r="S38" i="1"/>
  <c r="T38" i="1"/>
  <c r="U38" i="1"/>
  <c r="W38" i="1"/>
  <c r="X38" i="1"/>
  <c r="Y38" i="1"/>
  <c r="AA38" i="1"/>
  <c r="AB38" i="1"/>
  <c r="AC38" i="1"/>
  <c r="AE38" i="1"/>
  <c r="AF38" i="1"/>
  <c r="AG38" i="1"/>
  <c r="AI38" i="1"/>
  <c r="AJ38" i="1"/>
  <c r="AK38" i="1"/>
  <c r="AM38" i="1"/>
  <c r="AN38" i="1"/>
  <c r="AO38" i="1"/>
  <c r="AQ38" i="1"/>
  <c r="AR38" i="1"/>
  <c r="AS38" i="1"/>
  <c r="AU38" i="1"/>
  <c r="AV38" i="1"/>
  <c r="AW38" i="1"/>
  <c r="AY38" i="1"/>
  <c r="AZ38" i="1"/>
  <c r="BA38" i="1"/>
  <c r="BC38" i="1"/>
  <c r="BD38" i="1"/>
  <c r="BE38" i="1"/>
  <c r="BG38" i="1"/>
  <c r="BH38" i="1"/>
  <c r="BI38" i="1"/>
  <c r="BK38" i="1"/>
  <c r="BL38" i="1"/>
  <c r="BM38" i="1"/>
  <c r="BO38" i="1"/>
  <c r="BP38" i="1"/>
  <c r="BQ38" i="1"/>
  <c r="BR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E46" i="1"/>
  <c r="I46" i="1"/>
  <c r="M46" i="1"/>
  <c r="O46" i="1"/>
  <c r="P46" i="1"/>
  <c r="Q46" i="1"/>
  <c r="U46" i="1"/>
  <c r="Y46" i="1"/>
  <c r="AC46" i="1"/>
  <c r="AE46" i="1"/>
  <c r="AF46" i="1"/>
  <c r="AG46" i="1"/>
  <c r="AK46" i="1"/>
  <c r="AO46" i="1"/>
  <c r="AS46" i="1"/>
  <c r="AU46" i="1"/>
  <c r="AV46" i="1"/>
  <c r="AW46" i="1"/>
  <c r="BA46" i="1"/>
  <c r="BE46" i="1"/>
  <c r="BI46" i="1"/>
  <c r="BK46" i="1"/>
  <c r="BL46" i="1"/>
  <c r="BM46" i="1"/>
  <c r="BO46" i="1"/>
  <c r="BP46" i="1"/>
  <c r="BQ46" i="1"/>
  <c r="E47" i="1"/>
  <c r="I47" i="1"/>
  <c r="M47" i="1"/>
  <c r="O47" i="1"/>
  <c r="P47" i="1"/>
  <c r="Q47" i="1"/>
  <c r="U47" i="1"/>
  <c r="X47" i="1"/>
  <c r="Y47" i="1"/>
  <c r="AC47" i="1"/>
  <c r="AE47" i="1"/>
  <c r="AF47" i="1"/>
  <c r="AG47" i="1"/>
  <c r="AI47" i="1"/>
  <c r="AK47" i="1"/>
  <c r="AO47" i="1"/>
  <c r="AS47" i="1"/>
  <c r="AU47" i="1"/>
  <c r="AV47" i="1"/>
  <c r="AW47" i="1"/>
  <c r="BA47" i="1"/>
  <c r="BE47" i="1"/>
  <c r="BI47" i="1"/>
  <c r="BK47" i="1"/>
  <c r="BL47" i="1"/>
  <c r="BM47" i="1"/>
  <c r="BO47" i="1"/>
  <c r="BP47" i="1"/>
  <c r="BQ47" i="1"/>
  <c r="BR47" i="1"/>
  <c r="D50" i="1"/>
  <c r="E50" i="1"/>
  <c r="I50" i="1"/>
  <c r="L50" i="1"/>
  <c r="M50" i="1"/>
  <c r="O50" i="1"/>
  <c r="P50" i="1"/>
  <c r="Q50" i="1"/>
  <c r="T50" i="1"/>
  <c r="U50" i="1"/>
  <c r="Y50" i="1"/>
  <c r="AC50" i="1"/>
  <c r="AE50" i="1"/>
  <c r="AF50" i="1"/>
  <c r="AG50" i="1"/>
  <c r="AI50" i="1"/>
  <c r="AK50" i="1"/>
  <c r="AM50" i="1"/>
  <c r="AO50" i="1"/>
  <c r="AQ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K51" i="1"/>
  <c r="M51" i="1"/>
  <c r="O51" i="1"/>
  <c r="P51" i="1"/>
  <c r="Q51" i="1"/>
  <c r="U51" i="1"/>
  <c r="Y51" i="1"/>
  <c r="AA51" i="1"/>
  <c r="AC51" i="1"/>
  <c r="AE51" i="1"/>
  <c r="AF51" i="1"/>
  <c r="AG51" i="1"/>
  <c r="AI51" i="1"/>
  <c r="AJ51" i="1"/>
  <c r="AK51" i="1"/>
  <c r="AM51" i="1"/>
  <c r="AO51" i="1"/>
  <c r="AQ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BR51" i="1"/>
  <c r="E52" i="1"/>
  <c r="I52" i="1"/>
  <c r="M52" i="1"/>
  <c r="O52" i="1"/>
  <c r="P52" i="1"/>
  <c r="Q52" i="1"/>
  <c r="T52" i="1"/>
  <c r="U52" i="1"/>
  <c r="X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BR52" i="1"/>
  <c r="E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E54" i="1"/>
  <c r="I54" i="1"/>
  <c r="M54" i="1"/>
  <c r="O54" i="1"/>
  <c r="P54" i="1"/>
  <c r="Q54" i="1"/>
  <c r="U54" i="1"/>
  <c r="Y54" i="1"/>
  <c r="AC54" i="1"/>
  <c r="AE54" i="1"/>
  <c r="AF54" i="1"/>
  <c r="AG54" i="1"/>
  <c r="AK54" i="1"/>
  <c r="AO54" i="1"/>
  <c r="AS54" i="1"/>
  <c r="AU54" i="1"/>
  <c r="AV54" i="1"/>
  <c r="AW54" i="1"/>
  <c r="BA54" i="1"/>
  <c r="BE54" i="1"/>
  <c r="BI54" i="1"/>
  <c r="BK54" i="1"/>
  <c r="BL54" i="1"/>
  <c r="BM54" i="1"/>
  <c r="BO54" i="1"/>
  <c r="BP54" i="1"/>
  <c r="BQ54" i="1"/>
  <c r="D55" i="1"/>
  <c r="E55" i="1"/>
  <c r="H55" i="1"/>
  <c r="I55" i="1"/>
  <c r="M55" i="1"/>
  <c r="O55" i="1"/>
  <c r="P55" i="1"/>
  <c r="Q55" i="1"/>
  <c r="U55" i="1"/>
  <c r="Y55" i="1"/>
  <c r="AC55" i="1"/>
  <c r="AE55" i="1"/>
  <c r="AF55" i="1"/>
  <c r="AG55" i="1"/>
  <c r="AJ55" i="1"/>
  <c r="AK55" i="1"/>
  <c r="AO55" i="1"/>
  <c r="AS55" i="1"/>
  <c r="AU55" i="1"/>
  <c r="AV55" i="1"/>
  <c r="AW55" i="1"/>
  <c r="BA55" i="1"/>
  <c r="BE55" i="1"/>
  <c r="BI55" i="1"/>
  <c r="BK55" i="1"/>
  <c r="BL55" i="1"/>
  <c r="BM55" i="1"/>
  <c r="BO55" i="1"/>
  <c r="BP55" i="1"/>
  <c r="BQ55" i="1"/>
  <c r="BR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M59" i="1"/>
  <c r="O59" i="1"/>
  <c r="P59" i="1"/>
  <c r="Q59" i="1"/>
  <c r="T59" i="1"/>
  <c r="U59" i="1"/>
  <c r="Y59" i="1"/>
  <c r="AC59" i="1"/>
  <c r="AE59" i="1"/>
  <c r="AF59" i="1"/>
  <c r="AG59" i="1"/>
  <c r="AJ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E60" i="1"/>
  <c r="I60" i="1"/>
  <c r="M60" i="1"/>
  <c r="O60" i="1"/>
  <c r="P60" i="1"/>
  <c r="Q60" i="1"/>
  <c r="T60" i="1"/>
  <c r="U60" i="1"/>
  <c r="X60" i="1"/>
  <c r="Y60" i="1"/>
  <c r="AC60" i="1"/>
  <c r="AE60" i="1"/>
  <c r="AF60" i="1"/>
  <c r="AG60" i="1"/>
  <c r="AK60" i="1"/>
  <c r="AO60" i="1"/>
  <c r="AS60" i="1"/>
  <c r="AU60" i="1"/>
  <c r="AV60" i="1"/>
  <c r="AW60" i="1"/>
  <c r="BA60" i="1"/>
  <c r="BE60" i="1"/>
  <c r="BI60" i="1"/>
  <c r="BK60" i="1"/>
  <c r="BL60" i="1"/>
  <c r="BM60" i="1"/>
  <c r="BO60" i="1"/>
  <c r="BP60" i="1"/>
  <c r="BQ60" i="1"/>
  <c r="BR60" i="1"/>
  <c r="E61" i="1"/>
  <c r="I61" i="1"/>
  <c r="L61" i="1"/>
  <c r="M61" i="1"/>
  <c r="O61" i="1"/>
  <c r="P61" i="1"/>
  <c r="Q61" i="1"/>
  <c r="T61" i="1"/>
  <c r="U61" i="1"/>
  <c r="Y61" i="1"/>
  <c r="AC61" i="1"/>
  <c r="AE61" i="1"/>
  <c r="AF61" i="1"/>
  <c r="AG61" i="1"/>
  <c r="AJ61" i="1"/>
  <c r="AK61" i="1"/>
  <c r="AO61" i="1"/>
  <c r="AS61" i="1"/>
  <c r="AU61" i="1"/>
  <c r="AV61" i="1"/>
  <c r="AW61" i="1"/>
  <c r="BA61" i="1"/>
  <c r="BE61" i="1"/>
  <c r="BI61" i="1"/>
  <c r="BK61" i="1"/>
  <c r="BL61" i="1"/>
  <c r="BM61" i="1"/>
  <c r="BO61" i="1"/>
  <c r="BP61" i="1"/>
  <c r="BQ61" i="1"/>
  <c r="BR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E65" i="1"/>
  <c r="H65" i="1"/>
  <c r="I65" i="1"/>
  <c r="L65" i="1"/>
  <c r="M65" i="1"/>
  <c r="O65" i="1"/>
  <c r="P65" i="1"/>
  <c r="Q65" i="1"/>
  <c r="U65" i="1"/>
  <c r="Y65" i="1"/>
  <c r="AC65" i="1"/>
  <c r="AE65" i="1"/>
  <c r="AF65" i="1"/>
  <c r="AG65" i="1"/>
  <c r="AK65" i="1"/>
  <c r="AO65" i="1"/>
  <c r="AS65" i="1"/>
  <c r="AU65" i="1"/>
  <c r="AV65" i="1"/>
  <c r="AW65" i="1"/>
  <c r="BA65" i="1"/>
  <c r="BE65" i="1"/>
  <c r="BI65" i="1"/>
  <c r="BK65" i="1"/>
  <c r="BL65" i="1"/>
  <c r="BM65" i="1"/>
  <c r="BO65" i="1"/>
  <c r="BP65" i="1"/>
  <c r="BQ65" i="1"/>
  <c r="BR65" i="1"/>
  <c r="D66" i="1"/>
  <c r="E66" i="1"/>
  <c r="H66" i="1"/>
  <c r="I66" i="1"/>
  <c r="L66" i="1"/>
  <c r="M66" i="1"/>
  <c r="O66" i="1"/>
  <c r="P66" i="1"/>
  <c r="Q66" i="1"/>
  <c r="U66" i="1"/>
  <c r="Y66" i="1"/>
  <c r="AB66" i="1"/>
  <c r="AC66" i="1"/>
  <c r="AE66" i="1"/>
  <c r="AF66" i="1"/>
  <c r="AG66" i="1"/>
  <c r="AJ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8" i="1"/>
  <c r="I68" i="1"/>
  <c r="M68" i="1"/>
  <c r="O68" i="1"/>
  <c r="P68" i="1"/>
  <c r="Q68" i="1"/>
  <c r="S68" i="1"/>
  <c r="U68" i="1"/>
  <c r="X68" i="1"/>
  <c r="Y68" i="1"/>
  <c r="AC68" i="1"/>
  <c r="AE68" i="1"/>
  <c r="AF68" i="1"/>
  <c r="AG68" i="1"/>
  <c r="AI68" i="1"/>
  <c r="AK68" i="1"/>
  <c r="AM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U70" i="1"/>
  <c r="Y70" i="1"/>
  <c r="AC70" i="1"/>
  <c r="AE70" i="1"/>
  <c r="AF70" i="1"/>
  <c r="AG70" i="1"/>
  <c r="AO70" i="1"/>
  <c r="AV70" i="1"/>
  <c r="BO70" i="1"/>
  <c r="BP70" i="1"/>
  <c r="BQ70" i="1"/>
  <c r="Q71" i="1"/>
  <c r="U71" i="1"/>
  <c r="Y71" i="1"/>
  <c r="AC71" i="1"/>
  <c r="AE71" i="1"/>
  <c r="AF71" i="1"/>
  <c r="AG71" i="1"/>
  <c r="AO71" i="1"/>
  <c r="AV71" i="1"/>
  <c r="BO71" i="1"/>
  <c r="BP71" i="1"/>
  <c r="BQ71" i="1"/>
  <c r="E72" i="1"/>
  <c r="I72" i="1"/>
  <c r="M72" i="1"/>
  <c r="O72" i="1"/>
  <c r="P72" i="1"/>
  <c r="Q72" i="1"/>
  <c r="U72" i="1"/>
  <c r="Y72" i="1"/>
  <c r="AC72" i="1"/>
  <c r="AE72" i="1"/>
  <c r="AF72" i="1"/>
  <c r="AG72" i="1"/>
  <c r="AK72" i="1"/>
  <c r="AO72" i="1"/>
  <c r="AS72" i="1"/>
  <c r="AU72" i="1"/>
  <c r="AV72" i="1"/>
  <c r="AW72" i="1"/>
  <c r="BA72" i="1"/>
  <c r="BE72" i="1"/>
  <c r="BI72" i="1"/>
  <c r="BK72" i="1"/>
  <c r="BL72" i="1"/>
  <c r="BM72" i="1"/>
  <c r="BO72" i="1"/>
  <c r="BP72" i="1"/>
  <c r="BQ72" i="1"/>
  <c r="BR72" i="1"/>
  <c r="E73" i="1"/>
  <c r="I73" i="1"/>
  <c r="M73" i="1"/>
  <c r="O73" i="1"/>
  <c r="P73" i="1"/>
  <c r="Q73" i="1"/>
  <c r="U73" i="1"/>
  <c r="Y73" i="1"/>
  <c r="AC73" i="1"/>
  <c r="AE73" i="1"/>
  <c r="AF73" i="1"/>
  <c r="AG73" i="1"/>
  <c r="AI73" i="1"/>
  <c r="AK73" i="1"/>
  <c r="AO73" i="1"/>
  <c r="AS73" i="1"/>
  <c r="AU73" i="1"/>
  <c r="AV73" i="1"/>
  <c r="AW73" i="1"/>
  <c r="BA73" i="1"/>
  <c r="BE73" i="1"/>
  <c r="BI73" i="1"/>
  <c r="BK73" i="1"/>
  <c r="BL73" i="1"/>
  <c r="BM73" i="1"/>
  <c r="BO73" i="1"/>
  <c r="BP73" i="1"/>
  <c r="BQ73" i="1"/>
  <c r="BR73" i="1"/>
  <c r="C74" i="1"/>
  <c r="D74" i="1"/>
  <c r="E74" i="1"/>
  <c r="G74" i="1"/>
  <c r="H74" i="1"/>
  <c r="I74" i="1"/>
  <c r="K74" i="1"/>
  <c r="L74" i="1"/>
  <c r="M74" i="1"/>
  <c r="O74" i="1"/>
  <c r="P74" i="1"/>
  <c r="Q74" i="1"/>
  <c r="S74" i="1"/>
  <c r="T74" i="1"/>
  <c r="U74" i="1"/>
  <c r="W74" i="1"/>
  <c r="X74" i="1"/>
  <c r="Y74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U74" i="1"/>
  <c r="AV74" i="1"/>
  <c r="AW74" i="1"/>
  <c r="AY74" i="1"/>
  <c r="AZ74" i="1"/>
  <c r="BA74" i="1"/>
  <c r="BC74" i="1"/>
  <c r="BD74" i="1"/>
  <c r="BE74" i="1"/>
  <c r="BG74" i="1"/>
  <c r="BH74" i="1"/>
  <c r="BI74" i="1"/>
  <c r="BK74" i="1"/>
  <c r="BL74" i="1"/>
  <c r="BM74" i="1"/>
  <c r="BO74" i="1"/>
  <c r="BP74" i="1"/>
  <c r="BQ74" i="1"/>
  <c r="BR74" i="1"/>
  <c r="A76" i="1"/>
  <c r="C81" i="1"/>
  <c r="C83" i="1"/>
  <c r="C85" i="1"/>
  <c r="C87" i="1"/>
  <c r="C94" i="1"/>
</calcChain>
</file>

<file path=xl/sharedStrings.xml><?xml version="1.0" encoding="utf-8"?>
<sst xmlns="http://schemas.openxmlformats.org/spreadsheetml/2006/main" count="217" uniqueCount="99">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</sst>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165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Transactions</a:t>
            </a:r>
          </a:p>
        </c:rich>
      </c:tx>
      <c:layout>
        <c:manualLayout>
          <c:xMode val="edge"/>
          <c:yMode val="edge"/>
          <c:x val="0.34846061345961293"/>
          <c:y val="3.067485236884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82162167295439E-2"/>
          <c:y val="0.22546016491103191"/>
          <c:w val="0.94057353183439718"/>
          <c:h val="0.667178039022441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277</c:v>
                </c:pt>
                <c:pt idx="3">
                  <c:v>139</c:v>
                </c:pt>
                <c:pt idx="4">
                  <c:v>144</c:v>
                </c:pt>
                <c:pt idx="5">
                  <c:v>7</c:v>
                </c:pt>
                <c:pt idx="6">
                  <c:v>18</c:v>
                </c:pt>
                <c:pt idx="7">
                  <c:v>2501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552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2-4DAF-92CC-8159529041BA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15</c:v>
                </c:pt>
                <c:pt idx="1">
                  <c:v>1</c:v>
                </c:pt>
                <c:pt idx="2">
                  <c:v>532</c:v>
                </c:pt>
                <c:pt idx="3">
                  <c:v>632</c:v>
                </c:pt>
                <c:pt idx="4">
                  <c:v>1430</c:v>
                </c:pt>
                <c:pt idx="5">
                  <c:v>440</c:v>
                </c:pt>
                <c:pt idx="6">
                  <c:v>6</c:v>
                </c:pt>
                <c:pt idx="7">
                  <c:v>3294</c:v>
                </c:pt>
                <c:pt idx="8">
                  <c:v>16</c:v>
                </c:pt>
                <c:pt idx="9">
                  <c:v>28</c:v>
                </c:pt>
                <c:pt idx="10">
                  <c:v>136</c:v>
                </c:pt>
                <c:pt idx="11">
                  <c:v>68</c:v>
                </c:pt>
                <c:pt idx="12">
                  <c:v>78</c:v>
                </c:pt>
                <c:pt idx="13">
                  <c:v>148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2-4DAF-92CC-81595290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54888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59.999999999999993</c:v>
                </c:pt>
                <c:pt idx="1">
                  <c:v>0</c:v>
                </c:pt>
                <c:pt idx="2">
                  <c:v>540</c:v>
                </c:pt>
                <c:pt idx="3">
                  <c:v>238</c:v>
                </c:pt>
                <c:pt idx="4">
                  <c:v>113</c:v>
                </c:pt>
                <c:pt idx="5">
                  <c:v>113</c:v>
                </c:pt>
                <c:pt idx="6">
                  <c:v>93.5</c:v>
                </c:pt>
                <c:pt idx="7">
                  <c:v>1200</c:v>
                </c:pt>
                <c:pt idx="8">
                  <c:v>38</c:v>
                </c:pt>
                <c:pt idx="9">
                  <c:v>73</c:v>
                </c:pt>
                <c:pt idx="10">
                  <c:v>150</c:v>
                </c:pt>
                <c:pt idx="11">
                  <c:v>113</c:v>
                </c:pt>
                <c:pt idx="12">
                  <c:v>376.6</c:v>
                </c:pt>
                <c:pt idx="13">
                  <c:v>0</c:v>
                </c:pt>
                <c:pt idx="14">
                  <c:v>0</c:v>
                </c:pt>
                <c:pt idx="15">
                  <c:v>0.49999999999999994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2-4DAF-92CC-81595290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4888"/>
        <c:axId val="1"/>
      </c:lineChart>
      <c:catAx>
        <c:axId val="18815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54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03676647775977"/>
          <c:y val="0.12423315209383393"/>
          <c:w val="0.36736932891866175"/>
          <c:h val="4.754602117171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Value
 </a:t>
            </a:r>
          </a:p>
        </c:rich>
      </c:tx>
      <c:layout>
        <c:manualLayout>
          <c:xMode val="edge"/>
          <c:yMode val="edge"/>
          <c:x val="0.38598400529397137"/>
          <c:y val="3.072204685637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06235716368478E-2"/>
          <c:y val="0.3133648779349924"/>
          <c:w val="0.91105163260727884"/>
          <c:h val="0.63594636992689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7419.5940000000001</c:v>
                </c:pt>
                <c:pt idx="3">
                  <c:v>608.024</c:v>
                </c:pt>
                <c:pt idx="4">
                  <c:v>7271.0830000000005</c:v>
                </c:pt>
                <c:pt idx="5">
                  <c:v>7078.7880000000005</c:v>
                </c:pt>
                <c:pt idx="6">
                  <c:v>132.00900000000001</c:v>
                </c:pt>
                <c:pt idx="7">
                  <c:v>18133.578000000001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1742.6369999999999</c:v>
                </c:pt>
                <c:pt idx="13">
                  <c:v>16652.599999999999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-50</c:v>
                </c:pt>
                <c:pt idx="18">
                  <c:v>826.36300000000006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72E-B386-CE11CAD10682}"/>
            </c:ext>
          </c:extLst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79549</c:v>
                </c:pt>
                <c:pt idx="1">
                  <c:v>500</c:v>
                </c:pt>
                <c:pt idx="2">
                  <c:v>13976.707</c:v>
                </c:pt>
                <c:pt idx="3">
                  <c:v>4847.3590000000004</c:v>
                </c:pt>
                <c:pt idx="4">
                  <c:v>9604.1760000000013</c:v>
                </c:pt>
                <c:pt idx="5">
                  <c:v>49570.472000000002</c:v>
                </c:pt>
                <c:pt idx="6">
                  <c:v>55</c:v>
                </c:pt>
                <c:pt idx="7">
                  <c:v>28192.103999999999</c:v>
                </c:pt>
                <c:pt idx="8">
                  <c:v>20462</c:v>
                </c:pt>
                <c:pt idx="9">
                  <c:v>2462.8879999999999</c:v>
                </c:pt>
                <c:pt idx="10">
                  <c:v>5181.6400000000003</c:v>
                </c:pt>
                <c:pt idx="11">
                  <c:v>9821.5</c:v>
                </c:pt>
                <c:pt idx="12">
                  <c:v>125622.997</c:v>
                </c:pt>
                <c:pt idx="13">
                  <c:v>5388.8580000000002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560.41300000000001</c:v>
                </c:pt>
                <c:pt idx="18">
                  <c:v>4014.2659999999996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472E-B386-CE11CAD1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5040"/>
        <c:axId val="1"/>
      </c:barChart>
      <c:catAx>
        <c:axId val="15812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9.1644247067004386E-3"/>
              <c:y val="0.5130581825014092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2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25622833621112"/>
          <c:y val="0.12135208508266863"/>
          <c:w val="0.2867925849390961"/>
          <c:h val="5.990799136992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20</xdr:col>
      <xdr:colOff>480060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129540</xdr:rowOff>
    </xdr:from>
    <xdr:to>
      <xdr:col>20</xdr:col>
      <xdr:colOff>518160</xdr:colOff>
      <xdr:row>65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view="pageBreakPreview" zoomScale="60" zoomScaleNormal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7.399999999999999" x14ac:dyDescent="0.3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17.399999999999999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abSelected="1" view="pageBreakPreview" zoomScale="60" zoomScaleNormal="100" workbookViewId="0">
      <pane xSplit="14" ySplit="7" topLeftCell="O30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3.2" x14ac:dyDescent="0.25"/>
  <cols>
    <col min="1" max="1" width="39.5546875" bestFit="1" customWidth="1"/>
    <col min="2" max="2" width="2.5546875" hidden="1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3" width="10.6640625" hidden="1" customWidth="1"/>
    <col min="14" max="14" width="2.33203125" hidden="1" customWidth="1"/>
    <col min="15" max="15" width="10.6640625" customWidth="1"/>
    <col min="16" max="16" width="11.5546875" bestFit="1" customWidth="1"/>
    <col min="17" max="17" width="14.109375" bestFit="1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7" width="10.6640625" hidden="1" customWidth="1"/>
    <col min="28" max="28" width="10.6640625" style="29" hidden="1" customWidth="1"/>
    <col min="29" max="29" width="10.6640625" hidden="1" customWidth="1"/>
    <col min="30" max="30" width="2.33203125" customWidth="1"/>
    <col min="31" max="31" width="10.6640625" customWidth="1"/>
    <col min="32" max="32" width="12.33203125" bestFit="1" customWidth="1"/>
    <col min="33" max="33" width="14.109375" bestFit="1" customWidth="1"/>
    <col min="34" max="34" width="2.33203125" customWidth="1"/>
    <col min="35" max="37" width="10.6640625" customWidth="1"/>
    <col min="38" max="38" width="2.33203125" customWidth="1"/>
    <col min="39" max="40" width="10.6640625" customWidth="1"/>
    <col min="41" max="41" width="14.109375" bestFit="1" customWidth="1"/>
    <col min="42" max="42" width="2.33203125" customWidth="1"/>
    <col min="43" max="45" width="10.6640625" customWidth="1"/>
    <col min="46" max="46" width="2.33203125" customWidth="1"/>
    <col min="47" max="47" width="11.88671875" bestFit="1" customWidth="1"/>
    <col min="48" max="48" width="12.6640625" bestFit="1" customWidth="1"/>
    <col min="49" max="49" width="10.6640625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0" width="10.6640625" hidden="1" customWidth="1"/>
    <col min="61" max="61" width="14.109375" bestFit="1" customWidth="1"/>
    <col min="62" max="62" width="2.33203125" customWidth="1"/>
    <col min="63" max="65" width="10.6640625" customWidth="1"/>
    <col min="66" max="66" width="2.33203125" customWidth="1"/>
    <col min="67" max="67" width="11.88671875" bestFit="1" customWidth="1"/>
    <col min="68" max="68" width="12.6640625" bestFit="1" customWidth="1"/>
    <col min="69" max="69" width="14.109375" bestFit="1" customWidth="1"/>
    <col min="70" max="70" width="10.109375" bestFit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1</v>
      </c>
      <c r="B2" s="1"/>
    </row>
    <row r="3" spans="1:70" x14ac:dyDescent="0.25">
      <c r="A3" s="1" t="s">
        <v>2</v>
      </c>
      <c r="B3" s="1"/>
    </row>
    <row r="6" spans="1:70" x14ac:dyDescent="0.25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0" ht="27" customHeight="1" x14ac:dyDescent="0.25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5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32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5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>
        <v>0</v>
      </c>
      <c r="AJ9" s="3">
        <v>3</v>
      </c>
      <c r="AK9" s="3">
        <f>AJ9-AI9</f>
        <v>3</v>
      </c>
      <c r="AM9" s="3">
        <v>0</v>
      </c>
      <c r="AN9" s="3">
        <v>4</v>
      </c>
      <c r="AO9" s="3">
        <f>AN9-AM9</f>
        <v>4</v>
      </c>
      <c r="AQ9" s="33"/>
      <c r="AR9" s="3">
        <v>2</v>
      </c>
      <c r="AS9" s="3">
        <f>AR9-AQ9</f>
        <v>2</v>
      </c>
      <c r="AU9" s="3">
        <f>AI9+AM9+AQ9</f>
        <v>0</v>
      </c>
      <c r="AV9" s="3">
        <f>AJ9+AN9+AR9</f>
        <v>9</v>
      </c>
      <c r="AW9" s="3">
        <f>AV9-AU9</f>
        <v>9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C9+G9+K9+S9+W9+AA9+AI9+AM9+AQ9</f>
        <v>0</v>
      </c>
      <c r="BP9" s="3">
        <f t="shared" si="0"/>
        <v>15</v>
      </c>
      <c r="BQ9" s="3">
        <f>BP9-BO9</f>
        <v>15</v>
      </c>
      <c r="BR9" s="5">
        <f>BQ9/BP9</f>
        <v>1</v>
      </c>
    </row>
    <row r="10" spans="1:70" ht="12.75" customHeight="1" x14ac:dyDescent="0.25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>
        <v>0</v>
      </c>
      <c r="AJ10" s="3">
        <v>0</v>
      </c>
      <c r="AK10" s="3">
        <f>AJ10-AI10</f>
        <v>0</v>
      </c>
      <c r="AM10" s="3"/>
      <c r="AN10" s="3"/>
      <c r="AO10" s="3">
        <f>AN10-AM10</f>
        <v>0</v>
      </c>
      <c r="AQ10" s="3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5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>
        <v>64</v>
      </c>
      <c r="AJ11" s="3">
        <f>67</f>
        <v>67</v>
      </c>
      <c r="AK11" s="3">
        <f t="shared" ref="AK11:AK19" si="17">AJ11-AI11</f>
        <v>3</v>
      </c>
      <c r="AM11" s="3">
        <v>34</v>
      </c>
      <c r="AN11" s="3">
        <v>62</v>
      </c>
      <c r="AO11" s="3">
        <f t="shared" ref="AO11:AO19" si="18">AN11-AM11</f>
        <v>28</v>
      </c>
      <c r="AQ11" s="33">
        <v>44</v>
      </c>
      <c r="AR11" s="3">
        <v>41</v>
      </c>
      <c r="AS11" s="3">
        <f t="shared" ref="AS11:AS19" si="19">AR11-AQ11</f>
        <v>-3</v>
      </c>
      <c r="AU11" s="3">
        <f t="shared" si="5"/>
        <v>142</v>
      </c>
      <c r="AV11" s="3">
        <f t="shared" si="6"/>
        <v>170</v>
      </c>
      <c r="AW11" s="3">
        <f t="shared" ref="AW11:AW19" si="20">AV11-AU11</f>
        <v>28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277</v>
      </c>
      <c r="BP11" s="3">
        <f t="shared" si="0"/>
        <v>532</v>
      </c>
      <c r="BQ11" s="3">
        <f t="shared" ref="BQ11:BQ37" si="25">BP11-BO11</f>
        <v>255</v>
      </c>
      <c r="BR11" s="5">
        <f>BQ11/BP11</f>
        <v>0.47932330827067671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>
        <f>16+4</f>
        <v>20</v>
      </c>
      <c r="AJ14" s="3">
        <f>49</f>
        <v>49</v>
      </c>
      <c r="AK14" s="3">
        <f t="shared" si="17"/>
        <v>29</v>
      </c>
      <c r="AM14" s="3">
        <v>11</v>
      </c>
      <c r="AN14" s="3">
        <v>63</v>
      </c>
      <c r="AO14" s="3">
        <f t="shared" si="18"/>
        <v>52</v>
      </c>
      <c r="AQ14" s="33">
        <f>10+1</f>
        <v>11</v>
      </c>
      <c r="AR14" s="3">
        <v>74</v>
      </c>
      <c r="AS14" s="3">
        <f t="shared" si="19"/>
        <v>63</v>
      </c>
      <c r="AU14" s="3">
        <f t="shared" si="5"/>
        <v>42</v>
      </c>
      <c r="AV14" s="3">
        <f t="shared" si="6"/>
        <v>186</v>
      </c>
      <c r="AW14" s="3">
        <f t="shared" si="20"/>
        <v>144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C14+G14+K14+S14+W14+AA14+AI14+AM14+AQ14</f>
        <v>139</v>
      </c>
      <c r="BP14" s="3">
        <f t="shared" ref="BP14:BP19" si="27">D14+H14+L14+T14+X14+AB14+AJ14+AN14+AR14</f>
        <v>632</v>
      </c>
      <c r="BQ14" s="3">
        <f t="shared" si="25"/>
        <v>493</v>
      </c>
      <c r="BR14" s="5">
        <f>BQ14/BP14</f>
        <v>0.78006329113924056</v>
      </c>
    </row>
    <row r="15" spans="1:70" x14ac:dyDescent="0.25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>
        <f>1+12</f>
        <v>13</v>
      </c>
      <c r="AJ15" s="3">
        <f>172</f>
        <v>172</v>
      </c>
      <c r="AK15" s="3">
        <f t="shared" si="17"/>
        <v>159</v>
      </c>
      <c r="AM15" s="3">
        <v>19</v>
      </c>
      <c r="AN15" s="3">
        <v>234</v>
      </c>
      <c r="AO15" s="3">
        <f t="shared" si="18"/>
        <v>215</v>
      </c>
      <c r="AQ15" s="33">
        <f>2+3+1+13+1</f>
        <v>20</v>
      </c>
      <c r="AR15" s="3">
        <v>137</v>
      </c>
      <c r="AS15" s="3">
        <f t="shared" si="19"/>
        <v>117</v>
      </c>
      <c r="AU15" s="3">
        <f t="shared" si="5"/>
        <v>52</v>
      </c>
      <c r="AV15" s="3">
        <f t="shared" si="6"/>
        <v>543</v>
      </c>
      <c r="AW15" s="3">
        <f t="shared" si="20"/>
        <v>491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144</v>
      </c>
      <c r="BP15" s="3">
        <f t="shared" si="27"/>
        <v>1430</v>
      </c>
      <c r="BQ15" s="3">
        <f t="shared" si="25"/>
        <v>1286</v>
      </c>
      <c r="BR15" s="5">
        <f>BQ15/BP15</f>
        <v>0.89930069930069934</v>
      </c>
    </row>
    <row r="16" spans="1:70" x14ac:dyDescent="0.25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>
        <v>0</v>
      </c>
      <c r="AJ16" s="3">
        <f>46</f>
        <v>46</v>
      </c>
      <c r="AK16" s="3">
        <f t="shared" si="17"/>
        <v>46</v>
      </c>
      <c r="AM16" s="3">
        <v>1</v>
      </c>
      <c r="AN16" s="3">
        <v>63</v>
      </c>
      <c r="AO16" s="3">
        <f t="shared" si="18"/>
        <v>62</v>
      </c>
      <c r="AQ16" s="33">
        <v>1</v>
      </c>
      <c r="AR16" s="3">
        <v>43</v>
      </c>
      <c r="AS16" s="3">
        <f t="shared" si="19"/>
        <v>42</v>
      </c>
      <c r="AU16" s="3">
        <f t="shared" si="5"/>
        <v>2</v>
      </c>
      <c r="AV16" s="3">
        <f t="shared" si="6"/>
        <v>152</v>
      </c>
      <c r="AW16" s="3">
        <f t="shared" si="20"/>
        <v>150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7</v>
      </c>
      <c r="BP16" s="3">
        <f t="shared" si="27"/>
        <v>440</v>
      </c>
      <c r="BQ16" s="3">
        <f t="shared" si="25"/>
        <v>433</v>
      </c>
      <c r="BR16" s="5">
        <f>BQ16/BP16</f>
        <v>0.98409090909090913</v>
      </c>
    </row>
    <row r="17" spans="1:70" x14ac:dyDescent="0.25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>
        <v>1</v>
      </c>
      <c r="AJ17" s="3">
        <v>1</v>
      </c>
      <c r="AK17" s="3">
        <f t="shared" si="17"/>
        <v>0</v>
      </c>
      <c r="AM17" s="3">
        <v>0</v>
      </c>
      <c r="AN17" s="3">
        <v>0</v>
      </c>
      <c r="AO17" s="3">
        <f t="shared" si="18"/>
        <v>0</v>
      </c>
      <c r="AQ17" s="33">
        <v>4</v>
      </c>
      <c r="AR17" s="3"/>
      <c r="AS17" s="3">
        <f t="shared" si="19"/>
        <v>-4</v>
      </c>
      <c r="AU17" s="3">
        <f t="shared" si="5"/>
        <v>5</v>
      </c>
      <c r="AV17" s="3">
        <f t="shared" si="6"/>
        <v>1</v>
      </c>
      <c r="AW17" s="3">
        <f t="shared" si="20"/>
        <v>-4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18</v>
      </c>
      <c r="BP17" s="3">
        <f t="shared" si="27"/>
        <v>6</v>
      </c>
      <c r="BQ17" s="3">
        <f t="shared" si="25"/>
        <v>-12</v>
      </c>
      <c r="BR17" s="5">
        <v>0</v>
      </c>
    </row>
    <row r="18" spans="1:70" hidden="1" x14ac:dyDescent="0.25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3"/>
      <c r="AR18" s="3">
        <v>0</v>
      </c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5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>
        <v>288</v>
      </c>
      <c r="AJ19" s="3">
        <f>328</f>
        <v>328</v>
      </c>
      <c r="AK19" s="3">
        <f t="shared" si="17"/>
        <v>40</v>
      </c>
      <c r="AM19" s="3">
        <v>330</v>
      </c>
      <c r="AN19" s="3">
        <v>340</v>
      </c>
      <c r="AO19" s="3">
        <f t="shared" si="18"/>
        <v>10</v>
      </c>
      <c r="AQ19" s="33">
        <v>287</v>
      </c>
      <c r="AR19" s="3">
        <v>318</v>
      </c>
      <c r="AS19" s="3">
        <f t="shared" si="19"/>
        <v>31</v>
      </c>
      <c r="AU19" s="3">
        <f t="shared" si="5"/>
        <v>905</v>
      </c>
      <c r="AV19" s="3">
        <f t="shared" si="6"/>
        <v>986</v>
      </c>
      <c r="AW19" s="3">
        <f t="shared" si="20"/>
        <v>81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2501</v>
      </c>
      <c r="BP19" s="3">
        <f t="shared" si="27"/>
        <v>3294</v>
      </c>
      <c r="BQ19" s="3">
        <f t="shared" si="25"/>
        <v>793</v>
      </c>
      <c r="BR19" s="5">
        <f>BQ19/BP19</f>
        <v>0.24074074074074073</v>
      </c>
    </row>
    <row r="20" spans="1:70" x14ac:dyDescent="0.25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5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>
        <v>0</v>
      </c>
      <c r="AJ22" s="3">
        <v>1</v>
      </c>
      <c r="AK22" s="3">
        <f>AJ22-AI22</f>
        <v>1</v>
      </c>
      <c r="AM22" s="3">
        <v>0</v>
      </c>
      <c r="AN22" s="3">
        <v>4</v>
      </c>
      <c r="AO22" s="3">
        <f>AN22-AM22</f>
        <v>4</v>
      </c>
      <c r="AQ22" s="33"/>
      <c r="AR22" s="3">
        <v>0</v>
      </c>
      <c r="AS22" s="3">
        <f>AR22-AQ22</f>
        <v>0</v>
      </c>
      <c r="AU22" s="3">
        <f t="shared" si="5"/>
        <v>0</v>
      </c>
      <c r="AV22" s="3">
        <f t="shared" si="6"/>
        <v>5</v>
      </c>
      <c r="AW22" s="3">
        <f>AV22-AU22</f>
        <v>5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C22+G22+K22+S22+W22+AA22+AI22+AM22+AQ22</f>
        <v>0</v>
      </c>
      <c r="BP22" s="3">
        <f t="shared" si="28"/>
        <v>16</v>
      </c>
      <c r="BQ22" s="3">
        <f>BP22-BO22</f>
        <v>16</v>
      </c>
      <c r="BR22" s="5">
        <f>BQ22/BP22</f>
        <v>1</v>
      </c>
    </row>
    <row r="23" spans="1:70" x14ac:dyDescent="0.25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>
        <v>0</v>
      </c>
      <c r="AJ23" s="3">
        <v>4</v>
      </c>
      <c r="AK23" s="3">
        <f>AJ23-AI23</f>
        <v>4</v>
      </c>
      <c r="AM23" s="3">
        <v>0</v>
      </c>
      <c r="AN23" s="3">
        <v>0</v>
      </c>
      <c r="AO23" s="3">
        <f>AN23-AM23</f>
        <v>0</v>
      </c>
      <c r="AQ23" s="33"/>
      <c r="AR23" s="3">
        <v>3</v>
      </c>
      <c r="AS23" s="3">
        <f>AR23-AQ23</f>
        <v>3</v>
      </c>
      <c r="AU23" s="3">
        <f t="shared" si="5"/>
        <v>0</v>
      </c>
      <c r="AV23" s="3">
        <f t="shared" si="6"/>
        <v>7</v>
      </c>
      <c r="AW23" s="3">
        <f>AV23-AU23</f>
        <v>7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28</v>
      </c>
      <c r="BQ23" s="3">
        <f>BP23-BO23</f>
        <v>28</v>
      </c>
      <c r="BR23" s="5">
        <f>BQ23/BP23</f>
        <v>1</v>
      </c>
    </row>
    <row r="24" spans="1:70" x14ac:dyDescent="0.25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>
        <v>0</v>
      </c>
      <c r="AJ24" s="3">
        <v>10</v>
      </c>
      <c r="AK24" s="3">
        <f>AJ24-AI24</f>
        <v>10</v>
      </c>
      <c r="AM24" s="3">
        <v>0</v>
      </c>
      <c r="AN24" s="3">
        <v>11</v>
      </c>
      <c r="AO24" s="3">
        <f>AN24-AM24</f>
        <v>11</v>
      </c>
      <c r="AQ24" s="33"/>
      <c r="AR24" s="3">
        <v>2</v>
      </c>
      <c r="AS24" s="3">
        <f>AR24-AQ24</f>
        <v>2</v>
      </c>
      <c r="AU24" s="3">
        <f t="shared" si="5"/>
        <v>0</v>
      </c>
      <c r="AV24" s="3">
        <f t="shared" si="6"/>
        <v>23</v>
      </c>
      <c r="AW24" s="3">
        <f>AV24-AU24</f>
        <v>23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136</v>
      </c>
      <c r="BQ24" s="3">
        <f>BP24-BO24</f>
        <v>136</v>
      </c>
      <c r="BR24" s="5">
        <f>BQ24/BP24</f>
        <v>1</v>
      </c>
    </row>
    <row r="25" spans="1:70" x14ac:dyDescent="0.25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95-81</f>
        <v>14</v>
      </c>
      <c r="M25" s="3">
        <f>L25-K25</f>
        <v>13</v>
      </c>
      <c r="O25" s="3">
        <f t="shared" si="1"/>
        <v>1</v>
      </c>
      <c r="P25" s="3">
        <f t="shared" si="2"/>
        <v>39</v>
      </c>
      <c r="Q25" s="3">
        <f>P25-O25</f>
        <v>38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>
        <v>0</v>
      </c>
      <c r="AJ25" s="3">
        <v>9</v>
      </c>
      <c r="AK25" s="3">
        <f>AJ25-AI25</f>
        <v>9</v>
      </c>
      <c r="AM25" s="3">
        <v>0</v>
      </c>
      <c r="AN25" s="3">
        <v>4</v>
      </c>
      <c r="AO25" s="3">
        <f>AN25-AM25</f>
        <v>4</v>
      </c>
      <c r="AQ25" s="33"/>
      <c r="AR25" s="3">
        <v>2</v>
      </c>
      <c r="AS25" s="3">
        <f>AR25-AQ25</f>
        <v>2</v>
      </c>
      <c r="AU25" s="3">
        <f t="shared" si="5"/>
        <v>0</v>
      </c>
      <c r="AV25" s="3">
        <f t="shared" si="6"/>
        <v>15</v>
      </c>
      <c r="AW25" s="3">
        <f>AV25-AU25</f>
        <v>15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68</v>
      </c>
      <c r="BQ25" s="3">
        <f>BP25-BO25</f>
        <v>67</v>
      </c>
      <c r="BR25" s="5">
        <f>BQ25/BP25</f>
        <v>0.98529411764705888</v>
      </c>
    </row>
    <row r="26" spans="1:70" x14ac:dyDescent="0.25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5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9">H28-G28</f>
        <v>0</v>
      </c>
      <c r="K28" s="3">
        <v>0</v>
      </c>
      <c r="L28" s="3">
        <v>0</v>
      </c>
      <c r="M28" s="3">
        <f t="shared" ref="M28:M37" si="30">L28-K28</f>
        <v>0</v>
      </c>
      <c r="O28" s="3">
        <f t="shared" si="1"/>
        <v>0</v>
      </c>
      <c r="P28" s="3">
        <f t="shared" si="2"/>
        <v>0</v>
      </c>
      <c r="Q28" s="3">
        <f t="shared" ref="Q28:Q37" si="31">P28-O28</f>
        <v>0</v>
      </c>
      <c r="S28" s="3">
        <v>0</v>
      </c>
      <c r="T28" s="3">
        <v>0</v>
      </c>
      <c r="U28" s="3">
        <f t="shared" ref="U28:U37" si="32">T28-S28</f>
        <v>0</v>
      </c>
      <c r="W28" s="3">
        <v>0</v>
      </c>
      <c r="X28" s="3"/>
      <c r="Y28" s="3">
        <f t="shared" ref="Y28:Y37" si="33">X28-W28</f>
        <v>0</v>
      </c>
      <c r="AA28" s="3"/>
      <c r="AB28" s="33"/>
      <c r="AC28" s="3">
        <f t="shared" ref="AC28:AC37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5">AF28-AE28</f>
        <v>0</v>
      </c>
      <c r="AI28" s="3"/>
      <c r="AJ28" s="3"/>
      <c r="AK28" s="3">
        <f t="shared" ref="AK28:AK37" si="36">AJ28-AI28</f>
        <v>0</v>
      </c>
      <c r="AM28" s="3"/>
      <c r="AN28" s="3"/>
      <c r="AO28" s="3">
        <f t="shared" ref="AO28:AO37" si="37">AN28-AM28</f>
        <v>0</v>
      </c>
      <c r="AQ28" s="33"/>
      <c r="AR28" s="3">
        <v>0</v>
      </c>
      <c r="AS28" s="3">
        <f t="shared" ref="AS28:AS37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9">AV28-AU28</f>
        <v>0</v>
      </c>
      <c r="AY28" s="3"/>
      <c r="AZ28" s="3"/>
      <c r="BA28" s="3">
        <f t="shared" ref="BA28:BA37" si="40">AZ28-AY28</f>
        <v>0</v>
      </c>
      <c r="BC28" s="3"/>
      <c r="BD28" s="3"/>
      <c r="BE28" s="3">
        <f t="shared" ref="BE28:BE37" si="41">BD28-BC28</f>
        <v>0</v>
      </c>
      <c r="BG28" s="3"/>
      <c r="BH28" s="3"/>
      <c r="BI28" s="3">
        <f t="shared" ref="BI28:BI37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3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5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3"/>
      <c r="AR29" s="3">
        <v>0</v>
      </c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5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v>19</v>
      </c>
      <c r="Y30" s="3">
        <f t="shared" si="33"/>
        <v>19</v>
      </c>
      <c r="AA30" s="3">
        <v>1</v>
      </c>
      <c r="AB30" s="33">
        <v>11</v>
      </c>
      <c r="AC30" s="3">
        <f t="shared" si="34"/>
        <v>10</v>
      </c>
      <c r="AE30" s="3">
        <f t="shared" si="3"/>
        <v>1</v>
      </c>
      <c r="AF30" s="3">
        <f t="shared" si="4"/>
        <v>36</v>
      </c>
      <c r="AG30" s="3">
        <f t="shared" si="35"/>
        <v>35</v>
      </c>
      <c r="AI30" s="3">
        <v>0</v>
      </c>
      <c r="AJ30" s="3">
        <v>9</v>
      </c>
      <c r="AK30" s="3">
        <f t="shared" si="36"/>
        <v>9</v>
      </c>
      <c r="AM30" s="3">
        <v>0</v>
      </c>
      <c r="AN30" s="3">
        <v>8</v>
      </c>
      <c r="AO30" s="3">
        <f t="shared" si="37"/>
        <v>8</v>
      </c>
      <c r="AQ30" s="33">
        <v>3</v>
      </c>
      <c r="AR30" s="3">
        <v>9</v>
      </c>
      <c r="AS30" s="3">
        <f t="shared" si="38"/>
        <v>6</v>
      </c>
      <c r="AU30" s="3">
        <f t="shared" si="5"/>
        <v>3</v>
      </c>
      <c r="AV30" s="3">
        <f t="shared" si="6"/>
        <v>26</v>
      </c>
      <c r="AW30" s="3">
        <f t="shared" si="39"/>
        <v>23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>C30+G30+K30+S30+W30+AA30+AI30+AM30+AQ30</f>
        <v>4</v>
      </c>
      <c r="BP30" s="3">
        <f>D30+H30+L30+T30+X30+AB30+AJ30+AN30+AR30</f>
        <v>78</v>
      </c>
      <c r="BQ30" s="3">
        <f t="shared" si="25"/>
        <v>74</v>
      </c>
      <c r="BR30" s="5">
        <f>BQ30/BP30</f>
        <v>0.94871794871794868</v>
      </c>
    </row>
    <row r="31" spans="1:70" x14ac:dyDescent="0.25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5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>
        <v>65</v>
      </c>
      <c r="AB32" s="33">
        <v>2</v>
      </c>
      <c r="AC32" s="3">
        <f t="shared" si="34"/>
        <v>-63</v>
      </c>
      <c r="AE32" s="3">
        <f t="shared" si="3"/>
        <v>182</v>
      </c>
      <c r="AF32" s="3">
        <f t="shared" si="4"/>
        <v>35</v>
      </c>
      <c r="AG32" s="3">
        <f t="shared" si="35"/>
        <v>-147</v>
      </c>
      <c r="AI32" s="3">
        <v>59</v>
      </c>
      <c r="AJ32" s="3">
        <v>1</v>
      </c>
      <c r="AK32" s="3">
        <f t="shared" si="36"/>
        <v>-58</v>
      </c>
      <c r="AM32" s="3">
        <v>89</v>
      </c>
      <c r="AN32" s="3">
        <v>0</v>
      </c>
      <c r="AO32" s="3">
        <f t="shared" si="37"/>
        <v>-89</v>
      </c>
      <c r="AQ32" s="33">
        <v>48</v>
      </c>
      <c r="AR32" s="3">
        <v>1</v>
      </c>
      <c r="AS32" s="3">
        <f t="shared" si="38"/>
        <v>-47</v>
      </c>
      <c r="AU32" s="3">
        <f t="shared" si="5"/>
        <v>196</v>
      </c>
      <c r="AV32" s="3">
        <f t="shared" si="6"/>
        <v>2</v>
      </c>
      <c r="AW32" s="3">
        <f t="shared" si="39"/>
        <v>-194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O37" si="44">C32+G32+K32+S32+W32+AA32+AI32+AM32+AQ32</f>
        <v>552</v>
      </c>
      <c r="BP32" s="3">
        <f t="shared" ref="BP32:BP37" si="45">D32+H32+L32+T32+X32+AB32+AJ32+AN32+AR32</f>
        <v>148</v>
      </c>
      <c r="BQ32" s="3">
        <f t="shared" si="25"/>
        <v>-404</v>
      </c>
      <c r="BR32" s="5">
        <f>BQ32/BP32</f>
        <v>-2.7297297297297298</v>
      </c>
    </row>
    <row r="33" spans="1:70" x14ac:dyDescent="0.25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>
        <v>0</v>
      </c>
      <c r="AB33" s="3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>
        <v>0</v>
      </c>
      <c r="AJ33" s="3">
        <v>0</v>
      </c>
      <c r="AK33" s="3">
        <f t="shared" si="36"/>
        <v>0</v>
      </c>
      <c r="AM33" s="3"/>
      <c r="AN33" s="3">
        <v>0</v>
      </c>
      <c r="AO33" s="3">
        <f t="shared" si="37"/>
        <v>0</v>
      </c>
      <c r="AQ33" s="33"/>
      <c r="AR33" s="3">
        <v>0</v>
      </c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4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5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1"/>
        <v>0</v>
      </c>
      <c r="S34" s="3">
        <v>0</v>
      </c>
      <c r="T34" s="3">
        <v>0</v>
      </c>
      <c r="U34" s="3">
        <f t="shared" si="32"/>
        <v>0</v>
      </c>
      <c r="W34" s="3">
        <v>0</v>
      </c>
      <c r="X34" s="3">
        <v>0</v>
      </c>
      <c r="Y34" s="3">
        <f t="shared" si="33"/>
        <v>0</v>
      </c>
      <c r="AA34" s="3">
        <v>0</v>
      </c>
      <c r="AB34" s="33">
        <v>1</v>
      </c>
      <c r="AC34" s="3">
        <f t="shared" si="34"/>
        <v>1</v>
      </c>
      <c r="AE34" s="3">
        <f t="shared" si="3"/>
        <v>0</v>
      </c>
      <c r="AF34" s="3">
        <f t="shared" si="4"/>
        <v>1</v>
      </c>
      <c r="AG34" s="3">
        <f t="shared" si="35"/>
        <v>1</v>
      </c>
      <c r="AI34" s="3">
        <v>0</v>
      </c>
      <c r="AJ34" s="3">
        <v>0</v>
      </c>
      <c r="AK34" s="3">
        <f t="shared" si="36"/>
        <v>0</v>
      </c>
      <c r="AM34" s="3"/>
      <c r="AN34" s="3">
        <v>0</v>
      </c>
      <c r="AO34" s="3">
        <f t="shared" si="37"/>
        <v>0</v>
      </c>
      <c r="AQ34" s="33"/>
      <c r="AR34" s="3">
        <f>'Year Over Year'!AS34</f>
        <v>0</v>
      </c>
      <c r="AS34" s="3"/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4"/>
        <v>0</v>
      </c>
      <c r="BP34" s="3">
        <f t="shared" si="45"/>
        <v>1</v>
      </c>
      <c r="BQ34" s="3">
        <f t="shared" si="25"/>
        <v>1</v>
      </c>
      <c r="BR34" s="5"/>
    </row>
    <row r="35" spans="1:70" x14ac:dyDescent="0.25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1"/>
        <v>0</v>
      </c>
      <c r="S35" s="3">
        <v>0</v>
      </c>
      <c r="T35" s="3">
        <v>0</v>
      </c>
      <c r="U35" s="3">
        <f t="shared" si="32"/>
        <v>0</v>
      </c>
      <c r="W35" s="3">
        <v>0</v>
      </c>
      <c r="X35" s="3">
        <v>0</v>
      </c>
      <c r="Y35" s="3">
        <f t="shared" si="33"/>
        <v>0</v>
      </c>
      <c r="AA35" s="3">
        <v>1</v>
      </c>
      <c r="AB35" s="33">
        <v>0</v>
      </c>
      <c r="AC35" s="3">
        <f t="shared" si="34"/>
        <v>-1</v>
      </c>
      <c r="AE35" s="3">
        <f t="shared" si="3"/>
        <v>1</v>
      </c>
      <c r="AF35" s="3">
        <f t="shared" si="4"/>
        <v>0</v>
      </c>
      <c r="AG35" s="3">
        <f t="shared" si="35"/>
        <v>-1</v>
      </c>
      <c r="AI35" s="3">
        <v>0</v>
      </c>
      <c r="AJ35" s="3">
        <v>0</v>
      </c>
      <c r="AK35" s="3">
        <f t="shared" si="36"/>
        <v>0</v>
      </c>
      <c r="AM35" s="3"/>
      <c r="AN35" s="3">
        <v>0</v>
      </c>
      <c r="AO35" s="3">
        <f t="shared" si="37"/>
        <v>0</v>
      </c>
      <c r="AQ35" s="33"/>
      <c r="AR35" s="3"/>
      <c r="AS35" s="3"/>
      <c r="AU35" s="3">
        <f t="shared" si="5"/>
        <v>0</v>
      </c>
      <c r="AV35" s="3">
        <f t="shared" si="6"/>
        <v>0</v>
      </c>
      <c r="AW35" s="3">
        <f t="shared" si="39"/>
        <v>0</v>
      </c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4"/>
        <v>1</v>
      </c>
      <c r="BP35" s="3">
        <f t="shared" si="45"/>
        <v>0</v>
      </c>
      <c r="BQ35" s="3">
        <f t="shared" si="25"/>
        <v>-1</v>
      </c>
      <c r="BR35" s="5"/>
    </row>
    <row r="36" spans="1:70" x14ac:dyDescent="0.25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9"/>
        <v>0</v>
      </c>
      <c r="K36" s="3">
        <v>0</v>
      </c>
      <c r="L36" s="3">
        <v>0</v>
      </c>
      <c r="M36" s="3">
        <f t="shared" si="30"/>
        <v>0</v>
      </c>
      <c r="O36" s="3">
        <f t="shared" si="1"/>
        <v>0</v>
      </c>
      <c r="P36" s="3">
        <f t="shared" si="2"/>
        <v>1</v>
      </c>
      <c r="Q36" s="3">
        <f t="shared" si="31"/>
        <v>1</v>
      </c>
      <c r="S36" s="3">
        <v>0</v>
      </c>
      <c r="T36" s="3">
        <v>1</v>
      </c>
      <c r="U36" s="3">
        <f t="shared" si="32"/>
        <v>1</v>
      </c>
      <c r="W36" s="3">
        <v>0</v>
      </c>
      <c r="X36" s="3">
        <v>1</v>
      </c>
      <c r="Y36" s="3">
        <f t="shared" si="33"/>
        <v>1</v>
      </c>
      <c r="AA36" s="3">
        <v>0</v>
      </c>
      <c r="AB36" s="33">
        <v>2</v>
      </c>
      <c r="AC36" s="3">
        <f t="shared" si="34"/>
        <v>2</v>
      </c>
      <c r="AE36" s="3">
        <f t="shared" si="3"/>
        <v>0</v>
      </c>
      <c r="AF36" s="3">
        <f t="shared" si="4"/>
        <v>4</v>
      </c>
      <c r="AG36" s="3">
        <f t="shared" si="35"/>
        <v>4</v>
      </c>
      <c r="AI36" s="3">
        <v>0</v>
      </c>
      <c r="AJ36" s="3">
        <v>0</v>
      </c>
      <c r="AK36" s="3">
        <f t="shared" si="36"/>
        <v>0</v>
      </c>
      <c r="AM36" s="3"/>
      <c r="AN36" s="3">
        <v>0</v>
      </c>
      <c r="AO36" s="3">
        <f t="shared" si="37"/>
        <v>0</v>
      </c>
      <c r="AQ36" s="33">
        <v>1</v>
      </c>
      <c r="AR36" s="3">
        <v>1</v>
      </c>
      <c r="AS36" s="3">
        <f t="shared" si="38"/>
        <v>0</v>
      </c>
      <c r="AU36" s="3">
        <f t="shared" si="5"/>
        <v>1</v>
      </c>
      <c r="AV36" s="3">
        <f t="shared" si="6"/>
        <v>1</v>
      </c>
      <c r="AW36" s="3">
        <f t="shared" si="39"/>
        <v>0</v>
      </c>
      <c r="AY36" s="3"/>
      <c r="AZ36" s="3"/>
      <c r="BA36" s="3">
        <f t="shared" si="40"/>
        <v>0</v>
      </c>
      <c r="BC36" s="3"/>
      <c r="BD36" s="3"/>
      <c r="BE36" s="3">
        <f t="shared" si="41"/>
        <v>0</v>
      </c>
      <c r="BG36" s="3"/>
      <c r="BH36" s="3"/>
      <c r="BI36" s="3">
        <f t="shared" si="42"/>
        <v>0</v>
      </c>
      <c r="BK36" s="3">
        <f t="shared" si="7"/>
        <v>0</v>
      </c>
      <c r="BL36" s="3">
        <f t="shared" si="8"/>
        <v>0</v>
      </c>
      <c r="BM36" s="3">
        <f t="shared" si="43"/>
        <v>0</v>
      </c>
      <c r="BO36" s="3">
        <f t="shared" si="44"/>
        <v>1</v>
      </c>
      <c r="BP36" s="3">
        <f t="shared" si="45"/>
        <v>6</v>
      </c>
      <c r="BQ36" s="3">
        <f t="shared" si="25"/>
        <v>5</v>
      </c>
      <c r="BR36" s="5">
        <f>BQ36/BP36</f>
        <v>0.83333333333333337</v>
      </c>
    </row>
    <row r="37" spans="1:70" x14ac:dyDescent="0.25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9"/>
        <v>6</v>
      </c>
      <c r="K37" s="4">
        <v>0</v>
      </c>
      <c r="L37" s="4">
        <v>9</v>
      </c>
      <c r="M37" s="4">
        <f t="shared" si="30"/>
        <v>9</v>
      </c>
      <c r="O37" s="4">
        <f t="shared" si="1"/>
        <v>0</v>
      </c>
      <c r="P37" s="4">
        <f t="shared" si="2"/>
        <v>20</v>
      </c>
      <c r="Q37" s="4">
        <f t="shared" si="31"/>
        <v>20</v>
      </c>
      <c r="S37" s="4">
        <v>0</v>
      </c>
      <c r="T37" s="4">
        <v>6</v>
      </c>
      <c r="U37" s="4">
        <f t="shared" si="32"/>
        <v>6</v>
      </c>
      <c r="W37" s="4">
        <v>0</v>
      </c>
      <c r="X37" s="4">
        <v>13</v>
      </c>
      <c r="Y37" s="4">
        <f t="shared" si="33"/>
        <v>13</v>
      </c>
      <c r="AA37" s="4">
        <v>5</v>
      </c>
      <c r="AB37" s="34">
        <v>48</v>
      </c>
      <c r="AC37" s="4">
        <f t="shared" si="34"/>
        <v>43</v>
      </c>
      <c r="AE37" s="4">
        <f t="shared" si="3"/>
        <v>5</v>
      </c>
      <c r="AF37" s="4">
        <f t="shared" si="4"/>
        <v>67</v>
      </c>
      <c r="AG37" s="4">
        <f t="shared" si="35"/>
        <v>62</v>
      </c>
      <c r="AI37" s="4">
        <v>1</v>
      </c>
      <c r="AJ37" s="4">
        <v>11</v>
      </c>
      <c r="AK37" s="4">
        <f t="shared" si="36"/>
        <v>10</v>
      </c>
      <c r="AM37" s="4">
        <v>15</v>
      </c>
      <c r="AN37" s="4">
        <v>9</v>
      </c>
      <c r="AO37" s="4">
        <f t="shared" si="37"/>
        <v>-6</v>
      </c>
      <c r="AQ37" s="34">
        <v>5</v>
      </c>
      <c r="AR37" s="4">
        <v>18</v>
      </c>
      <c r="AS37" s="4">
        <f t="shared" si="38"/>
        <v>13</v>
      </c>
      <c r="AU37" s="4">
        <f t="shared" si="5"/>
        <v>21</v>
      </c>
      <c r="AV37" s="4">
        <f t="shared" si="6"/>
        <v>38</v>
      </c>
      <c r="AW37" s="4">
        <f t="shared" si="39"/>
        <v>17</v>
      </c>
      <c r="AY37" s="4"/>
      <c r="AZ37" s="4"/>
      <c r="BA37" s="4">
        <f t="shared" si="40"/>
        <v>0</v>
      </c>
      <c r="BC37" s="4"/>
      <c r="BD37" s="4"/>
      <c r="BE37" s="4">
        <f t="shared" si="41"/>
        <v>0</v>
      </c>
      <c r="BG37" s="4"/>
      <c r="BH37" s="4"/>
      <c r="BI37" s="4">
        <f t="shared" si="42"/>
        <v>0</v>
      </c>
      <c r="BK37" s="4">
        <f t="shared" si="7"/>
        <v>0</v>
      </c>
      <c r="BL37" s="4">
        <f t="shared" si="8"/>
        <v>0</v>
      </c>
      <c r="BM37" s="4">
        <f t="shared" si="43"/>
        <v>0</v>
      </c>
      <c r="BO37" s="4">
        <f t="shared" si="44"/>
        <v>26</v>
      </c>
      <c r="BP37" s="4">
        <f t="shared" si="45"/>
        <v>125</v>
      </c>
      <c r="BQ37" s="4">
        <f t="shared" si="25"/>
        <v>99</v>
      </c>
      <c r="BR37" s="6">
        <f>BQ37/BP37</f>
        <v>0.79200000000000004</v>
      </c>
    </row>
    <row r="38" spans="1:70" s="1" customFormat="1" x14ac:dyDescent="0.25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782</v>
      </c>
      <c r="M38" s="12">
        <f>SUM(M9:M37)</f>
        <v>394</v>
      </c>
      <c r="O38" s="12">
        <f>SUM(O9:O37)</f>
        <v>1029</v>
      </c>
      <c r="P38" s="12">
        <f>SUM(P9:P37)</f>
        <v>2056</v>
      </c>
      <c r="Q38" s="12">
        <f>SUM(Q9:Q37)</f>
        <v>1027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446</v>
      </c>
      <c r="AJ38" s="12">
        <f>SUM(AJ9:AJ37)</f>
        <v>711</v>
      </c>
      <c r="AK38" s="12">
        <f>SUM(AK9:AK37)</f>
        <v>265</v>
      </c>
      <c r="AM38" s="12">
        <f>SUM(AM9:AM37)</f>
        <v>499</v>
      </c>
      <c r="AN38" s="12">
        <f>SUM(AN9:AN37)</f>
        <v>802</v>
      </c>
      <c r="AO38" s="12">
        <f>SUM(AO9:AO37)</f>
        <v>303</v>
      </c>
      <c r="AQ38" s="35">
        <f>SUM(AQ9:AQ37)</f>
        <v>424</v>
      </c>
      <c r="AR38" s="12">
        <f>SUM(AR9:AR37)</f>
        <v>651</v>
      </c>
      <c r="AS38" s="12">
        <f>SUM(AS9:AS37)</f>
        <v>227</v>
      </c>
      <c r="AU38" s="12">
        <f>SUM(AU9:AU37)</f>
        <v>1369</v>
      </c>
      <c r="AV38" s="12">
        <f>SUM(AV9:AV37)</f>
        <v>2164</v>
      </c>
      <c r="AW38" s="12">
        <f>SUM(AW9:AW37)</f>
        <v>795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3692</v>
      </c>
      <c r="BP38" s="12">
        <f>SUM(BP9:BP37)</f>
        <v>6958</v>
      </c>
      <c r="BQ38" s="12">
        <f>SUM(BQ9:BQ37)</f>
        <v>3266</v>
      </c>
      <c r="BR38" s="13">
        <f>BQ38/BP38</f>
        <v>0.46938775510204084</v>
      </c>
    </row>
    <row r="39" spans="1:70" x14ac:dyDescent="0.25">
      <c r="AQ39" s="29"/>
    </row>
    <row r="40" spans="1:70" x14ac:dyDescent="0.25">
      <c r="AQ40" s="29"/>
      <c r="BO40" s="37"/>
    </row>
    <row r="41" spans="1:70" x14ac:dyDescent="0.25">
      <c r="AQ41" s="29"/>
    </row>
    <row r="42" spans="1:70" x14ac:dyDescent="0.25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30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0" ht="30.75" customHeight="1" x14ac:dyDescent="0.25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31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5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32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5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6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7">S45+W45+AA45</f>
        <v>0</v>
      </c>
      <c r="AF45" s="3">
        <f t="shared" ref="AF45:AF73" si="48">T45+X45+AB45</f>
        <v>3339</v>
      </c>
      <c r="AG45" s="3">
        <f>AF45-AE45</f>
        <v>3339</v>
      </c>
      <c r="AI45" s="3">
        <v>0</v>
      </c>
      <c r="AJ45" s="3">
        <v>173</v>
      </c>
      <c r="AK45" s="3">
        <f>AJ45-AI45</f>
        <v>173</v>
      </c>
      <c r="AM45" s="3"/>
      <c r="AN45" s="3">
        <v>216</v>
      </c>
      <c r="AO45" s="3">
        <f>AN45-AM45</f>
        <v>216</v>
      </c>
      <c r="AQ45" s="33"/>
      <c r="AR45" s="3">
        <v>49811</v>
      </c>
      <c r="AS45" s="3">
        <f>AR45-AQ45</f>
        <v>49811</v>
      </c>
      <c r="AU45" s="3">
        <f t="shared" ref="AU45:AU73" si="49">AI45+AM45+AQ45</f>
        <v>0</v>
      </c>
      <c r="AV45" s="3">
        <f t="shared" ref="AV45:AV73" si="50">AJ45+AN45+AR45</f>
        <v>50200</v>
      </c>
      <c r="AW45" s="3">
        <f>AV45-AU45</f>
        <v>50200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1">AY45+BC45+BG45</f>
        <v>0</v>
      </c>
      <c r="BL45" s="3">
        <f t="shared" ref="BL45:BL73" si="52">AZ45+BD45+BH45</f>
        <v>0</v>
      </c>
      <c r="BM45" s="3">
        <f>BL45-BK45</f>
        <v>0</v>
      </c>
      <c r="BO45" s="3">
        <f t="shared" ref="BO45:BP47" si="53">C45+G45+K45+S45+W45+AA45+AI45+AM45+AQ45</f>
        <v>0</v>
      </c>
      <c r="BP45" s="3">
        <f t="shared" si="53"/>
        <v>79549</v>
      </c>
      <c r="BQ45" s="3">
        <f>BP45-BO45</f>
        <v>79549</v>
      </c>
      <c r="BR45" s="5">
        <f>BQ45/BP45</f>
        <v>1</v>
      </c>
    </row>
    <row r="46" spans="1:70" ht="12.75" customHeight="1" x14ac:dyDescent="0.25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6"/>
        <v>0</v>
      </c>
      <c r="P46" s="3">
        <f t="shared" ref="P46:P73" si="54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7"/>
        <v>0</v>
      </c>
      <c r="AF46" s="3">
        <f t="shared" si="48"/>
        <v>500</v>
      </c>
      <c r="AG46" s="3">
        <f>AF46-AE46</f>
        <v>500</v>
      </c>
      <c r="AI46" s="3">
        <v>0</v>
      </c>
      <c r="AJ46" s="3"/>
      <c r="AK46" s="3">
        <f>AJ46-AI46</f>
        <v>0</v>
      </c>
      <c r="AM46" s="3"/>
      <c r="AN46" s="3">
        <v>0</v>
      </c>
      <c r="AO46" s="3">
        <f>AN46-AM46</f>
        <v>0</v>
      </c>
      <c r="AQ46" s="33"/>
      <c r="AR46" s="3">
        <v>0</v>
      </c>
      <c r="AS46" s="3">
        <f>AR46-AQ46</f>
        <v>0</v>
      </c>
      <c r="AU46" s="3">
        <f t="shared" si="49"/>
        <v>0</v>
      </c>
      <c r="AV46" s="3">
        <f t="shared" si="50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1"/>
        <v>0</v>
      </c>
      <c r="BL46" s="3">
        <f t="shared" si="52"/>
        <v>0</v>
      </c>
      <c r="BM46" s="3">
        <f>BL46-BK46</f>
        <v>0</v>
      </c>
      <c r="BO46" s="3">
        <f t="shared" si="53"/>
        <v>0</v>
      </c>
      <c r="BP46" s="3">
        <f t="shared" si="53"/>
        <v>500</v>
      </c>
      <c r="BQ46" s="3">
        <f>BP46-BO46</f>
        <v>500</v>
      </c>
      <c r="BR46" s="5"/>
    </row>
    <row r="47" spans="1:70" x14ac:dyDescent="0.25">
      <c r="A47" t="s">
        <v>87</v>
      </c>
      <c r="C47" s="3">
        <v>2.956</v>
      </c>
      <c r="D47" s="3">
        <v>5361.268</v>
      </c>
      <c r="E47" s="3">
        <f t="shared" ref="E47:E73" si="55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6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7">P47-O47</f>
        <v>6854.4120000000003</v>
      </c>
      <c r="S47" s="3">
        <v>1588</v>
      </c>
      <c r="T47" s="3">
        <v>3271</v>
      </c>
      <c r="U47" s="3">
        <f t="shared" ref="U47:U55" si="58">T47-S47</f>
        <v>1683</v>
      </c>
      <c r="W47" s="3">
        <v>1155</v>
      </c>
      <c r="X47" s="3">
        <f>587</f>
        <v>587</v>
      </c>
      <c r="Y47" s="3">
        <f t="shared" ref="Y47:Y55" si="59">X47-W47</f>
        <v>-568</v>
      </c>
      <c r="AA47" s="3">
        <v>1013</v>
      </c>
      <c r="AB47" s="33">
        <v>1493</v>
      </c>
      <c r="AC47" s="3">
        <f t="shared" ref="AC47:AC55" si="60">AB47-AA47</f>
        <v>480</v>
      </c>
      <c r="AE47" s="3">
        <f t="shared" si="47"/>
        <v>3756</v>
      </c>
      <c r="AF47" s="3">
        <f t="shared" si="48"/>
        <v>5351</v>
      </c>
      <c r="AG47" s="3">
        <f t="shared" ref="AG47:AG55" si="61">AF47-AE47</f>
        <v>1595</v>
      </c>
      <c r="AI47" s="3">
        <f>188</f>
        <v>188</v>
      </c>
      <c r="AJ47" s="3">
        <v>907</v>
      </c>
      <c r="AK47" s="3">
        <f t="shared" ref="AK47:AK55" si="62">AJ47-AI47</f>
        <v>719</v>
      </c>
      <c r="AM47" s="3">
        <v>1409</v>
      </c>
      <c r="AN47" s="3">
        <v>409</v>
      </c>
      <c r="AO47" s="3">
        <f t="shared" ref="AO47:AO55" si="63">AN47-AM47</f>
        <v>-1000</v>
      </c>
      <c r="AQ47" s="33">
        <v>2048.6379999999999</v>
      </c>
      <c r="AR47" s="3">
        <v>437.43900000000002</v>
      </c>
      <c r="AS47" s="3">
        <f t="shared" ref="AS47:AS55" si="64">AR47-AQ47</f>
        <v>-1611.1989999999998</v>
      </c>
      <c r="AU47" s="3">
        <f t="shared" si="49"/>
        <v>3645.6379999999999</v>
      </c>
      <c r="AV47" s="3">
        <f t="shared" si="50"/>
        <v>1753.4390000000001</v>
      </c>
      <c r="AW47" s="3">
        <f t="shared" ref="AW47:AW55" si="65">AV47-AU47</f>
        <v>-1892.1989999999998</v>
      </c>
      <c r="AY47" s="3"/>
      <c r="AZ47" s="3"/>
      <c r="BA47" s="3">
        <f t="shared" ref="BA47:BA55" si="66">AZ47-AY47</f>
        <v>0</v>
      </c>
      <c r="BC47" s="3"/>
      <c r="BD47" s="3"/>
      <c r="BE47" s="3">
        <f t="shared" ref="BE47:BE55" si="67">BD47-BC47</f>
        <v>0</v>
      </c>
      <c r="BG47" s="3"/>
      <c r="BH47" s="3"/>
      <c r="BI47" s="3">
        <f t="shared" ref="BI47:BI55" si="68">BH47-BG47</f>
        <v>0</v>
      </c>
      <c r="BK47" s="3">
        <f t="shared" si="51"/>
        <v>0</v>
      </c>
      <c r="BL47" s="3">
        <f t="shared" si="52"/>
        <v>0</v>
      </c>
      <c r="BM47" s="3">
        <f t="shared" ref="BM47:BM55" si="69">BL47-BK47</f>
        <v>0</v>
      </c>
      <c r="BO47" s="3">
        <f t="shared" si="53"/>
        <v>7419.5940000000001</v>
      </c>
      <c r="BP47" s="3">
        <f t="shared" si="53"/>
        <v>13976.707</v>
      </c>
      <c r="BQ47" s="3">
        <f>BP47-BO47</f>
        <v>6557.1130000000003</v>
      </c>
      <c r="BR47" s="5">
        <f>BQ47/BP47</f>
        <v>0.46914577231961724</v>
      </c>
    </row>
    <row r="48" spans="1:70" x14ac:dyDescent="0.25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5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5">
      <c r="A50" t="s">
        <v>70</v>
      </c>
      <c r="C50" s="3">
        <v>51.46</v>
      </c>
      <c r="D50" s="3">
        <f>104.542+36</f>
        <v>140.542</v>
      </c>
      <c r="E50" s="3">
        <f t="shared" si="55"/>
        <v>89.081999999999994</v>
      </c>
      <c r="F50" s="5"/>
      <c r="G50" s="3">
        <v>13</v>
      </c>
      <c r="H50" s="3">
        <v>192</v>
      </c>
      <c r="I50" s="3">
        <f t="shared" ref="I50:I55" si="70">H50-G50</f>
        <v>179</v>
      </c>
      <c r="K50" s="3">
        <v>76</v>
      </c>
      <c r="L50" s="3">
        <f>1000+154</f>
        <v>1154</v>
      </c>
      <c r="M50" s="3">
        <f t="shared" si="56"/>
        <v>1078</v>
      </c>
      <c r="O50" s="3">
        <f>C50+G50+K50-0.5</f>
        <v>139.96</v>
      </c>
      <c r="P50" s="3">
        <f>D50+H50+L50</f>
        <v>1486.5419999999999</v>
      </c>
      <c r="Q50" s="3">
        <f t="shared" si="57"/>
        <v>1346.5819999999999</v>
      </c>
      <c r="S50" s="3">
        <v>26</v>
      </c>
      <c r="T50" s="3">
        <f>470</f>
        <v>470</v>
      </c>
      <c r="U50" s="3">
        <f t="shared" si="58"/>
        <v>444</v>
      </c>
      <c r="W50" s="3">
        <v>60</v>
      </c>
      <c r="X50" s="3">
        <v>327</v>
      </c>
      <c r="Y50" s="3">
        <f t="shared" si="59"/>
        <v>267</v>
      </c>
      <c r="AA50" s="3">
        <v>168</v>
      </c>
      <c r="AB50" s="33">
        <v>107</v>
      </c>
      <c r="AC50" s="3">
        <f t="shared" si="60"/>
        <v>-61</v>
      </c>
      <c r="AE50" s="3">
        <f t="shared" si="47"/>
        <v>254</v>
      </c>
      <c r="AF50" s="3">
        <f t="shared" si="48"/>
        <v>904</v>
      </c>
      <c r="AG50" s="3">
        <f t="shared" si="61"/>
        <v>650</v>
      </c>
      <c r="AI50" s="3">
        <f>352+26</f>
        <v>378</v>
      </c>
      <c r="AJ50" s="3">
        <v>114</v>
      </c>
      <c r="AK50" s="3">
        <f t="shared" si="62"/>
        <v>-264</v>
      </c>
      <c r="AM50" s="3">
        <f>54+4</f>
        <v>58</v>
      </c>
      <c r="AN50" s="3">
        <v>218</v>
      </c>
      <c r="AO50" s="3">
        <f t="shared" si="63"/>
        <v>160</v>
      </c>
      <c r="AQ50" s="33">
        <f>35.564-258</f>
        <v>-222.43600000000001</v>
      </c>
      <c r="AR50" s="3">
        <v>2124.817</v>
      </c>
      <c r="AS50" s="3">
        <f t="shared" si="64"/>
        <v>2347.2530000000002</v>
      </c>
      <c r="AU50" s="3">
        <f t="shared" si="49"/>
        <v>213.56399999999999</v>
      </c>
      <c r="AV50" s="3">
        <f t="shared" si="50"/>
        <v>2456.817</v>
      </c>
      <c r="AW50" s="3">
        <f t="shared" si="65"/>
        <v>2243.2530000000002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ref="BO50:BO55" si="71">C50+G50+K50+S50+W50+AA50+AI50+AM50+AQ50</f>
        <v>608.024</v>
      </c>
      <c r="BP50" s="3">
        <f t="shared" ref="BP50:BP55" si="72">D50+H50+L50+T50+X50+AB50+AJ50+AN50+AR50</f>
        <v>4847.3590000000004</v>
      </c>
      <c r="BQ50" s="3">
        <f t="shared" ref="BQ50:BQ55" si="73">BP50-BO50</f>
        <v>4239.335</v>
      </c>
      <c r="BR50" s="5">
        <f>BQ50/BP50</f>
        <v>0.87456592342345585</v>
      </c>
    </row>
    <row r="51" spans="1:70" x14ac:dyDescent="0.25">
      <c r="A51" t="s">
        <v>71</v>
      </c>
      <c r="C51" s="3">
        <v>323.40800000000002</v>
      </c>
      <c r="D51" s="3">
        <v>1235.021</v>
      </c>
      <c r="E51" s="3">
        <f t="shared" si="55"/>
        <v>911.61299999999994</v>
      </c>
      <c r="F51" s="5"/>
      <c r="G51" s="3">
        <v>1161</v>
      </c>
      <c r="H51" s="3">
        <v>1447</v>
      </c>
      <c r="I51" s="3">
        <f t="shared" si="70"/>
        <v>286</v>
      </c>
      <c r="K51" s="3">
        <f>-162.6+-46</f>
        <v>-208.6</v>
      </c>
      <c r="L51" s="3">
        <v>2026</v>
      </c>
      <c r="M51" s="3">
        <f t="shared" si="56"/>
        <v>2234.6</v>
      </c>
      <c r="O51" s="3">
        <f t="shared" si="46"/>
        <v>1275.808</v>
      </c>
      <c r="P51" s="3">
        <f t="shared" si="54"/>
        <v>4708.0209999999997</v>
      </c>
      <c r="Q51" s="3">
        <f t="shared" si="57"/>
        <v>3432.2129999999997</v>
      </c>
      <c r="S51" s="3">
        <v>163</v>
      </c>
      <c r="T51" s="3">
        <v>2728</v>
      </c>
      <c r="U51" s="3">
        <f t="shared" si="58"/>
        <v>2565</v>
      </c>
      <c r="W51" s="3">
        <v>23</v>
      </c>
      <c r="X51" s="3">
        <v>869</v>
      </c>
      <c r="Y51" s="3">
        <f t="shared" si="59"/>
        <v>846</v>
      </c>
      <c r="AA51" s="3">
        <f>2189+229</f>
        <v>2418</v>
      </c>
      <c r="AB51" s="33">
        <v>477</v>
      </c>
      <c r="AC51" s="3">
        <f t="shared" si="60"/>
        <v>-1941</v>
      </c>
      <c r="AE51" s="3">
        <f t="shared" si="47"/>
        <v>2604</v>
      </c>
      <c r="AF51" s="3">
        <f t="shared" si="48"/>
        <v>4074</v>
      </c>
      <c r="AG51" s="3">
        <f t="shared" si="61"/>
        <v>1470</v>
      </c>
      <c r="AI51" s="3">
        <f>626+160</f>
        <v>786</v>
      </c>
      <c r="AJ51" s="3">
        <f>193</f>
        <v>193</v>
      </c>
      <c r="AK51" s="3">
        <f t="shared" si="62"/>
        <v>-593</v>
      </c>
      <c r="AM51" s="3">
        <f>242+188+55</f>
        <v>485</v>
      </c>
      <c r="AN51" s="3">
        <v>281</v>
      </c>
      <c r="AO51" s="3">
        <f t="shared" si="63"/>
        <v>-204</v>
      </c>
      <c r="AQ51" s="33">
        <f>33.708+2031.017-29.713+69.963+15.3</f>
        <v>2120.2750000000001</v>
      </c>
      <c r="AR51" s="3">
        <v>348.15499999999997</v>
      </c>
      <c r="AS51" s="3">
        <f t="shared" si="64"/>
        <v>-1772.1200000000001</v>
      </c>
      <c r="AU51" s="3">
        <f t="shared" si="49"/>
        <v>3391.2750000000001</v>
      </c>
      <c r="AV51" s="3">
        <f t="shared" si="50"/>
        <v>822.15499999999997</v>
      </c>
      <c r="AW51" s="3">
        <f t="shared" si="65"/>
        <v>-2569.12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71"/>
        <v>7271.0830000000005</v>
      </c>
      <c r="BP51" s="3">
        <f t="shared" si="72"/>
        <v>9604.1760000000013</v>
      </c>
      <c r="BQ51" s="3">
        <f t="shared" si="73"/>
        <v>2333.0930000000008</v>
      </c>
      <c r="BR51" s="5">
        <f>BQ51/BP51</f>
        <v>0.24292484852422533</v>
      </c>
    </row>
    <row r="52" spans="1:70" x14ac:dyDescent="0.25">
      <c r="A52" t="s">
        <v>72</v>
      </c>
      <c r="C52" s="3">
        <v>354.78800000000001</v>
      </c>
      <c r="D52" s="3">
        <v>3531.0450000000001</v>
      </c>
      <c r="E52" s="3">
        <f t="shared" si="55"/>
        <v>3176.2570000000001</v>
      </c>
      <c r="F52" s="5"/>
      <c r="G52" s="3">
        <v>0</v>
      </c>
      <c r="H52" s="3">
        <v>2972</v>
      </c>
      <c r="I52" s="3">
        <f t="shared" si="70"/>
        <v>2972</v>
      </c>
      <c r="K52" s="3">
        <v>0</v>
      </c>
      <c r="L52" s="3">
        <v>605</v>
      </c>
      <c r="M52" s="3">
        <f t="shared" si="56"/>
        <v>605</v>
      </c>
      <c r="O52" s="3">
        <f t="shared" si="46"/>
        <v>354.78800000000001</v>
      </c>
      <c r="P52" s="3">
        <f>D52+H52+L52-0.1</f>
        <v>7107.9449999999997</v>
      </c>
      <c r="Q52" s="3">
        <f t="shared" si="57"/>
        <v>6753.1569999999992</v>
      </c>
      <c r="S52" s="3">
        <v>0</v>
      </c>
      <c r="T52" s="3">
        <f>2192+28025</f>
        <v>30217</v>
      </c>
      <c r="U52" s="3">
        <f t="shared" si="58"/>
        <v>30217</v>
      </c>
      <c r="W52" s="3">
        <v>0</v>
      </c>
      <c r="X52" s="3">
        <f>851</f>
        <v>851</v>
      </c>
      <c r="Y52" s="3">
        <f t="shared" si="59"/>
        <v>851</v>
      </c>
      <c r="AA52" s="3">
        <v>0</v>
      </c>
      <c r="AB52" s="33">
        <v>2383</v>
      </c>
      <c r="AC52" s="3">
        <f t="shared" si="60"/>
        <v>2383</v>
      </c>
      <c r="AE52" s="3">
        <f t="shared" si="47"/>
        <v>0</v>
      </c>
      <c r="AF52" s="3">
        <f t="shared" si="48"/>
        <v>33451</v>
      </c>
      <c r="AG52" s="3">
        <f t="shared" si="61"/>
        <v>33451</v>
      </c>
      <c r="AI52" s="3">
        <v>0</v>
      </c>
      <c r="AJ52" s="3">
        <v>3070</v>
      </c>
      <c r="AK52" s="3">
        <f t="shared" si="62"/>
        <v>3070</v>
      </c>
      <c r="AM52" s="3">
        <v>1224</v>
      </c>
      <c r="AN52" s="3">
        <v>4561</v>
      </c>
      <c r="AO52" s="3">
        <f t="shared" si="63"/>
        <v>3337</v>
      </c>
      <c r="AQ52" s="33">
        <v>5500</v>
      </c>
      <c r="AR52" s="3">
        <v>1380.4269999999999</v>
      </c>
      <c r="AS52" s="3">
        <f t="shared" si="64"/>
        <v>-4119.5730000000003</v>
      </c>
      <c r="AU52" s="3">
        <f t="shared" si="49"/>
        <v>6724</v>
      </c>
      <c r="AV52" s="3">
        <f t="shared" si="50"/>
        <v>9011.4269999999997</v>
      </c>
      <c r="AW52" s="3">
        <f t="shared" si="65"/>
        <v>2287.4269999999997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71"/>
        <v>7078.7880000000005</v>
      </c>
      <c r="BP52" s="3">
        <f t="shared" si="72"/>
        <v>49570.472000000002</v>
      </c>
      <c r="BQ52" s="3">
        <f t="shared" si="73"/>
        <v>42491.684000000001</v>
      </c>
      <c r="BR52" s="5">
        <f>BQ52/BP52</f>
        <v>0.85719748643910432</v>
      </c>
    </row>
    <row r="53" spans="1:70" x14ac:dyDescent="0.25">
      <c r="A53" t="s">
        <v>73</v>
      </c>
      <c r="C53" s="3">
        <v>17.704000000000001</v>
      </c>
      <c r="D53" s="3">
        <v>0</v>
      </c>
      <c r="E53" s="3">
        <f t="shared" si="55"/>
        <v>-17.704000000000001</v>
      </c>
      <c r="F53" s="5"/>
      <c r="G53" s="3">
        <v>15</v>
      </c>
      <c r="H53" s="3"/>
      <c r="I53" s="3">
        <f t="shared" si="70"/>
        <v>-15</v>
      </c>
      <c r="K53" s="3">
        <v>3</v>
      </c>
      <c r="L53" s="3">
        <v>0</v>
      </c>
      <c r="M53" s="3">
        <f t="shared" si="56"/>
        <v>-3</v>
      </c>
      <c r="O53" s="3">
        <f>C53+G53+K53+0.1</f>
        <v>35.804000000000002</v>
      </c>
      <c r="P53" s="3">
        <f t="shared" si="54"/>
        <v>0</v>
      </c>
      <c r="Q53" s="3">
        <f t="shared" si="57"/>
        <v>-35.804000000000002</v>
      </c>
      <c r="S53" s="3">
        <v>0</v>
      </c>
      <c r="T53" s="3"/>
      <c r="U53" s="3">
        <f t="shared" si="58"/>
        <v>0</v>
      </c>
      <c r="W53" s="3">
        <v>15</v>
      </c>
      <c r="X53" s="3">
        <v>54</v>
      </c>
      <c r="Y53" s="3">
        <f t="shared" si="59"/>
        <v>39</v>
      </c>
      <c r="AA53" s="3">
        <v>0</v>
      </c>
      <c r="AB53" s="33">
        <v>0</v>
      </c>
      <c r="AC53" s="3">
        <f t="shared" si="60"/>
        <v>0</v>
      </c>
      <c r="AE53" s="3">
        <f t="shared" si="47"/>
        <v>15</v>
      </c>
      <c r="AF53" s="3">
        <f t="shared" si="48"/>
        <v>54</v>
      </c>
      <c r="AG53" s="3">
        <f t="shared" si="61"/>
        <v>39</v>
      </c>
      <c r="AI53" s="3">
        <v>11</v>
      </c>
      <c r="AJ53" s="3">
        <v>1</v>
      </c>
      <c r="AK53" s="3">
        <f t="shared" si="62"/>
        <v>-10</v>
      </c>
      <c r="AM53" s="3">
        <v>0</v>
      </c>
      <c r="AN53" s="3">
        <v>0</v>
      </c>
      <c r="AO53" s="3">
        <f t="shared" si="63"/>
        <v>0</v>
      </c>
      <c r="AQ53" s="33">
        <v>70.305000000000007</v>
      </c>
      <c r="AR53" s="3">
        <v>0</v>
      </c>
      <c r="AS53" s="3">
        <f t="shared" si="64"/>
        <v>-70.305000000000007</v>
      </c>
      <c r="AU53" s="3">
        <f t="shared" si="49"/>
        <v>81.305000000000007</v>
      </c>
      <c r="AV53" s="3">
        <f t="shared" si="50"/>
        <v>1</v>
      </c>
      <c r="AW53" s="3">
        <f t="shared" si="65"/>
        <v>-80.305000000000007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71"/>
        <v>132.00900000000001</v>
      </c>
      <c r="BP53" s="3">
        <f t="shared" si="72"/>
        <v>55</v>
      </c>
      <c r="BQ53" s="3">
        <f t="shared" si="73"/>
        <v>-77.009000000000015</v>
      </c>
      <c r="BR53" s="5">
        <v>0</v>
      </c>
    </row>
    <row r="54" spans="1:70" hidden="1" x14ac:dyDescent="0.25">
      <c r="A54" t="s">
        <v>74</v>
      </c>
      <c r="C54" s="3">
        <v>0</v>
      </c>
      <c r="D54" s="3">
        <v>0</v>
      </c>
      <c r="E54" s="3">
        <f t="shared" si="55"/>
        <v>0</v>
      </c>
      <c r="F54" s="5"/>
      <c r="G54" s="3">
        <v>0</v>
      </c>
      <c r="H54" s="3">
        <v>0</v>
      </c>
      <c r="I54" s="3">
        <f t="shared" si="70"/>
        <v>0</v>
      </c>
      <c r="K54" s="3">
        <v>0</v>
      </c>
      <c r="L54" s="3">
        <v>0</v>
      </c>
      <c r="M54" s="3">
        <f t="shared" si="56"/>
        <v>0</v>
      </c>
      <c r="O54" s="3">
        <f t="shared" si="46"/>
        <v>0</v>
      </c>
      <c r="P54" s="3">
        <f t="shared" si="54"/>
        <v>0</v>
      </c>
      <c r="Q54" s="3">
        <f t="shared" si="57"/>
        <v>0</v>
      </c>
      <c r="S54" s="3"/>
      <c r="T54" s="3"/>
      <c r="U54" s="3">
        <f t="shared" si="58"/>
        <v>0</v>
      </c>
      <c r="W54" s="3"/>
      <c r="X54" s="3"/>
      <c r="Y54" s="3">
        <f t="shared" si="59"/>
        <v>0</v>
      </c>
      <c r="AA54" s="3"/>
      <c r="AB54" s="33"/>
      <c r="AC54" s="3">
        <f t="shared" si="60"/>
        <v>0</v>
      </c>
      <c r="AE54" s="3">
        <f t="shared" si="47"/>
        <v>0</v>
      </c>
      <c r="AF54" s="3">
        <f t="shared" si="48"/>
        <v>0</v>
      </c>
      <c r="AG54" s="3">
        <f t="shared" si="61"/>
        <v>0</v>
      </c>
      <c r="AI54" s="3"/>
      <c r="AJ54" s="3"/>
      <c r="AK54" s="3">
        <f t="shared" si="62"/>
        <v>0</v>
      </c>
      <c r="AM54" s="3"/>
      <c r="AN54" s="3"/>
      <c r="AO54" s="3">
        <f t="shared" si="63"/>
        <v>0</v>
      </c>
      <c r="AQ54" s="33"/>
      <c r="AR54" s="3">
        <v>0</v>
      </c>
      <c r="AS54" s="3">
        <f t="shared" si="64"/>
        <v>0</v>
      </c>
      <c r="AU54" s="3">
        <f t="shared" si="49"/>
        <v>0</v>
      </c>
      <c r="AV54" s="3">
        <f t="shared" si="50"/>
        <v>0</v>
      </c>
      <c r="AW54" s="3">
        <f t="shared" si="65"/>
        <v>0</v>
      </c>
      <c r="AY54" s="3"/>
      <c r="AZ54" s="3"/>
      <c r="BA54" s="3">
        <f t="shared" si="66"/>
        <v>0</v>
      </c>
      <c r="BC54" s="3"/>
      <c r="BD54" s="3"/>
      <c r="BE54" s="3">
        <f t="shared" si="67"/>
        <v>0</v>
      </c>
      <c r="BG54" s="3"/>
      <c r="BH54" s="3"/>
      <c r="BI54" s="3">
        <f t="shared" si="68"/>
        <v>0</v>
      </c>
      <c r="BK54" s="3">
        <f t="shared" si="51"/>
        <v>0</v>
      </c>
      <c r="BL54" s="3">
        <f t="shared" si="52"/>
        <v>0</v>
      </c>
      <c r="BM54" s="3">
        <f t="shared" si="69"/>
        <v>0</v>
      </c>
      <c r="BO54" s="3">
        <f t="shared" si="71"/>
        <v>0</v>
      </c>
      <c r="BP54" s="3">
        <f t="shared" si="72"/>
        <v>0</v>
      </c>
      <c r="BQ54" s="3">
        <f t="shared" si="73"/>
        <v>0</v>
      </c>
      <c r="BR54" s="5"/>
    </row>
    <row r="55" spans="1:70" x14ac:dyDescent="0.25">
      <c r="A55" t="s">
        <v>75</v>
      </c>
      <c r="C55" s="3">
        <v>1672</v>
      </c>
      <c r="D55" s="3">
        <f>6057.058</f>
        <v>6057.058</v>
      </c>
      <c r="E55" s="3">
        <f t="shared" si="55"/>
        <v>4385.058</v>
      </c>
      <c r="F55" s="5"/>
      <c r="G55" s="3">
        <v>1727</v>
      </c>
      <c r="H55" s="3">
        <f>1682+79+38</f>
        <v>1799</v>
      </c>
      <c r="I55" s="3">
        <f t="shared" si="70"/>
        <v>72</v>
      </c>
      <c r="K55" s="3">
        <v>2079</v>
      </c>
      <c r="L55" s="3">
        <v>1653</v>
      </c>
      <c r="M55" s="3">
        <f t="shared" si="56"/>
        <v>-426</v>
      </c>
      <c r="O55" s="3">
        <f>C55+G55+K55+0.2</f>
        <v>5478.2</v>
      </c>
      <c r="P55" s="3">
        <f t="shared" si="54"/>
        <v>9509.0580000000009</v>
      </c>
      <c r="Q55" s="3">
        <f t="shared" si="57"/>
        <v>4030.8580000000011</v>
      </c>
      <c r="S55" s="3">
        <v>1134</v>
      </c>
      <c r="T55" s="3">
        <v>2952</v>
      </c>
      <c r="U55" s="3">
        <f t="shared" si="58"/>
        <v>1818</v>
      </c>
      <c r="W55" s="3">
        <v>3003</v>
      </c>
      <c r="X55" s="3">
        <v>4130</v>
      </c>
      <c r="Y55" s="3">
        <f t="shared" si="59"/>
        <v>1127</v>
      </c>
      <c r="AA55" s="3">
        <v>1457</v>
      </c>
      <c r="AB55" s="33">
        <v>3837</v>
      </c>
      <c r="AC55" s="3">
        <f t="shared" si="60"/>
        <v>2380</v>
      </c>
      <c r="AE55" s="3">
        <f t="shared" si="47"/>
        <v>5594</v>
      </c>
      <c r="AF55" s="3">
        <f t="shared" si="48"/>
        <v>10919</v>
      </c>
      <c r="AG55" s="3">
        <f t="shared" si="61"/>
        <v>5325</v>
      </c>
      <c r="AI55" s="3">
        <v>1915</v>
      </c>
      <c r="AJ55" s="3">
        <f>2720</f>
        <v>2720</v>
      </c>
      <c r="AK55" s="3">
        <f t="shared" si="62"/>
        <v>805</v>
      </c>
      <c r="AM55" s="3">
        <v>2044</v>
      </c>
      <c r="AN55" s="3">
        <v>2444</v>
      </c>
      <c r="AO55" s="3">
        <f t="shared" si="63"/>
        <v>400</v>
      </c>
      <c r="AQ55" s="33">
        <v>3102.578</v>
      </c>
      <c r="AR55" s="3">
        <v>2600.0459999999998</v>
      </c>
      <c r="AS55" s="3">
        <f t="shared" si="64"/>
        <v>-502.53200000000015</v>
      </c>
      <c r="AU55" s="3">
        <f t="shared" si="49"/>
        <v>7061.5779999999995</v>
      </c>
      <c r="AV55" s="3">
        <f t="shared" si="50"/>
        <v>7764.0460000000003</v>
      </c>
      <c r="AW55" s="3">
        <f t="shared" si="65"/>
        <v>702.46800000000076</v>
      </c>
      <c r="AY55" s="3"/>
      <c r="AZ55" s="3"/>
      <c r="BA55" s="3">
        <f t="shared" si="66"/>
        <v>0</v>
      </c>
      <c r="BC55" s="3"/>
      <c r="BD55" s="3"/>
      <c r="BE55" s="3">
        <f t="shared" si="67"/>
        <v>0</v>
      </c>
      <c r="BG55" s="3"/>
      <c r="BH55" s="3"/>
      <c r="BI55" s="3">
        <f t="shared" si="68"/>
        <v>0</v>
      </c>
      <c r="BK55" s="3">
        <f t="shared" si="51"/>
        <v>0</v>
      </c>
      <c r="BL55" s="3">
        <f t="shared" si="52"/>
        <v>0</v>
      </c>
      <c r="BM55" s="3">
        <f t="shared" si="69"/>
        <v>0</v>
      </c>
      <c r="BO55" s="3">
        <f t="shared" si="71"/>
        <v>18133.578000000001</v>
      </c>
      <c r="BP55" s="3">
        <f t="shared" si="72"/>
        <v>28192.103999999999</v>
      </c>
      <c r="BQ55" s="3">
        <f t="shared" si="73"/>
        <v>10058.525999999998</v>
      </c>
      <c r="BR55" s="5">
        <f>BQ55/BP55</f>
        <v>0.356785219010259</v>
      </c>
    </row>
    <row r="56" spans="1:70" x14ac:dyDescent="0.25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5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3"/>
      <c r="AR57" s="3"/>
      <c r="AS57" s="3"/>
      <c r="AU57" s="3">
        <f t="shared" si="49"/>
        <v>0</v>
      </c>
      <c r="AV57" s="3">
        <f t="shared" si="50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1"/>
        <v>0</v>
      </c>
      <c r="BL57" s="3">
        <f t="shared" si="52"/>
        <v>0</v>
      </c>
      <c r="BM57" s="3"/>
      <c r="BO57" s="3"/>
      <c r="BP57" s="25"/>
      <c r="BQ57" s="3"/>
      <c r="BR57" s="5"/>
    </row>
    <row r="58" spans="1:70" x14ac:dyDescent="0.25">
      <c r="A58" s="11" t="s">
        <v>13</v>
      </c>
      <c r="C58" s="3">
        <v>0</v>
      </c>
      <c r="D58" s="3">
        <v>0</v>
      </c>
      <c r="E58" s="3">
        <f t="shared" si="55"/>
        <v>0</v>
      </c>
      <c r="F58" s="5"/>
      <c r="G58" s="3">
        <v>0</v>
      </c>
      <c r="H58" s="3">
        <v>28</v>
      </c>
      <c r="I58" s="3">
        <f t="shared" ref="I58:I66" si="74">H58-G58</f>
        <v>28</v>
      </c>
      <c r="K58" s="3">
        <v>0</v>
      </c>
      <c r="L58" s="3">
        <v>175</v>
      </c>
      <c r="M58" s="3">
        <f>L58-K58</f>
        <v>175</v>
      </c>
      <c r="O58" s="3">
        <f t="shared" si="46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7"/>
        <v>0</v>
      </c>
      <c r="AF58" s="3">
        <f t="shared" si="48"/>
        <v>2189</v>
      </c>
      <c r="AG58" s="3">
        <f>AF58-AE58</f>
        <v>2189</v>
      </c>
      <c r="AI58" s="3">
        <v>0</v>
      </c>
      <c r="AJ58" s="3">
        <v>40</v>
      </c>
      <c r="AK58" s="3">
        <f>AJ58-AI58</f>
        <v>40</v>
      </c>
      <c r="AM58" s="3">
        <v>0</v>
      </c>
      <c r="AN58" s="3">
        <v>18030</v>
      </c>
      <c r="AO58" s="3">
        <f>AN58-AM58</f>
        <v>18030</v>
      </c>
      <c r="AQ58" s="33"/>
      <c r="AR58" s="3">
        <v>0</v>
      </c>
      <c r="AS58" s="3">
        <f>AR58-AQ58</f>
        <v>0</v>
      </c>
      <c r="AU58" s="3">
        <f t="shared" si="49"/>
        <v>0</v>
      </c>
      <c r="AV58" s="3">
        <f t="shared" si="50"/>
        <v>18070</v>
      </c>
      <c r="AW58" s="3">
        <f>AV58-AU58</f>
        <v>18070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ref="BO58:BP61" si="75">C58+G58+K58+S58+W58+AA58+AI58+AM58+AQ58</f>
        <v>0</v>
      </c>
      <c r="BP58" s="3">
        <f t="shared" si="75"/>
        <v>20462</v>
      </c>
      <c r="BQ58" s="3">
        <f t="shared" ref="BQ58:BQ66" si="76">BP58-BO58</f>
        <v>20462</v>
      </c>
      <c r="BR58" s="5">
        <f t="shared" ref="BR58:BR66" si="77">BQ58/BP58</f>
        <v>1</v>
      </c>
    </row>
    <row r="59" spans="1:70" x14ac:dyDescent="0.25">
      <c r="A59" s="11" t="s">
        <v>14</v>
      </c>
      <c r="C59" s="3">
        <v>0</v>
      </c>
      <c r="D59" s="3"/>
      <c r="E59" s="3">
        <f t="shared" si="55"/>
        <v>0</v>
      </c>
      <c r="F59" s="5"/>
      <c r="G59" s="3">
        <v>0</v>
      </c>
      <c r="H59" s="3">
        <v>313</v>
      </c>
      <c r="I59" s="3">
        <f t="shared" si="74"/>
        <v>313</v>
      </c>
      <c r="K59" s="3">
        <v>0</v>
      </c>
      <c r="L59" s="3">
        <v>50</v>
      </c>
      <c r="M59" s="3">
        <f>L59-K59</f>
        <v>50</v>
      </c>
      <c r="O59" s="3">
        <f t="shared" si="46"/>
        <v>0</v>
      </c>
      <c r="P59" s="3">
        <f t="shared" si="54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7"/>
        <v>0</v>
      </c>
      <c r="AF59" s="3">
        <f t="shared" si="48"/>
        <v>428</v>
      </c>
      <c r="AG59" s="3">
        <f>AF59-AE59</f>
        <v>428</v>
      </c>
      <c r="AI59" s="3">
        <v>0</v>
      </c>
      <c r="AJ59" s="3">
        <f>1698-55</f>
        <v>1643</v>
      </c>
      <c r="AK59" s="3">
        <f>AJ59-AI59</f>
        <v>1643</v>
      </c>
      <c r="AM59" s="3">
        <v>0</v>
      </c>
      <c r="AN59" s="3">
        <v>0</v>
      </c>
      <c r="AO59" s="3">
        <f>AN59-AM59</f>
        <v>0</v>
      </c>
      <c r="AQ59" s="33"/>
      <c r="AR59" s="3">
        <v>28.888000000000002</v>
      </c>
      <c r="AS59" s="3">
        <f>AR59-AQ59</f>
        <v>28.888000000000002</v>
      </c>
      <c r="AU59" s="3">
        <f t="shared" si="49"/>
        <v>0</v>
      </c>
      <c r="AV59" s="3">
        <f t="shared" si="50"/>
        <v>1671.8879999999999</v>
      </c>
      <c r="AW59" s="3">
        <f>AV59-AU59</f>
        <v>1671.8879999999999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5"/>
        <v>0</v>
      </c>
      <c r="BP59" s="3">
        <f t="shared" si="75"/>
        <v>2462.8879999999999</v>
      </c>
      <c r="BQ59" s="3">
        <f t="shared" si="76"/>
        <v>2462.8879999999999</v>
      </c>
      <c r="BR59" s="5">
        <f t="shared" si="77"/>
        <v>1</v>
      </c>
    </row>
    <row r="60" spans="1:70" x14ac:dyDescent="0.25">
      <c r="A60" s="11" t="s">
        <v>15</v>
      </c>
      <c r="C60" s="3">
        <v>0</v>
      </c>
      <c r="D60" s="3">
        <v>435</v>
      </c>
      <c r="E60" s="3">
        <f t="shared" si="55"/>
        <v>435</v>
      </c>
      <c r="F60" s="5"/>
      <c r="G60" s="3">
        <v>0</v>
      </c>
      <c r="H60" s="3">
        <v>146</v>
      </c>
      <c r="I60" s="3">
        <f t="shared" si="74"/>
        <v>146</v>
      </c>
      <c r="K60" s="3">
        <v>0</v>
      </c>
      <c r="L60" s="3">
        <v>1048</v>
      </c>
      <c r="M60" s="3">
        <f>L60-K60</f>
        <v>1048</v>
      </c>
      <c r="O60" s="3">
        <f t="shared" si="46"/>
        <v>0</v>
      </c>
      <c r="P60" s="3">
        <f t="shared" si="54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7"/>
        <v>0</v>
      </c>
      <c r="AF60" s="3">
        <f t="shared" si="48"/>
        <v>3253</v>
      </c>
      <c r="AG60" s="3">
        <f>AF60-AE60</f>
        <v>3253</v>
      </c>
      <c r="AI60" s="3">
        <v>0</v>
      </c>
      <c r="AJ60" s="3">
        <v>252</v>
      </c>
      <c r="AK60" s="3">
        <f>AJ60-AI60</f>
        <v>252</v>
      </c>
      <c r="AM60" s="3">
        <v>0</v>
      </c>
      <c r="AN60" s="3">
        <v>37</v>
      </c>
      <c r="AO60" s="3">
        <f>AN60-AM60</f>
        <v>37</v>
      </c>
      <c r="AQ60" s="33"/>
      <c r="AR60" s="3">
        <v>10.64</v>
      </c>
      <c r="AS60" s="3">
        <f>AR60-AQ60</f>
        <v>10.64</v>
      </c>
      <c r="AU60" s="3">
        <f t="shared" si="49"/>
        <v>0</v>
      </c>
      <c r="AV60" s="3">
        <f t="shared" si="50"/>
        <v>299.64</v>
      </c>
      <c r="AW60" s="3">
        <f>AV60-AU60</f>
        <v>299.64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1"/>
        <v>0</v>
      </c>
      <c r="BL60" s="3">
        <f t="shared" si="52"/>
        <v>0</v>
      </c>
      <c r="BM60" s="3">
        <f>BL60-BK60</f>
        <v>0</v>
      </c>
      <c r="BO60" s="3">
        <f t="shared" si="75"/>
        <v>0</v>
      </c>
      <c r="BP60" s="3">
        <f t="shared" si="75"/>
        <v>5181.6400000000003</v>
      </c>
      <c r="BQ60" s="3">
        <f t="shared" si="76"/>
        <v>5181.6400000000003</v>
      </c>
      <c r="BR60" s="5">
        <f t="shared" si="77"/>
        <v>1</v>
      </c>
    </row>
    <row r="61" spans="1:70" x14ac:dyDescent="0.25">
      <c r="A61" s="11" t="s">
        <v>16</v>
      </c>
      <c r="C61" s="3">
        <v>0</v>
      </c>
      <c r="D61" s="3">
        <v>175</v>
      </c>
      <c r="E61" s="3">
        <f t="shared" si="55"/>
        <v>175</v>
      </c>
      <c r="F61" s="5"/>
      <c r="G61" s="3">
        <v>0</v>
      </c>
      <c r="H61" s="3">
        <v>5281</v>
      </c>
      <c r="I61" s="3">
        <f t="shared" si="74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6"/>
        <v>12</v>
      </c>
      <c r="P61" s="3">
        <f t="shared" si="54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7"/>
        <v>0</v>
      </c>
      <c r="AF61" s="3">
        <f t="shared" si="48"/>
        <v>-225</v>
      </c>
      <c r="AG61" s="3">
        <f>AF61-AE61</f>
        <v>-225</v>
      </c>
      <c r="AI61" s="3">
        <v>0</v>
      </c>
      <c r="AJ61" s="3">
        <f>206</f>
        <v>206</v>
      </c>
      <c r="AK61" s="3">
        <f>AJ61-AI61</f>
        <v>206</v>
      </c>
      <c r="AM61" s="3">
        <v>0</v>
      </c>
      <c r="AN61" s="3">
        <v>115</v>
      </c>
      <c r="AO61" s="3">
        <f>AN61-AM61</f>
        <v>115</v>
      </c>
      <c r="AQ61" s="33"/>
      <c r="AR61" s="3">
        <v>15.5</v>
      </c>
      <c r="AS61" s="3">
        <f>AR61-AQ61</f>
        <v>15.5</v>
      </c>
      <c r="AU61" s="3">
        <f t="shared" si="49"/>
        <v>0</v>
      </c>
      <c r="AV61" s="3">
        <f t="shared" si="50"/>
        <v>336.5</v>
      </c>
      <c r="AW61" s="3">
        <f>AV61-AU61</f>
        <v>336.5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1"/>
        <v>0</v>
      </c>
      <c r="BL61" s="3">
        <f t="shared" si="52"/>
        <v>0</v>
      </c>
      <c r="BM61" s="3">
        <f>BL61-BK61</f>
        <v>0</v>
      </c>
      <c r="BO61" s="3">
        <f t="shared" si="75"/>
        <v>12</v>
      </c>
      <c r="BP61" s="3">
        <f t="shared" si="75"/>
        <v>9821.5</v>
      </c>
      <c r="BQ61" s="3">
        <f t="shared" si="76"/>
        <v>9809.5</v>
      </c>
      <c r="BR61" s="5">
        <f t="shared" si="77"/>
        <v>0.99877819070406759</v>
      </c>
    </row>
    <row r="62" spans="1:70" x14ac:dyDescent="0.25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5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3"/>
      <c r="AR63" s="3"/>
      <c r="AS63" s="3"/>
      <c r="AU63" s="3">
        <f t="shared" si="49"/>
        <v>0</v>
      </c>
      <c r="AV63" s="3">
        <f t="shared" si="50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1"/>
        <v>0</v>
      </c>
      <c r="BL63" s="3">
        <f t="shared" si="52"/>
        <v>0</v>
      </c>
      <c r="BM63" s="3"/>
      <c r="BO63" s="3"/>
      <c r="BP63" s="25"/>
      <c r="BQ63" s="3"/>
      <c r="BR63" s="5"/>
    </row>
    <row r="64" spans="1:70" hidden="1" x14ac:dyDescent="0.25">
      <c r="A64" t="s">
        <v>93</v>
      </c>
      <c r="C64" s="3">
        <v>0</v>
      </c>
      <c r="D64" s="3">
        <v>0</v>
      </c>
      <c r="E64" s="3">
        <f t="shared" si="55"/>
        <v>0</v>
      </c>
      <c r="F64" s="5"/>
      <c r="G64" s="3">
        <v>0</v>
      </c>
      <c r="H64" s="3">
        <v>0</v>
      </c>
      <c r="I64" s="3">
        <f t="shared" si="74"/>
        <v>0</v>
      </c>
      <c r="K64" s="3">
        <v>0</v>
      </c>
      <c r="L64" s="3">
        <v>0</v>
      </c>
      <c r="M64" s="3">
        <f t="shared" ref="M64:M73" si="78">L64-K64</f>
        <v>0</v>
      </c>
      <c r="O64" s="3">
        <f t="shared" si="46"/>
        <v>0</v>
      </c>
      <c r="P64" s="3">
        <f t="shared" si="54"/>
        <v>0</v>
      </c>
      <c r="Q64" s="3">
        <f t="shared" ref="Q64:Q73" si="79">P64-O64</f>
        <v>0</v>
      </c>
      <c r="S64" s="3">
        <v>0</v>
      </c>
      <c r="T64" s="3">
        <v>0</v>
      </c>
      <c r="U64" s="3">
        <f t="shared" ref="U64:U73" si="80">T64-S64</f>
        <v>0</v>
      </c>
      <c r="W64" s="3">
        <v>0</v>
      </c>
      <c r="X64" s="3"/>
      <c r="Y64" s="3">
        <f t="shared" ref="Y64:Y73" si="81">X64-W64</f>
        <v>0</v>
      </c>
      <c r="AA64" s="3"/>
      <c r="AB64" s="33"/>
      <c r="AC64" s="3">
        <f t="shared" ref="AC64:AC73" si="82">AB64-AA64</f>
        <v>0</v>
      </c>
      <c r="AE64" s="3">
        <f t="shared" si="47"/>
        <v>0</v>
      </c>
      <c r="AF64" s="3">
        <f t="shared" si="48"/>
        <v>0</v>
      </c>
      <c r="AG64" s="3">
        <f t="shared" ref="AG64:AG73" si="83">AF64-AE64</f>
        <v>0</v>
      </c>
      <c r="AI64" s="3"/>
      <c r="AJ64" s="3"/>
      <c r="AK64" s="3">
        <f t="shared" ref="AK64:AK73" si="84">AJ64-AI64</f>
        <v>0</v>
      </c>
      <c r="AM64" s="3"/>
      <c r="AN64" s="3"/>
      <c r="AO64" s="3">
        <f t="shared" ref="AO64:AO73" si="85">AN64-AM64</f>
        <v>0</v>
      </c>
      <c r="AQ64" s="33"/>
      <c r="AR64" s="3">
        <v>0</v>
      </c>
      <c r="AS64" s="3">
        <f t="shared" ref="AS64:AS73" si="86">AR64-AQ64</f>
        <v>0</v>
      </c>
      <c r="AU64" s="3">
        <f t="shared" si="49"/>
        <v>0</v>
      </c>
      <c r="AV64" s="3">
        <f t="shared" si="50"/>
        <v>0</v>
      </c>
      <c r="AW64" s="3">
        <f t="shared" ref="AW64:AW73" si="87">AV64-AU64</f>
        <v>0</v>
      </c>
      <c r="AY64" s="3"/>
      <c r="AZ64" s="3"/>
      <c r="BA64" s="3">
        <f t="shared" ref="BA64:BA73" si="88">AZ64-AY64</f>
        <v>0</v>
      </c>
      <c r="BC64" s="3"/>
      <c r="BD64" s="3"/>
      <c r="BE64" s="3">
        <f t="shared" ref="BE64:BE73" si="89">BD64-BC64</f>
        <v>0</v>
      </c>
      <c r="BG64" s="3"/>
      <c r="BH64" s="3"/>
      <c r="BI64" s="3">
        <f t="shared" ref="BI64:BI73" si="90">BH64-BG64</f>
        <v>0</v>
      </c>
      <c r="BK64" s="3">
        <f t="shared" si="51"/>
        <v>0</v>
      </c>
      <c r="BL64" s="3">
        <f t="shared" si="52"/>
        <v>0</v>
      </c>
      <c r="BM64" s="3">
        <f t="shared" ref="BM64:BM73" si="91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5">
      <c r="A65" t="s">
        <v>17</v>
      </c>
      <c r="C65" s="3">
        <v>0</v>
      </c>
      <c r="D65" s="3">
        <v>0</v>
      </c>
      <c r="E65" s="3">
        <f t="shared" si="55"/>
        <v>0</v>
      </c>
      <c r="F65" s="5"/>
      <c r="G65" s="3">
        <v>0</v>
      </c>
      <c r="H65" s="3">
        <f>5350-5350</f>
        <v>0</v>
      </c>
      <c r="I65" s="3">
        <f t="shared" si="74"/>
        <v>0</v>
      </c>
      <c r="K65" s="3">
        <v>0</v>
      </c>
      <c r="L65" s="3">
        <f>5297-5297</f>
        <v>0</v>
      </c>
      <c r="M65" s="3">
        <f t="shared" si="78"/>
        <v>0</v>
      </c>
      <c r="O65" s="3">
        <f t="shared" si="46"/>
        <v>0</v>
      </c>
      <c r="P65" s="3">
        <f t="shared" si="54"/>
        <v>0</v>
      </c>
      <c r="Q65" s="3">
        <f t="shared" si="79"/>
        <v>0</v>
      </c>
      <c r="S65" s="3"/>
      <c r="T65" s="3"/>
      <c r="U65" s="3">
        <f t="shared" si="80"/>
        <v>0</v>
      </c>
      <c r="W65" s="3"/>
      <c r="X65" s="3"/>
      <c r="Y65" s="3">
        <f t="shared" si="81"/>
        <v>0</v>
      </c>
      <c r="AA65" s="3"/>
      <c r="AB65" s="33"/>
      <c r="AC65" s="3">
        <f t="shared" si="82"/>
        <v>0</v>
      </c>
      <c r="AE65" s="3">
        <f t="shared" si="47"/>
        <v>0</v>
      </c>
      <c r="AF65" s="3">
        <f t="shared" si="48"/>
        <v>0</v>
      </c>
      <c r="AG65" s="3">
        <f t="shared" si="83"/>
        <v>0</v>
      </c>
      <c r="AI65" s="3"/>
      <c r="AJ65" s="3"/>
      <c r="AK65" s="3">
        <f t="shared" si="84"/>
        <v>0</v>
      </c>
      <c r="AM65" s="3"/>
      <c r="AN65" s="3"/>
      <c r="AO65" s="3">
        <f t="shared" si="85"/>
        <v>0</v>
      </c>
      <c r="AQ65" s="33"/>
      <c r="AR65" s="3">
        <v>0</v>
      </c>
      <c r="AS65" s="3">
        <f t="shared" si="86"/>
        <v>0</v>
      </c>
      <c r="AU65" s="3">
        <f t="shared" si="49"/>
        <v>0</v>
      </c>
      <c r="AV65" s="3">
        <f t="shared" si="50"/>
        <v>0</v>
      </c>
      <c r="AW65" s="3">
        <f t="shared" si="87"/>
        <v>0</v>
      </c>
      <c r="AY65" s="3"/>
      <c r="AZ65" s="3"/>
      <c r="BA65" s="3">
        <f t="shared" si="88"/>
        <v>0</v>
      </c>
      <c r="BC65" s="3"/>
      <c r="BD65" s="3"/>
      <c r="BE65" s="3">
        <f t="shared" si="89"/>
        <v>0</v>
      </c>
      <c r="BG65" s="3"/>
      <c r="BH65" s="3"/>
      <c r="BI65" s="3">
        <f t="shared" si="90"/>
        <v>0</v>
      </c>
      <c r="BK65" s="3">
        <f t="shared" si="51"/>
        <v>0</v>
      </c>
      <c r="BL65" s="3">
        <f t="shared" si="52"/>
        <v>0</v>
      </c>
      <c r="BM65" s="3">
        <f t="shared" si="91"/>
        <v>0</v>
      </c>
      <c r="BO65" s="3">
        <f>C65+G65+K65+S65+W65</f>
        <v>0</v>
      </c>
      <c r="BP65" s="25">
        <f>D65+H65+L65+T65+X65</f>
        <v>0</v>
      </c>
      <c r="BQ65" s="3">
        <f t="shared" si="76"/>
        <v>0</v>
      </c>
      <c r="BR65" s="5" t="e">
        <f t="shared" si="77"/>
        <v>#DIV/0!</v>
      </c>
    </row>
    <row r="66" spans="1:70" x14ac:dyDescent="0.25">
      <c r="A66" t="s">
        <v>94</v>
      </c>
      <c r="C66" s="3">
        <v>0</v>
      </c>
      <c r="D66" s="3">
        <f>280-10</f>
        <v>270</v>
      </c>
      <c r="E66" s="3">
        <f t="shared" si="55"/>
        <v>270</v>
      </c>
      <c r="F66" s="5"/>
      <c r="G66" s="3">
        <v>0</v>
      </c>
      <c r="H66" s="3">
        <f>-37+5350</f>
        <v>5313</v>
      </c>
      <c r="I66" s="3">
        <f t="shared" si="74"/>
        <v>5313</v>
      </c>
      <c r="K66" s="3">
        <v>0</v>
      </c>
      <c r="L66" s="3">
        <f>5297</f>
        <v>5297</v>
      </c>
      <c r="M66" s="3">
        <f t="shared" si="78"/>
        <v>5297</v>
      </c>
      <c r="O66" s="3">
        <f t="shared" si="46"/>
        <v>0</v>
      </c>
      <c r="P66" s="3">
        <f t="shared" si="54"/>
        <v>10880</v>
      </c>
      <c r="Q66" s="3">
        <f t="shared" si="79"/>
        <v>10880</v>
      </c>
      <c r="S66" s="3">
        <v>0</v>
      </c>
      <c r="T66" s="3">
        <v>16400</v>
      </c>
      <c r="U66" s="3">
        <f t="shared" si="80"/>
        <v>16400</v>
      </c>
      <c r="W66" s="3">
        <v>0</v>
      </c>
      <c r="X66" s="3">
        <v>81177</v>
      </c>
      <c r="Y66" s="3">
        <f t="shared" si="81"/>
        <v>81177</v>
      </c>
      <c r="AA66" s="3"/>
      <c r="AB66" s="33">
        <f>1200+938</f>
        <v>2138</v>
      </c>
      <c r="AC66" s="3">
        <f t="shared" si="82"/>
        <v>2138</v>
      </c>
      <c r="AE66" s="3">
        <f t="shared" si="47"/>
        <v>0</v>
      </c>
      <c r="AF66" s="3">
        <f t="shared" si="48"/>
        <v>99715</v>
      </c>
      <c r="AG66" s="3">
        <f t="shared" si="83"/>
        <v>99715</v>
      </c>
      <c r="AI66" s="3">
        <v>0</v>
      </c>
      <c r="AJ66" s="3">
        <f>6408+3</f>
        <v>6411</v>
      </c>
      <c r="AK66" s="3">
        <f t="shared" si="84"/>
        <v>6411</v>
      </c>
      <c r="AM66" s="3">
        <v>0</v>
      </c>
      <c r="AN66" s="3">
        <v>4609</v>
      </c>
      <c r="AO66" s="3">
        <f t="shared" si="85"/>
        <v>4609</v>
      </c>
      <c r="AQ66" s="33">
        <v>1742.6369999999999</v>
      </c>
      <c r="AR66" s="3">
        <v>4007.9969999999998</v>
      </c>
      <c r="AS66" s="3">
        <f t="shared" si="86"/>
        <v>2265.3599999999997</v>
      </c>
      <c r="AU66" s="3">
        <f t="shared" si="49"/>
        <v>1742.6369999999999</v>
      </c>
      <c r="AV66" s="3">
        <f t="shared" si="50"/>
        <v>15027.996999999999</v>
      </c>
      <c r="AW66" s="3">
        <f t="shared" si="87"/>
        <v>13285.359999999999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1"/>
        <v>0</v>
      </c>
      <c r="BL66" s="3">
        <f t="shared" si="52"/>
        <v>0</v>
      </c>
      <c r="BM66" s="3">
        <f t="shared" si="91"/>
        <v>0</v>
      </c>
      <c r="BO66" s="3">
        <f>C66+G66+K66+S66+W66+AA66+AI66+AM66+AQ66</f>
        <v>1742.6369999999999</v>
      </c>
      <c r="BP66" s="3">
        <f>D66+H66+L66+T66+X66+AB66+AJ66+AN66+AR66</f>
        <v>125622.997</v>
      </c>
      <c r="BQ66" s="3">
        <f t="shared" si="76"/>
        <v>123880.36</v>
      </c>
      <c r="BR66" s="5">
        <f t="shared" si="77"/>
        <v>0.98612804150819611</v>
      </c>
    </row>
    <row r="67" spans="1:70" x14ac:dyDescent="0.25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5">
      <c r="A68" t="s">
        <v>95</v>
      </c>
      <c r="C68" s="3">
        <v>1975.7619999999999</v>
      </c>
      <c r="D68" s="3">
        <v>2350.7280000000001</v>
      </c>
      <c r="E68" s="3">
        <f t="shared" si="55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8"/>
        <v>-2114</v>
      </c>
      <c r="O68" s="3">
        <f>C68+G68+K68+0.2</f>
        <v>5588.9619999999995</v>
      </c>
      <c r="P68" s="3">
        <f t="shared" si="54"/>
        <v>2752.7280000000001</v>
      </c>
      <c r="Q68" s="3">
        <f t="shared" si="79"/>
        <v>-2836.2339999999995</v>
      </c>
      <c r="S68" s="3">
        <f>2179</f>
        <v>2179</v>
      </c>
      <c r="T68" s="3">
        <v>566</v>
      </c>
      <c r="U68" s="3">
        <f t="shared" si="80"/>
        <v>-1613</v>
      </c>
      <c r="W68" s="3">
        <v>2301</v>
      </c>
      <c r="X68" s="3">
        <f>426+1250</f>
        <v>1676</v>
      </c>
      <c r="Y68" s="3">
        <f t="shared" si="81"/>
        <v>-625</v>
      </c>
      <c r="AA68" s="3">
        <v>1260</v>
      </c>
      <c r="AB68" s="33">
        <v>394</v>
      </c>
      <c r="AC68" s="3">
        <f t="shared" si="82"/>
        <v>-866</v>
      </c>
      <c r="AE68" s="3">
        <f t="shared" si="47"/>
        <v>5740</v>
      </c>
      <c r="AF68" s="3">
        <f t="shared" si="48"/>
        <v>2636</v>
      </c>
      <c r="AG68" s="3">
        <f t="shared" si="83"/>
        <v>-3104</v>
      </c>
      <c r="AI68" s="3">
        <f>2582</f>
        <v>2582</v>
      </c>
      <c r="AJ68" s="3">
        <v>248</v>
      </c>
      <c r="AK68" s="3">
        <f t="shared" si="84"/>
        <v>-2334</v>
      </c>
      <c r="AM68" s="3">
        <f>2102-490</f>
        <v>1612</v>
      </c>
      <c r="AN68" s="3">
        <v>0</v>
      </c>
      <c r="AO68" s="3">
        <f t="shared" si="85"/>
        <v>-1612</v>
      </c>
      <c r="AQ68" s="33">
        <v>1129.838</v>
      </c>
      <c r="AR68" s="3">
        <v>-247.87</v>
      </c>
      <c r="AS68" s="3">
        <f t="shared" si="86"/>
        <v>-1377.7080000000001</v>
      </c>
      <c r="AU68" s="3">
        <f t="shared" si="49"/>
        <v>5323.8379999999997</v>
      </c>
      <c r="AV68" s="3">
        <f t="shared" si="50"/>
        <v>0.12999999999999545</v>
      </c>
      <c r="AW68" s="3">
        <f t="shared" si="87"/>
        <v>-5323.7079999999996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1"/>
        <v>0</v>
      </c>
      <c r="BL68" s="3">
        <f t="shared" si="52"/>
        <v>0</v>
      </c>
      <c r="BM68" s="3">
        <f t="shared" si="91"/>
        <v>0</v>
      </c>
      <c r="BO68" s="3">
        <f t="shared" ref="BO68:BO73" si="92">C68+G68+K68+S68+W68+AA68+AI68+AM68+AQ68</f>
        <v>16652.599999999999</v>
      </c>
      <c r="BP68" s="3">
        <f t="shared" ref="BP68:BP73" si="93">D68+H68+L68+T68+X68+AB68+AJ68+AN68+AR68</f>
        <v>5388.8580000000002</v>
      </c>
      <c r="BQ68" s="3">
        <f t="shared" ref="BQ68:BQ73" si="94">BP68-BO68</f>
        <v>-11263.741999999998</v>
      </c>
      <c r="BR68" s="5">
        <f>BQ68/BP68</f>
        <v>-2.0901909087231467</v>
      </c>
    </row>
    <row r="69" spans="1:70" x14ac:dyDescent="0.25">
      <c r="A69" t="s">
        <v>5</v>
      </c>
      <c r="C69" s="3">
        <v>0</v>
      </c>
      <c r="D69" s="3">
        <v>5749.63</v>
      </c>
      <c r="E69" s="3">
        <f t="shared" si="55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8"/>
        <v>-6</v>
      </c>
      <c r="O69" s="3">
        <f t="shared" si="46"/>
        <v>153</v>
      </c>
      <c r="P69" s="3">
        <f t="shared" si="54"/>
        <v>5758.63</v>
      </c>
      <c r="Q69" s="3">
        <f t="shared" si="79"/>
        <v>5605.63</v>
      </c>
      <c r="S69" s="3">
        <v>-30</v>
      </c>
      <c r="T69" s="3">
        <v>0</v>
      </c>
      <c r="U69" s="3">
        <f t="shared" si="80"/>
        <v>30</v>
      </c>
      <c r="W69" s="3">
        <v>-321</v>
      </c>
      <c r="X69" s="3">
        <v>0</v>
      </c>
      <c r="Y69" s="3">
        <f t="shared" si="81"/>
        <v>321</v>
      </c>
      <c r="AA69" s="3"/>
      <c r="AB69" s="33"/>
      <c r="AC69" s="3">
        <f t="shared" si="82"/>
        <v>0</v>
      </c>
      <c r="AE69" s="3">
        <f t="shared" si="47"/>
        <v>-351</v>
      </c>
      <c r="AF69" s="3">
        <f t="shared" si="48"/>
        <v>0</v>
      </c>
      <c r="AG69" s="3">
        <f t="shared" si="83"/>
        <v>351</v>
      </c>
      <c r="AI69" s="3">
        <v>0</v>
      </c>
      <c r="AJ69" s="3">
        <v>0</v>
      </c>
      <c r="AK69" s="3">
        <f t="shared" si="84"/>
        <v>0</v>
      </c>
      <c r="AM69" s="3">
        <v>0</v>
      </c>
      <c r="AN69" s="3">
        <v>0</v>
      </c>
      <c r="AO69" s="3">
        <f t="shared" si="85"/>
        <v>0</v>
      </c>
      <c r="AQ69" s="33"/>
      <c r="AR69" s="3">
        <v>0</v>
      </c>
      <c r="AS69" s="3">
        <f t="shared" si="86"/>
        <v>0</v>
      </c>
      <c r="AU69" s="3">
        <f t="shared" si="49"/>
        <v>0</v>
      </c>
      <c r="AV69" s="3">
        <f t="shared" si="50"/>
        <v>0</v>
      </c>
      <c r="AW69" s="3">
        <f t="shared" si="87"/>
        <v>0</v>
      </c>
      <c r="AY69" s="3"/>
      <c r="AZ69" s="3"/>
      <c r="BA69" s="3">
        <f t="shared" si="88"/>
        <v>0</v>
      </c>
      <c r="BC69" s="3"/>
      <c r="BD69" s="3"/>
      <c r="BE69" s="3">
        <f t="shared" si="89"/>
        <v>0</v>
      </c>
      <c r="BG69" s="3"/>
      <c r="BH69" s="3"/>
      <c r="BI69" s="3">
        <f t="shared" si="90"/>
        <v>0</v>
      </c>
      <c r="BK69" s="3">
        <f t="shared" si="51"/>
        <v>0</v>
      </c>
      <c r="BL69" s="3">
        <f t="shared" si="52"/>
        <v>0</v>
      </c>
      <c r="BM69" s="3">
        <f t="shared" si="91"/>
        <v>0</v>
      </c>
      <c r="BO69" s="3">
        <f t="shared" si="92"/>
        <v>-198</v>
      </c>
      <c r="BP69" s="3">
        <f t="shared" si="93"/>
        <v>5758.63</v>
      </c>
      <c r="BQ69" s="3">
        <f t="shared" si="94"/>
        <v>5956.63</v>
      </c>
      <c r="BR69" s="5">
        <f>BQ69/BP69</f>
        <v>1.034383177943365</v>
      </c>
    </row>
    <row r="70" spans="1:70" x14ac:dyDescent="0.25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80"/>
        <v>0</v>
      </c>
      <c r="W70" s="3">
        <v>0</v>
      </c>
      <c r="X70" s="3">
        <v>0</v>
      </c>
      <c r="Y70" s="3">
        <f t="shared" si="81"/>
        <v>0</v>
      </c>
      <c r="AA70" s="3">
        <v>0</v>
      </c>
      <c r="AB70" s="33">
        <v>3000</v>
      </c>
      <c r="AC70" s="3">
        <f t="shared" si="82"/>
        <v>3000</v>
      </c>
      <c r="AE70" s="3">
        <f t="shared" si="47"/>
        <v>0</v>
      </c>
      <c r="AF70" s="3">
        <f t="shared" si="48"/>
        <v>3000</v>
      </c>
      <c r="AG70" s="3">
        <f t="shared" si="83"/>
        <v>3000</v>
      </c>
      <c r="AI70" s="3">
        <v>0</v>
      </c>
      <c r="AJ70" s="3">
        <v>0</v>
      </c>
      <c r="AK70" s="3"/>
      <c r="AM70" s="3">
        <v>0</v>
      </c>
      <c r="AN70" s="3">
        <v>0</v>
      </c>
      <c r="AO70" s="3">
        <f t="shared" si="85"/>
        <v>0</v>
      </c>
      <c r="AQ70" s="33"/>
      <c r="AR70" s="3"/>
      <c r="AS70" s="3"/>
      <c r="AU70" s="3"/>
      <c r="AV70" s="3">
        <f t="shared" si="50"/>
        <v>0</v>
      </c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 t="shared" si="92"/>
        <v>0</v>
      </c>
      <c r="BP70" s="3">
        <f t="shared" si="93"/>
        <v>3000</v>
      </c>
      <c r="BQ70" s="3">
        <f t="shared" si="94"/>
        <v>3000</v>
      </c>
      <c r="BR70" s="5"/>
    </row>
    <row r="71" spans="1:70" x14ac:dyDescent="0.25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9"/>
        <v>0</v>
      </c>
      <c r="S71" s="3">
        <v>0</v>
      </c>
      <c r="T71" s="3">
        <v>0</v>
      </c>
      <c r="U71" s="3">
        <f t="shared" si="80"/>
        <v>0</v>
      </c>
      <c r="W71" s="3">
        <v>0</v>
      </c>
      <c r="X71" s="3">
        <v>0</v>
      </c>
      <c r="Y71" s="3">
        <f t="shared" si="81"/>
        <v>0</v>
      </c>
      <c r="AA71" s="3">
        <v>-19239</v>
      </c>
      <c r="AB71" s="33">
        <v>0</v>
      </c>
      <c r="AC71" s="3">
        <f t="shared" si="82"/>
        <v>19239</v>
      </c>
      <c r="AE71" s="3">
        <f t="shared" si="47"/>
        <v>-19239</v>
      </c>
      <c r="AF71" s="3">
        <f t="shared" si="48"/>
        <v>0</v>
      </c>
      <c r="AG71" s="3">
        <f t="shared" si="83"/>
        <v>19239</v>
      </c>
      <c r="AI71" s="3">
        <v>0</v>
      </c>
      <c r="AJ71" s="3">
        <v>0</v>
      </c>
      <c r="AK71" s="3"/>
      <c r="AM71" s="3">
        <v>0</v>
      </c>
      <c r="AN71" s="3">
        <v>0</v>
      </c>
      <c r="AO71" s="3">
        <f t="shared" si="85"/>
        <v>0</v>
      </c>
      <c r="AQ71" s="33"/>
      <c r="AR71" s="3"/>
      <c r="AS71" s="3"/>
      <c r="AU71" s="3"/>
      <c r="AV71" s="3">
        <f t="shared" si="50"/>
        <v>0</v>
      </c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92"/>
        <v>-19239</v>
      </c>
      <c r="BP71" s="3">
        <f t="shared" si="93"/>
        <v>0</v>
      </c>
      <c r="BQ71" s="3">
        <f t="shared" si="94"/>
        <v>19239</v>
      </c>
      <c r="BR71" s="5"/>
    </row>
    <row r="72" spans="1:70" x14ac:dyDescent="0.25">
      <c r="A72" t="s">
        <v>6</v>
      </c>
      <c r="C72" s="3">
        <v>0</v>
      </c>
      <c r="D72" s="3">
        <v>56.213000000000001</v>
      </c>
      <c r="E72" s="3">
        <f t="shared" si="55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8"/>
        <v>0</v>
      </c>
      <c r="O72" s="3">
        <f t="shared" si="46"/>
        <v>0</v>
      </c>
      <c r="P72" s="3">
        <f t="shared" si="54"/>
        <v>56.213000000000001</v>
      </c>
      <c r="Q72" s="3">
        <f t="shared" si="79"/>
        <v>56.213000000000001</v>
      </c>
      <c r="S72" s="3">
        <v>0</v>
      </c>
      <c r="T72" s="3">
        <v>393</v>
      </c>
      <c r="U72" s="3">
        <f t="shared" si="80"/>
        <v>393</v>
      </c>
      <c r="W72" s="3">
        <v>0</v>
      </c>
      <c r="X72" s="3">
        <v>50</v>
      </c>
      <c r="Y72" s="3">
        <f t="shared" si="81"/>
        <v>50</v>
      </c>
      <c r="AA72" s="3"/>
      <c r="AB72" s="33">
        <v>33</v>
      </c>
      <c r="AC72" s="3">
        <f t="shared" si="82"/>
        <v>33</v>
      </c>
      <c r="AE72" s="3">
        <f t="shared" si="47"/>
        <v>0</v>
      </c>
      <c r="AF72" s="3">
        <f t="shared" si="48"/>
        <v>476</v>
      </c>
      <c r="AG72" s="3">
        <f t="shared" si="83"/>
        <v>476</v>
      </c>
      <c r="AI72" s="3">
        <v>0</v>
      </c>
      <c r="AJ72" s="3">
        <v>0</v>
      </c>
      <c r="AK72" s="3">
        <f t="shared" si="84"/>
        <v>0</v>
      </c>
      <c r="AM72" s="3">
        <v>0</v>
      </c>
      <c r="AN72" s="3">
        <v>0</v>
      </c>
      <c r="AO72" s="3">
        <f t="shared" si="85"/>
        <v>0</v>
      </c>
      <c r="AQ72" s="33">
        <v>-50</v>
      </c>
      <c r="AR72" s="3">
        <v>28.2</v>
      </c>
      <c r="AS72" s="3">
        <f t="shared" si="86"/>
        <v>78.2</v>
      </c>
      <c r="AU72" s="3">
        <f t="shared" si="49"/>
        <v>-50</v>
      </c>
      <c r="AV72" s="3">
        <f t="shared" si="50"/>
        <v>28.2</v>
      </c>
      <c r="AW72" s="3">
        <f t="shared" si="87"/>
        <v>78.2</v>
      </c>
      <c r="AY72" s="3"/>
      <c r="AZ72" s="3"/>
      <c r="BA72" s="3">
        <f t="shared" si="88"/>
        <v>0</v>
      </c>
      <c r="BC72" s="3"/>
      <c r="BD72" s="3"/>
      <c r="BE72" s="3">
        <f t="shared" si="89"/>
        <v>0</v>
      </c>
      <c r="BG72" s="3"/>
      <c r="BH72" s="3"/>
      <c r="BI72" s="3">
        <f t="shared" si="90"/>
        <v>0</v>
      </c>
      <c r="BK72" s="3">
        <f t="shared" si="51"/>
        <v>0</v>
      </c>
      <c r="BL72" s="3">
        <f t="shared" si="52"/>
        <v>0</v>
      </c>
      <c r="BM72" s="3">
        <f t="shared" si="91"/>
        <v>0</v>
      </c>
      <c r="BO72" s="3">
        <f t="shared" si="92"/>
        <v>-50</v>
      </c>
      <c r="BP72" s="3">
        <f t="shared" si="93"/>
        <v>560.41300000000001</v>
      </c>
      <c r="BQ72" s="3">
        <f t="shared" si="94"/>
        <v>610.41300000000001</v>
      </c>
      <c r="BR72" s="5">
        <f>BQ72/BP72</f>
        <v>1.0892199145986978</v>
      </c>
    </row>
    <row r="73" spans="1:70" x14ac:dyDescent="0.25">
      <c r="A73" t="s">
        <v>9</v>
      </c>
      <c r="C73" s="4">
        <v>0</v>
      </c>
      <c r="D73" s="4">
        <v>39.936999999999998</v>
      </c>
      <c r="E73" s="4">
        <f t="shared" si="55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8"/>
        <v>108</v>
      </c>
      <c r="O73" s="4">
        <f t="shared" si="46"/>
        <v>0</v>
      </c>
      <c r="P73" s="4">
        <f t="shared" si="54"/>
        <v>291.93700000000001</v>
      </c>
      <c r="Q73" s="4">
        <f t="shared" si="79"/>
        <v>291.93700000000001</v>
      </c>
      <c r="S73" s="4">
        <v>0</v>
      </c>
      <c r="T73" s="4">
        <v>433</v>
      </c>
      <c r="U73" s="4">
        <f t="shared" si="80"/>
        <v>433</v>
      </c>
      <c r="W73" s="4">
        <v>0</v>
      </c>
      <c r="X73" s="4">
        <v>967</v>
      </c>
      <c r="Y73" s="4">
        <f t="shared" si="81"/>
        <v>967</v>
      </c>
      <c r="AA73" s="4">
        <v>20</v>
      </c>
      <c r="AB73" s="34">
        <v>873</v>
      </c>
      <c r="AC73" s="4">
        <f t="shared" si="82"/>
        <v>853</v>
      </c>
      <c r="AE73" s="4">
        <f t="shared" si="47"/>
        <v>20</v>
      </c>
      <c r="AF73" s="4">
        <f t="shared" si="48"/>
        <v>2273</v>
      </c>
      <c r="AG73" s="4">
        <f t="shared" si="83"/>
        <v>2253</v>
      </c>
      <c r="AI73" s="4">
        <f>116</f>
        <v>116</v>
      </c>
      <c r="AJ73" s="4">
        <v>505</v>
      </c>
      <c r="AK73" s="4">
        <f t="shared" si="84"/>
        <v>389</v>
      </c>
      <c r="AM73" s="4">
        <v>63</v>
      </c>
      <c r="AN73" s="4">
        <v>359</v>
      </c>
      <c r="AO73" s="4">
        <f t="shared" si="85"/>
        <v>296</v>
      </c>
      <c r="AQ73" s="34">
        <v>627.36300000000006</v>
      </c>
      <c r="AR73" s="4">
        <v>585.32899999999995</v>
      </c>
      <c r="AS73" s="4">
        <f t="shared" si="86"/>
        <v>-42.034000000000106</v>
      </c>
      <c r="AU73" s="4">
        <f t="shared" si="49"/>
        <v>806.36300000000006</v>
      </c>
      <c r="AV73" s="4">
        <f t="shared" si="50"/>
        <v>1449.329</v>
      </c>
      <c r="AW73" s="4">
        <f t="shared" si="87"/>
        <v>642.96599999999989</v>
      </c>
      <c r="AY73" s="4"/>
      <c r="AZ73" s="4"/>
      <c r="BA73" s="4">
        <f t="shared" si="88"/>
        <v>0</v>
      </c>
      <c r="BC73" s="4"/>
      <c r="BD73" s="4"/>
      <c r="BE73" s="4">
        <f t="shared" si="89"/>
        <v>0</v>
      </c>
      <c r="BG73" s="4"/>
      <c r="BH73" s="4"/>
      <c r="BI73" s="4">
        <f t="shared" si="90"/>
        <v>0</v>
      </c>
      <c r="BK73" s="4">
        <f t="shared" si="51"/>
        <v>0</v>
      </c>
      <c r="BL73" s="4">
        <f t="shared" si="52"/>
        <v>0</v>
      </c>
      <c r="BM73" s="4">
        <f t="shared" si="91"/>
        <v>0</v>
      </c>
      <c r="BO73" s="4">
        <f t="shared" si="92"/>
        <v>826.36300000000006</v>
      </c>
      <c r="BP73" s="4">
        <f t="shared" si="93"/>
        <v>4014.2659999999996</v>
      </c>
      <c r="BQ73" s="4">
        <f t="shared" si="94"/>
        <v>3187.9029999999993</v>
      </c>
      <c r="BR73" s="6">
        <f>BQ73/BP73</f>
        <v>0.79414343743040439</v>
      </c>
    </row>
    <row r="74" spans="1:70" s="1" customFormat="1" x14ac:dyDescent="0.25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5976</v>
      </c>
      <c r="AJ74" s="12">
        <f>SUM(AJ45:AJ73)</f>
        <v>16483</v>
      </c>
      <c r="AK74" s="12">
        <f>SUM(AK45:AK73)</f>
        <v>10507</v>
      </c>
      <c r="AM74" s="12">
        <f>SUM(AM45:AM73)</f>
        <v>6895</v>
      </c>
      <c r="AN74" s="12">
        <f>SUM(AN45:AN73)</f>
        <v>31279</v>
      </c>
      <c r="AO74" s="12">
        <f>SUM(AO45:AO73)</f>
        <v>24384</v>
      </c>
      <c r="AQ74" s="12">
        <f>SUM(AQ45:AQ73)</f>
        <v>16069.197999999999</v>
      </c>
      <c r="AR74" s="12">
        <f>SUM(AR45:AR73)</f>
        <v>61130.567999999999</v>
      </c>
      <c r="AS74" s="12">
        <f>SUM(AS45:AS73)</f>
        <v>45061.369999999988</v>
      </c>
      <c r="AU74" s="12">
        <f>SUM(AU45:AU73)</f>
        <v>28940.198</v>
      </c>
      <c r="AV74" s="12">
        <f>SUM(AV45:AV73)</f>
        <v>108892.56800000001</v>
      </c>
      <c r="AW74" s="12">
        <f>SUM(AW45:AW73)</f>
        <v>79952.37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40389.675999999999</v>
      </c>
      <c r="BP74" s="12">
        <f>SUM(BP45:BP73)</f>
        <v>368568.01</v>
      </c>
      <c r="BQ74" s="12">
        <f>SUM(BQ45:BQ73)</f>
        <v>328178.33400000003</v>
      </c>
      <c r="BR74" s="13">
        <f>BQ74/BP74</f>
        <v>0.89041459132603507</v>
      </c>
    </row>
    <row r="76" spans="1:70" x14ac:dyDescent="0.25">
      <c r="A76" t="str">
        <f ca="1">CELL("filename")</f>
        <v>O:\NAES\ORIGIN\2001\EOL &amp; Orig graphs\[MidMkt.Orig2000 vs. 2001a.xls]Year Over Year</v>
      </c>
    </row>
    <row r="77" spans="1:70" hidden="1" x14ac:dyDescent="0.25">
      <c r="A77" t="s">
        <v>76</v>
      </c>
    </row>
    <row r="78" spans="1:70" hidden="1" x14ac:dyDescent="0.25"/>
    <row r="79" spans="1:70" hidden="1" x14ac:dyDescent="0.25">
      <c r="A79" t="s">
        <v>77</v>
      </c>
      <c r="C79" s="3">
        <v>37510</v>
      </c>
    </row>
    <row r="80" spans="1:70" hidden="1" x14ac:dyDescent="0.25">
      <c r="A80" t="s">
        <v>78</v>
      </c>
      <c r="C80" s="4">
        <v>273913</v>
      </c>
    </row>
    <row r="81" spans="1:28" hidden="1" x14ac:dyDescent="0.25">
      <c r="C81" s="3">
        <f>SUM(C79:C80)</f>
        <v>311423</v>
      </c>
    </row>
    <row r="82" spans="1:28" hidden="1" x14ac:dyDescent="0.25">
      <c r="A82" t="s">
        <v>79</v>
      </c>
      <c r="C82" s="4">
        <v>-225333</v>
      </c>
    </row>
    <row r="83" spans="1:28" s="1" customFormat="1" hidden="1" x14ac:dyDescent="0.25">
      <c r="A83" s="1" t="s">
        <v>80</v>
      </c>
      <c r="C83" s="12">
        <f>SUM(C81:C82)</f>
        <v>86090</v>
      </c>
      <c r="AB83" s="36"/>
    </row>
    <row r="84" spans="1:28" hidden="1" x14ac:dyDescent="0.25">
      <c r="C84" s="3"/>
    </row>
    <row r="85" spans="1:28" s="1" customFormat="1" hidden="1" x14ac:dyDescent="0.25">
      <c r="A85" s="1" t="s">
        <v>81</v>
      </c>
      <c r="C85" s="12">
        <f>BP74</f>
        <v>368568.01</v>
      </c>
      <c r="AB85" s="36"/>
    </row>
    <row r="86" spans="1:28" hidden="1" x14ac:dyDescent="0.25">
      <c r="C86" s="3"/>
    </row>
    <row r="87" spans="1:28" hidden="1" x14ac:dyDescent="0.25">
      <c r="A87" t="s">
        <v>82</v>
      </c>
      <c r="C87" s="3">
        <f>C83-C85</f>
        <v>-282478.01</v>
      </c>
    </row>
    <row r="88" spans="1:28" hidden="1" x14ac:dyDescent="0.25">
      <c r="C88" s="3"/>
    </row>
    <row r="89" spans="1:28" hidden="1" x14ac:dyDescent="0.25">
      <c r="A89" t="s">
        <v>65</v>
      </c>
      <c r="C89" s="3">
        <v>1029</v>
      </c>
    </row>
    <row r="90" spans="1:28" hidden="1" x14ac:dyDescent="0.25">
      <c r="A90" t="s">
        <v>66</v>
      </c>
      <c r="C90" s="3">
        <v>135</v>
      </c>
    </row>
    <row r="91" spans="1:28" hidden="1" x14ac:dyDescent="0.25">
      <c r="A91" t="s">
        <v>67</v>
      </c>
      <c r="C91" s="3">
        <v>42</v>
      </c>
    </row>
    <row r="92" spans="1:28" hidden="1" x14ac:dyDescent="0.25">
      <c r="A92" t="s">
        <v>68</v>
      </c>
      <c r="C92" s="26">
        <v>38</v>
      </c>
    </row>
    <row r="93" spans="1:28" hidden="1" x14ac:dyDescent="0.25">
      <c r="A93" t="s">
        <v>83</v>
      </c>
      <c r="C93" s="4">
        <v>4</v>
      </c>
    </row>
    <row r="94" spans="1:28" hidden="1" x14ac:dyDescent="0.25">
      <c r="C94" s="26">
        <f>SUM(C89:C93)</f>
        <v>1248</v>
      </c>
    </row>
    <row r="95" spans="1:28" hidden="1" x14ac:dyDescent="0.25"/>
    <row r="96" spans="1:28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mergeCells count="2">
    <mergeCell ref="BO6:BR6"/>
    <mergeCell ref="BO42:BR42"/>
  </mergeCells>
  <phoneticPr fontId="0" type="noConversion"/>
  <printOptions horizontalCentered="1"/>
  <pageMargins left="0.2" right="0.2" top="0.7" bottom="0.23" header="0.17" footer="0.19"/>
  <pageSetup scale="3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7"/>
  <sheetViews>
    <sheetView view="pageBreakPreview" zoomScale="60" zoomScaleNormal="100" workbookViewId="0">
      <pane xSplit="1" ySplit="7" topLeftCell="AN2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hidden="1" customWidth="1"/>
    <col min="15" max="17" width="11.6640625" customWidth="1"/>
    <col min="18" max="18" width="2.33203125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customWidth="1"/>
    <col min="34" max="34" width="2.33203125" customWidth="1"/>
    <col min="35" max="37" width="11.6640625" customWidth="1"/>
    <col min="38" max="38" width="2.33203125" customWidth="1"/>
    <col min="39" max="41" width="11.6640625" customWidth="1"/>
    <col min="42" max="42" width="2.33203125" customWidth="1"/>
    <col min="43" max="45" width="11.6640625" customWidth="1"/>
    <col min="46" max="46" width="2.33203125" customWidth="1"/>
    <col min="47" max="47" width="12.6640625" bestFit="1" customWidth="1"/>
    <col min="48" max="49" width="11.6640625" customWidth="1"/>
    <col min="50" max="50" width="2.33203125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customWidth="1"/>
    <col min="66" max="66" width="2.33203125" customWidth="1"/>
    <col min="67" max="67" width="12.6640625" bestFit="1" customWidth="1"/>
    <col min="68" max="69" width="11.6640625" customWidth="1"/>
    <col min="70" max="70" width="7.6640625" hidden="1" customWidth="1"/>
    <col min="71" max="71" width="9.6640625" customWidth="1"/>
    <col min="72" max="72" width="10.44140625" bestFit="1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1</v>
      </c>
      <c r="B2" s="1"/>
    </row>
    <row r="3" spans="1:72" x14ac:dyDescent="0.25">
      <c r="A3" s="1" t="s">
        <v>21</v>
      </c>
      <c r="B3" s="1"/>
    </row>
    <row r="6" spans="1:72" x14ac:dyDescent="0.25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40"/>
      <c r="BP6" s="40"/>
      <c r="BQ6" s="40"/>
      <c r="BR6" s="40"/>
    </row>
    <row r="7" spans="1:72" ht="27" customHeight="1" x14ac:dyDescent="0.25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5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5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3</v>
      </c>
      <c r="AJ9" s="16">
        <f>$BT9/12</f>
        <v>6.666666666666667</v>
      </c>
      <c r="AK9" s="16">
        <f>-(AJ9-AI9)</f>
        <v>-3.666666666666667</v>
      </c>
      <c r="AM9" s="3">
        <f>'Year Over Year'!AN9</f>
        <v>4</v>
      </c>
      <c r="AN9" s="16">
        <f>$BT9/12</f>
        <v>6.666666666666667</v>
      </c>
      <c r="AO9" s="16">
        <f>-(AN9-AM9)</f>
        <v>-2.666666666666667</v>
      </c>
      <c r="AQ9" s="3">
        <v>2</v>
      </c>
      <c r="AR9" s="16">
        <f>$BT9/12</f>
        <v>6.666666666666667</v>
      </c>
      <c r="AS9" s="16">
        <f>-(AR9-AQ9)</f>
        <v>-4.666666666666667</v>
      </c>
      <c r="AU9" s="3">
        <f>AI9+AM9+AQ9</f>
        <v>9</v>
      </c>
      <c r="AV9" s="3">
        <f>AJ9+AN9+AR9</f>
        <v>20</v>
      </c>
      <c r="AW9" s="16">
        <f>-(AV9-AU9)</f>
        <v>-11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C9+G9+K9+S9+W9+AA9+AI9+AM9+AQ9</f>
        <v>15</v>
      </c>
      <c r="BP9" s="16">
        <f t="shared" si="0"/>
        <v>59.999999999999993</v>
      </c>
      <c r="BQ9" s="16">
        <f>-(BP9-BO9)</f>
        <v>-44.999999999999993</v>
      </c>
      <c r="BR9" s="17">
        <f>BQ9/BP9</f>
        <v>-0.75</v>
      </c>
      <c r="BT9" s="16">
        <v>80</v>
      </c>
    </row>
    <row r="10" spans="1:72" ht="12.75" customHeight="1" x14ac:dyDescent="0.25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7" si="4">C10+G10+K10</f>
        <v>0</v>
      </c>
      <c r="P10" s="3">
        <f t="shared" ref="P10:P37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7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7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7" si="11">$BT10/12</f>
        <v>0</v>
      </c>
      <c r="AC10" s="16">
        <f t="shared" ref="AC10:AC19" si="12">-(AB10-AA10)</f>
        <v>0</v>
      </c>
      <c r="AE10" s="3">
        <f t="shared" ref="AE10:AE37" si="13">S10+W10+AA10</f>
        <v>1</v>
      </c>
      <c r="AF10" s="16">
        <f>T10+X10+AB10</f>
        <v>0</v>
      </c>
      <c r="AG10" s="16">
        <f t="shared" ref="AG10:AG19" si="14">-(AF10-AE10)</f>
        <v>1</v>
      </c>
      <c r="AI10" s="3">
        <f>'Year Over Year'!AJ10</f>
        <v>0</v>
      </c>
      <c r="AJ10" s="16">
        <f t="shared" ref="AJ10:AJ37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7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7" si="19">$BT10/12</f>
        <v>0</v>
      </c>
      <c r="AS10" s="16">
        <f t="shared" ref="AS10:AS19" si="20">-(AR10-AQ10)</f>
        <v>0</v>
      </c>
      <c r="AU10" s="3">
        <f t="shared" ref="AU10:AU37" si="21">AI10+AM10+AQ10</f>
        <v>0</v>
      </c>
      <c r="AV10" s="3">
        <f t="shared" ref="AV10:AV37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7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7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7" si="28">$BT10/12</f>
        <v>0</v>
      </c>
      <c r="BI10" s="16">
        <f t="shared" ref="BI10:BI19" si="29">-(BH10-BG10)</f>
        <v>0</v>
      </c>
      <c r="BK10" s="3">
        <f t="shared" ref="BK10:BK37" si="30">AY10+BC10+BG10</f>
        <v>0</v>
      </c>
      <c r="BL10" s="3">
        <f t="shared" ref="BL10:BL37" si="31">AZ10+BD10+BH10</f>
        <v>0</v>
      </c>
      <c r="BM10" s="16">
        <f t="shared" ref="BM10:BM19" si="32">-(BL10-BK10)</f>
        <v>0</v>
      </c>
      <c r="BO10" s="16">
        <f t="shared" si="0"/>
        <v>1</v>
      </c>
      <c r="BP10" s="16">
        <f t="shared" si="0"/>
        <v>0</v>
      </c>
      <c r="BQ10" s="16">
        <f t="shared" ref="BQ10:BQ37" si="33">-(BP10-BO10)</f>
        <v>1</v>
      </c>
      <c r="BR10" s="17">
        <v>0</v>
      </c>
      <c r="BT10" s="16">
        <v>0</v>
      </c>
    </row>
    <row r="11" spans="1:72" x14ac:dyDescent="0.25">
      <c r="A11" t="s">
        <v>87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79</v>
      </c>
      <c r="AB11" s="16">
        <f t="shared" si="11"/>
        <v>60</v>
      </c>
      <c r="AC11" s="16">
        <f t="shared" si="12"/>
        <v>19</v>
      </c>
      <c r="AE11" s="3">
        <f t="shared" si="13"/>
        <v>218</v>
      </c>
      <c r="AF11" s="16">
        <f>T11+X11+AB11</f>
        <v>180</v>
      </c>
      <c r="AG11" s="16">
        <f t="shared" si="14"/>
        <v>38</v>
      </c>
      <c r="AI11" s="3">
        <f>'Year Over Year'!AJ11</f>
        <v>67</v>
      </c>
      <c r="AJ11" s="16">
        <f t="shared" si="15"/>
        <v>60</v>
      </c>
      <c r="AK11" s="16">
        <f t="shared" si="16"/>
        <v>7</v>
      </c>
      <c r="AM11" s="3">
        <f>'Year Over Year'!AN11</f>
        <v>62</v>
      </c>
      <c r="AN11" s="16">
        <f t="shared" si="17"/>
        <v>60</v>
      </c>
      <c r="AO11" s="16">
        <f t="shared" si="18"/>
        <v>2</v>
      </c>
      <c r="AQ11" s="3">
        <v>41</v>
      </c>
      <c r="AR11" s="16">
        <f t="shared" si="19"/>
        <v>60</v>
      </c>
      <c r="AS11" s="16">
        <f t="shared" si="20"/>
        <v>-19</v>
      </c>
      <c r="AU11" s="3">
        <f t="shared" si="21"/>
        <v>170</v>
      </c>
      <c r="AV11" s="3">
        <f t="shared" si="22"/>
        <v>180</v>
      </c>
      <c r="AW11" s="16">
        <f t="shared" si="23"/>
        <v>-10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0"/>
        <v>532</v>
      </c>
      <c r="BP11" s="16">
        <f t="shared" si="0"/>
        <v>540</v>
      </c>
      <c r="BQ11" s="16">
        <f t="shared" si="33"/>
        <v>-8</v>
      </c>
      <c r="BR11" s="17">
        <f t="shared" ref="BR11:BR29" si="34">BQ11/BP11</f>
        <v>-1.4814814814814815E-2</v>
      </c>
      <c r="BT11" s="16">
        <v>720</v>
      </c>
    </row>
    <row r="12" spans="1:72" x14ac:dyDescent="0.25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5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5">
      <c r="A14" t="s">
        <v>70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89</v>
      </c>
      <c r="AB14" s="16">
        <f t="shared" si="11"/>
        <v>0</v>
      </c>
      <c r="AC14" s="16">
        <f t="shared" si="12"/>
        <v>89</v>
      </c>
      <c r="AE14" s="3">
        <f t="shared" si="13"/>
        <v>294</v>
      </c>
      <c r="AF14" s="16">
        <f>T14+X14+AB14+0.1</f>
        <v>119.1</v>
      </c>
      <c r="AG14" s="16">
        <f t="shared" si="14"/>
        <v>174.9</v>
      </c>
      <c r="AI14" s="3">
        <f>'Year Over Year'!AJ14</f>
        <v>49</v>
      </c>
      <c r="AJ14" s="16">
        <f t="shared" si="15"/>
        <v>0</v>
      </c>
      <c r="AK14" s="16">
        <f t="shared" si="16"/>
        <v>49</v>
      </c>
      <c r="AM14" s="3">
        <f>'Year Over Year'!AN14</f>
        <v>63</v>
      </c>
      <c r="AN14" s="16">
        <f t="shared" si="17"/>
        <v>0</v>
      </c>
      <c r="AO14" s="16">
        <f t="shared" si="18"/>
        <v>63</v>
      </c>
      <c r="AQ14" s="3">
        <v>74</v>
      </c>
      <c r="AR14" s="16">
        <f t="shared" si="19"/>
        <v>0</v>
      </c>
      <c r="AS14" s="16">
        <f t="shared" si="20"/>
        <v>74</v>
      </c>
      <c r="AU14" s="3">
        <f t="shared" si="21"/>
        <v>186</v>
      </c>
      <c r="AV14" s="3">
        <f t="shared" si="22"/>
        <v>0</v>
      </c>
      <c r="AW14" s="16">
        <f t="shared" si="23"/>
        <v>186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ref="BO14:BO19" si="35">C14+G14+K14+S14+W14+AA14+AI14+AM14+AQ14</f>
        <v>632</v>
      </c>
      <c r="BP14" s="16">
        <f t="shared" ref="BP14:BP19" si="36">D14+H14+L14+T14+X14+AB14+AJ14+AN14+AR14</f>
        <v>238</v>
      </c>
      <c r="BQ14" s="16">
        <f t="shared" si="33"/>
        <v>394</v>
      </c>
      <c r="BR14" s="17">
        <v>0</v>
      </c>
      <c r="BT14" s="16">
        <v>0</v>
      </c>
    </row>
    <row r="15" spans="1:72" x14ac:dyDescent="0.25">
      <c r="A15" t="s">
        <v>71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238</v>
      </c>
      <c r="AB15" s="16">
        <f t="shared" si="11"/>
        <v>12.5</v>
      </c>
      <c r="AC15" s="16">
        <f t="shared" si="12"/>
        <v>225.5</v>
      </c>
      <c r="AE15" s="3">
        <f t="shared" si="13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172</v>
      </c>
      <c r="AJ15" s="16">
        <f t="shared" si="15"/>
        <v>12.5</v>
      </c>
      <c r="AK15" s="16">
        <f t="shared" si="16"/>
        <v>159.5</v>
      </c>
      <c r="AM15" s="3">
        <f>'Year Over Year'!AN15</f>
        <v>234</v>
      </c>
      <c r="AN15" s="16">
        <f t="shared" si="17"/>
        <v>12.5</v>
      </c>
      <c r="AO15" s="16">
        <f t="shared" si="18"/>
        <v>221.5</v>
      </c>
      <c r="AQ15" s="3">
        <v>137</v>
      </c>
      <c r="AR15" s="16">
        <f t="shared" si="19"/>
        <v>12.5</v>
      </c>
      <c r="AS15" s="16">
        <f t="shared" si="20"/>
        <v>124.5</v>
      </c>
      <c r="AU15" s="3">
        <f t="shared" si="21"/>
        <v>543</v>
      </c>
      <c r="AV15" s="3">
        <f t="shared" si="22"/>
        <v>37.5</v>
      </c>
      <c r="AW15" s="16">
        <f t="shared" si="23"/>
        <v>505.5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5"/>
        <v>1430</v>
      </c>
      <c r="BP15" s="16">
        <f t="shared" si="36"/>
        <v>113</v>
      </c>
      <c r="BQ15" s="16">
        <f t="shared" si="33"/>
        <v>1317</v>
      </c>
      <c r="BR15" s="17">
        <f t="shared" si="34"/>
        <v>11.654867256637168</v>
      </c>
      <c r="BT15" s="16">
        <v>150</v>
      </c>
    </row>
    <row r="16" spans="1:72" x14ac:dyDescent="0.25">
      <c r="A16" t="s">
        <v>72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81</v>
      </c>
      <c r="AB16" s="16">
        <f t="shared" si="11"/>
        <v>12.5</v>
      </c>
      <c r="AC16" s="16">
        <f t="shared" si="12"/>
        <v>68.5</v>
      </c>
      <c r="AE16" s="3">
        <f t="shared" si="13"/>
        <v>191</v>
      </c>
      <c r="AF16" s="16">
        <f>T16+X16+AB16+0.1</f>
        <v>37.6</v>
      </c>
      <c r="AG16" s="16">
        <f t="shared" si="14"/>
        <v>153.4</v>
      </c>
      <c r="AI16" s="3">
        <f>'Year Over Year'!AJ16</f>
        <v>46</v>
      </c>
      <c r="AJ16" s="16">
        <f t="shared" si="15"/>
        <v>12.5</v>
      </c>
      <c r="AK16" s="16">
        <f t="shared" si="16"/>
        <v>33.5</v>
      </c>
      <c r="AM16" s="3">
        <f>'Year Over Year'!AN16</f>
        <v>63</v>
      </c>
      <c r="AN16" s="16">
        <f t="shared" si="17"/>
        <v>12.5</v>
      </c>
      <c r="AO16" s="16">
        <f t="shared" si="18"/>
        <v>50.5</v>
      </c>
      <c r="AQ16" s="3">
        <v>43</v>
      </c>
      <c r="AR16" s="16">
        <f t="shared" si="19"/>
        <v>12.5</v>
      </c>
      <c r="AS16" s="16">
        <f t="shared" si="20"/>
        <v>30.5</v>
      </c>
      <c r="AU16" s="3">
        <f t="shared" si="21"/>
        <v>152</v>
      </c>
      <c r="AV16" s="3">
        <f t="shared" si="22"/>
        <v>37.5</v>
      </c>
      <c r="AW16" s="16">
        <f t="shared" si="23"/>
        <v>114.5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5"/>
        <v>440</v>
      </c>
      <c r="BP16" s="16">
        <f t="shared" si="36"/>
        <v>113</v>
      </c>
      <c r="BQ16" s="16">
        <f t="shared" si="33"/>
        <v>327</v>
      </c>
      <c r="BR16" s="17">
        <f t="shared" si="34"/>
        <v>2.8938053097345131</v>
      </c>
      <c r="BT16" s="16">
        <v>150</v>
      </c>
    </row>
    <row r="17" spans="1:72" x14ac:dyDescent="0.25">
      <c r="A17" t="s">
        <v>73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8">
        <f>T17+X17+AB17+0.25+0.1</f>
        <v>31.6</v>
      </c>
      <c r="AG17" s="16">
        <f t="shared" si="14"/>
        <v>-26.6</v>
      </c>
      <c r="AI17" s="3">
        <f>'Year Over Year'!AJ17</f>
        <v>1</v>
      </c>
      <c r="AJ17" s="16">
        <f t="shared" si="15"/>
        <v>10.416666666666666</v>
      </c>
      <c r="AK17" s="16">
        <f t="shared" si="16"/>
        <v>-9.4166666666666661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1</v>
      </c>
      <c r="AV17" s="3">
        <f t="shared" si="22"/>
        <v>31.25</v>
      </c>
      <c r="AW17" s="16">
        <f t="shared" si="23"/>
        <v>-30.25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5"/>
        <v>6</v>
      </c>
      <c r="BP17" s="16">
        <f t="shared" si="36"/>
        <v>93.5</v>
      </c>
      <c r="BQ17" s="16">
        <f t="shared" si="33"/>
        <v>-87.5</v>
      </c>
      <c r="BR17" s="17">
        <f t="shared" si="34"/>
        <v>-0.93582887700534756</v>
      </c>
      <c r="BT17" s="16">
        <v>125</v>
      </c>
    </row>
    <row r="18" spans="1:72" hidden="1" x14ac:dyDescent="0.25">
      <c r="A18" t="s">
        <v>74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>T18+X18+AB18</f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5"/>
        <v>0</v>
      </c>
      <c r="BP18" s="16">
        <f t="shared" si="36"/>
        <v>0</v>
      </c>
      <c r="BQ18" s="16">
        <f>-(BP18-BO18)</f>
        <v>0</v>
      </c>
      <c r="BR18" s="17"/>
      <c r="BT18" s="16">
        <v>0</v>
      </c>
    </row>
    <row r="19" spans="1:72" x14ac:dyDescent="0.25">
      <c r="A19" t="s">
        <v>75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399</v>
      </c>
      <c r="AB19" s="16">
        <f t="shared" si="11"/>
        <v>133.33333333333334</v>
      </c>
      <c r="AC19" s="16">
        <f t="shared" si="12"/>
        <v>265.66666666666663</v>
      </c>
      <c r="AE19" s="3">
        <f t="shared" si="13"/>
        <v>1214</v>
      </c>
      <c r="AF19" s="16">
        <f>T19+X19+AB19+0.25</f>
        <v>400.25</v>
      </c>
      <c r="AG19" s="16">
        <f t="shared" si="14"/>
        <v>813.75</v>
      </c>
      <c r="AI19" s="3">
        <f>'Year Over Year'!AJ19</f>
        <v>328</v>
      </c>
      <c r="AJ19" s="16">
        <f t="shared" si="15"/>
        <v>133.33333333333334</v>
      </c>
      <c r="AK19" s="16">
        <f t="shared" si="16"/>
        <v>194.66666666666666</v>
      </c>
      <c r="AM19" s="3">
        <f>'Year Over Year'!AN19</f>
        <v>340</v>
      </c>
      <c r="AN19" s="16">
        <f t="shared" si="17"/>
        <v>133.33333333333334</v>
      </c>
      <c r="AO19" s="16">
        <f t="shared" si="18"/>
        <v>206.66666666666666</v>
      </c>
      <c r="AQ19" s="3">
        <v>318</v>
      </c>
      <c r="AR19" s="16">
        <f t="shared" si="19"/>
        <v>133.33333333333334</v>
      </c>
      <c r="AS19" s="16">
        <f t="shared" si="20"/>
        <v>184.66666666666666</v>
      </c>
      <c r="AU19" s="3">
        <f t="shared" si="21"/>
        <v>986</v>
      </c>
      <c r="AV19" s="3">
        <f t="shared" si="22"/>
        <v>400</v>
      </c>
      <c r="AW19" s="16">
        <f t="shared" si="23"/>
        <v>586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5"/>
        <v>3294</v>
      </c>
      <c r="BP19" s="16">
        <f t="shared" si="36"/>
        <v>1200</v>
      </c>
      <c r="BQ19" s="16">
        <f t="shared" si="33"/>
        <v>2094</v>
      </c>
      <c r="BR19" s="17">
        <f t="shared" si="34"/>
        <v>1.7450000000000001</v>
      </c>
      <c r="BT19" s="16">
        <v>1600</v>
      </c>
    </row>
    <row r="20" spans="1:72" x14ac:dyDescent="0.25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5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5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1</v>
      </c>
      <c r="AJ22" s="16">
        <f t="shared" si="15"/>
        <v>4.166666666666667</v>
      </c>
      <c r="AK22" s="16">
        <f>-(AJ22-AI22)</f>
        <v>-3.166666666666667</v>
      </c>
      <c r="AM22" s="3">
        <f>'Year Over Year'!AN22</f>
        <v>4</v>
      </c>
      <c r="AN22" s="16">
        <f t="shared" si="17"/>
        <v>4.166666666666667</v>
      </c>
      <c r="AO22" s="16">
        <f>-(AN22-AM22)</f>
        <v>-0.16666666666666696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5</v>
      </c>
      <c r="AV22" s="3">
        <f t="shared" si="22"/>
        <v>12.5</v>
      </c>
      <c r="AW22" s="16">
        <f>-(AV22-AU22)</f>
        <v>-7.5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C22+G22+K22+S22+W22+AA22+AI22+AM22+AQ22</f>
        <v>16</v>
      </c>
      <c r="BP22" s="16">
        <f t="shared" si="37"/>
        <v>38</v>
      </c>
      <c r="BQ22" s="16">
        <f t="shared" si="33"/>
        <v>-22</v>
      </c>
      <c r="BR22" s="17">
        <f t="shared" si="34"/>
        <v>-0.57894736842105265</v>
      </c>
      <c r="BT22" s="16">
        <v>50</v>
      </c>
    </row>
    <row r="23" spans="1:72" x14ac:dyDescent="0.25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5</v>
      </c>
      <c r="T23" s="16">
        <f t="shared" si="7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1"/>
        <v>8.3333333333333339</v>
      </c>
      <c r="AC23" s="16">
        <f>-(AB23-AA23)</f>
        <v>-3.3333333333333339</v>
      </c>
      <c r="AE23" s="3">
        <f t="shared" si="13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4</v>
      </c>
      <c r="AJ23" s="16">
        <f t="shared" si="15"/>
        <v>8.3333333333333339</v>
      </c>
      <c r="AK23" s="16">
        <f>-(AJ23-AI23)</f>
        <v>-4.3333333333333339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v>3</v>
      </c>
      <c r="AR23" s="16">
        <f t="shared" si="19"/>
        <v>8.3333333333333339</v>
      </c>
      <c r="AS23" s="16">
        <f>-(AR23-AQ23)</f>
        <v>-5.3333333333333339</v>
      </c>
      <c r="AU23" s="3">
        <f t="shared" si="21"/>
        <v>7</v>
      </c>
      <c r="AV23" s="3">
        <f t="shared" si="22"/>
        <v>25</v>
      </c>
      <c r="AW23" s="16">
        <f>-(AV23-AU23)</f>
        <v>-18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28</v>
      </c>
      <c r="BP23" s="16">
        <f t="shared" si="37"/>
        <v>73</v>
      </c>
      <c r="BQ23" s="16">
        <f t="shared" si="33"/>
        <v>-45</v>
      </c>
      <c r="BR23" s="17">
        <f t="shared" si="34"/>
        <v>-0.61643835616438358</v>
      </c>
      <c r="BT23" s="16">
        <v>100</v>
      </c>
    </row>
    <row r="24" spans="1:72" x14ac:dyDescent="0.25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22</v>
      </c>
      <c r="T24" s="16">
        <f t="shared" si="7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1"/>
        <v>16.666666666666668</v>
      </c>
      <c r="AC24" s="16">
        <f>-(AB24-AA24)</f>
        <v>1.3333333333333321</v>
      </c>
      <c r="AE24" s="3">
        <f t="shared" si="13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10</v>
      </c>
      <c r="AJ24" s="16">
        <f t="shared" si="15"/>
        <v>16.666666666666668</v>
      </c>
      <c r="AK24" s="16">
        <f>-(AJ24-AI24)</f>
        <v>-6.6666666666666679</v>
      </c>
      <c r="AM24" s="3">
        <f>'Year Over Year'!AN24</f>
        <v>11</v>
      </c>
      <c r="AN24" s="16">
        <f t="shared" si="17"/>
        <v>16.666666666666668</v>
      </c>
      <c r="AO24" s="16">
        <f>-(AN24-AM24)</f>
        <v>-5.6666666666666679</v>
      </c>
      <c r="AQ24" s="3">
        <v>2</v>
      </c>
      <c r="AR24" s="16">
        <f t="shared" si="19"/>
        <v>16.666666666666668</v>
      </c>
      <c r="AS24" s="16">
        <f>-(AR24-AQ24)</f>
        <v>-14.666666666666668</v>
      </c>
      <c r="AU24" s="3">
        <f t="shared" si="21"/>
        <v>23</v>
      </c>
      <c r="AV24" s="3">
        <f t="shared" si="22"/>
        <v>50</v>
      </c>
      <c r="AW24" s="16">
        <f>-(AV24-AU24)</f>
        <v>-27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136</v>
      </c>
      <c r="BP24" s="16">
        <f t="shared" si="37"/>
        <v>150</v>
      </c>
      <c r="BQ24" s="16">
        <f t="shared" si="33"/>
        <v>-14</v>
      </c>
      <c r="BR24" s="17">
        <f t="shared" si="34"/>
        <v>-9.3333333333333338E-2</v>
      </c>
      <c r="BT24" s="16">
        <v>200</v>
      </c>
    </row>
    <row r="25" spans="1:72" x14ac:dyDescent="0.25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14</v>
      </c>
      <c r="L25" s="16">
        <v>13</v>
      </c>
      <c r="M25" s="16">
        <f>-(L25-K25)</f>
        <v>1</v>
      </c>
      <c r="O25" s="3">
        <f t="shared" si="4"/>
        <v>39</v>
      </c>
      <c r="P25" s="3">
        <f t="shared" si="5"/>
        <v>38</v>
      </c>
      <c r="Q25" s="16">
        <f>-(P25-O25)</f>
        <v>1</v>
      </c>
      <c r="S25" s="3">
        <f>'Year Over Year'!T25</f>
        <v>2</v>
      </c>
      <c r="T25" s="16">
        <f t="shared" si="7"/>
        <v>12.5</v>
      </c>
      <c r="U25" s="16">
        <f>-(T25-S25)</f>
        <v>-10.5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6</v>
      </c>
      <c r="AB25" s="16">
        <f t="shared" si="11"/>
        <v>12.5</v>
      </c>
      <c r="AC25" s="16">
        <f>-(AB25-AA25)</f>
        <v>-6.5</v>
      </c>
      <c r="AE25" s="3">
        <f t="shared" si="13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9</v>
      </c>
      <c r="AJ25" s="16">
        <f t="shared" si="15"/>
        <v>12.5</v>
      </c>
      <c r="AK25" s="16">
        <f>-(AJ25-AI25)</f>
        <v>-3.5</v>
      </c>
      <c r="AM25" s="3">
        <f>'Year Over Year'!AN25</f>
        <v>4</v>
      </c>
      <c r="AN25" s="16">
        <f t="shared" si="17"/>
        <v>12.5</v>
      </c>
      <c r="AO25" s="16">
        <f>-(AN25-AM25)</f>
        <v>-8.5</v>
      </c>
      <c r="AQ25" s="3">
        <v>2</v>
      </c>
      <c r="AR25" s="16">
        <f t="shared" si="19"/>
        <v>12.5</v>
      </c>
      <c r="AS25" s="16">
        <f>-(AR25-AQ25)</f>
        <v>-10.5</v>
      </c>
      <c r="AU25" s="3">
        <f t="shared" si="21"/>
        <v>15</v>
      </c>
      <c r="AV25" s="3">
        <f t="shared" si="22"/>
        <v>37.5</v>
      </c>
      <c r="AW25" s="16">
        <f>-(AV25-AU25)</f>
        <v>-22.5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68</v>
      </c>
      <c r="BP25" s="16">
        <f t="shared" si="37"/>
        <v>113</v>
      </c>
      <c r="BQ25" s="16">
        <f t="shared" si="33"/>
        <v>-45</v>
      </c>
      <c r="BR25" s="17">
        <f t="shared" si="34"/>
        <v>-0.39823008849557523</v>
      </c>
      <c r="BT25" s="16">
        <v>150</v>
      </c>
    </row>
    <row r="26" spans="1:72" x14ac:dyDescent="0.25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5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hidden="1" x14ac:dyDescent="0.25">
      <c r="A28" t="s">
        <v>93</v>
      </c>
      <c r="C28" s="3">
        <f>'Year Over Year'!D28</f>
        <v>0</v>
      </c>
      <c r="D28" s="16">
        <v>0</v>
      </c>
      <c r="E28" s="16">
        <f t="shared" ref="E28:E37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9">-(H28-G28)</f>
        <v>0</v>
      </c>
      <c r="K28" s="3">
        <f>'Year Over Year'!L28</f>
        <v>0</v>
      </c>
      <c r="L28" s="16">
        <f>$BT28/12</f>
        <v>0</v>
      </c>
      <c r="M28" s="16">
        <f t="shared" ref="M28:M37" si="40">-(L28-K28)</f>
        <v>0</v>
      </c>
      <c r="O28" s="3">
        <f t="shared" si="4"/>
        <v>0</v>
      </c>
      <c r="P28" s="3">
        <f t="shared" si="5"/>
        <v>0</v>
      </c>
      <c r="Q28" s="16">
        <f t="shared" ref="Q28:Q37" si="41">-(P28-O28)</f>
        <v>0</v>
      </c>
      <c r="S28" s="3">
        <f>'Year Over Year'!T28</f>
        <v>0</v>
      </c>
      <c r="T28" s="16">
        <f t="shared" si="7"/>
        <v>0</v>
      </c>
      <c r="U28" s="16">
        <f t="shared" ref="U28:U37" si="42">-(T28-S28)</f>
        <v>0</v>
      </c>
      <c r="W28" s="3">
        <f>'Year Over Year'!X28</f>
        <v>0</v>
      </c>
      <c r="X28" s="16">
        <f t="shared" si="9"/>
        <v>0</v>
      </c>
      <c r="Y28" s="16">
        <f t="shared" ref="Y28:Y37" si="43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7" si="44">-(AB28-AA28)</f>
        <v>0</v>
      </c>
      <c r="AE28" s="3">
        <f t="shared" si="13"/>
        <v>0</v>
      </c>
      <c r="AF28" s="16">
        <f>T28+X28+AB28</f>
        <v>0</v>
      </c>
      <c r="AG28" s="16">
        <f t="shared" ref="AG28:AG37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7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7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7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7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7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7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7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7" si="53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5">
      <c r="A29" t="s">
        <v>17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4"/>
        <v>0</v>
      </c>
      <c r="P29" s="3">
        <f t="shared" si="5"/>
        <v>0</v>
      </c>
      <c r="Q29" s="16">
        <f t="shared" si="41"/>
        <v>0</v>
      </c>
      <c r="S29" s="3">
        <f>'Year Over Year'!T29</f>
        <v>0</v>
      </c>
      <c r="T29" s="16">
        <f t="shared" si="7"/>
        <v>0</v>
      </c>
      <c r="U29" s="16">
        <f t="shared" si="42"/>
        <v>0</v>
      </c>
      <c r="W29" s="3">
        <f>'Year Over Year'!X29</f>
        <v>0</v>
      </c>
      <c r="X29" s="16">
        <f t="shared" si="9"/>
        <v>0</v>
      </c>
      <c r="Y29" s="16">
        <f t="shared" si="43"/>
        <v>0</v>
      </c>
      <c r="AA29" s="3">
        <f>'Year Over Year'!AB29</f>
        <v>0</v>
      </c>
      <c r="AB29" s="16">
        <f t="shared" si="11"/>
        <v>0</v>
      </c>
      <c r="AC29" s="16">
        <f t="shared" si="44"/>
        <v>0</v>
      </c>
      <c r="AE29" s="3">
        <f t="shared" si="13"/>
        <v>0</v>
      </c>
      <c r="AF29" s="16">
        <f>T29+X29+AB29</f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>C29+G29+K29+S29+W29</f>
        <v>0</v>
      </c>
      <c r="BP29" s="16">
        <f>D29+H29+L29+T29+X29</f>
        <v>0</v>
      </c>
      <c r="BQ29" s="16">
        <f t="shared" si="33"/>
        <v>0</v>
      </c>
      <c r="BR29" s="17" t="e">
        <f t="shared" si="34"/>
        <v>#DIV/0!</v>
      </c>
      <c r="BT29" s="16">
        <v>0</v>
      </c>
    </row>
    <row r="30" spans="1:72" x14ac:dyDescent="0.25">
      <c r="A30" t="s">
        <v>94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4"/>
        <v>16</v>
      </c>
      <c r="P30" s="3">
        <f t="shared" si="5"/>
        <v>125</v>
      </c>
      <c r="Q30" s="16">
        <f t="shared" si="41"/>
        <v>-109</v>
      </c>
      <c r="S30" s="3">
        <f>'Year Over Year'!T30</f>
        <v>6</v>
      </c>
      <c r="T30" s="16">
        <f>$BT30/12+0.8</f>
        <v>42.466666666666661</v>
      </c>
      <c r="U30" s="16">
        <f t="shared" si="42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3"/>
        <v>-23.466666666666661</v>
      </c>
      <c r="AA30" s="3">
        <f>'Year Over Year'!AB30</f>
        <v>11</v>
      </c>
      <c r="AB30" s="16">
        <f t="shared" si="11"/>
        <v>41.666666666666664</v>
      </c>
      <c r="AC30" s="16">
        <f t="shared" si="44"/>
        <v>-30.666666666666664</v>
      </c>
      <c r="AE30" s="3">
        <f t="shared" si="13"/>
        <v>36</v>
      </c>
      <c r="AF30" s="16">
        <f>T30+X30+AB30+0.25+0.5</f>
        <v>127.35</v>
      </c>
      <c r="AG30" s="16">
        <f t="shared" si="45"/>
        <v>-91.35</v>
      </c>
      <c r="AI30" s="3">
        <f>'Year Over Year'!AJ30</f>
        <v>9</v>
      </c>
      <c r="AJ30" s="16">
        <f t="shared" si="15"/>
        <v>41.666666666666664</v>
      </c>
      <c r="AK30" s="16">
        <f t="shared" si="46"/>
        <v>-32.666666666666664</v>
      </c>
      <c r="AM30" s="3">
        <f>'Year Over Year'!AN30</f>
        <v>8</v>
      </c>
      <c r="AN30" s="16">
        <f t="shared" si="17"/>
        <v>41.666666666666664</v>
      </c>
      <c r="AO30" s="16">
        <f t="shared" si="47"/>
        <v>-33.666666666666664</v>
      </c>
      <c r="AQ30" s="3">
        <v>9</v>
      </c>
      <c r="AR30" s="16">
        <f t="shared" si="19"/>
        <v>41.666666666666664</v>
      </c>
      <c r="AS30" s="16">
        <f t="shared" si="48"/>
        <v>-32.666666666666664</v>
      </c>
      <c r="AU30" s="3">
        <f t="shared" si="21"/>
        <v>26</v>
      </c>
      <c r="AV30" s="3">
        <f t="shared" si="22"/>
        <v>125</v>
      </c>
      <c r="AW30" s="16">
        <f t="shared" si="49"/>
        <v>-99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ref="BO30:BO37" si="54">C30+G30+K30+S30+W30+AA30+AI30+AM30+AQ30</f>
        <v>78</v>
      </c>
      <c r="BP30" s="16">
        <f t="shared" ref="BP30:BP37" si="55">D30+H30+L30+T30+X30+AB30+AJ30+AN30+AR30</f>
        <v>376.6</v>
      </c>
      <c r="BQ30" s="16">
        <f t="shared" si="33"/>
        <v>-298.60000000000002</v>
      </c>
      <c r="BR30" s="17">
        <v>0</v>
      </c>
      <c r="BT30" s="16">
        <v>500</v>
      </c>
    </row>
    <row r="31" spans="1:72" x14ac:dyDescent="0.25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>
        <f t="shared" si="54"/>
        <v>0</v>
      </c>
      <c r="BP31" s="16">
        <f t="shared" si="55"/>
        <v>0</v>
      </c>
      <c r="BQ31" s="16"/>
      <c r="BR31" s="17"/>
      <c r="BT31" s="16"/>
    </row>
    <row r="32" spans="1:72" x14ac:dyDescent="0.25">
      <c r="A32" t="s">
        <v>95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4"/>
        <v>111</v>
      </c>
      <c r="P32" s="3">
        <f t="shared" si="5"/>
        <v>0</v>
      </c>
      <c r="Q32" s="16">
        <f t="shared" si="41"/>
        <v>111</v>
      </c>
      <c r="S32" s="3">
        <f>'Year Over Year'!T32</f>
        <v>26</v>
      </c>
      <c r="T32" s="16">
        <f t="shared" si="7"/>
        <v>0</v>
      </c>
      <c r="U32" s="16">
        <f t="shared" si="42"/>
        <v>26</v>
      </c>
      <c r="W32" s="3">
        <f>'Year Over Year'!X32</f>
        <v>7</v>
      </c>
      <c r="X32" s="16">
        <f t="shared" si="9"/>
        <v>0</v>
      </c>
      <c r="Y32" s="16">
        <f t="shared" si="43"/>
        <v>7</v>
      </c>
      <c r="AA32" s="3">
        <f>'Year Over Year'!AB32</f>
        <v>2</v>
      </c>
      <c r="AB32" s="16">
        <f t="shared" si="11"/>
        <v>0</v>
      </c>
      <c r="AC32" s="16">
        <f t="shared" si="44"/>
        <v>2</v>
      </c>
      <c r="AE32" s="3">
        <f t="shared" si="13"/>
        <v>35</v>
      </c>
      <c r="AF32" s="16">
        <f>T32+X32+AB32</f>
        <v>0</v>
      </c>
      <c r="AG32" s="16">
        <f t="shared" si="45"/>
        <v>35</v>
      </c>
      <c r="AI32" s="3">
        <f>'Year Over Year'!AJ32</f>
        <v>1</v>
      </c>
      <c r="AJ32" s="16">
        <f t="shared" si="15"/>
        <v>0</v>
      </c>
      <c r="AK32" s="16">
        <f t="shared" si="46"/>
        <v>1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v>1</v>
      </c>
      <c r="AR32" s="16">
        <f t="shared" si="19"/>
        <v>0</v>
      </c>
      <c r="AS32" s="16">
        <f t="shared" si="48"/>
        <v>1</v>
      </c>
      <c r="AU32" s="3">
        <f t="shared" si="21"/>
        <v>2</v>
      </c>
      <c r="AV32" s="3">
        <f t="shared" si="22"/>
        <v>0</v>
      </c>
      <c r="AW32" s="16">
        <f t="shared" si="49"/>
        <v>2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148</v>
      </c>
      <c r="BP32" s="16">
        <f t="shared" si="55"/>
        <v>0</v>
      </c>
      <c r="BQ32" s="16">
        <f t="shared" si="33"/>
        <v>148</v>
      </c>
      <c r="BR32" s="17">
        <v>0</v>
      </c>
      <c r="BT32" s="16">
        <v>0</v>
      </c>
    </row>
    <row r="33" spans="1:72" x14ac:dyDescent="0.25">
      <c r="A33" t="s">
        <v>5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4"/>
        <v>2</v>
      </c>
      <c r="P33" s="3">
        <f t="shared" si="5"/>
        <v>0</v>
      </c>
      <c r="Q33" s="16">
        <f t="shared" si="41"/>
        <v>2</v>
      </c>
      <c r="S33" s="3">
        <f>'Year Over Year'!T33</f>
        <v>0</v>
      </c>
      <c r="T33" s="16">
        <f t="shared" si="7"/>
        <v>0</v>
      </c>
      <c r="U33" s="16">
        <f t="shared" si="42"/>
        <v>0</v>
      </c>
      <c r="W33" s="3">
        <f>'Year Over Year'!X33</f>
        <v>0</v>
      </c>
      <c r="X33" s="16">
        <f t="shared" si="9"/>
        <v>0</v>
      </c>
      <c r="Y33" s="16">
        <f t="shared" si="43"/>
        <v>0</v>
      </c>
      <c r="AA33" s="3">
        <f>'Year Over Year'!AB33</f>
        <v>0</v>
      </c>
      <c r="AB33" s="16">
        <f t="shared" si="11"/>
        <v>0</v>
      </c>
      <c r="AC33" s="16">
        <f t="shared" si="44"/>
        <v>0</v>
      </c>
      <c r="AE33" s="3">
        <f t="shared" si="13"/>
        <v>0</v>
      </c>
      <c r="AF33" s="16">
        <f>T33+X33+AB33</f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3"/>
        <v>2</v>
      </c>
      <c r="BR33" s="17">
        <v>0</v>
      </c>
      <c r="BT33" s="16">
        <v>0</v>
      </c>
    </row>
    <row r="34" spans="1:72" x14ac:dyDescent="0.25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7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9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1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5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7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9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4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6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8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 t="shared" si="54"/>
        <v>1</v>
      </c>
      <c r="BP34" s="16">
        <f t="shared" si="55"/>
        <v>0.49999999999999994</v>
      </c>
      <c r="BQ34" s="16">
        <f>-(BP34-BO34)</f>
        <v>0.5</v>
      </c>
      <c r="BR34" s="17">
        <v>1</v>
      </c>
      <c r="BT34" s="16">
        <v>1</v>
      </c>
    </row>
    <row r="35" spans="1:72" x14ac:dyDescent="0.25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41"/>
        <v>0</v>
      </c>
      <c r="S35" s="3">
        <f>'Year Over Year'!T35</f>
        <v>0</v>
      </c>
      <c r="T35" s="16">
        <v>0</v>
      </c>
      <c r="U35" s="16">
        <f t="shared" si="42"/>
        <v>0</v>
      </c>
      <c r="W35" s="3">
        <f>'Year Over Year'!X35</f>
        <v>0</v>
      </c>
      <c r="X35" s="16">
        <v>0</v>
      </c>
      <c r="Y35" s="16">
        <f t="shared" si="43"/>
        <v>0</v>
      </c>
      <c r="AA35" s="3">
        <f>'Year Over Year'!AB35</f>
        <v>0</v>
      </c>
      <c r="AB35" s="16">
        <v>0</v>
      </c>
      <c r="AC35" s="16">
        <f t="shared" si="44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5"/>
        <v>0</v>
      </c>
      <c r="AK35" s="16"/>
      <c r="AM35" s="3"/>
      <c r="AN35" s="16">
        <f t="shared" si="17"/>
        <v>0</v>
      </c>
      <c r="AO35" s="16"/>
      <c r="AQ35" s="3"/>
      <c r="AR35" s="16">
        <f t="shared" si="19"/>
        <v>0</v>
      </c>
      <c r="AS35" s="16"/>
      <c r="AU35" s="3"/>
      <c r="AV35" s="3">
        <f t="shared" si="22"/>
        <v>0</v>
      </c>
      <c r="AW35" s="16"/>
      <c r="AY35" s="3"/>
      <c r="AZ35" s="16">
        <f t="shared" si="24"/>
        <v>0</v>
      </c>
      <c r="BA35" s="16"/>
      <c r="BC35" s="3"/>
      <c r="BD35" s="16">
        <f t="shared" si="26"/>
        <v>0</v>
      </c>
      <c r="BE35" s="16"/>
      <c r="BG35" s="3"/>
      <c r="BH35" s="16">
        <f t="shared" si="28"/>
        <v>0</v>
      </c>
      <c r="BI35" s="16"/>
      <c r="BK35" s="3"/>
      <c r="BL35" s="3">
        <f t="shared" si="31"/>
        <v>0</v>
      </c>
      <c r="BM35" s="16"/>
      <c r="BO35" s="16">
        <f t="shared" si="54"/>
        <v>0</v>
      </c>
      <c r="BP35" s="16">
        <f t="shared" si="55"/>
        <v>0</v>
      </c>
      <c r="BQ35" s="16">
        <f>-(BP35-BO35)</f>
        <v>0</v>
      </c>
      <c r="BR35" s="17"/>
      <c r="BT35" s="16">
        <v>0</v>
      </c>
    </row>
    <row r="36" spans="1:72" x14ac:dyDescent="0.25">
      <c r="A36" t="s">
        <v>6</v>
      </c>
      <c r="C36" s="3">
        <f>'Year Over Year'!D36</f>
        <v>1</v>
      </c>
      <c r="D36" s="16">
        <f>BT36/12</f>
        <v>0</v>
      </c>
      <c r="E36" s="16">
        <f t="shared" si="38"/>
        <v>1</v>
      </c>
      <c r="F36" s="17"/>
      <c r="G36" s="3">
        <f>'Year Over Year'!H36</f>
        <v>0</v>
      </c>
      <c r="H36" s="16">
        <f>$BT36/12</f>
        <v>0</v>
      </c>
      <c r="I36" s="16">
        <f t="shared" si="39"/>
        <v>0</v>
      </c>
      <c r="K36" s="3">
        <f>'Year Over Year'!L36</f>
        <v>0</v>
      </c>
      <c r="L36" s="16">
        <f>$BT36/12</f>
        <v>0</v>
      </c>
      <c r="M36" s="16">
        <f t="shared" si="40"/>
        <v>0</v>
      </c>
      <c r="O36" s="3">
        <f t="shared" si="4"/>
        <v>1</v>
      </c>
      <c r="P36" s="3">
        <f t="shared" si="5"/>
        <v>0</v>
      </c>
      <c r="Q36" s="16">
        <f t="shared" si="41"/>
        <v>1</v>
      </c>
      <c r="S36" s="3">
        <f>'Year Over Year'!T36</f>
        <v>1</v>
      </c>
      <c r="T36" s="16">
        <f t="shared" si="7"/>
        <v>0</v>
      </c>
      <c r="U36" s="16">
        <f t="shared" si="42"/>
        <v>1</v>
      </c>
      <c r="W36" s="3">
        <f>'Year Over Year'!X36</f>
        <v>1</v>
      </c>
      <c r="X36" s="16">
        <f t="shared" si="9"/>
        <v>0</v>
      </c>
      <c r="Y36" s="16">
        <f t="shared" si="43"/>
        <v>1</v>
      </c>
      <c r="AA36" s="3">
        <f>'Year Over Year'!AB36</f>
        <v>2</v>
      </c>
      <c r="AB36" s="16">
        <f t="shared" si="11"/>
        <v>0</v>
      </c>
      <c r="AC36" s="16">
        <f t="shared" si="44"/>
        <v>2</v>
      </c>
      <c r="AE36" s="3">
        <f t="shared" si="13"/>
        <v>4</v>
      </c>
      <c r="AF36" s="16">
        <f>T36+X36+AB36</f>
        <v>0</v>
      </c>
      <c r="AG36" s="16">
        <f t="shared" si="45"/>
        <v>4</v>
      </c>
      <c r="AI36" s="3">
        <f>'Year Over Year'!AJ36</f>
        <v>0</v>
      </c>
      <c r="AJ36" s="16">
        <f t="shared" si="15"/>
        <v>0</v>
      </c>
      <c r="AK36" s="16">
        <f t="shared" si="46"/>
        <v>0</v>
      </c>
      <c r="AM36" s="3">
        <f>'Year Over Year'!AN36</f>
        <v>0</v>
      </c>
      <c r="AN36" s="16">
        <f t="shared" si="17"/>
        <v>0</v>
      </c>
      <c r="AO36" s="16">
        <f t="shared" si="47"/>
        <v>0</v>
      </c>
      <c r="AQ36" s="3">
        <v>1</v>
      </c>
      <c r="AR36" s="16">
        <f t="shared" si="19"/>
        <v>0</v>
      </c>
      <c r="AS36" s="16">
        <f t="shared" si="48"/>
        <v>1</v>
      </c>
      <c r="AU36" s="3">
        <f t="shared" si="21"/>
        <v>1</v>
      </c>
      <c r="AV36" s="3">
        <f t="shared" si="22"/>
        <v>0</v>
      </c>
      <c r="AW36" s="16">
        <f t="shared" si="49"/>
        <v>1</v>
      </c>
      <c r="AY36" s="3">
        <f>'Year Over Year'!AZ36</f>
        <v>0</v>
      </c>
      <c r="AZ36" s="16">
        <f t="shared" si="24"/>
        <v>0</v>
      </c>
      <c r="BA36" s="16">
        <f t="shared" si="50"/>
        <v>0</v>
      </c>
      <c r="BC36" s="3">
        <f>'Year Over Year'!BD36</f>
        <v>0</v>
      </c>
      <c r="BD36" s="16">
        <f t="shared" si="26"/>
        <v>0</v>
      </c>
      <c r="BE36" s="16">
        <f t="shared" si="51"/>
        <v>0</v>
      </c>
      <c r="BG36" s="3">
        <f>'Year Over Year'!BH36</f>
        <v>0</v>
      </c>
      <c r="BH36" s="16">
        <f t="shared" si="28"/>
        <v>0</v>
      </c>
      <c r="BI36" s="16">
        <f t="shared" si="52"/>
        <v>0</v>
      </c>
      <c r="BK36" s="3">
        <f t="shared" si="30"/>
        <v>0</v>
      </c>
      <c r="BL36" s="3">
        <f t="shared" si="31"/>
        <v>0</v>
      </c>
      <c r="BM36" s="16">
        <f t="shared" si="53"/>
        <v>0</v>
      </c>
      <c r="BO36" s="16">
        <f t="shared" si="54"/>
        <v>6</v>
      </c>
      <c r="BP36" s="16">
        <f t="shared" si="55"/>
        <v>0</v>
      </c>
      <c r="BQ36" s="16">
        <f t="shared" si="33"/>
        <v>6</v>
      </c>
      <c r="BR36" s="17">
        <v>0</v>
      </c>
      <c r="BT36" s="16">
        <v>0</v>
      </c>
    </row>
    <row r="37" spans="1:72" x14ac:dyDescent="0.25">
      <c r="A37" t="s">
        <v>9</v>
      </c>
      <c r="C37" s="4">
        <f>'Year Over Year'!D37</f>
        <v>5</v>
      </c>
      <c r="D37" s="18">
        <f>BT37/12</f>
        <v>0</v>
      </c>
      <c r="E37" s="18">
        <f t="shared" si="38"/>
        <v>5</v>
      </c>
      <c r="F37" s="20"/>
      <c r="G37" s="4">
        <f>'Year Over Year'!H37</f>
        <v>6</v>
      </c>
      <c r="H37" s="18">
        <f>$BT37/12</f>
        <v>0</v>
      </c>
      <c r="I37" s="18">
        <f t="shared" si="39"/>
        <v>6</v>
      </c>
      <c r="K37" s="4">
        <f>'Year Over Year'!L37</f>
        <v>9</v>
      </c>
      <c r="L37" s="18">
        <f>$BT37/12</f>
        <v>0</v>
      </c>
      <c r="M37" s="18">
        <f t="shared" si="40"/>
        <v>9</v>
      </c>
      <c r="O37" s="4">
        <f t="shared" si="4"/>
        <v>20</v>
      </c>
      <c r="P37" s="4">
        <f t="shared" si="5"/>
        <v>0</v>
      </c>
      <c r="Q37" s="18">
        <f t="shared" si="41"/>
        <v>20</v>
      </c>
      <c r="S37" s="4">
        <f>'Year Over Year'!T37</f>
        <v>6</v>
      </c>
      <c r="T37" s="18">
        <f t="shared" si="7"/>
        <v>0</v>
      </c>
      <c r="U37" s="18">
        <f t="shared" si="42"/>
        <v>6</v>
      </c>
      <c r="W37" s="4">
        <f>'Year Over Year'!X37</f>
        <v>13</v>
      </c>
      <c r="X37" s="18">
        <f t="shared" si="9"/>
        <v>0</v>
      </c>
      <c r="Y37" s="18">
        <f t="shared" si="43"/>
        <v>13</v>
      </c>
      <c r="AA37" s="4">
        <f>'Year Over Year'!AB37</f>
        <v>48</v>
      </c>
      <c r="AB37" s="18">
        <f t="shared" si="11"/>
        <v>0</v>
      </c>
      <c r="AC37" s="18">
        <f t="shared" si="44"/>
        <v>48</v>
      </c>
      <c r="AE37" s="4">
        <f t="shared" si="13"/>
        <v>67</v>
      </c>
      <c r="AF37" s="18">
        <f>T37+X37+AB37</f>
        <v>0</v>
      </c>
      <c r="AG37" s="18">
        <f t="shared" si="45"/>
        <v>67</v>
      </c>
      <c r="AI37" s="4">
        <f>'Year Over Year'!AJ37</f>
        <v>11</v>
      </c>
      <c r="AJ37" s="18">
        <f t="shared" si="15"/>
        <v>0</v>
      </c>
      <c r="AK37" s="18">
        <f t="shared" si="46"/>
        <v>11</v>
      </c>
      <c r="AM37" s="4">
        <f>'Year Over Year'!AN37</f>
        <v>9</v>
      </c>
      <c r="AN37" s="18">
        <f t="shared" si="17"/>
        <v>0</v>
      </c>
      <c r="AO37" s="18">
        <f t="shared" si="47"/>
        <v>9</v>
      </c>
      <c r="AQ37" s="4">
        <v>18</v>
      </c>
      <c r="AR37" s="18">
        <f t="shared" si="19"/>
        <v>0</v>
      </c>
      <c r="AS37" s="18">
        <f t="shared" si="48"/>
        <v>18</v>
      </c>
      <c r="AU37" s="4">
        <f t="shared" si="21"/>
        <v>38</v>
      </c>
      <c r="AV37" s="4">
        <f t="shared" si="22"/>
        <v>0</v>
      </c>
      <c r="AW37" s="18">
        <f t="shared" si="49"/>
        <v>38</v>
      </c>
      <c r="AY37" s="4">
        <f>'Year Over Year'!AZ37</f>
        <v>0</v>
      </c>
      <c r="AZ37" s="18">
        <f t="shared" si="24"/>
        <v>0</v>
      </c>
      <c r="BA37" s="18">
        <f t="shared" si="50"/>
        <v>0</v>
      </c>
      <c r="BC37" s="4">
        <f>'Year Over Year'!BD37</f>
        <v>0</v>
      </c>
      <c r="BD37" s="18">
        <f t="shared" si="26"/>
        <v>0</v>
      </c>
      <c r="BE37" s="18">
        <f t="shared" si="51"/>
        <v>0</v>
      </c>
      <c r="BG37" s="4">
        <f>'Year Over Year'!BH37</f>
        <v>0</v>
      </c>
      <c r="BH37" s="18">
        <f t="shared" si="28"/>
        <v>0</v>
      </c>
      <c r="BI37" s="18">
        <f t="shared" si="52"/>
        <v>0</v>
      </c>
      <c r="BK37" s="4">
        <f t="shared" si="30"/>
        <v>0</v>
      </c>
      <c r="BL37" s="4">
        <f t="shared" si="31"/>
        <v>0</v>
      </c>
      <c r="BM37" s="18">
        <f t="shared" si="53"/>
        <v>0</v>
      </c>
      <c r="BO37" s="18">
        <f t="shared" si="54"/>
        <v>125</v>
      </c>
      <c r="BP37" s="18">
        <f t="shared" si="55"/>
        <v>0</v>
      </c>
      <c r="BQ37" s="18">
        <f t="shared" si="33"/>
        <v>125</v>
      </c>
      <c r="BR37" s="19">
        <v>0</v>
      </c>
      <c r="BT37" s="18">
        <v>0</v>
      </c>
    </row>
    <row r="38" spans="1:72" s="1" customFormat="1" x14ac:dyDescent="0.25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782</v>
      </c>
      <c r="L38" s="12">
        <f>SUM(L9:L37)</f>
        <v>363</v>
      </c>
      <c r="M38" s="12">
        <f>SUM(M9:M37)</f>
        <v>419</v>
      </c>
      <c r="O38" s="12">
        <f>SUM(O9:O37)</f>
        <v>2056</v>
      </c>
      <c r="P38" s="12">
        <f>SUM(P9:P37)</f>
        <v>1075</v>
      </c>
      <c r="Q38" s="12">
        <f>SUM(Q9:Q37)</f>
        <v>981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711</v>
      </c>
      <c r="AJ38" s="12">
        <f>SUM(AJ9:AJ37)</f>
        <v>318.83333333333337</v>
      </c>
      <c r="AK38" s="12">
        <f>SUM(AK9:AK37)</f>
        <v>392.16666666666669</v>
      </c>
      <c r="AM38" s="12">
        <f>SUM(AM9:AM37)</f>
        <v>802</v>
      </c>
      <c r="AN38" s="12">
        <f>SUM(AN9:AN37)</f>
        <v>318.83333333333337</v>
      </c>
      <c r="AO38" s="12">
        <f>SUM(AO9:AO37)</f>
        <v>483.16666666666663</v>
      </c>
      <c r="AQ38" s="12">
        <f>SUM(AQ9:AQ37)</f>
        <v>651</v>
      </c>
      <c r="AR38" s="12">
        <f>SUM(AR9:AR37)</f>
        <v>318.83333333333337</v>
      </c>
      <c r="AS38" s="12">
        <f>SUM(AS9:AS37)</f>
        <v>332.16666666666663</v>
      </c>
      <c r="AU38" s="12">
        <f>SUM(AU9:AU37)</f>
        <v>2164</v>
      </c>
      <c r="AV38" s="12">
        <f>SUM(AV9:AV37)</f>
        <v>956.5</v>
      </c>
      <c r="AW38" s="12">
        <f>SUM(AW9:AW37)</f>
        <v>1207.5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6958</v>
      </c>
      <c r="BP38" s="12">
        <f>SUM(BP9:BP37)</f>
        <v>3108.6</v>
      </c>
      <c r="BQ38" s="12">
        <f>SUM(BQ9:BQ37)</f>
        <v>3849.4</v>
      </c>
      <c r="BR38" s="13">
        <f>BQ38/BP38</f>
        <v>1.2383066332110919</v>
      </c>
      <c r="BT38" s="12">
        <f>SUM(BT9:BT37)</f>
        <v>3826</v>
      </c>
    </row>
    <row r="40" spans="1:72" x14ac:dyDescent="0.25">
      <c r="BP40" s="37"/>
    </row>
    <row r="42" spans="1:72" x14ac:dyDescent="0.25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40"/>
      <c r="BP42" s="40"/>
      <c r="BQ42" s="40"/>
      <c r="BR42" s="40"/>
    </row>
    <row r="43" spans="1:72" ht="30.75" customHeight="1" x14ac:dyDescent="0.25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5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5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173</v>
      </c>
      <c r="AJ45" s="23"/>
      <c r="AK45" s="23"/>
      <c r="AM45" s="3">
        <f>'Year Over Year'!AN45</f>
        <v>216</v>
      </c>
      <c r="AN45" s="23"/>
      <c r="AO45" s="23"/>
      <c r="AQ45" s="3">
        <v>49811</v>
      </c>
      <c r="AR45" s="23"/>
      <c r="AS45" s="23"/>
      <c r="AU45" s="3">
        <f>AI45+AM45+AQ45</f>
        <v>50200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C45+G45+K45+S45+W45+AA45+AI45+AM45+AQ45</f>
        <v>79549</v>
      </c>
      <c r="BP45" s="23"/>
      <c r="BQ45" s="23"/>
      <c r="BR45" s="20"/>
      <c r="BS45" s="24"/>
      <c r="BT45" s="23"/>
    </row>
    <row r="46" spans="1:72" ht="12.75" customHeight="1" x14ac:dyDescent="0.25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6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7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8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9">AY46+BC46+BG46</f>
        <v>0</v>
      </c>
      <c r="BL46" s="23"/>
      <c r="BM46" s="23"/>
      <c r="BO46" s="16">
        <f>C46+G46+K46+S46+W46+AA46+AI46+AM46+AQ46</f>
        <v>500</v>
      </c>
      <c r="BP46" s="23"/>
      <c r="BQ46" s="23"/>
      <c r="BR46" s="20"/>
      <c r="BS46" s="24"/>
      <c r="BT46" s="23"/>
    </row>
    <row r="47" spans="1:72" x14ac:dyDescent="0.25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6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7"/>
        <v>5351</v>
      </c>
      <c r="AF47" s="23"/>
      <c r="AG47" s="23"/>
      <c r="AI47" s="3">
        <f>'Year Over Year'!AJ47</f>
        <v>907</v>
      </c>
      <c r="AJ47" s="23"/>
      <c r="AK47" s="23"/>
      <c r="AM47" s="3">
        <f>'Year Over Year'!AN47</f>
        <v>409</v>
      </c>
      <c r="AN47" s="23"/>
      <c r="AO47" s="23"/>
      <c r="AQ47" s="3">
        <v>437.43900000000002</v>
      </c>
      <c r="AR47" s="23"/>
      <c r="AS47" s="23"/>
      <c r="AU47" s="3">
        <f t="shared" si="58"/>
        <v>1753.4390000000001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9"/>
        <v>0</v>
      </c>
      <c r="BL47" s="23"/>
      <c r="BM47" s="23"/>
      <c r="BO47" s="16">
        <f>C47+G47+K47+S47+W47+AA47+AI47+AM47+AQ47</f>
        <v>13976.707</v>
      </c>
      <c r="BP47" s="23"/>
      <c r="BQ47" s="23"/>
      <c r="BR47" s="20"/>
      <c r="BS47" s="24"/>
      <c r="BT47" s="23"/>
    </row>
    <row r="48" spans="1:72" x14ac:dyDescent="0.25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5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5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7"/>
        <v>904</v>
      </c>
      <c r="AF50" s="23"/>
      <c r="AG50" s="23"/>
      <c r="AI50" s="3">
        <f>'Year Over Year'!AJ50</f>
        <v>114</v>
      </c>
      <c r="AJ50" s="23"/>
      <c r="AK50" s="23"/>
      <c r="AM50" s="3">
        <f>'Year Over Year'!AN50</f>
        <v>218</v>
      </c>
      <c r="AN50" s="23"/>
      <c r="AO50" s="23"/>
      <c r="AQ50" s="3">
        <v>2124.817</v>
      </c>
      <c r="AR50" s="23"/>
      <c r="AS50" s="23"/>
      <c r="AU50" s="3">
        <f t="shared" si="58"/>
        <v>2456.817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ref="BO50:BO55" si="60">C50+G50+K50+S50+W50+AA50+AI50+AM50+AQ50</f>
        <v>4847.3590000000004</v>
      </c>
      <c r="BP50" s="23"/>
      <c r="BQ50" s="23"/>
      <c r="BR50" s="20"/>
      <c r="BS50" s="24"/>
      <c r="BT50" s="23"/>
    </row>
    <row r="51" spans="1:72" x14ac:dyDescent="0.25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6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7"/>
        <v>4074</v>
      </c>
      <c r="AF51" s="23"/>
      <c r="AG51" s="23"/>
      <c r="AI51" s="3">
        <f>'Year Over Year'!AJ51</f>
        <v>193</v>
      </c>
      <c r="AJ51" s="23"/>
      <c r="AK51" s="23"/>
      <c r="AM51" s="3">
        <f>'Year Over Year'!AN51</f>
        <v>281</v>
      </c>
      <c r="AN51" s="23"/>
      <c r="AO51" s="23"/>
      <c r="AQ51" s="3">
        <v>348.15499999999997</v>
      </c>
      <c r="AR51" s="23"/>
      <c r="AS51" s="23"/>
      <c r="AU51" s="3">
        <f t="shared" si="58"/>
        <v>822.15499999999997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9604.1760000000013</v>
      </c>
      <c r="BP51" s="23"/>
      <c r="BQ51" s="23"/>
      <c r="BR51" s="20"/>
      <c r="BS51" s="24"/>
      <c r="BT51" s="23"/>
    </row>
    <row r="52" spans="1:72" x14ac:dyDescent="0.25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6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7"/>
        <v>33451</v>
      </c>
      <c r="AF52" s="23"/>
      <c r="AG52" s="23"/>
      <c r="AI52" s="3">
        <f>'Year Over Year'!AJ52</f>
        <v>3070</v>
      </c>
      <c r="AJ52" s="23"/>
      <c r="AK52" s="23"/>
      <c r="AM52" s="3">
        <f>'Year Over Year'!AN52</f>
        <v>4561</v>
      </c>
      <c r="AN52" s="23"/>
      <c r="AO52" s="23"/>
      <c r="AQ52" s="3">
        <f>1384.927-4.5</f>
        <v>1380.4269999999999</v>
      </c>
      <c r="AR52" s="23"/>
      <c r="AS52" s="23"/>
      <c r="AU52" s="3">
        <f t="shared" si="58"/>
        <v>9011.4269999999997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49570.472000000002</v>
      </c>
      <c r="BP52" s="23"/>
      <c r="BQ52" s="23"/>
      <c r="BR52" s="20"/>
      <c r="BS52" s="24"/>
      <c r="BT52" s="23"/>
    </row>
    <row r="53" spans="1:72" x14ac:dyDescent="0.25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6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54</v>
      </c>
      <c r="AF53" s="23"/>
      <c r="AG53" s="23"/>
      <c r="AI53" s="3">
        <f>'Year Over Year'!AJ53</f>
        <v>1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1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55</v>
      </c>
      <c r="BP53" s="23"/>
      <c r="BQ53" s="23"/>
      <c r="BR53" s="20"/>
      <c r="BS53" s="24"/>
      <c r="BT53" s="23"/>
    </row>
    <row r="54" spans="1:72" hidden="1" x14ac:dyDescent="0.25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6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7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8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9"/>
        <v>0</v>
      </c>
      <c r="BL54" s="23"/>
      <c r="BM54" s="23"/>
      <c r="BO54" s="16">
        <f t="shared" si="60"/>
        <v>0</v>
      </c>
      <c r="BP54" s="23"/>
      <c r="BQ54" s="23"/>
      <c r="BR54" s="20"/>
      <c r="BS54" s="24"/>
      <c r="BT54" s="23"/>
    </row>
    <row r="55" spans="1:72" x14ac:dyDescent="0.25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6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7"/>
        <v>10919</v>
      </c>
      <c r="AF55" s="23"/>
      <c r="AG55" s="23"/>
      <c r="AI55" s="3">
        <f>'Year Over Year'!AJ55</f>
        <v>2720</v>
      </c>
      <c r="AJ55" s="23"/>
      <c r="AK55" s="23"/>
      <c r="AM55" s="3">
        <f>'Year Over Year'!AN55</f>
        <v>2444</v>
      </c>
      <c r="AN55" s="23"/>
      <c r="AO55" s="23"/>
      <c r="AQ55" s="3">
        <v>2600.0459999999998</v>
      </c>
      <c r="AR55" s="23"/>
      <c r="AS55" s="23"/>
      <c r="AU55" s="3">
        <f t="shared" si="58"/>
        <v>7764.0460000000003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>
        <f t="shared" si="60"/>
        <v>28192.103999999999</v>
      </c>
      <c r="BP55" s="23"/>
      <c r="BQ55" s="23"/>
      <c r="BR55" s="20"/>
      <c r="BS55" s="24"/>
      <c r="BT55" s="23"/>
    </row>
    <row r="56" spans="1:72" x14ac:dyDescent="0.25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5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5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6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2189</v>
      </c>
      <c r="AF58" s="23"/>
      <c r="AG58" s="23"/>
      <c r="AI58" s="3">
        <f>'Year Over Year'!AJ58</f>
        <v>40</v>
      </c>
      <c r="AJ58" s="23"/>
      <c r="AK58" s="23"/>
      <c r="AM58" s="3">
        <f>'Year Over Year'!AN58</f>
        <v>18030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18070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>C58+G58+K58+S58+W58+AA58+AI58+AM58+AQ58</f>
        <v>20462</v>
      </c>
      <c r="BP58" s="23"/>
      <c r="BQ58" s="23"/>
      <c r="BR58" s="20"/>
      <c r="BS58" s="24"/>
      <c r="BT58" s="23"/>
    </row>
    <row r="59" spans="1:72" x14ac:dyDescent="0.25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6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7"/>
        <v>428</v>
      </c>
      <c r="AF59" s="23"/>
      <c r="AG59" s="23"/>
      <c r="AI59" s="3">
        <f>'Year Over Year'!AJ59</f>
        <v>1643</v>
      </c>
      <c r="AJ59" s="23"/>
      <c r="AK59" s="23"/>
      <c r="AM59" s="3">
        <f>'Year Over Year'!AN59</f>
        <v>0</v>
      </c>
      <c r="AN59" s="23"/>
      <c r="AO59" s="23"/>
      <c r="AQ59" s="3">
        <v>28.888000000000002</v>
      </c>
      <c r="AR59" s="23"/>
      <c r="AS59" s="23"/>
      <c r="AU59" s="3">
        <f t="shared" si="58"/>
        <v>1671.8879999999999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>C59+G59+K59+S59+W59+AA59+AI59+AM59+AQ59</f>
        <v>2462.8879999999999</v>
      </c>
      <c r="BP59" s="23"/>
      <c r="BQ59" s="23"/>
      <c r="BR59" s="20"/>
      <c r="BS59" s="24"/>
      <c r="BT59" s="23"/>
    </row>
    <row r="60" spans="1:72" x14ac:dyDescent="0.25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6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7"/>
        <v>3253</v>
      </c>
      <c r="AF60" s="23"/>
      <c r="AG60" s="23"/>
      <c r="AI60" s="3">
        <f>'Year Over Year'!AJ60</f>
        <v>252</v>
      </c>
      <c r="AJ60" s="23"/>
      <c r="AK60" s="23"/>
      <c r="AM60" s="3">
        <f>'Year Over Year'!AN60</f>
        <v>37</v>
      </c>
      <c r="AN60" s="23"/>
      <c r="AO60" s="23"/>
      <c r="AQ60" s="3">
        <v>10.64</v>
      </c>
      <c r="AR60" s="23"/>
      <c r="AS60" s="23"/>
      <c r="AU60" s="3">
        <f t="shared" si="58"/>
        <v>299.64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9"/>
        <v>0</v>
      </c>
      <c r="BL60" s="23"/>
      <c r="BM60" s="23"/>
      <c r="BO60" s="16">
        <f>C60+G60+K60+S60+W60+AA60+AI60+AM60+AQ60</f>
        <v>5181.6400000000003</v>
      </c>
      <c r="BP60" s="23"/>
      <c r="BQ60" s="23"/>
      <c r="BR60" s="20"/>
      <c r="BS60" s="24"/>
      <c r="BT60" s="23"/>
    </row>
    <row r="61" spans="1:72" x14ac:dyDescent="0.25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6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7"/>
        <v>-225</v>
      </c>
      <c r="AF61" s="23"/>
      <c r="AG61" s="23"/>
      <c r="AI61" s="3">
        <f>'Year Over Year'!AJ61</f>
        <v>206</v>
      </c>
      <c r="AJ61" s="23"/>
      <c r="AK61" s="23"/>
      <c r="AM61" s="3">
        <f>'Year Over Year'!AN61</f>
        <v>115</v>
      </c>
      <c r="AN61" s="23"/>
      <c r="AO61" s="23"/>
      <c r="AQ61" s="3">
        <v>15.5</v>
      </c>
      <c r="AR61" s="23"/>
      <c r="AS61" s="23"/>
      <c r="AU61" s="3">
        <f t="shared" si="58"/>
        <v>336.5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>
        <f>C61+G61+K61+S61+W61+AA61+AI61+AM61+AQ61</f>
        <v>9821.5</v>
      </c>
      <c r="BP61" s="23"/>
      <c r="BQ61" s="23"/>
      <c r="BR61" s="20"/>
      <c r="BS61" s="24"/>
      <c r="BT61" s="23"/>
    </row>
    <row r="62" spans="1:72" x14ac:dyDescent="0.25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5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5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6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5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6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7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8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9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5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6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7"/>
        <v>99715</v>
      </c>
      <c r="AF66" s="23"/>
      <c r="AG66" s="23"/>
      <c r="AI66" s="3">
        <f>'Year Over Year'!AJ66</f>
        <v>6411</v>
      </c>
      <c r="AJ66" s="23"/>
      <c r="AK66" s="23"/>
      <c r="AM66" s="3">
        <f>'Year Over Year'!AN66</f>
        <v>4609</v>
      </c>
      <c r="AN66" s="23"/>
      <c r="AO66" s="23"/>
      <c r="AQ66" s="3">
        <v>4007.9969999999998</v>
      </c>
      <c r="AR66" s="23"/>
      <c r="AS66" s="23"/>
      <c r="AU66" s="3">
        <f t="shared" si="58"/>
        <v>15027.996999999999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>C66+G66+K66+S66+W66+AA66+AI66+AM66+AQ66</f>
        <v>125622.997</v>
      </c>
      <c r="BP66" s="23"/>
      <c r="BQ66" s="23"/>
      <c r="BR66" s="20"/>
      <c r="BS66" s="24"/>
      <c r="BT66" s="23"/>
    </row>
    <row r="67" spans="1:72" x14ac:dyDescent="0.25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5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6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7"/>
        <v>2636</v>
      </c>
      <c r="AF68" s="23"/>
      <c r="AG68" s="23"/>
      <c r="AI68" s="3">
        <f>'Year Over Year'!AJ68</f>
        <v>248</v>
      </c>
      <c r="AJ68" s="23"/>
      <c r="AK68" s="23"/>
      <c r="AM68" s="3">
        <f>'Year Over Year'!AN68</f>
        <v>0</v>
      </c>
      <c r="AN68" s="23"/>
      <c r="AO68" s="23"/>
      <c r="AQ68" s="3">
        <v>-247.87</v>
      </c>
      <c r="AR68" s="23"/>
      <c r="AS68" s="23"/>
      <c r="AU68" s="3">
        <f t="shared" si="58"/>
        <v>0.12999999999999545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ref="BO68:BO73" si="61">C68+G68+K68+S68+W68+AA68+AI68+AM68+AQ68</f>
        <v>5388.8580000000002</v>
      </c>
      <c r="BP68" s="23"/>
      <c r="BQ68" s="23"/>
      <c r="BR68" s="20"/>
      <c r="BS68" s="24"/>
      <c r="BT68" s="23"/>
    </row>
    <row r="69" spans="1:72" x14ac:dyDescent="0.25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6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7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8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9"/>
        <v>0</v>
      </c>
      <c r="BL69" s="23"/>
      <c r="BM69" s="23"/>
      <c r="BO69" s="16">
        <f t="shared" si="61"/>
        <v>5758.63</v>
      </c>
      <c r="BP69" s="23"/>
      <c r="BQ69" s="23"/>
      <c r="BR69" s="20"/>
      <c r="BS69" s="24"/>
      <c r="BT69" s="23"/>
    </row>
    <row r="70" spans="1:72" x14ac:dyDescent="0.25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7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61"/>
        <v>3000</v>
      </c>
      <c r="BP70" s="23"/>
      <c r="BQ70" s="23"/>
      <c r="BR70" s="20"/>
      <c r="BS70" s="24"/>
      <c r="BT70" s="23"/>
    </row>
    <row r="71" spans="1:72" x14ac:dyDescent="0.25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7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61"/>
        <v>0</v>
      </c>
      <c r="BP71" s="23"/>
      <c r="BQ71" s="23"/>
      <c r="BR71" s="20"/>
      <c r="BS71" s="24"/>
      <c r="BT71" s="23"/>
    </row>
    <row r="72" spans="1:72" x14ac:dyDescent="0.25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6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7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v>28.2</v>
      </c>
      <c r="AR72" s="23"/>
      <c r="AS72" s="23"/>
      <c r="AU72" s="3">
        <f t="shared" si="58"/>
        <v>28.2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9"/>
        <v>0</v>
      </c>
      <c r="BL72" s="23"/>
      <c r="BM72" s="23"/>
      <c r="BO72" s="16">
        <f t="shared" si="61"/>
        <v>560.41300000000001</v>
      </c>
      <c r="BP72" s="23"/>
      <c r="BQ72" s="23"/>
      <c r="BR72" s="20"/>
      <c r="BS72" s="24"/>
      <c r="BT72" s="23"/>
    </row>
    <row r="73" spans="1:72" x14ac:dyDescent="0.25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6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7"/>
        <v>2273</v>
      </c>
      <c r="AF73" s="23"/>
      <c r="AG73" s="23"/>
      <c r="AI73" s="4">
        <f>'Year Over Year'!AJ73</f>
        <v>505</v>
      </c>
      <c r="AJ73" s="23"/>
      <c r="AK73" s="23"/>
      <c r="AM73" s="4">
        <f>'Year Over Year'!AN73</f>
        <v>359</v>
      </c>
      <c r="AN73" s="23"/>
      <c r="AO73" s="23"/>
      <c r="AQ73" s="4">
        <v>585.32899999999995</v>
      </c>
      <c r="AR73" s="23"/>
      <c r="AS73" s="23"/>
      <c r="AU73" s="4">
        <f t="shared" si="58"/>
        <v>1449.329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9"/>
        <v>0</v>
      </c>
      <c r="BL73" s="23"/>
      <c r="BM73" s="23"/>
      <c r="BO73" s="18">
        <f t="shared" si="61"/>
        <v>4014.2659999999996</v>
      </c>
      <c r="BP73" s="23"/>
      <c r="BQ73" s="23"/>
      <c r="BR73" s="20"/>
      <c r="BS73" s="24"/>
      <c r="BT73" s="23"/>
    </row>
    <row r="74" spans="1:72" s="1" customFormat="1" x14ac:dyDescent="0.25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16483</v>
      </c>
      <c r="AJ74" s="12"/>
      <c r="AK74" s="12"/>
      <c r="AM74" s="12">
        <f>SUM(AM45:AM73)</f>
        <v>31279</v>
      </c>
      <c r="AN74" s="12"/>
      <c r="AO74" s="12"/>
      <c r="AQ74" s="12">
        <f>SUM(AQ45:AQ73)</f>
        <v>61130.567999999999</v>
      </c>
      <c r="AR74" s="12"/>
      <c r="AS74" s="12"/>
      <c r="AU74" s="12">
        <f>SUM(AU45:AU73)</f>
        <v>108892.56800000001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368568.01</v>
      </c>
      <c r="BP74" s="12"/>
      <c r="BQ74" s="12"/>
      <c r="BR74" s="13"/>
      <c r="BT74" s="12"/>
    </row>
    <row r="77" spans="1:72" x14ac:dyDescent="0.25">
      <c r="A77" t="str">
        <f ca="1">CELL("filename")</f>
        <v>O:\NAES\ORIGIN\2001\EOL &amp; Orig graphs\[MidMkt.Orig2000 vs. 2001a.xls]Year Over Year</v>
      </c>
    </row>
  </sheetData>
  <mergeCells count="2">
    <mergeCell ref="BO6:BR6"/>
    <mergeCell ref="BO42:BR42"/>
  </mergeCells>
  <phoneticPr fontId="0" type="noConversion"/>
  <printOptions horizontalCentered="1"/>
  <pageMargins left="0.27" right="0.2" top="0.65" bottom="0.25" header="0.17" footer="0.19"/>
  <pageSetup scale="3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2001-10-11T18:45:21Z</cp:lastPrinted>
  <dcterms:created xsi:type="dcterms:W3CDTF">2001-02-23T21:22:57Z</dcterms:created>
  <dcterms:modified xsi:type="dcterms:W3CDTF">2023-09-10T11:32:10Z</dcterms:modified>
</cp:coreProperties>
</file>