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7632" yWindow="-12" windowWidth="7680" windowHeight="8352"/>
  </bookViews>
  <sheets>
    <sheet name="Overview" sheetId="22" r:id="rId1"/>
    <sheet name="April Invoice" sheetId="23" r:id="rId2"/>
    <sheet name="May Invoice" sheetId="24" r:id="rId3"/>
    <sheet name="June Invoice" sheetId="25" r:id="rId4"/>
    <sheet name="Invoice - Late Charges" sheetId="26" r:id="rId5"/>
    <sheet name="102400 Rvsd 031700 to 041700" sheetId="36" r:id="rId6"/>
    <sheet name="102400 RVSD 041700 to 051600" sheetId="37" r:id="rId7"/>
    <sheet name="102400 Rvsd51600 to 61600" sheetId="38" r:id="rId8"/>
    <sheet name="Assumed price schedule" sheetId="31" r:id="rId9"/>
  </sheets>
  <externalReferences>
    <externalReference r:id="rId10"/>
    <externalReference r:id="rId11"/>
    <externalReference r:id="rId12"/>
    <externalReference r:id="rId13"/>
    <externalReference r:id="rId14"/>
  </externalReferences>
  <definedNames>
    <definedName name="ADDRESS">#REF!</definedName>
    <definedName name="Amounts" localSheetId="8">'[5]Journal Voucher'!$C$23,'[5]Journal Voucher'!$C$11,'[5]Journal Voucher'!$C$14,'[5]Journal Voucher'!$C$17,'[5]Journal Voucher'!$C$20,'[5]Journal Voucher'!$C$26,'[5]Journal Voucher'!$C$29,'[5]Journal Voucher'!$C$32</definedName>
    <definedName name="Amounts">'[1]Journal Voucher'!$C$23,'[1]Journal Voucher'!$C$11,'[1]Journal Voucher'!$C$14,'[1]Journal Voucher'!$C$17,'[1]Journal Voucher'!$C$20,'[1]Journal Voucher'!$C$26,'[1]Journal Voucher'!$C$29,'[1]Journal Voucher'!$C$32</definedName>
    <definedName name="BANKS">#REF!</definedName>
    <definedName name="CARP">#REF!</definedName>
    <definedName name="Comments" localSheetId="8">#REF!</definedName>
    <definedName name="Comments">#REF!</definedName>
    <definedName name="Customer_Notes">#REF!</definedName>
    <definedName name="DetailAdd">#REF!</definedName>
    <definedName name="DetailClear" localSheetId="8">#REF!</definedName>
    <definedName name="DetailClear">#REF!</definedName>
    <definedName name="Pivot1">#REF!</definedName>
    <definedName name="Pivot2">#REF!</definedName>
    <definedName name="_xlnm.Print_Area" localSheetId="5">'102400 Rvsd 031700 to 041700'!$A$1:$A$44</definedName>
    <definedName name="_xlnm.Print_Area" localSheetId="6">'102400 RVSD 041700 to 051600'!$A$1:$A$44</definedName>
    <definedName name="_xlnm.Print_Area" localSheetId="7">'102400 Rvsd51600 to 61600'!$A$1:$A$44</definedName>
    <definedName name="_xlnm.Print_Area" localSheetId="1">'April Invoice'!$A$1:$Q$30</definedName>
    <definedName name="_xlnm.Print_Area" localSheetId="4">'Invoice - Late Charges'!$A$1:$Q$44</definedName>
    <definedName name="_xlnm.Print_Area" localSheetId="3">'June Invoice'!$A$1:$Q$30</definedName>
    <definedName name="_xlnm.Print_Area" localSheetId="2">'May Invoice'!$A$1:$Q$30</definedName>
    <definedName name="Print_Area_MI">#REF!</definedName>
    <definedName name="_xlnm.Print_Titles" localSheetId="1">'April Invoice'!$1:$21</definedName>
    <definedName name="_xlnm.Print_Titles" localSheetId="4">'Invoice - Late Charges'!$1:$19</definedName>
    <definedName name="_xlnm.Print_Titles" localSheetId="3">'June Invoice'!$1:$21</definedName>
    <definedName name="_xlnm.Print_Titles" localSheetId="2">'May Invoice'!$1:$21</definedName>
    <definedName name="Procedures">#REF!</definedName>
    <definedName name="Pur_Amt" localSheetId="8">#REF!</definedName>
    <definedName name="Pur_Amt">#REF!</definedName>
    <definedName name="Pur_Vol">#REF!</definedName>
    <definedName name="REMIT">#REF!</definedName>
    <definedName name="Sal_Amt" localSheetId="8">#REF!</definedName>
    <definedName name="Sal_Amt">#REF!</definedName>
    <definedName name="Sal_Vol" localSheetId="8">#REF!</definedName>
    <definedName name="Sal_Vol">#REF!</definedName>
    <definedName name="Trn_Amt" localSheetId="8">#REF!</definedName>
    <definedName name="Trn_Amt">#REF!</definedName>
    <definedName name="Trn_Vol" localSheetId="8">#REF!</definedName>
    <definedName name="Trn_Vol">#REF!</definedName>
  </definedNames>
  <calcPr calcId="0" calcMode="manual" fullCalcOnLoad="1" iterate="1" iterateCount="3"/>
</workbook>
</file>

<file path=xl/calcChain.xml><?xml version="1.0" encoding="utf-8"?>
<calcChain xmlns="http://schemas.openxmlformats.org/spreadsheetml/2006/main">
  <c r="A18" i="36" l="1"/>
  <c r="A21" i="36"/>
  <c r="A24" i="36"/>
  <c r="A28" i="36"/>
  <c r="A30" i="36"/>
  <c r="A37" i="36"/>
  <c r="A40" i="36"/>
  <c r="A43" i="36"/>
  <c r="A47" i="36"/>
  <c r="A50" i="36"/>
  <c r="A51" i="36"/>
  <c r="A52" i="36"/>
  <c r="A53" i="36"/>
  <c r="A54" i="36"/>
  <c r="A18" i="37"/>
  <c r="A21" i="37"/>
  <c r="A24" i="37"/>
  <c r="A28" i="37"/>
  <c r="A30" i="37"/>
  <c r="A37" i="37"/>
  <c r="A40" i="37"/>
  <c r="A43" i="37"/>
  <c r="A47" i="37"/>
  <c r="A50" i="37"/>
  <c r="A51" i="37"/>
  <c r="A52" i="37"/>
  <c r="A53" i="37"/>
  <c r="A54" i="37"/>
  <c r="A18" i="38"/>
  <c r="A21" i="38"/>
  <c r="A24" i="38"/>
  <c r="A28" i="38"/>
  <c r="A30" i="38"/>
  <c r="A37" i="38"/>
  <c r="A40" i="38"/>
  <c r="A43" i="38"/>
  <c r="A47" i="38"/>
  <c r="A50" i="38"/>
  <c r="A51" i="38"/>
  <c r="A52" i="38"/>
  <c r="A53" i="38"/>
  <c r="A54" i="38"/>
  <c r="F14" i="23"/>
  <c r="I24" i="23"/>
  <c r="Q29" i="23"/>
  <c r="D4" i="31"/>
  <c r="G4" i="31"/>
  <c r="H4" i="31"/>
  <c r="D5" i="31"/>
  <c r="G5" i="31"/>
  <c r="H5" i="31"/>
  <c r="L5" i="31"/>
  <c r="D6" i="31"/>
  <c r="G6" i="31"/>
  <c r="H6" i="31"/>
  <c r="L6" i="31"/>
  <c r="D7" i="31"/>
  <c r="G7" i="31"/>
  <c r="H7" i="31"/>
  <c r="L7" i="31"/>
  <c r="M7" i="31"/>
  <c r="D8" i="31"/>
  <c r="G8" i="31"/>
  <c r="H8" i="31"/>
  <c r="K8" i="31"/>
  <c r="L8" i="31"/>
  <c r="M8" i="31"/>
  <c r="D9" i="31"/>
  <c r="G9" i="31"/>
  <c r="H9" i="31"/>
  <c r="K9" i="31"/>
  <c r="L9" i="31"/>
  <c r="M9" i="31"/>
  <c r="D10" i="31"/>
  <c r="G10" i="31"/>
  <c r="H10" i="31"/>
  <c r="K10" i="31"/>
  <c r="L10" i="31"/>
  <c r="M10" i="31"/>
  <c r="D11" i="31"/>
  <c r="G11" i="31"/>
  <c r="H11" i="31"/>
  <c r="K11" i="31"/>
  <c r="L11" i="31"/>
  <c r="M11" i="31"/>
  <c r="D12" i="31"/>
  <c r="G12" i="31"/>
  <c r="H12" i="31"/>
  <c r="K12" i="31"/>
  <c r="L12" i="31"/>
  <c r="M12" i="31"/>
  <c r="D13" i="31"/>
  <c r="G13" i="31"/>
  <c r="H13" i="31"/>
  <c r="K13" i="31"/>
  <c r="L13" i="31"/>
  <c r="M13" i="31"/>
  <c r="D14" i="31"/>
  <c r="G14" i="31"/>
  <c r="H14" i="31"/>
  <c r="K14" i="31"/>
  <c r="L14" i="31"/>
  <c r="M14" i="31"/>
  <c r="D15" i="31"/>
  <c r="G15" i="31"/>
  <c r="H15" i="31"/>
  <c r="K15" i="31"/>
  <c r="L15" i="31"/>
  <c r="M15" i="31"/>
  <c r="D16" i="31"/>
  <c r="G16" i="31"/>
  <c r="H16" i="31"/>
  <c r="K16" i="31"/>
  <c r="L16" i="31"/>
  <c r="M16" i="31"/>
  <c r="D17" i="31"/>
  <c r="G17" i="31"/>
  <c r="H17" i="31"/>
  <c r="K17" i="31"/>
  <c r="L17" i="31"/>
  <c r="M17" i="31"/>
  <c r="D18" i="31"/>
  <c r="G18" i="31"/>
  <c r="H18" i="31"/>
  <c r="K18" i="31"/>
  <c r="L18" i="31"/>
  <c r="M18" i="31"/>
  <c r="D19" i="31"/>
  <c r="G19" i="31"/>
  <c r="H19" i="31"/>
  <c r="K19" i="31"/>
  <c r="L19" i="31"/>
  <c r="M19" i="31"/>
  <c r="D20" i="31"/>
  <c r="G20" i="31"/>
  <c r="H20" i="31"/>
  <c r="K20" i="31"/>
  <c r="L20" i="31"/>
  <c r="M20" i="31"/>
  <c r="D21" i="31"/>
  <c r="G21" i="31"/>
  <c r="H21" i="31"/>
  <c r="K21" i="31"/>
  <c r="L21" i="31"/>
  <c r="M21" i="31"/>
  <c r="D22" i="31"/>
  <c r="G22" i="31"/>
  <c r="H22" i="31"/>
  <c r="K22" i="31"/>
  <c r="L22" i="31"/>
  <c r="M22" i="31"/>
  <c r="D23" i="31"/>
  <c r="G23" i="31"/>
  <c r="H23" i="31"/>
  <c r="K23" i="31"/>
  <c r="L23" i="31"/>
  <c r="M23" i="31"/>
  <c r="D24" i="31"/>
  <c r="G24" i="31"/>
  <c r="H24" i="31"/>
  <c r="K24" i="31"/>
  <c r="L24" i="31"/>
  <c r="M24" i="31"/>
  <c r="D25" i="31"/>
  <c r="G25" i="31"/>
  <c r="H25" i="31"/>
  <c r="K25" i="31"/>
  <c r="L25" i="31"/>
  <c r="M25" i="31"/>
  <c r="D26" i="31"/>
  <c r="G26" i="31"/>
  <c r="H26" i="31"/>
  <c r="K26" i="31"/>
  <c r="L26" i="31"/>
  <c r="M26" i="31"/>
  <c r="D27" i="31"/>
  <c r="G27" i="31"/>
  <c r="H27" i="31"/>
  <c r="K27" i="31"/>
  <c r="L27" i="31"/>
  <c r="M27" i="31"/>
  <c r="D28" i="31"/>
  <c r="G28" i="31"/>
  <c r="H28" i="31"/>
  <c r="K28" i="31"/>
  <c r="L28" i="31"/>
  <c r="M28" i="31"/>
  <c r="D29" i="31"/>
  <c r="G29" i="31"/>
  <c r="H29" i="31"/>
  <c r="K29" i="31"/>
  <c r="L29" i="31"/>
  <c r="M29" i="31"/>
  <c r="D30" i="31"/>
  <c r="G30" i="31"/>
  <c r="H30" i="31"/>
  <c r="K30" i="31"/>
  <c r="L30" i="31"/>
  <c r="M30" i="31"/>
  <c r="D31" i="31"/>
  <c r="G31" i="31"/>
  <c r="H31" i="31"/>
  <c r="K31" i="31"/>
  <c r="L31" i="31"/>
  <c r="M31" i="31"/>
  <c r="D32" i="31"/>
  <c r="G32" i="31"/>
  <c r="H32" i="31"/>
  <c r="K32" i="31"/>
  <c r="L32" i="31"/>
  <c r="M32" i="31"/>
  <c r="D33" i="31"/>
  <c r="G33" i="31"/>
  <c r="H33" i="31"/>
  <c r="K33" i="31"/>
  <c r="L33" i="31"/>
  <c r="M33" i="31"/>
  <c r="D34" i="31"/>
  <c r="G34" i="31"/>
  <c r="H34" i="31"/>
  <c r="K34" i="31"/>
  <c r="L34" i="31"/>
  <c r="M34" i="31"/>
  <c r="D35" i="31"/>
  <c r="G35" i="31"/>
  <c r="H35" i="31"/>
  <c r="K35" i="31"/>
  <c r="L35" i="31"/>
  <c r="M35" i="31"/>
  <c r="D36" i="31"/>
  <c r="G36" i="31"/>
  <c r="H36" i="31"/>
  <c r="K36" i="31"/>
  <c r="L36" i="31"/>
  <c r="M36" i="31"/>
  <c r="D37" i="31"/>
  <c r="G37" i="31"/>
  <c r="H37" i="31"/>
  <c r="K37" i="31"/>
  <c r="L37" i="31"/>
  <c r="M37" i="31"/>
  <c r="B39" i="31"/>
  <c r="L39" i="31"/>
  <c r="M39" i="31"/>
  <c r="F21" i="26"/>
  <c r="M21" i="26"/>
  <c r="Q21" i="26"/>
  <c r="F22" i="26"/>
  <c r="M22" i="26"/>
  <c r="Q22" i="26"/>
  <c r="F23" i="26"/>
  <c r="M23" i="26"/>
  <c r="Q23" i="26"/>
  <c r="F24" i="26"/>
  <c r="Q24" i="26"/>
  <c r="F25" i="26"/>
  <c r="M25" i="26"/>
  <c r="Q25" i="26"/>
  <c r="F26" i="26"/>
  <c r="M26" i="26"/>
  <c r="Q26" i="26"/>
  <c r="F27" i="26"/>
  <c r="M27" i="26"/>
  <c r="Q27" i="26"/>
  <c r="I30" i="26"/>
  <c r="Q30" i="26"/>
  <c r="Q39" i="26"/>
  <c r="Q42" i="26"/>
  <c r="I24" i="25"/>
  <c r="Q29" i="25"/>
  <c r="F14" i="24"/>
  <c r="I24" i="24"/>
  <c r="Q29" i="24"/>
  <c r="B17" i="22"/>
</calcChain>
</file>

<file path=xl/comments1.xml><?xml version="1.0" encoding="utf-8"?>
<comments xmlns="http://schemas.openxmlformats.org/spreadsheetml/2006/main">
  <authors>
    <author>Rebecca Grace</author>
  </authors>
  <commentList>
    <comment ref="A6" authorId="0" shapeId="0">
      <text>
        <r>
          <rPr>
            <b/>
            <sz val="8"/>
            <color indexed="81"/>
            <rFont val="Tahoma"/>
          </rPr>
          <t>Rebecca Grace:</t>
        </r>
        <r>
          <rPr>
            <sz val="8"/>
            <color indexed="81"/>
            <rFont val="Tahoma"/>
          </rPr>
          <t xml:space="preserve">
change this to the 19 of the beginning date month (ie billing period is 10/18/99 - 11/17/99, this date would be 10/19/99)</t>
        </r>
      </text>
    </comment>
  </commentList>
</comments>
</file>

<file path=xl/comments2.xml><?xml version="1.0" encoding="utf-8"?>
<comments xmlns="http://schemas.openxmlformats.org/spreadsheetml/2006/main">
  <authors>
    <author>Rebecca Grace</author>
  </authors>
  <commentList>
    <comment ref="A6" authorId="0" shapeId="0">
      <text>
        <r>
          <rPr>
            <b/>
            <sz val="8"/>
            <color indexed="81"/>
            <rFont val="Tahoma"/>
          </rPr>
          <t>Rebecca Grace:</t>
        </r>
        <r>
          <rPr>
            <sz val="8"/>
            <color indexed="81"/>
            <rFont val="Tahoma"/>
          </rPr>
          <t xml:space="preserve">
change this to the 19 of the beginning date month (ie billing period is 10/18/99 - 11/17/99, this date would be 10/19/99)</t>
        </r>
      </text>
    </comment>
  </commentList>
</comments>
</file>

<file path=xl/comments3.xml><?xml version="1.0" encoding="utf-8"?>
<comments xmlns="http://schemas.openxmlformats.org/spreadsheetml/2006/main">
  <authors>
    <author>Rebecca Grace</author>
  </authors>
  <commentList>
    <comment ref="A6" authorId="0" shapeId="0">
      <text>
        <r>
          <rPr>
            <b/>
            <sz val="8"/>
            <color indexed="81"/>
            <rFont val="Tahoma"/>
          </rPr>
          <t>Rebecca Grace:</t>
        </r>
        <r>
          <rPr>
            <sz val="8"/>
            <color indexed="81"/>
            <rFont val="Tahoma"/>
          </rPr>
          <t xml:space="preserve">
change this to the 19 of the beginning date month (ie billing period is 10/18/99 - 11/17/99, this date would be 10/19/99)</t>
        </r>
      </text>
    </comment>
  </commentList>
</comments>
</file>

<file path=xl/sharedStrings.xml><?xml version="1.0" encoding="utf-8"?>
<sst xmlns="http://schemas.openxmlformats.org/spreadsheetml/2006/main" count="325" uniqueCount="127">
  <si>
    <t>19th of the first month you are calculating for</t>
  </si>
  <si>
    <t>=</t>
  </si>
  <si>
    <t>Enter information</t>
  </si>
  <si>
    <t>Calculated value</t>
  </si>
  <si>
    <t>Total bill in $</t>
  </si>
  <si>
    <t>Added facility charge</t>
  </si>
  <si>
    <t>State Energy Tax</t>
  </si>
  <si>
    <t>Energy usage in KWH</t>
  </si>
  <si>
    <t>Energy usage in MWH</t>
  </si>
  <si>
    <t>Weighted Average cost per MW</t>
  </si>
  <si>
    <t>Assumed Price</t>
  </si>
  <si>
    <t>Canfibres' portion of bill</t>
  </si>
  <si>
    <t xml:space="preserve">Check( needs to be zero) </t>
  </si>
  <si>
    <t>Late charges (if any)</t>
  </si>
  <si>
    <t>Enron's per MW cost</t>
  </si>
  <si>
    <t>Enrons portion of bill(Enrons per MW cost * Energy usage in MW)</t>
  </si>
  <si>
    <t>Weighted avg price-(40+(Weighted Average cost-Assumed price)</t>
  </si>
  <si>
    <t>CanFibre's energy usage charge=(Weighted AVG cost minus Enron's per MW cost)</t>
  </si>
  <si>
    <t>Added Facility charge</t>
  </si>
  <si>
    <t>Late Charges If any</t>
  </si>
  <si>
    <t>Total Bill</t>
  </si>
  <si>
    <t>Month</t>
  </si>
  <si>
    <t>Days in month</t>
  </si>
  <si>
    <t>Price per day</t>
  </si>
  <si>
    <t xml:space="preserve">Days frm </t>
  </si>
  <si>
    <t>Days until</t>
  </si>
  <si>
    <t>$days frm</t>
  </si>
  <si>
    <t>$days til</t>
  </si>
  <si>
    <t>period beginning</t>
  </si>
  <si>
    <t>period ending</t>
  </si>
  <si>
    <t>Days in period</t>
  </si>
  <si>
    <t>Month ended price</t>
  </si>
  <si>
    <t>New Assumed price</t>
  </si>
  <si>
    <t>13 days</t>
  </si>
  <si>
    <t>NA</t>
  </si>
  <si>
    <t>rest of March</t>
  </si>
  <si>
    <t>lst of March</t>
  </si>
  <si>
    <t>This starts in OCT</t>
  </si>
  <si>
    <t>This includes last 8 days of March</t>
  </si>
  <si>
    <t xml:space="preserve"> </t>
  </si>
  <si>
    <t>INVOICE</t>
  </si>
  <si>
    <t>CUSTOMER INFORMATION</t>
  </si>
  <si>
    <t>INVOICE INFORMATION</t>
  </si>
  <si>
    <t>CONTRACT INFORMATION</t>
  </si>
  <si>
    <t>PAYMENT INFORMATION</t>
  </si>
  <si>
    <t>CanFibre of Riverside, Inc.</t>
  </si>
  <si>
    <t>INVOICE   #</t>
  </si>
  <si>
    <t>Contract #: 96009482</t>
  </si>
  <si>
    <t>WIRE TRANSFER:</t>
  </si>
  <si>
    <t>Check Payment:</t>
  </si>
  <si>
    <t>1755 Brown Ave</t>
  </si>
  <si>
    <t>INVOICE DATE:</t>
  </si>
  <si>
    <t>Contract Date: 07/10/97</t>
  </si>
  <si>
    <t>Enron Power Marketing Inc</t>
  </si>
  <si>
    <t>Riverside, CA 92509</t>
  </si>
  <si>
    <t>DUE DATE:</t>
  </si>
  <si>
    <t>PO Box 844291</t>
  </si>
  <si>
    <t>TERMS:</t>
  </si>
  <si>
    <t>CONTACT:</t>
  </si>
  <si>
    <t>ABA Routing #111000012</t>
  </si>
  <si>
    <t>Dallas, Tx 75284-4291</t>
  </si>
  <si>
    <t>Account # 375 046 9312</t>
  </si>
  <si>
    <t>Phone:  (909) 682- 8500</t>
  </si>
  <si>
    <t>Fax:      (909) 682- 5004</t>
  </si>
  <si>
    <t>FAX #:  (713)  646-4061</t>
  </si>
  <si>
    <t>DATES</t>
  </si>
  <si>
    <t>HOUR   ENDING</t>
  </si>
  <si>
    <t>ENERGY</t>
  </si>
  <si>
    <t>PRICE</t>
  </si>
  <si>
    <t>TOTAL</t>
  </si>
  <si>
    <t>FACILITY LOCATION</t>
  </si>
  <si>
    <t>START</t>
  </si>
  <si>
    <t>END</t>
  </si>
  <si>
    <t>KWHR</t>
  </si>
  <si>
    <t>CODE</t>
  </si>
  <si>
    <t>DOLLARS</t>
  </si>
  <si>
    <t>Amount Due Enron Power Marketing</t>
  </si>
  <si>
    <t>Price ($/MWh)</t>
  </si>
  <si>
    <t>Enron Power Marketing, Inc.</t>
  </si>
  <si>
    <t>Calculation of Enron / CanFibre Portions of</t>
  </si>
  <si>
    <t>SUMMARY</t>
  </si>
  <si>
    <t>Enron's Portion of bill</t>
  </si>
  <si>
    <t xml:space="preserve">Note:  This spreadsheet was set up to average the contract price over the billing period.  The contract price is by delivery month and the billing period for SO Cal Ed is normally the 18th to the 17th (10/18/99 - 11/17/99).  The period beginnign adn ending in the spreadsheet does not match the billing periof form SO Cal Ed exactly - Donny Vinson said a day or two on either side is OK (12/7/99). </t>
  </si>
  <si>
    <t>(total bill - added facility charge and taxes-any late charges if any/Energy usage)*1000</t>
  </si>
  <si>
    <t>formula from the assumed price schedule worksheet - based on the date in A6</t>
  </si>
  <si>
    <t>see below</t>
  </si>
  <si>
    <t>Southern California Edison Company's Bill</t>
  </si>
  <si>
    <t>on or before five (5) days after receipt of seller's statement, if holiday, the next business day</t>
  </si>
  <si>
    <t>late charges are due on receipt</t>
  </si>
  <si>
    <t>Due Dates</t>
  </si>
  <si>
    <t>Interest Rate (Prime + 2%)</t>
  </si>
  <si>
    <t>Invoice Amount</t>
  </si>
  <si>
    <t>Date Paid</t>
  </si>
  <si>
    <t>Days</t>
  </si>
  <si>
    <t>Overdue</t>
  </si>
  <si>
    <t>Attn.: Stewart Wolff</t>
  </si>
  <si>
    <t>Balance Due</t>
  </si>
  <si>
    <t>Item</t>
  </si>
  <si>
    <t>Total Amount of Interest Due</t>
  </si>
  <si>
    <t>INTEREST INVOICE</t>
  </si>
  <si>
    <t>Total Amount*</t>
  </si>
  <si>
    <t>Kyle Gibson</t>
  </si>
  <si>
    <t>Tele #:  (713)  853-7579</t>
  </si>
  <si>
    <t>Interest calculation assumes total amount outstanding is paid with the current invoice due 6/12/00..</t>
  </si>
  <si>
    <t>00040- 6-07-873-0416</t>
  </si>
  <si>
    <t xml:space="preserve">Bank of America </t>
  </si>
  <si>
    <t>Dallas, Texas</t>
  </si>
  <si>
    <t>NTP000775/2-20-873-0416</t>
  </si>
  <si>
    <t>Can Fibre Billing Summary</t>
  </si>
  <si>
    <t>Power</t>
  </si>
  <si>
    <t>Delivery Term</t>
  </si>
  <si>
    <t>Amount Due EPMI</t>
  </si>
  <si>
    <t>10/18/99 - 11/17/99</t>
  </si>
  <si>
    <t>11/17/99 - 12/17/99</t>
  </si>
  <si>
    <t>12/17/99 - 1/18/00</t>
  </si>
  <si>
    <t>1/18/00 - 2/16/00</t>
  </si>
  <si>
    <t>2/16/00 - 3/17/00</t>
  </si>
  <si>
    <t>3/17/00 - 4/17/00</t>
  </si>
  <si>
    <t>4/17/00 - 5/16/00</t>
  </si>
  <si>
    <t>5/16/00 - 6/15/00</t>
  </si>
  <si>
    <t>Interest as of 10/31/00</t>
  </si>
  <si>
    <t>2-20-873-0416-5-1-00</t>
  </si>
  <si>
    <t>NationsBank of Texas - Dallas</t>
  </si>
  <si>
    <t>for Enron Power Marketing, Inc.</t>
  </si>
  <si>
    <t>Dan Houston</t>
  </si>
  <si>
    <t>Tele #:  (713)  853-1416</t>
  </si>
  <si>
    <t>Exhibit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</si>
</sst>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 numFmtId="172" formatCode="#,##0;\(#,##0\);\-\-"/>
    <numFmt numFmtId="176" formatCode="&quot;$&quot;#,##0.00"/>
    <numFmt numFmtId="184" formatCode="&quot;$&quot;#,##0.0000_);[Red]\(&quot;$&quot;#,##0.0000\)"/>
    <numFmt numFmtId="189" formatCode="General_)"/>
    <numFmt numFmtId="202" formatCode=";;;"/>
  </numFmts>
  <fonts count="19" x14ac:knownFonts="1">
    <font>
      <sz val="10"/>
      <name val="Arial"/>
    </font>
    <font>
      <sz val="10"/>
      <name val="Arial"/>
    </font>
    <font>
      <b/>
      <sz val="11"/>
      <name val="Arial"/>
      <family val="2"/>
    </font>
    <font>
      <b/>
      <sz val="10"/>
      <name val="Arial"/>
      <family val="2"/>
    </font>
    <font>
      <sz val="12"/>
      <name val="Arial"/>
    </font>
    <font>
      <sz val="10"/>
      <name val="Courier"/>
    </font>
    <font>
      <b/>
      <sz val="12"/>
      <name val="Arial"/>
      <family val="2"/>
    </font>
    <font>
      <sz val="12"/>
      <name val="Arial"/>
      <family val="2"/>
    </font>
    <font>
      <b/>
      <sz val="10"/>
      <color indexed="39"/>
      <name val="Arial"/>
      <family val="2"/>
    </font>
    <font>
      <b/>
      <sz val="12"/>
      <color indexed="39"/>
      <name val="Arial"/>
      <family val="2"/>
    </font>
    <font>
      <sz val="10"/>
      <name val="Arial"/>
      <family val="2"/>
    </font>
    <font>
      <b/>
      <sz val="10"/>
      <color indexed="18"/>
      <name val="Arial"/>
      <family val="2"/>
    </font>
    <font>
      <b/>
      <sz val="11"/>
      <color indexed="8"/>
      <name val="Arial"/>
      <family val="2"/>
    </font>
    <font>
      <b/>
      <sz val="11"/>
      <color indexed="10"/>
      <name val="Arial"/>
      <family val="2"/>
    </font>
    <font>
      <sz val="11"/>
      <name val="Arial"/>
      <family val="2"/>
    </font>
    <font>
      <sz val="8"/>
      <color indexed="81"/>
      <name val="Tahoma"/>
    </font>
    <font>
      <b/>
      <sz val="8"/>
      <color indexed="81"/>
      <name val="Tahoma"/>
    </font>
    <font>
      <sz val="11"/>
      <color indexed="8"/>
      <name val="Arial"/>
      <family val="2"/>
    </font>
    <font>
      <sz val="8"/>
      <name val="Arial"/>
      <family val="2"/>
    </font>
  </fonts>
  <fills count="6">
    <fill>
      <patternFill patternType="none"/>
    </fill>
    <fill>
      <patternFill patternType="gray125"/>
    </fill>
    <fill>
      <patternFill patternType="solid">
        <fgColor indexed="40"/>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s>
  <borders count="18">
    <border>
      <left/>
      <right/>
      <top/>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double">
        <color indexed="64"/>
      </bottom>
      <diagonal/>
    </border>
    <border>
      <left/>
      <right/>
      <top style="thin">
        <color indexed="64"/>
      </top>
      <bottom style="double">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4" fillId="0" borderId="0"/>
  </cellStyleXfs>
  <cellXfs count="207">
    <xf numFmtId="0" fontId="0" fillId="0" borderId="0" xfId="0"/>
    <xf numFmtId="0" fontId="2" fillId="0" borderId="0" xfId="0" applyFont="1"/>
    <xf numFmtId="0" fontId="0" fillId="0" borderId="0" xfId="0" applyAlignment="1">
      <alignment horizontal="center"/>
    </xf>
    <xf numFmtId="0" fontId="3" fillId="0" borderId="0" xfId="0" applyFont="1"/>
    <xf numFmtId="14" fontId="0" fillId="0" borderId="0" xfId="0" applyNumberFormat="1"/>
    <xf numFmtId="0" fontId="0" fillId="2" borderId="0" xfId="0" applyFill="1"/>
    <xf numFmtId="15" fontId="0" fillId="2" borderId="2" xfId="0" applyNumberFormat="1" applyFill="1" applyBorder="1"/>
    <xf numFmtId="0" fontId="0" fillId="3" borderId="0" xfId="0" applyFill="1"/>
    <xf numFmtId="44" fontId="1" fillId="2" borderId="0" xfId="3" applyFill="1"/>
    <xf numFmtId="3" fontId="3" fillId="4" borderId="0" xfId="0" applyNumberFormat="1" applyFont="1" applyFill="1"/>
    <xf numFmtId="176" fontId="0" fillId="2" borderId="0" xfId="0" applyNumberFormat="1" applyFill="1"/>
    <xf numFmtId="3" fontId="0" fillId="2" borderId="0" xfId="0" applyNumberFormat="1" applyFill="1"/>
    <xf numFmtId="44" fontId="1" fillId="3" borderId="0" xfId="3" applyFill="1"/>
    <xf numFmtId="2" fontId="0" fillId="3" borderId="2" xfId="0" applyNumberFormat="1" applyFill="1" applyBorder="1"/>
    <xf numFmtId="44" fontId="0" fillId="3" borderId="0" xfId="0" applyNumberFormat="1" applyFill="1"/>
    <xf numFmtId="4" fontId="0" fillId="2" borderId="0" xfId="0" applyNumberFormat="1" applyFill="1"/>
    <xf numFmtId="44" fontId="0" fillId="0" borderId="0" xfId="0" applyNumberFormat="1"/>
    <xf numFmtId="2" fontId="0" fillId="0" borderId="0" xfId="0" applyNumberFormat="1"/>
    <xf numFmtId="44" fontId="0" fillId="4" borderId="0" xfId="0" applyNumberFormat="1" applyFill="1"/>
    <xf numFmtId="176" fontId="0" fillId="3" borderId="0" xfId="0" applyNumberFormat="1" applyFill="1"/>
    <xf numFmtId="0" fontId="0" fillId="5" borderId="0" xfId="0" applyFill="1"/>
    <xf numFmtId="1" fontId="0" fillId="5" borderId="0" xfId="0" applyNumberFormat="1" applyFill="1"/>
    <xf numFmtId="15" fontId="0" fillId="5" borderId="0" xfId="0" applyNumberFormat="1" applyFill="1"/>
    <xf numFmtId="44" fontId="1" fillId="5" borderId="0" xfId="3" applyFill="1"/>
    <xf numFmtId="44" fontId="0" fillId="5" borderId="0" xfId="0" applyNumberFormat="1" applyFill="1"/>
    <xf numFmtId="15" fontId="0" fillId="0" borderId="0" xfId="0" applyNumberFormat="1"/>
    <xf numFmtId="44" fontId="1" fillId="0" borderId="0" xfId="3"/>
    <xf numFmtId="1" fontId="0" fillId="0" borderId="0" xfId="0" applyNumberFormat="1"/>
    <xf numFmtId="0" fontId="0" fillId="0" borderId="0" xfId="0" applyAlignment="1">
      <alignment horizontal="right"/>
    </xf>
    <xf numFmtId="0" fontId="6" fillId="0" borderId="0" xfId="0" applyFont="1"/>
    <xf numFmtId="0" fontId="7" fillId="0" borderId="0" xfId="0" applyFont="1"/>
    <xf numFmtId="0" fontId="7" fillId="0" borderId="0" xfId="0" applyFont="1" applyAlignment="1">
      <alignment horizontal="centerContinuous"/>
    </xf>
    <xf numFmtId="14" fontId="7" fillId="0" borderId="0" xfId="0" applyNumberFormat="1" applyFont="1" applyAlignment="1">
      <alignment horizontal="centerContinuous"/>
    </xf>
    <xf numFmtId="0" fontId="7" fillId="0" borderId="0" xfId="5" applyFont="1" applyAlignment="1">
      <alignment horizontal="centerContinuous"/>
    </xf>
    <xf numFmtId="38" fontId="7" fillId="0" borderId="0" xfId="1" applyNumberFormat="1" applyFont="1" applyAlignment="1">
      <alignment horizontal="centerContinuous"/>
    </xf>
    <xf numFmtId="184" fontId="7" fillId="0" borderId="0" xfId="5" applyNumberFormat="1" applyFont="1" applyAlignment="1">
      <alignment horizontal="centerContinuous"/>
    </xf>
    <xf numFmtId="39" fontId="7" fillId="0" borderId="0" xfId="5" applyNumberFormat="1" applyFont="1"/>
    <xf numFmtId="0" fontId="7" fillId="0" borderId="0" xfId="5" applyFont="1"/>
    <xf numFmtId="0" fontId="6" fillId="0" borderId="0" xfId="5" applyFont="1" applyBorder="1"/>
    <xf numFmtId="0" fontId="7" fillId="0" borderId="0" xfId="5" applyFont="1" applyBorder="1"/>
    <xf numFmtId="14" fontId="7" fillId="0" borderId="0" xfId="5" applyNumberFormat="1" applyFont="1" applyBorder="1"/>
    <xf numFmtId="38" fontId="7" fillId="0" borderId="0" xfId="1" applyNumberFormat="1" applyFont="1" applyAlignment="1">
      <alignment horizontal="left"/>
    </xf>
    <xf numFmtId="184" fontId="7" fillId="0" borderId="0" xfId="5" applyNumberFormat="1" applyFont="1"/>
    <xf numFmtId="0" fontId="6" fillId="0" borderId="0" xfId="5" applyFont="1"/>
    <xf numFmtId="0" fontId="6" fillId="0" borderId="0" xfId="0" applyFont="1" applyAlignment="1">
      <alignment horizontal="centerContinuous"/>
    </xf>
    <xf numFmtId="0" fontId="7" fillId="0" borderId="0" xfId="5" applyFont="1" applyBorder="1" applyAlignment="1">
      <alignment horizontal="centerContinuous"/>
    </xf>
    <xf numFmtId="14" fontId="7" fillId="0" borderId="0" xfId="5" applyNumberFormat="1" applyFont="1" applyBorder="1" applyAlignment="1">
      <alignment horizontal="centerContinuous"/>
    </xf>
    <xf numFmtId="39" fontId="7" fillId="0" borderId="0" xfId="5" applyNumberFormat="1" applyFont="1" applyAlignment="1">
      <alignment horizontal="centerContinuous"/>
    </xf>
    <xf numFmtId="0" fontId="6" fillId="0" borderId="2" xfId="5" applyFont="1" applyBorder="1"/>
    <xf numFmtId="0" fontId="7" fillId="0" borderId="2" xfId="5" applyFont="1" applyBorder="1"/>
    <xf numFmtId="14" fontId="7" fillId="0" borderId="2" xfId="5" applyNumberFormat="1" applyFont="1" applyBorder="1"/>
    <xf numFmtId="38" fontId="7" fillId="0" borderId="2" xfId="1" applyNumberFormat="1" applyFont="1" applyBorder="1" applyAlignment="1">
      <alignment horizontal="left"/>
    </xf>
    <xf numFmtId="184" fontId="7" fillId="0" borderId="2" xfId="5" applyNumberFormat="1" applyFont="1" applyBorder="1"/>
    <xf numFmtId="39" fontId="7" fillId="0" borderId="2" xfId="5" applyNumberFormat="1" applyFont="1" applyBorder="1"/>
    <xf numFmtId="0" fontId="6" fillId="0" borderId="3" xfId="5" applyFont="1" applyBorder="1"/>
    <xf numFmtId="0" fontId="6" fillId="0" borderId="4" xfId="5" applyFont="1" applyFill="1" applyBorder="1" applyAlignment="1">
      <alignment horizontal="centerContinuous"/>
    </xf>
    <xf numFmtId="0" fontId="7" fillId="0" borderId="2" xfId="5" applyFont="1" applyFill="1" applyBorder="1" applyAlignment="1">
      <alignment horizontal="centerContinuous"/>
    </xf>
    <xf numFmtId="14" fontId="6" fillId="0" borderId="4" xfId="5" applyNumberFormat="1" applyFont="1" applyFill="1" applyBorder="1" applyAlignment="1">
      <alignment horizontal="centerContinuous"/>
    </xf>
    <xf numFmtId="14" fontId="6" fillId="0" borderId="3" xfId="5" applyNumberFormat="1" applyFont="1" applyFill="1" applyBorder="1" applyAlignment="1">
      <alignment horizontal="centerContinuous"/>
    </xf>
    <xf numFmtId="0" fontId="6" fillId="0" borderId="3" xfId="5" applyFont="1" applyFill="1" applyBorder="1" applyAlignment="1">
      <alignment horizontal="centerContinuous"/>
    </xf>
    <xf numFmtId="0" fontId="6" fillId="0" borderId="5" xfId="5" applyFont="1" applyFill="1" applyBorder="1" applyAlignment="1">
      <alignment horizontal="centerContinuous"/>
    </xf>
    <xf numFmtId="38" fontId="6" fillId="0" borderId="3" xfId="1" applyNumberFormat="1" applyFont="1" applyFill="1" applyBorder="1" applyAlignment="1">
      <alignment horizontal="centerContinuous"/>
    </xf>
    <xf numFmtId="184" fontId="6" fillId="0" borderId="3" xfId="5" applyNumberFormat="1" applyFont="1" applyFill="1" applyBorder="1" applyAlignment="1">
      <alignment horizontal="centerContinuous"/>
    </xf>
    <xf numFmtId="39" fontId="6" fillId="0" borderId="5" xfId="5" applyNumberFormat="1" applyFont="1" applyFill="1" applyBorder="1" applyAlignment="1">
      <alignment horizontal="centerContinuous"/>
    </xf>
    <xf numFmtId="0" fontId="8" fillId="0" borderId="6" xfId="5" applyFont="1" applyFill="1" applyBorder="1" applyAlignment="1">
      <alignment horizontal="left"/>
    </xf>
    <xf numFmtId="0" fontId="7" fillId="0" borderId="0" xfId="5" applyFont="1" applyFill="1"/>
    <xf numFmtId="14" fontId="2" fillId="0" borderId="6" xfId="5" applyNumberFormat="1" applyFont="1" applyFill="1" applyBorder="1"/>
    <xf numFmtId="0" fontId="8" fillId="0" borderId="0" xfId="5" applyFont="1" applyFill="1" applyBorder="1" applyAlignment="1">
      <alignment horizontal="center"/>
    </xf>
    <xf numFmtId="0" fontId="7" fillId="0" borderId="7" xfId="5" applyFont="1" applyBorder="1"/>
    <xf numFmtId="0" fontId="2" fillId="0" borderId="0" xfId="5" applyFont="1" applyFill="1" applyBorder="1"/>
    <xf numFmtId="0" fontId="9" fillId="0" borderId="0" xfId="1" applyNumberFormat="1" applyFont="1" applyBorder="1" applyAlignment="1">
      <alignment horizontal="left"/>
    </xf>
    <xf numFmtId="0" fontId="6" fillId="0" borderId="8" xfId="5" applyFont="1" applyBorder="1" applyAlignment="1">
      <alignment horizontal="left"/>
    </xf>
    <xf numFmtId="184" fontId="6" fillId="0" borderId="0" xfId="5" applyNumberFormat="1" applyFont="1" applyBorder="1" applyAlignment="1">
      <alignment horizontal="center"/>
    </xf>
    <xf numFmtId="39" fontId="6" fillId="0" borderId="9" xfId="5" applyNumberFormat="1" applyFont="1" applyBorder="1" applyAlignment="1">
      <alignment horizontal="center"/>
    </xf>
    <xf numFmtId="0" fontId="6" fillId="0" borderId="9" xfId="5" applyFont="1" applyBorder="1" applyAlignment="1">
      <alignment horizontal="left"/>
    </xf>
    <xf numFmtId="14" fontId="2" fillId="0" borderId="0" xfId="5" applyNumberFormat="1" applyFont="1" applyBorder="1"/>
    <xf numFmtId="14" fontId="2" fillId="0" borderId="0" xfId="5" applyNumberFormat="1" applyFont="1" applyFill="1" applyBorder="1"/>
    <xf numFmtId="15" fontId="8" fillId="0" borderId="0" xfId="5" applyNumberFormat="1" applyFont="1" applyBorder="1" applyAlignment="1">
      <alignment horizontal="center"/>
    </xf>
    <xf numFmtId="0" fontId="6" fillId="0" borderId="0" xfId="5" applyFont="1" applyFill="1" applyBorder="1"/>
    <xf numFmtId="0" fontId="6" fillId="0" borderId="9" xfId="5" applyFont="1" applyFill="1" applyBorder="1"/>
    <xf numFmtId="0" fontId="3" fillId="0" borderId="0" xfId="5" applyFont="1" applyBorder="1"/>
    <xf numFmtId="15" fontId="8" fillId="0" borderId="0" xfId="1" applyNumberFormat="1" applyFont="1" applyBorder="1" applyAlignment="1">
      <alignment horizontal="left"/>
    </xf>
    <xf numFmtId="17" fontId="3" fillId="0" borderId="0" xfId="5" applyNumberFormat="1" applyFont="1"/>
    <xf numFmtId="0" fontId="3" fillId="0" borderId="6" xfId="5" applyFont="1" applyBorder="1" applyAlignment="1">
      <alignment horizontal="left"/>
    </xf>
    <xf numFmtId="0" fontId="3" fillId="0" borderId="0" xfId="5" applyFont="1" applyBorder="1" applyAlignment="1">
      <alignment horizontal="left"/>
    </xf>
    <xf numFmtId="0" fontId="3" fillId="0" borderId="9" xfId="5" applyFont="1" applyBorder="1" applyAlignment="1">
      <alignment horizontal="center"/>
    </xf>
    <xf numFmtId="0" fontId="7" fillId="0" borderId="9" xfId="5" applyFont="1" applyBorder="1"/>
    <xf numFmtId="14" fontId="2" fillId="0" borderId="6" xfId="5" applyNumberFormat="1" applyFont="1" applyBorder="1"/>
    <xf numFmtId="15" fontId="6" fillId="0" borderId="0" xfId="5" quotePrefix="1" applyNumberFormat="1" applyFont="1" applyBorder="1"/>
    <xf numFmtId="0" fontId="6" fillId="0" borderId="9" xfId="5" applyFont="1" applyBorder="1"/>
    <xf numFmtId="0" fontId="10" fillId="0" borderId="0" xfId="5" applyFont="1"/>
    <xf numFmtId="15" fontId="11" fillId="0" borderId="9" xfId="5" quotePrefix="1" applyNumberFormat="1" applyFont="1" applyBorder="1"/>
    <xf numFmtId="0" fontId="3" fillId="0" borderId="0" xfId="5" applyFont="1"/>
    <xf numFmtId="0" fontId="3" fillId="0" borderId="0" xfId="5" applyFont="1" applyAlignment="1">
      <alignment horizontal="center"/>
    </xf>
    <xf numFmtId="39" fontId="3" fillId="0" borderId="9" xfId="5" applyNumberFormat="1" applyFont="1" applyBorder="1" applyAlignment="1">
      <alignment horizontal="center"/>
    </xf>
    <xf numFmtId="14" fontId="3" fillId="0" borderId="6" xfId="5" applyNumberFormat="1" applyFont="1" applyBorder="1"/>
    <xf numFmtId="38" fontId="3" fillId="0" borderId="0" xfId="1" applyNumberFormat="1" applyFont="1" applyBorder="1" applyAlignment="1">
      <alignment horizontal="left"/>
    </xf>
    <xf numFmtId="0" fontId="3" fillId="0" borderId="9" xfId="5" applyFont="1" applyBorder="1"/>
    <xf numFmtId="184" fontId="3" fillId="0" borderId="0" xfId="5" applyNumberFormat="1" applyFont="1" applyBorder="1" applyAlignment="1">
      <alignment horizontal="center"/>
    </xf>
    <xf numFmtId="0" fontId="7" fillId="0" borderId="6" xfId="5" applyFont="1" applyBorder="1"/>
    <xf numFmtId="0" fontId="8" fillId="0" borderId="0" xfId="5" applyFont="1" applyBorder="1" applyAlignment="1">
      <alignment horizontal="left"/>
    </xf>
    <xf numFmtId="0" fontId="10" fillId="0" borderId="9" xfId="5" applyFont="1" applyBorder="1"/>
    <xf numFmtId="0" fontId="8" fillId="0" borderId="6" xfId="5" applyFont="1" applyFill="1" applyBorder="1"/>
    <xf numFmtId="0" fontId="8" fillId="0" borderId="6" xfId="5" applyFont="1" applyBorder="1" applyAlignment="1">
      <alignment horizontal="left"/>
    </xf>
    <xf numFmtId="0" fontId="8" fillId="0" borderId="10" xfId="5" applyFont="1" applyFill="1" applyBorder="1"/>
    <xf numFmtId="0" fontId="7" fillId="0" borderId="2" xfId="5" applyFont="1" applyFill="1" applyBorder="1"/>
    <xf numFmtId="14" fontId="6" fillId="0" borderId="10" xfId="5" applyNumberFormat="1" applyFont="1" applyBorder="1"/>
    <xf numFmtId="14" fontId="6" fillId="0" borderId="2" xfId="5" applyNumberFormat="1" applyFont="1" applyBorder="1"/>
    <xf numFmtId="0" fontId="9" fillId="0" borderId="2" xfId="5" applyFont="1" applyBorder="1" applyAlignment="1">
      <alignment horizontal="center"/>
    </xf>
    <xf numFmtId="0" fontId="6" fillId="0" borderId="1" xfId="5" applyFont="1" applyBorder="1"/>
    <xf numFmtId="0" fontId="8" fillId="0" borderId="10" xfId="5" applyFont="1" applyBorder="1" applyAlignment="1">
      <alignment horizontal="left"/>
    </xf>
    <xf numFmtId="0" fontId="3" fillId="0" borderId="2" xfId="5" applyFont="1" applyBorder="1"/>
    <xf numFmtId="0" fontId="10" fillId="0" borderId="1" xfId="5" applyFont="1" applyBorder="1"/>
    <xf numFmtId="184" fontId="3" fillId="0" borderId="2" xfId="5" applyNumberFormat="1" applyFont="1" applyBorder="1" applyAlignment="1">
      <alignment horizontal="center"/>
    </xf>
    <xf numFmtId="39" fontId="3" fillId="0" borderId="1" xfId="5" applyNumberFormat="1" applyFont="1" applyBorder="1" applyAlignment="1">
      <alignment horizontal="center"/>
    </xf>
    <xf numFmtId="14" fontId="7" fillId="0" borderId="0" xfId="0" applyNumberFormat="1" applyFont="1"/>
    <xf numFmtId="184" fontId="6" fillId="0" borderId="2" xfId="5" applyNumberFormat="1" applyFont="1" applyBorder="1"/>
    <xf numFmtId="39" fontId="6" fillId="0" borderId="1" xfId="5" applyNumberFormat="1" applyFont="1" applyBorder="1"/>
    <xf numFmtId="0" fontId="6" fillId="0" borderId="8" xfId="0" applyFont="1" applyFill="1" applyBorder="1" applyAlignment="1">
      <alignment horizontal="center"/>
    </xf>
    <xf numFmtId="0" fontId="7" fillId="0" borderId="11" xfId="0" applyFont="1" applyFill="1" applyBorder="1"/>
    <xf numFmtId="0" fontId="6" fillId="0" borderId="7" xfId="0" applyFont="1" applyFill="1" applyBorder="1"/>
    <xf numFmtId="14" fontId="6" fillId="0" borderId="8" xfId="0" applyNumberFormat="1" applyFont="1" applyFill="1" applyBorder="1" applyAlignment="1">
      <alignment horizontal="centerContinuous"/>
    </xf>
    <xf numFmtId="14" fontId="6" fillId="0" borderId="7" xfId="0" applyNumberFormat="1" applyFont="1" applyFill="1" applyBorder="1" applyAlignment="1">
      <alignment horizontal="centerContinuous"/>
    </xf>
    <xf numFmtId="202" fontId="6" fillId="0" borderId="11" xfId="0" applyNumberFormat="1" applyFont="1" applyFill="1" applyBorder="1" applyAlignment="1">
      <alignment horizontal="centerContinuous"/>
    </xf>
    <xf numFmtId="0" fontId="7" fillId="0" borderId="0" xfId="0" applyFont="1" applyFill="1"/>
    <xf numFmtId="38" fontId="6" fillId="0" borderId="8" xfId="1" applyNumberFormat="1" applyFont="1" applyFill="1" applyBorder="1" applyAlignment="1">
      <alignment horizontal="right"/>
    </xf>
    <xf numFmtId="202" fontId="6" fillId="0" borderId="7" xfId="0" applyNumberFormat="1" applyFont="1" applyFill="1" applyBorder="1" applyAlignment="1">
      <alignment horizontal="center"/>
    </xf>
    <xf numFmtId="39" fontId="6" fillId="0" borderId="7" xfId="0" applyNumberFormat="1" applyFont="1" applyFill="1" applyBorder="1" applyAlignment="1">
      <alignment horizontal="centerContinuous"/>
    </xf>
    <xf numFmtId="0" fontId="6" fillId="0" borderId="10" xfId="0" applyFont="1" applyFill="1" applyBorder="1" applyAlignment="1">
      <alignment horizontal="left"/>
    </xf>
    <xf numFmtId="0" fontId="7" fillId="0" borderId="2" xfId="0" applyFont="1" applyFill="1" applyBorder="1" applyAlignment="1">
      <alignment horizontal="centerContinuous"/>
    </xf>
    <xf numFmtId="0" fontId="6" fillId="0" borderId="2" xfId="0" applyFont="1" applyFill="1" applyBorder="1" applyAlignment="1">
      <alignment horizontal="center"/>
    </xf>
    <xf numFmtId="14" fontId="6" fillId="0" borderId="10" xfId="0" applyNumberFormat="1" applyFont="1" applyFill="1" applyBorder="1" applyAlignment="1">
      <alignment horizontal="center"/>
    </xf>
    <xf numFmtId="14" fontId="6" fillId="0" borderId="1" xfId="0" applyNumberFormat="1" applyFont="1" applyFill="1" applyBorder="1" applyAlignment="1">
      <alignment horizontal="center"/>
    </xf>
    <xf numFmtId="202" fontId="6" fillId="0" borderId="2" xfId="0" applyNumberFormat="1" applyFont="1" applyFill="1" applyBorder="1" applyAlignment="1">
      <alignment horizontal="center"/>
    </xf>
    <xf numFmtId="0" fontId="7" fillId="0" borderId="2" xfId="0" applyFont="1" applyFill="1" applyBorder="1"/>
    <xf numFmtId="38" fontId="6" fillId="0" borderId="10" xfId="1" applyNumberFormat="1" applyFont="1" applyFill="1" applyBorder="1" applyAlignment="1">
      <alignment horizontal="right"/>
    </xf>
    <xf numFmtId="0" fontId="6" fillId="0" borderId="2" xfId="0" applyFont="1" applyBorder="1"/>
    <xf numFmtId="202" fontId="6" fillId="0" borderId="1" xfId="0" applyNumberFormat="1" applyFont="1" applyFill="1" applyBorder="1" applyAlignment="1">
      <alignment horizontal="center"/>
    </xf>
    <xf numFmtId="39" fontId="6" fillId="0" borderId="1" xfId="0" applyNumberFormat="1" applyFont="1" applyFill="1" applyBorder="1" applyAlignment="1">
      <alignment horizontal="centerContinuous"/>
    </xf>
    <xf numFmtId="0" fontId="7" fillId="0" borderId="0" xfId="0" applyFont="1" applyAlignment="1">
      <alignment horizontal="center"/>
    </xf>
    <xf numFmtId="15" fontId="7" fillId="0" borderId="0" xfId="0" applyNumberFormat="1" applyFont="1" applyAlignment="1">
      <alignment horizontal="center"/>
    </xf>
    <xf numFmtId="20" fontId="7" fillId="0" borderId="0" xfId="0" applyNumberFormat="1" applyFont="1" applyAlignment="1">
      <alignment horizontal="center"/>
    </xf>
    <xf numFmtId="14" fontId="7" fillId="0" borderId="0" xfId="0" applyNumberFormat="1" applyFont="1" applyAlignment="1">
      <alignment horizontal="center"/>
    </xf>
    <xf numFmtId="8" fontId="7" fillId="0" borderId="0" xfId="2" applyNumberFormat="1" applyFont="1" applyAlignment="1">
      <alignment horizontal="center"/>
    </xf>
    <xf numFmtId="8" fontId="7" fillId="0" borderId="0" xfId="0" applyNumberFormat="1" applyFont="1" applyAlignment="1">
      <alignment horizontal="center"/>
    </xf>
    <xf numFmtId="184" fontId="7" fillId="0" borderId="0" xfId="0" applyNumberFormat="1" applyFont="1"/>
    <xf numFmtId="39" fontId="7" fillId="0" borderId="0" xfId="0" applyNumberFormat="1" applyFont="1"/>
    <xf numFmtId="8" fontId="7" fillId="0" borderId="0" xfId="0" applyNumberFormat="1" applyFont="1"/>
    <xf numFmtId="15" fontId="2" fillId="0" borderId="0" xfId="0" applyNumberFormat="1" applyFont="1"/>
    <xf numFmtId="14" fontId="12" fillId="0" borderId="0" xfId="0" applyNumberFormat="1" applyFont="1"/>
    <xf numFmtId="14" fontId="2" fillId="0" borderId="0" xfId="0" applyNumberFormat="1" applyFont="1" applyAlignment="1">
      <alignment horizontal="center"/>
    </xf>
    <xf numFmtId="8" fontId="2" fillId="0" borderId="0" xfId="2" applyNumberFormat="1" applyFont="1" applyAlignment="1">
      <alignment horizontal="center"/>
    </xf>
    <xf numFmtId="172" fontId="2" fillId="0" borderId="0" xfId="0" applyNumberFormat="1" applyFont="1"/>
    <xf numFmtId="40" fontId="2" fillId="0" borderId="0" xfId="1" applyNumberFormat="1" applyFont="1" applyBorder="1" applyAlignment="1">
      <alignment horizontal="center"/>
    </xf>
    <xf numFmtId="38" fontId="12" fillId="0" borderId="0" xfId="0" applyNumberFormat="1" applyFont="1"/>
    <xf numFmtId="176" fontId="13" fillId="0" borderId="0" xfId="0" applyNumberFormat="1" applyFont="1"/>
    <xf numFmtId="0" fontId="10" fillId="0" borderId="0" xfId="0" applyFont="1"/>
    <xf numFmtId="8" fontId="12" fillId="0" borderId="0" xfId="0" applyNumberFormat="1" applyFont="1"/>
    <xf numFmtId="15" fontId="7" fillId="0" borderId="0" xfId="0" applyNumberFormat="1" applyFont="1"/>
    <xf numFmtId="0" fontId="3" fillId="5" borderId="12" xfId="0" applyFont="1" applyFill="1" applyBorder="1" applyAlignment="1">
      <alignment horizontal="center" wrapText="1"/>
    </xf>
    <xf numFmtId="1" fontId="3" fillId="5" borderId="12" xfId="0" applyNumberFormat="1" applyFont="1" applyFill="1" applyBorder="1" applyAlignment="1">
      <alignment horizontal="center" wrapText="1"/>
    </xf>
    <xf numFmtId="0" fontId="0" fillId="0" borderId="11" xfId="0" applyBorder="1"/>
    <xf numFmtId="0" fontId="0" fillId="0" borderId="13" xfId="0" applyBorder="1"/>
    <xf numFmtId="0" fontId="0" fillId="0" borderId="0" xfId="0" applyBorder="1"/>
    <xf numFmtId="0" fontId="2" fillId="0" borderId="0" xfId="0" applyFont="1" applyBorder="1"/>
    <xf numFmtId="44" fontId="3" fillId="4" borderId="2" xfId="3" applyFont="1" applyFill="1" applyBorder="1"/>
    <xf numFmtId="44" fontId="1" fillId="4" borderId="11" xfId="3" applyFill="1" applyBorder="1"/>
    <xf numFmtId="38" fontId="6" fillId="0" borderId="10" xfId="1" applyNumberFormat="1" applyFont="1" applyFill="1" applyBorder="1" applyAlignment="1">
      <alignment horizontal="left"/>
    </xf>
    <xf numFmtId="14" fontId="17" fillId="0" borderId="0" xfId="0" applyNumberFormat="1" applyFont="1" applyAlignment="1">
      <alignment horizontal="center"/>
    </xf>
    <xf numFmtId="0" fontId="14" fillId="0" borderId="0" xfId="0" applyFont="1" applyAlignment="1">
      <alignment horizontal="center"/>
    </xf>
    <xf numFmtId="15" fontId="14" fillId="0" borderId="0" xfId="0" applyNumberFormat="1" applyFont="1" applyAlignment="1">
      <alignment horizontal="center"/>
    </xf>
    <xf numFmtId="20" fontId="14" fillId="0" borderId="0" xfId="0" applyNumberFormat="1" applyFont="1" applyAlignment="1">
      <alignment horizontal="center"/>
    </xf>
    <xf numFmtId="14" fontId="14" fillId="0" borderId="0" xfId="0" applyNumberFormat="1" applyFont="1" applyAlignment="1">
      <alignment horizontal="center"/>
    </xf>
    <xf numFmtId="8" fontId="14" fillId="0" borderId="0" xfId="2" applyNumberFormat="1" applyFont="1" applyAlignment="1">
      <alignment horizontal="center"/>
    </xf>
    <xf numFmtId="8" fontId="14" fillId="0" borderId="0" xfId="0" applyNumberFormat="1" applyFont="1" applyAlignment="1">
      <alignment horizontal="center"/>
    </xf>
    <xf numFmtId="38" fontId="14" fillId="0" borderId="0" xfId="1" applyNumberFormat="1" applyFont="1" applyAlignment="1">
      <alignment horizontal="left"/>
    </xf>
    <xf numFmtId="0" fontId="14" fillId="0" borderId="0" xfId="0" applyFont="1"/>
    <xf numFmtId="184" fontId="14" fillId="0" borderId="0" xfId="0" applyNumberFormat="1" applyFont="1"/>
    <xf numFmtId="39" fontId="14" fillId="0" borderId="0" xfId="0" applyNumberFormat="1" applyFont="1"/>
    <xf numFmtId="8" fontId="14" fillId="0" borderId="0" xfId="0" applyNumberFormat="1" applyFont="1"/>
    <xf numFmtId="15" fontId="14" fillId="0" borderId="0" xfId="0" applyNumberFormat="1" applyFont="1"/>
    <xf numFmtId="14" fontId="14" fillId="0" borderId="0" xfId="0" applyNumberFormat="1" applyFont="1"/>
    <xf numFmtId="8" fontId="14" fillId="0" borderId="11" xfId="0" applyNumberFormat="1" applyFont="1" applyBorder="1"/>
    <xf numFmtId="0" fontId="6" fillId="0" borderId="11" xfId="0" applyFont="1" applyFill="1" applyBorder="1"/>
    <xf numFmtId="14" fontId="6" fillId="0" borderId="14" xfId="0" applyNumberFormat="1" applyFont="1" applyFill="1" applyBorder="1" applyAlignment="1">
      <alignment horizontal="centerContinuous"/>
    </xf>
    <xf numFmtId="14" fontId="6" fillId="0" borderId="15" xfId="0" applyNumberFormat="1" applyFont="1" applyFill="1" applyBorder="1" applyAlignment="1">
      <alignment horizontal="left"/>
    </xf>
    <xf numFmtId="14" fontId="6" fillId="0" borderId="14" xfId="0" applyNumberFormat="1" applyFont="1" applyFill="1" applyBorder="1" applyAlignment="1">
      <alignment horizontal="center"/>
    </xf>
    <xf numFmtId="14" fontId="6" fillId="0" borderId="15" xfId="0" applyNumberFormat="1" applyFont="1" applyFill="1" applyBorder="1" applyAlignment="1">
      <alignment horizontal="center"/>
    </xf>
    <xf numFmtId="172" fontId="14" fillId="0" borderId="0" xfId="0" applyNumberFormat="1" applyFont="1" applyAlignment="1">
      <alignment horizontal="center"/>
    </xf>
    <xf numFmtId="10" fontId="14" fillId="0" borderId="0" xfId="0" applyNumberFormat="1" applyFont="1"/>
    <xf numFmtId="44" fontId="1" fillId="2" borderId="0" xfId="3" applyFont="1" applyFill="1"/>
    <xf numFmtId="0" fontId="7" fillId="0" borderId="11" xfId="0" applyFont="1" applyBorder="1"/>
    <xf numFmtId="8" fontId="12" fillId="0" borderId="16" xfId="0" applyNumberFormat="1" applyFont="1" applyBorder="1"/>
    <xf numFmtId="0" fontId="6" fillId="0" borderId="10" xfId="0" applyFont="1" applyFill="1" applyBorder="1" applyAlignment="1">
      <alignment horizontal="center"/>
    </xf>
    <xf numFmtId="8" fontId="14" fillId="0" borderId="17" xfId="0" applyNumberFormat="1" applyFont="1" applyBorder="1"/>
    <xf numFmtId="8" fontId="14" fillId="0" borderId="0" xfId="0" applyNumberFormat="1" applyFont="1" applyBorder="1"/>
    <xf numFmtId="0" fontId="18" fillId="0" borderId="0" xfId="0" applyFont="1"/>
    <xf numFmtId="8" fontId="14" fillId="0" borderId="2" xfId="0" applyNumberFormat="1" applyFont="1" applyBorder="1"/>
    <xf numFmtId="44" fontId="1" fillId="0" borderId="0" xfId="4"/>
    <xf numFmtId="44" fontId="3" fillId="0" borderId="0" xfId="4" applyFont="1" applyAlignment="1">
      <alignment horizontal="center" wrapText="1"/>
    </xf>
    <xf numFmtId="44" fontId="1" fillId="0" borderId="0" xfId="4" applyFill="1"/>
    <xf numFmtId="44" fontId="1" fillId="0" borderId="2" xfId="4" applyBorder="1"/>
    <xf numFmtId="0" fontId="8" fillId="0" borderId="0" xfId="5" applyFont="1" applyBorder="1" applyAlignment="1">
      <alignment horizontal="left" vertical="top" wrapText="1" shrinkToFit="1"/>
    </xf>
    <xf numFmtId="0" fontId="10" fillId="0" borderId="0" xfId="0" applyFont="1" applyAlignment="1">
      <alignment horizontal="left" vertical="top" wrapText="1" shrinkToFit="1"/>
    </xf>
    <xf numFmtId="0" fontId="6" fillId="0" borderId="0" xfId="0" applyFont="1" applyAlignment="1">
      <alignment horizontal="center"/>
    </xf>
    <xf numFmtId="0" fontId="0" fillId="0" borderId="0" xfId="0" applyAlignment="1">
      <alignment horizontal="center"/>
    </xf>
    <xf numFmtId="0" fontId="0" fillId="0" borderId="0" xfId="0" applyAlignment="1">
      <alignment horizontal="left" vertical="top" wrapText="1" shrinkToFit="1"/>
    </xf>
  </cellXfs>
  <cellStyles count="6">
    <cellStyle name="Comma_9902 British Columbia Power Exchange" xfId="1"/>
    <cellStyle name="Currency_9902 British Columbia Power Exchange" xfId="2"/>
    <cellStyle name="Currency_CanFibre of Riverside, Inc Checkout" xfId="3"/>
    <cellStyle name="Currency_CF Bills" xfId="4"/>
    <cellStyle name="Normal" xfId="0" builtinId="0"/>
    <cellStyle name="Normal_FPLINV"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xdr:colOff>
          <xdr:row>0</xdr:row>
          <xdr:rowOff>7620</xdr:rowOff>
        </xdr:from>
        <xdr:to>
          <xdr:col>1</xdr:col>
          <xdr:colOff>205740</xdr:colOff>
          <xdr:row>8</xdr:row>
          <xdr:rowOff>190500</xdr:rowOff>
        </xdr:to>
        <xdr:sp macro="" textlink="">
          <xdr:nvSpPr>
            <xdr:cNvPr id="19457" name="Picture 8" hidden="1">
              <a:extLst>
                <a:ext uri="{63B3BB69-23CF-44E3-9099-C40C66FF867C}">
                  <a14:compatExt spid="_x0000_s19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xdr:colOff>
          <xdr:row>0</xdr:row>
          <xdr:rowOff>7620</xdr:rowOff>
        </xdr:from>
        <xdr:to>
          <xdr:col>1</xdr:col>
          <xdr:colOff>205740</xdr:colOff>
          <xdr:row>8</xdr:row>
          <xdr:rowOff>190500</xdr:rowOff>
        </xdr:to>
        <xdr:sp macro="" textlink="">
          <xdr:nvSpPr>
            <xdr:cNvPr id="20481" name="Picture 8" hidden="1">
              <a:extLst>
                <a:ext uri="{63B3BB69-23CF-44E3-9099-C40C66FF867C}">
                  <a14:compatExt spid="_x0000_s20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xdr:colOff>
          <xdr:row>0</xdr:row>
          <xdr:rowOff>7620</xdr:rowOff>
        </xdr:from>
        <xdr:to>
          <xdr:col>1</xdr:col>
          <xdr:colOff>205740</xdr:colOff>
          <xdr:row>8</xdr:row>
          <xdr:rowOff>190500</xdr:rowOff>
        </xdr:to>
        <xdr:sp macro="" textlink="">
          <xdr:nvSpPr>
            <xdr:cNvPr id="21505" name="Picture 8" hidden="1">
              <a:extLst>
                <a:ext uri="{63B3BB69-23CF-44E3-9099-C40C66FF867C}">
                  <a14:compatExt spid="_x0000_s21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xdr:colOff>
          <xdr:row>0</xdr:row>
          <xdr:rowOff>0</xdr:rowOff>
        </xdr:from>
        <xdr:to>
          <xdr:col>1</xdr:col>
          <xdr:colOff>205740</xdr:colOff>
          <xdr:row>8</xdr:row>
          <xdr:rowOff>182880</xdr:rowOff>
        </xdr:to>
        <xdr:sp macro="" textlink="">
          <xdr:nvSpPr>
            <xdr:cNvPr id="22529" name="Picture 8" hidden="1">
              <a:extLst>
                <a:ext uri="{63B3BB69-23CF-44E3-9099-C40C66FF867C}">
                  <a14:compatExt spid="_x0000_s2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ntSvc/Ksettle/Checkouts/9912/Grace,%20Rebecca/British%20Columbia%20Power%20Exchange%20Checkou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lntSvc/Ksettle/Checkouts/200004/Houston,%20Dan/200004%20CanFibre%20of%20Riverside,%20Inc%20Checkou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lntSvc/Ksettle/Checkouts/200005/Gibson,%20Kyle/200005%20CanFibre%20of%20Riverside,%20Inc%20Checkou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lntSvc/Ksettle/Checkouts/200006/Gibson,%20Kyle/200006%20CanFibre%20of%20Riverside,%20Inc%20Checkou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lntSvc/Ksettle/Checkouts/1999/9911/Grace,%20Rebecca/British%20Columbia%20Power%20Exchange%20Checkou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out Summary"/>
      <sheetName val="Subtotal Sheet"/>
      <sheetName val="Summary"/>
      <sheetName val="Detail"/>
      <sheetName val="Net Invoice"/>
      <sheetName val="Canadian Invoice"/>
      <sheetName val="Invoice fax Cover Sheet"/>
      <sheetName val="Journal Voucher"/>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C11">
            <v>-9123.27</v>
          </cell>
        </row>
        <row r="14">
          <cell r="C14">
            <v>9123.27</v>
          </cell>
        </row>
        <row r="17">
          <cell r="C17">
            <v>0</v>
          </cell>
        </row>
        <row r="20">
          <cell r="C20">
            <v>0</v>
          </cell>
        </row>
        <row r="26">
          <cell r="C26">
            <v>0</v>
          </cell>
        </row>
        <row r="32">
          <cell r="C32">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out Summary"/>
      <sheetName val="Subtotal Sheet"/>
      <sheetName val="Summary"/>
      <sheetName val="Flash Detail"/>
      <sheetName val="Billing Summary"/>
      <sheetName val="Invoice - Late Charges"/>
      <sheetName val="Invoice"/>
      <sheetName val="03-17-00 to 04-17-00"/>
      <sheetName val="Detail"/>
      <sheetName val="Assumed price schedule"/>
    </sheetNames>
    <sheetDataSet>
      <sheetData sheetId="0"/>
      <sheetData sheetId="1"/>
      <sheetData sheetId="2" refreshError="1"/>
      <sheetData sheetId="3" refreshError="1"/>
      <sheetData sheetId="4" refreshError="1"/>
      <sheetData sheetId="5" refreshError="1"/>
      <sheetData sheetId="6" refreshError="1"/>
      <sheetData sheetId="7">
        <row r="14">
          <cell r="A14">
            <v>2729616</v>
          </cell>
        </row>
      </sheetData>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out Summary"/>
      <sheetName val="Subtotal Sheet"/>
      <sheetName val="Summary"/>
      <sheetName val="Flash Detail"/>
      <sheetName val="Billing Summary"/>
      <sheetName val="Invoice - Late Charges"/>
      <sheetName val="Invoice"/>
      <sheetName val="04-17-00 to 05-16-00"/>
      <sheetName val="Detail"/>
      <sheetName val="Assumed price schedule"/>
    </sheetNames>
    <sheetDataSet>
      <sheetData sheetId="0"/>
      <sheetData sheetId="1"/>
      <sheetData sheetId="2" refreshError="1"/>
      <sheetData sheetId="3" refreshError="1"/>
      <sheetData sheetId="4" refreshError="1"/>
      <sheetData sheetId="5" refreshError="1"/>
      <sheetData sheetId="6" refreshError="1"/>
      <sheetData sheetId="7">
        <row r="14">
          <cell r="A14">
            <v>4567964</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out Summary"/>
      <sheetName val="Subtotal Sheet"/>
      <sheetName val="Summary"/>
      <sheetName val="Flash Detail"/>
      <sheetName val="Billing Summary"/>
      <sheetName val="Invoice - Late Charges"/>
      <sheetName val="Invoice"/>
      <sheetName val="5-16-00 to 6-16-00"/>
      <sheetName val="Detail"/>
      <sheetName val="Assumed price schedule"/>
    </sheetNames>
    <sheetDataSet>
      <sheetData sheetId="0"/>
      <sheetData sheetId="1"/>
      <sheetData sheetId="2"/>
      <sheetData sheetId="3"/>
      <sheetData sheetId="4"/>
      <sheetData sheetId="5"/>
      <sheetData sheetId="6"/>
      <sheetData sheetId="7">
        <row r="14">
          <cell r="A14">
            <v>5281519</v>
          </cell>
        </row>
      </sheetData>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d-Mth Checkout"/>
      <sheetName val="Checkout Summary"/>
      <sheetName val="Subtotal Sheet"/>
      <sheetName val="Mid Month"/>
      <sheetName val="11-11-99"/>
      <sheetName val="11-8-99"/>
      <sheetName val="Detail"/>
      <sheetName val="Net Invoice"/>
      <sheetName val="Canadian Invoice"/>
      <sheetName val="Invoice fax Cover Sheet"/>
      <sheetName val="Journal Voucher"/>
      <sheetName val="Flash Detail"/>
      <sheetName val="Rate Tables"/>
      <sheetName val="Summary"/>
      <sheetName val="Rate Downlo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1">
          <cell r="C11">
            <v>0</v>
          </cell>
        </row>
        <row r="14">
          <cell r="C14">
            <v>0</v>
          </cell>
        </row>
        <row r="20">
          <cell r="C20">
            <v>0</v>
          </cell>
        </row>
        <row r="26">
          <cell r="C26">
            <v>0</v>
          </cell>
        </row>
        <row r="32">
          <cell r="C32">
            <v>0</v>
          </cell>
        </row>
      </sheetData>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3"/>
  <sheetViews>
    <sheetView tabSelected="1" workbookViewId="0">
      <selection activeCell="A2" sqref="A2"/>
    </sheetView>
  </sheetViews>
  <sheetFormatPr defaultRowHeight="13.2" x14ac:dyDescent="0.25"/>
  <cols>
    <col min="1" max="1" width="19.109375" customWidth="1"/>
    <col min="2" max="2" width="16.33203125" style="198" customWidth="1"/>
  </cols>
  <sheetData>
    <row r="1" spans="1:2" x14ac:dyDescent="0.25">
      <c r="A1" s="3" t="s">
        <v>126</v>
      </c>
    </row>
    <row r="3" spans="1:2" x14ac:dyDescent="0.25">
      <c r="A3" s="3" t="s">
        <v>108</v>
      </c>
    </row>
    <row r="5" spans="1:2" x14ac:dyDescent="0.25">
      <c r="A5" s="3"/>
    </row>
    <row r="6" spans="1:2" x14ac:dyDescent="0.25">
      <c r="A6" s="3" t="s">
        <v>109</v>
      </c>
    </row>
    <row r="7" spans="1:2" ht="26.4" x14ac:dyDescent="0.25">
      <c r="A7" s="3" t="s">
        <v>110</v>
      </c>
      <c r="B7" s="199" t="s">
        <v>111</v>
      </c>
    </row>
    <row r="8" spans="1:2" x14ac:dyDescent="0.25">
      <c r="A8" t="s">
        <v>112</v>
      </c>
      <c r="B8" s="198">
        <v>0</v>
      </c>
    </row>
    <row r="9" spans="1:2" x14ac:dyDescent="0.25">
      <c r="A9" s="4" t="s">
        <v>113</v>
      </c>
      <c r="B9" s="198">
        <v>0</v>
      </c>
    </row>
    <row r="10" spans="1:2" x14ac:dyDescent="0.25">
      <c r="A10" t="s">
        <v>114</v>
      </c>
      <c r="B10" s="198">
        <v>0</v>
      </c>
    </row>
    <row r="11" spans="1:2" x14ac:dyDescent="0.25">
      <c r="A11" t="s">
        <v>115</v>
      </c>
      <c r="B11" s="198">
        <v>0</v>
      </c>
    </row>
    <row r="12" spans="1:2" x14ac:dyDescent="0.25">
      <c r="A12" t="s">
        <v>116</v>
      </c>
      <c r="B12" s="198">
        <v>0</v>
      </c>
    </row>
    <row r="13" spans="1:2" x14ac:dyDescent="0.25">
      <c r="A13" t="s">
        <v>117</v>
      </c>
      <c r="B13" s="198">
        <v>103967.41</v>
      </c>
    </row>
    <row r="14" spans="1:2" x14ac:dyDescent="0.25">
      <c r="A14" t="s">
        <v>118</v>
      </c>
      <c r="B14" s="198">
        <v>174225.25</v>
      </c>
    </row>
    <row r="15" spans="1:2" x14ac:dyDescent="0.25">
      <c r="A15" t="s">
        <v>119</v>
      </c>
      <c r="B15" s="198">
        <v>234171.54</v>
      </c>
    </row>
    <row r="16" spans="1:2" x14ac:dyDescent="0.25">
      <c r="A16" t="s">
        <v>120</v>
      </c>
      <c r="B16" s="201">
        <v>18368.784616437501</v>
      </c>
    </row>
    <row r="17" spans="1:2" x14ac:dyDescent="0.25">
      <c r="B17" s="200">
        <f>SUM(B8:B16)</f>
        <v>530732.98461643758</v>
      </c>
    </row>
    <row r="18" spans="1:2" x14ac:dyDescent="0.25">
      <c r="B18" s="200"/>
    </row>
    <row r="23" spans="1:2" x14ac:dyDescent="0.25">
      <c r="A23" s="3"/>
    </row>
  </sheetData>
  <printOptions gridLines="1"/>
  <pageMargins left="0.75" right="0.75" top="1" bottom="1" header="0.5" footer="0.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
  <dimension ref="A1:Q30"/>
  <sheetViews>
    <sheetView topLeftCell="D7" workbookViewId="0">
      <selection activeCell="Q24" sqref="Q24"/>
    </sheetView>
  </sheetViews>
  <sheetFormatPr defaultColWidth="9.109375" defaultRowHeight="15" x14ac:dyDescent="0.25"/>
  <cols>
    <col min="1" max="1" width="15.6640625" style="30" customWidth="1"/>
    <col min="2" max="2" width="10.6640625" style="30" customWidth="1"/>
    <col min="3" max="3" width="10.6640625" style="158" customWidth="1"/>
    <col min="4" max="4" width="12" style="115" customWidth="1"/>
    <col min="5" max="5" width="12.33203125" style="142" customWidth="1"/>
    <col min="6" max="6" width="12.88671875" style="30" customWidth="1"/>
    <col min="7" max="7" width="7" style="30" customWidth="1"/>
    <col min="8" max="8" width="0.44140625" style="143" customWidth="1"/>
    <col min="9" max="9" width="13.33203125" style="147" customWidth="1"/>
    <col min="10" max="10" width="10.44140625" style="41" customWidth="1"/>
    <col min="11" max="11" width="7.6640625" style="30" customWidth="1"/>
    <col min="12" max="12" width="5.6640625" style="30" customWidth="1"/>
    <col min="13" max="13" width="11.109375" style="145" customWidth="1"/>
    <col min="14" max="14" width="14" style="146" customWidth="1"/>
    <col min="15" max="16" width="4.109375" style="30" customWidth="1"/>
    <col min="17" max="17" width="18.44140625" style="30" customWidth="1"/>
    <col min="18" max="16384" width="9.109375" style="30"/>
  </cols>
  <sheetData>
    <row r="1" spans="1:17" s="37" customFormat="1" ht="24.9" customHeight="1" x14ac:dyDescent="0.3">
      <c r="A1" s="29" t="s">
        <v>39</v>
      </c>
      <c r="B1" s="30"/>
      <c r="C1" s="31"/>
      <c r="D1" s="32"/>
      <c r="E1" s="32"/>
      <c r="F1" s="31"/>
      <c r="G1" s="31"/>
      <c r="H1" s="31"/>
      <c r="I1" s="33"/>
      <c r="J1" s="34"/>
      <c r="K1" s="33"/>
      <c r="L1" s="33"/>
      <c r="M1" s="35"/>
      <c r="N1" s="36"/>
      <c r="P1" s="30"/>
    </row>
    <row r="2" spans="1:17" s="37" customFormat="1" ht="15.6" x14ac:dyDescent="0.3">
      <c r="A2" s="38"/>
      <c r="B2" s="39"/>
      <c r="C2" s="39"/>
      <c r="D2" s="40"/>
      <c r="E2" s="40"/>
      <c r="F2" s="39"/>
      <c r="H2" s="38"/>
      <c r="I2" s="38"/>
      <c r="J2" s="41"/>
      <c r="M2" s="42"/>
      <c r="N2" s="36"/>
      <c r="P2" s="30"/>
    </row>
    <row r="3" spans="1:17" s="37" customFormat="1" ht="15.6" x14ac:dyDescent="0.3">
      <c r="A3" s="38"/>
      <c r="B3" s="39"/>
      <c r="C3" s="39"/>
      <c r="D3" s="40"/>
      <c r="E3" s="40"/>
      <c r="F3" s="39"/>
      <c r="G3" s="43"/>
      <c r="H3" s="38"/>
      <c r="I3" s="38"/>
      <c r="J3" s="41"/>
      <c r="M3" s="42"/>
      <c r="N3" s="36"/>
      <c r="P3" s="30"/>
    </row>
    <row r="4" spans="1:17" s="37" customFormat="1" ht="15" customHeight="1" x14ac:dyDescent="0.3">
      <c r="A4" s="204" t="s">
        <v>40</v>
      </c>
      <c r="B4" s="204"/>
      <c r="C4" s="204"/>
      <c r="D4" s="204"/>
      <c r="E4" s="204"/>
      <c r="F4" s="204"/>
      <c r="G4" s="204"/>
      <c r="H4" s="204"/>
      <c r="I4" s="204"/>
      <c r="J4" s="204"/>
      <c r="K4" s="204"/>
      <c r="L4" s="204"/>
      <c r="M4" s="204"/>
      <c r="N4" s="204"/>
      <c r="O4" s="204"/>
      <c r="P4" s="204"/>
      <c r="Q4" s="204"/>
    </row>
    <row r="5" spans="1:17" s="37" customFormat="1" ht="12" customHeight="1" x14ac:dyDescent="0.3">
      <c r="A5" s="39"/>
      <c r="B5" s="39"/>
      <c r="C5" s="39"/>
      <c r="D5" s="40"/>
      <c r="E5" s="40"/>
      <c r="F5" s="39"/>
      <c r="G5" s="38"/>
      <c r="J5" s="41"/>
      <c r="M5" s="42"/>
      <c r="N5" s="36"/>
      <c r="P5" s="30"/>
    </row>
    <row r="6" spans="1:17" s="37" customFormat="1" ht="8.25" customHeight="1" x14ac:dyDescent="0.25">
      <c r="A6" s="39"/>
      <c r="B6" s="39"/>
      <c r="C6" s="39"/>
      <c r="D6" s="40"/>
      <c r="E6" s="40"/>
      <c r="F6" s="39"/>
      <c r="G6" s="39"/>
      <c r="J6" s="41"/>
      <c r="M6" s="42"/>
      <c r="N6" s="36"/>
      <c r="P6" s="30"/>
    </row>
    <row r="7" spans="1:17" s="37" customFormat="1" ht="8.25" customHeight="1" x14ac:dyDescent="0.25">
      <c r="A7" s="39"/>
      <c r="B7" s="39"/>
      <c r="C7" s="39"/>
      <c r="D7" s="40"/>
      <c r="E7" s="40"/>
      <c r="F7" s="39"/>
      <c r="G7" s="30"/>
      <c r="J7" s="41"/>
      <c r="M7" s="42"/>
      <c r="N7" s="36"/>
      <c r="P7" s="30"/>
    </row>
    <row r="8" spans="1:17" s="37" customFormat="1" ht="8.25" customHeight="1" x14ac:dyDescent="0.25">
      <c r="A8" s="39"/>
      <c r="B8" s="39"/>
      <c r="C8" s="39"/>
      <c r="D8" s="40"/>
      <c r="E8" s="40"/>
      <c r="F8" s="39"/>
      <c r="G8" s="30"/>
      <c r="J8" s="41"/>
      <c r="M8" s="42"/>
      <c r="N8" s="36"/>
      <c r="P8" s="30"/>
    </row>
    <row r="9" spans="1:17" s="37" customFormat="1" ht="15.6" x14ac:dyDescent="0.3">
      <c r="A9" s="48"/>
      <c r="B9" s="48"/>
      <c r="C9" s="49"/>
      <c r="D9" s="50"/>
      <c r="E9" s="50"/>
      <c r="F9" s="49"/>
      <c r="G9" s="38"/>
      <c r="H9" s="48"/>
      <c r="I9" s="48"/>
      <c r="J9" s="51"/>
      <c r="K9" s="49"/>
      <c r="L9" s="49"/>
      <c r="M9" s="52"/>
      <c r="N9" s="53"/>
      <c r="P9" s="30"/>
    </row>
    <row r="10" spans="1:17" s="37" customFormat="1" ht="15.6" x14ac:dyDescent="0.3">
      <c r="A10" s="48"/>
      <c r="B10" s="48"/>
      <c r="C10" s="49"/>
      <c r="D10" s="50"/>
      <c r="E10" s="50"/>
      <c r="F10" s="49"/>
      <c r="G10" s="54"/>
      <c r="H10" s="48"/>
      <c r="I10" s="48"/>
      <c r="J10" s="51"/>
      <c r="K10" s="49"/>
      <c r="L10" s="49"/>
      <c r="M10" s="52"/>
      <c r="N10" s="53"/>
      <c r="O10" s="49"/>
      <c r="P10" s="52"/>
      <c r="Q10" s="53"/>
    </row>
    <row r="11" spans="1:17" s="37" customFormat="1" ht="15.6" x14ac:dyDescent="0.3">
      <c r="A11" s="55" t="s">
        <v>41</v>
      </c>
      <c r="B11" s="56"/>
      <c r="C11" s="56"/>
      <c r="D11" s="57" t="s">
        <v>42</v>
      </c>
      <c r="E11" s="58"/>
      <c r="F11" s="59"/>
      <c r="G11" s="59"/>
      <c r="H11" s="60"/>
      <c r="I11" s="55" t="s">
        <v>43</v>
      </c>
      <c r="J11" s="61"/>
      <c r="K11" s="59"/>
      <c r="L11" s="55" t="s">
        <v>44</v>
      </c>
      <c r="M11" s="62"/>
      <c r="N11" s="63"/>
      <c r="O11" s="55"/>
      <c r="P11" s="62"/>
      <c r="Q11" s="63"/>
    </row>
    <row r="12" spans="1:17" s="37" customFormat="1" ht="15.6" x14ac:dyDescent="0.3">
      <c r="A12" s="64" t="s">
        <v>45</v>
      </c>
      <c r="B12" s="65"/>
      <c r="D12" s="66" t="s">
        <v>46</v>
      </c>
      <c r="F12" s="67" t="s">
        <v>121</v>
      </c>
      <c r="H12" s="68"/>
      <c r="I12" s="69" t="s">
        <v>47</v>
      </c>
      <c r="K12" s="70"/>
      <c r="L12" s="71" t="s">
        <v>48</v>
      </c>
      <c r="M12" s="72"/>
      <c r="N12" s="73"/>
      <c r="O12" s="71" t="s">
        <v>49</v>
      </c>
      <c r="P12" s="72"/>
      <c r="Q12" s="73"/>
    </row>
    <row r="13" spans="1:17" s="37" customFormat="1" ht="15.6" x14ac:dyDescent="0.3">
      <c r="A13" s="64" t="s">
        <v>50</v>
      </c>
      <c r="B13" s="65"/>
      <c r="C13" s="74"/>
      <c r="D13" s="75" t="s">
        <v>51</v>
      </c>
      <c r="E13" s="76"/>
      <c r="F13" s="77">
        <v>36655</v>
      </c>
      <c r="G13" s="78"/>
      <c r="H13" s="79"/>
      <c r="I13" s="80" t="s">
        <v>52</v>
      </c>
      <c r="J13" s="81"/>
      <c r="K13" s="82"/>
      <c r="L13" s="83" t="s">
        <v>122</v>
      </c>
      <c r="M13" s="84"/>
      <c r="N13" s="85"/>
      <c r="O13" s="83" t="s">
        <v>53</v>
      </c>
      <c r="P13" s="84"/>
      <c r="Q13" s="85"/>
    </row>
    <row r="14" spans="1:17" s="37" customFormat="1" ht="14.1" customHeight="1" x14ac:dyDescent="0.3">
      <c r="A14" s="64" t="s">
        <v>54</v>
      </c>
      <c r="B14" s="65"/>
      <c r="C14" s="86"/>
      <c r="D14" s="87" t="s">
        <v>55</v>
      </c>
      <c r="E14" s="75"/>
      <c r="F14" s="77">
        <f>+F13+5+1</f>
        <v>36661</v>
      </c>
      <c r="G14" s="88"/>
      <c r="H14" s="89"/>
      <c r="J14" s="90"/>
      <c r="K14" s="91"/>
      <c r="L14" s="92" t="s">
        <v>123</v>
      </c>
      <c r="M14" s="93"/>
      <c r="N14" s="94"/>
      <c r="O14" s="92" t="s">
        <v>56</v>
      </c>
      <c r="P14" s="93"/>
      <c r="Q14" s="94"/>
    </row>
    <row r="15" spans="1:17" s="37" customFormat="1" ht="13.5" customHeight="1" x14ac:dyDescent="0.3">
      <c r="A15" s="64" t="s">
        <v>95</v>
      </c>
      <c r="B15" s="65"/>
      <c r="D15" s="87" t="s">
        <v>57</v>
      </c>
      <c r="E15" s="202" t="s">
        <v>87</v>
      </c>
      <c r="F15" s="203"/>
      <c r="G15" s="203"/>
      <c r="H15" s="89"/>
      <c r="I15" s="95" t="s">
        <v>58</v>
      </c>
      <c r="J15" s="96"/>
      <c r="K15" s="97"/>
      <c r="L15" s="84" t="s">
        <v>59</v>
      </c>
      <c r="M15" s="98"/>
      <c r="N15" s="94"/>
      <c r="O15" s="84" t="s">
        <v>60</v>
      </c>
      <c r="P15" s="98"/>
      <c r="Q15" s="94"/>
    </row>
    <row r="16" spans="1:17" s="37" customFormat="1" ht="13.5" customHeight="1" x14ac:dyDescent="0.25">
      <c r="A16" s="64"/>
      <c r="B16" s="65"/>
      <c r="D16" s="99"/>
      <c r="E16" s="203"/>
      <c r="F16" s="203"/>
      <c r="G16" s="203"/>
      <c r="H16" s="86"/>
      <c r="I16" s="100" t="s">
        <v>124</v>
      </c>
      <c r="J16" s="90"/>
      <c r="K16" s="101"/>
      <c r="L16" s="84" t="s">
        <v>61</v>
      </c>
      <c r="M16" s="98"/>
      <c r="N16" s="94"/>
      <c r="O16" s="84"/>
      <c r="P16" s="98"/>
      <c r="Q16" s="94"/>
    </row>
    <row r="17" spans="1:17" s="37" customFormat="1" ht="13.5" customHeight="1" x14ac:dyDescent="0.3">
      <c r="A17" s="102" t="s">
        <v>62</v>
      </c>
      <c r="B17" s="78"/>
      <c r="C17" s="39"/>
      <c r="D17" s="87"/>
      <c r="E17" s="203"/>
      <c r="F17" s="203"/>
      <c r="G17" s="203"/>
      <c r="H17" s="39"/>
      <c r="I17" s="103" t="s">
        <v>125</v>
      </c>
      <c r="J17" s="90"/>
      <c r="K17" s="101"/>
      <c r="L17" s="84"/>
      <c r="M17" s="98"/>
      <c r="N17" s="94"/>
      <c r="O17" s="84"/>
      <c r="P17" s="98"/>
      <c r="Q17" s="94"/>
    </row>
    <row r="18" spans="1:17" s="37" customFormat="1" ht="13.5" customHeight="1" x14ac:dyDescent="0.3">
      <c r="A18" s="104" t="s">
        <v>63</v>
      </c>
      <c r="B18" s="105"/>
      <c r="C18" s="49"/>
      <c r="D18" s="106"/>
      <c r="E18" s="107"/>
      <c r="F18" s="108"/>
      <c r="G18" s="48"/>
      <c r="H18" s="109"/>
      <c r="I18" s="110" t="s">
        <v>64</v>
      </c>
      <c r="J18" s="111"/>
      <c r="K18" s="112"/>
      <c r="L18" s="111"/>
      <c r="M18" s="113"/>
      <c r="N18" s="114"/>
      <c r="O18" s="111"/>
      <c r="P18" s="113"/>
      <c r="Q18" s="114"/>
    </row>
    <row r="19" spans="1:17" s="37" customFormat="1" ht="15.6" x14ac:dyDescent="0.3">
      <c r="A19" s="30"/>
      <c r="B19" s="30"/>
      <c r="C19" s="30"/>
      <c r="D19" s="115"/>
      <c r="E19" s="115"/>
      <c r="F19" s="49"/>
      <c r="G19" s="49"/>
      <c r="H19" s="49"/>
      <c r="I19" s="49"/>
      <c r="J19" s="51"/>
      <c r="K19" s="49"/>
      <c r="L19" s="48"/>
      <c r="M19" s="116"/>
      <c r="N19" s="116"/>
      <c r="O19" s="116"/>
      <c r="P19" s="116"/>
      <c r="Q19" s="117"/>
    </row>
    <row r="20" spans="1:17" s="29" customFormat="1" ht="15.6" x14ac:dyDescent="0.3">
      <c r="A20" s="118"/>
      <c r="B20" s="119"/>
      <c r="C20" s="120"/>
      <c r="D20" s="121" t="s">
        <v>65</v>
      </c>
      <c r="E20" s="122"/>
      <c r="F20" s="123" t="s">
        <v>66</v>
      </c>
      <c r="G20" s="123"/>
      <c r="H20" s="124"/>
      <c r="I20" s="125" t="s">
        <v>67</v>
      </c>
      <c r="K20" s="126" t="s">
        <v>68</v>
      </c>
      <c r="Q20" s="127" t="s">
        <v>69</v>
      </c>
    </row>
    <row r="21" spans="1:17" s="29" customFormat="1" ht="15.6" x14ac:dyDescent="0.3">
      <c r="A21" s="128" t="s">
        <v>70</v>
      </c>
      <c r="B21" s="129"/>
      <c r="C21" s="130"/>
      <c r="D21" s="131" t="s">
        <v>71</v>
      </c>
      <c r="E21" s="132" t="s">
        <v>72</v>
      </c>
      <c r="F21" s="133" t="s">
        <v>71</v>
      </c>
      <c r="G21" s="133" t="s">
        <v>72</v>
      </c>
      <c r="H21" s="134"/>
      <c r="I21" s="135" t="s">
        <v>73</v>
      </c>
      <c r="J21" s="136"/>
      <c r="K21" s="137" t="s">
        <v>74</v>
      </c>
      <c r="L21" s="136"/>
      <c r="M21" s="136"/>
      <c r="N21" s="136"/>
      <c r="O21" s="136"/>
      <c r="P21" s="136"/>
      <c r="Q21" s="138" t="s">
        <v>75</v>
      </c>
    </row>
    <row r="22" spans="1:17" x14ac:dyDescent="0.25">
      <c r="A22" s="139"/>
      <c r="B22" s="140"/>
      <c r="C22" s="141"/>
      <c r="D22" s="142"/>
      <c r="F22" s="139"/>
      <c r="G22" s="143"/>
      <c r="H22" s="144"/>
      <c r="I22" s="30"/>
      <c r="Q22" s="147"/>
    </row>
    <row r="23" spans="1:17" x14ac:dyDescent="0.25">
      <c r="A23" s="139"/>
      <c r="B23" s="140"/>
      <c r="C23" s="141"/>
      <c r="D23" s="142"/>
      <c r="F23" s="139"/>
      <c r="G23" s="143"/>
      <c r="H23" s="144"/>
      <c r="I23" s="30"/>
      <c r="Q23" s="147"/>
    </row>
    <row r="24" spans="1:17" s="156" customFormat="1" ht="13.8" x14ac:dyDescent="0.25">
      <c r="A24" s="1"/>
      <c r="B24" s="1"/>
      <c r="C24" s="148"/>
      <c r="D24" s="149">
        <v>36602</v>
      </c>
      <c r="E24" s="150">
        <v>36633</v>
      </c>
      <c r="F24" s="1"/>
      <c r="G24" s="1"/>
      <c r="H24" s="151"/>
      <c r="I24" s="152">
        <f>+'[2]03-17-00 to 04-17-00'!A14</f>
        <v>2729616</v>
      </c>
      <c r="J24" s="153"/>
      <c r="K24" s="1"/>
      <c r="L24" s="154"/>
      <c r="M24" s="155"/>
      <c r="O24" s="1"/>
      <c r="Q24" s="157">
        <v>103967.41</v>
      </c>
    </row>
    <row r="25" spans="1:17" s="156" customFormat="1" ht="13.8" x14ac:dyDescent="0.25">
      <c r="A25" s="1"/>
      <c r="B25" s="1"/>
      <c r="C25" s="148"/>
      <c r="D25" s="149"/>
      <c r="E25" s="150"/>
      <c r="F25" s="1"/>
      <c r="G25" s="1"/>
      <c r="H25" s="151"/>
      <c r="I25" s="152"/>
      <c r="J25" s="153"/>
      <c r="K25" s="1"/>
      <c r="L25" s="154"/>
      <c r="M25" s="155"/>
      <c r="O25" s="1"/>
      <c r="Q25" s="157"/>
    </row>
    <row r="26" spans="1:17" s="156" customFormat="1" ht="13.8" x14ac:dyDescent="0.25">
      <c r="A26" s="1"/>
      <c r="B26" s="1"/>
      <c r="C26" s="148"/>
      <c r="D26" s="149"/>
      <c r="E26" s="150"/>
      <c r="F26" s="1"/>
      <c r="G26" s="1"/>
      <c r="H26" s="151"/>
      <c r="I26" s="152"/>
      <c r="J26" s="153"/>
      <c r="K26" s="1"/>
      <c r="L26" s="154"/>
      <c r="M26" s="155"/>
      <c r="O26" s="1"/>
      <c r="Q26" s="157"/>
    </row>
    <row r="27" spans="1:17" ht="11.25" customHeight="1" x14ac:dyDescent="0.25">
      <c r="D27" s="149"/>
      <c r="E27" s="150"/>
      <c r="I27" s="152"/>
      <c r="Q27" s="157"/>
    </row>
    <row r="28" spans="1:17" x14ac:dyDescent="0.25">
      <c r="A28" s="1"/>
      <c r="Q28" s="191"/>
    </row>
    <row r="29" spans="1:17" ht="15.6" thickBot="1" x14ac:dyDescent="0.3">
      <c r="A29" s="1" t="s">
        <v>76</v>
      </c>
      <c r="Q29" s="192">
        <f>SUM(Q24:Q27)</f>
        <v>103967.41</v>
      </c>
    </row>
    <row r="30" spans="1:17" ht="15.6" thickTop="1" x14ac:dyDescent="0.25"/>
  </sheetData>
  <mergeCells count="2">
    <mergeCell ref="E15:G17"/>
    <mergeCell ref="A4:Q4"/>
  </mergeCells>
  <printOptions horizontalCentered="1"/>
  <pageMargins left="0" right="0" top="0.25" bottom="1" header="0.25" footer="0.5"/>
  <pageSetup scale="75" orientation="landscape" horizontalDpi="4294967292" verticalDpi="300" r:id="rId1"/>
  <headerFooter alignWithMargins="0"/>
  <drawing r:id="rId2"/>
  <legacyDrawing r:id="rId3"/>
  <oleObjects>
    <mc:AlternateContent xmlns:mc="http://schemas.openxmlformats.org/markup-compatibility/2006">
      <mc:Choice Requires="x14">
        <oleObject progId="Word.Document.6" shapeId="19457" r:id="rId4">
          <objectPr defaultSize="0" r:id="rId5">
            <anchor moveWithCells="1">
              <from>
                <xdr:col>0</xdr:col>
                <xdr:colOff>7620</xdr:colOff>
                <xdr:row>0</xdr:row>
                <xdr:rowOff>7620</xdr:rowOff>
              </from>
              <to>
                <xdr:col>1</xdr:col>
                <xdr:colOff>205740</xdr:colOff>
                <xdr:row>8</xdr:row>
                <xdr:rowOff>190500</xdr:rowOff>
              </to>
            </anchor>
          </objectPr>
        </oleObject>
      </mc:Choice>
      <mc:Fallback>
        <oleObject progId="Word.Document.6" shapeId="19457"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1"/>
  <dimension ref="A1:Q30"/>
  <sheetViews>
    <sheetView topLeftCell="N7" workbookViewId="0">
      <selection activeCell="Q24" sqref="Q24"/>
    </sheetView>
  </sheetViews>
  <sheetFormatPr defaultColWidth="9.109375" defaultRowHeight="15" x14ac:dyDescent="0.25"/>
  <cols>
    <col min="1" max="1" width="15.6640625" style="30" customWidth="1"/>
    <col min="2" max="2" width="10.6640625" style="30" customWidth="1"/>
    <col min="3" max="3" width="10.6640625" style="158" customWidth="1"/>
    <col min="4" max="4" width="12" style="115" customWidth="1"/>
    <col min="5" max="5" width="12.33203125" style="142" customWidth="1"/>
    <col min="6" max="6" width="12.88671875" style="30" customWidth="1"/>
    <col min="7" max="7" width="7" style="30" customWidth="1"/>
    <col min="8" max="8" width="0.44140625" style="143" customWidth="1"/>
    <col min="9" max="9" width="13.33203125" style="147" customWidth="1"/>
    <col min="10" max="10" width="10.44140625" style="41" customWidth="1"/>
    <col min="11" max="11" width="7.6640625" style="30" customWidth="1"/>
    <col min="12" max="12" width="5.6640625" style="30" customWidth="1"/>
    <col min="13" max="13" width="11.109375" style="145" customWidth="1"/>
    <col min="14" max="14" width="14" style="146" customWidth="1"/>
    <col min="15" max="16" width="4.109375" style="30" customWidth="1"/>
    <col min="17" max="17" width="18.44140625" style="30" customWidth="1"/>
    <col min="18" max="16384" width="9.109375" style="30"/>
  </cols>
  <sheetData>
    <row r="1" spans="1:17" s="37" customFormat="1" ht="24.9" customHeight="1" x14ac:dyDescent="0.3">
      <c r="A1" s="29" t="s">
        <v>39</v>
      </c>
      <c r="B1" s="30"/>
      <c r="C1" s="31"/>
      <c r="D1" s="32"/>
      <c r="E1" s="32"/>
      <c r="F1" s="31"/>
      <c r="G1" s="31"/>
      <c r="H1" s="31"/>
      <c r="I1" s="33"/>
      <c r="J1" s="34"/>
      <c r="K1" s="33"/>
      <c r="L1" s="33"/>
      <c r="M1" s="35"/>
      <c r="N1" s="36"/>
      <c r="P1" s="30"/>
    </row>
    <row r="2" spans="1:17" s="37" customFormat="1" ht="15.6" x14ac:dyDescent="0.3">
      <c r="A2" s="38"/>
      <c r="B2" s="39"/>
      <c r="C2" s="39"/>
      <c r="D2" s="40"/>
      <c r="E2" s="40"/>
      <c r="F2" s="39"/>
      <c r="H2" s="38"/>
      <c r="I2" s="38"/>
      <c r="J2" s="41"/>
      <c r="M2" s="42"/>
      <c r="N2" s="36"/>
      <c r="P2" s="30"/>
    </row>
    <row r="3" spans="1:17" s="37" customFormat="1" ht="15.6" x14ac:dyDescent="0.3">
      <c r="A3" s="38"/>
      <c r="B3" s="39"/>
      <c r="C3" s="39"/>
      <c r="D3" s="40"/>
      <c r="E3" s="40"/>
      <c r="F3" s="39"/>
      <c r="G3" s="43"/>
      <c r="H3" s="38"/>
      <c r="I3" s="38"/>
      <c r="J3" s="41"/>
      <c r="M3" s="42"/>
      <c r="N3" s="36"/>
      <c r="P3" s="30"/>
    </row>
    <row r="4" spans="1:17" s="37" customFormat="1" ht="15" customHeight="1" x14ac:dyDescent="0.3">
      <c r="A4" s="204" t="s">
        <v>40</v>
      </c>
      <c r="B4" s="204"/>
      <c r="C4" s="204"/>
      <c r="D4" s="204"/>
      <c r="E4" s="204"/>
      <c r="F4" s="204"/>
      <c r="G4" s="204"/>
      <c r="H4" s="204"/>
      <c r="I4" s="204"/>
      <c r="J4" s="204"/>
      <c r="K4" s="204"/>
      <c r="L4" s="204"/>
      <c r="M4" s="204"/>
      <c r="N4" s="204"/>
      <c r="O4" s="204"/>
      <c r="P4" s="204"/>
      <c r="Q4" s="204"/>
    </row>
    <row r="5" spans="1:17" s="37" customFormat="1" ht="12" customHeight="1" x14ac:dyDescent="0.3">
      <c r="A5" s="39"/>
      <c r="B5" s="39"/>
      <c r="C5" s="39"/>
      <c r="D5" s="40"/>
      <c r="E5" s="40"/>
      <c r="F5" s="39"/>
      <c r="G5" s="38"/>
      <c r="J5" s="41"/>
      <c r="M5" s="42"/>
      <c r="N5" s="36"/>
      <c r="P5" s="30"/>
    </row>
    <row r="6" spans="1:17" s="37" customFormat="1" ht="8.25" customHeight="1" x14ac:dyDescent="0.25">
      <c r="A6" s="39"/>
      <c r="B6" s="39"/>
      <c r="C6" s="39"/>
      <c r="D6" s="40"/>
      <c r="E6" s="40"/>
      <c r="F6" s="39"/>
      <c r="G6" s="39"/>
      <c r="J6" s="41"/>
      <c r="M6" s="42"/>
      <c r="N6" s="36"/>
      <c r="P6" s="30"/>
    </row>
    <row r="7" spans="1:17" s="37" customFormat="1" ht="8.25" customHeight="1" x14ac:dyDescent="0.25">
      <c r="A7" s="39"/>
      <c r="B7" s="39"/>
      <c r="C7" s="39"/>
      <c r="D7" s="40"/>
      <c r="E7" s="40"/>
      <c r="F7" s="39"/>
      <c r="G7" s="30"/>
      <c r="J7" s="41"/>
      <c r="M7" s="42"/>
      <c r="N7" s="36"/>
      <c r="P7" s="30"/>
    </row>
    <row r="8" spans="1:17" s="37" customFormat="1" ht="8.25" customHeight="1" x14ac:dyDescent="0.25">
      <c r="A8" s="39"/>
      <c r="B8" s="39"/>
      <c r="C8" s="39"/>
      <c r="D8" s="40"/>
      <c r="E8" s="40"/>
      <c r="F8" s="39"/>
      <c r="G8" s="30"/>
      <c r="J8" s="41"/>
      <c r="M8" s="42"/>
      <c r="N8" s="36"/>
      <c r="P8" s="30"/>
    </row>
    <row r="9" spans="1:17" s="37" customFormat="1" ht="15.6" x14ac:dyDescent="0.3">
      <c r="A9" s="48"/>
      <c r="B9" s="48"/>
      <c r="C9" s="49"/>
      <c r="D9" s="50"/>
      <c r="E9" s="50"/>
      <c r="F9" s="49"/>
      <c r="G9" s="38"/>
      <c r="H9" s="48"/>
      <c r="I9" s="48"/>
      <c r="J9" s="51"/>
      <c r="K9" s="49"/>
      <c r="L9" s="49"/>
      <c r="M9" s="52"/>
      <c r="N9" s="53"/>
      <c r="P9" s="30"/>
    </row>
    <row r="10" spans="1:17" s="37" customFormat="1" ht="15.6" x14ac:dyDescent="0.3">
      <c r="A10" s="48"/>
      <c r="B10" s="48"/>
      <c r="C10" s="49"/>
      <c r="D10" s="50"/>
      <c r="E10" s="50"/>
      <c r="F10" s="49"/>
      <c r="G10" s="54"/>
      <c r="H10" s="48"/>
      <c r="I10" s="48"/>
      <c r="J10" s="51"/>
      <c r="K10" s="49"/>
      <c r="L10" s="49"/>
      <c r="M10" s="52"/>
      <c r="N10" s="53"/>
      <c r="O10" s="49"/>
      <c r="P10" s="52"/>
      <c r="Q10" s="53"/>
    </row>
    <row r="11" spans="1:17" s="37" customFormat="1" ht="15.6" x14ac:dyDescent="0.3">
      <c r="A11" s="55" t="s">
        <v>41</v>
      </c>
      <c r="B11" s="56"/>
      <c r="C11" s="56"/>
      <c r="D11" s="57" t="s">
        <v>42</v>
      </c>
      <c r="E11" s="58"/>
      <c r="F11" s="59"/>
      <c r="G11" s="59"/>
      <c r="H11" s="60"/>
      <c r="I11" s="55" t="s">
        <v>43</v>
      </c>
      <c r="J11" s="61"/>
      <c r="K11" s="59"/>
      <c r="L11" s="55" t="s">
        <v>44</v>
      </c>
      <c r="M11" s="62"/>
      <c r="N11" s="63"/>
      <c r="O11" s="55"/>
      <c r="P11" s="62"/>
      <c r="Q11" s="63"/>
    </row>
    <row r="12" spans="1:17" s="37" customFormat="1" ht="15.6" x14ac:dyDescent="0.3">
      <c r="A12" s="64" t="s">
        <v>45</v>
      </c>
      <c r="B12" s="65"/>
      <c r="D12" s="66" t="s">
        <v>46</v>
      </c>
      <c r="F12" s="67" t="s">
        <v>121</v>
      </c>
      <c r="H12" s="68"/>
      <c r="I12" s="69" t="s">
        <v>47</v>
      </c>
      <c r="K12" s="70"/>
      <c r="L12" s="71" t="s">
        <v>48</v>
      </c>
      <c r="M12" s="72"/>
      <c r="N12" s="73"/>
      <c r="O12" s="71" t="s">
        <v>49</v>
      </c>
      <c r="P12" s="72"/>
      <c r="Q12" s="73"/>
    </row>
    <row r="13" spans="1:17" s="37" customFormat="1" ht="15.6" x14ac:dyDescent="0.3">
      <c r="A13" s="64" t="s">
        <v>50</v>
      </c>
      <c r="B13" s="65"/>
      <c r="C13" s="74"/>
      <c r="D13" s="75" t="s">
        <v>51</v>
      </c>
      <c r="E13" s="76"/>
      <c r="F13" s="77">
        <v>36684</v>
      </c>
      <c r="G13" s="78"/>
      <c r="H13" s="79"/>
      <c r="I13" s="80" t="s">
        <v>52</v>
      </c>
      <c r="J13" s="81"/>
      <c r="K13" s="82"/>
      <c r="L13" s="83" t="s">
        <v>122</v>
      </c>
      <c r="M13" s="84"/>
      <c r="N13" s="85"/>
      <c r="O13" s="83" t="s">
        <v>53</v>
      </c>
      <c r="P13" s="84"/>
      <c r="Q13" s="85"/>
    </row>
    <row r="14" spans="1:17" s="37" customFormat="1" ht="14.1" customHeight="1" x14ac:dyDescent="0.3">
      <c r="A14" s="64" t="s">
        <v>54</v>
      </c>
      <c r="B14" s="65"/>
      <c r="C14" s="86"/>
      <c r="D14" s="87" t="s">
        <v>55</v>
      </c>
      <c r="E14" s="75"/>
      <c r="F14" s="77">
        <f>+F13+5</f>
        <v>36689</v>
      </c>
      <c r="G14" s="88"/>
      <c r="H14" s="89"/>
      <c r="J14" s="90"/>
      <c r="K14" s="91"/>
      <c r="L14" s="92" t="s">
        <v>123</v>
      </c>
      <c r="M14" s="93"/>
      <c r="N14" s="94"/>
      <c r="O14" s="92" t="s">
        <v>56</v>
      </c>
      <c r="P14" s="93"/>
      <c r="Q14" s="94"/>
    </row>
    <row r="15" spans="1:17" s="37" customFormat="1" ht="13.5" customHeight="1" x14ac:dyDescent="0.3">
      <c r="A15" s="64" t="s">
        <v>95</v>
      </c>
      <c r="B15" s="65"/>
      <c r="D15" s="87" t="s">
        <v>57</v>
      </c>
      <c r="E15" s="202" t="s">
        <v>87</v>
      </c>
      <c r="F15" s="203"/>
      <c r="G15" s="203"/>
      <c r="H15" s="89"/>
      <c r="I15" s="95" t="s">
        <v>58</v>
      </c>
      <c r="J15" s="96"/>
      <c r="K15" s="97"/>
      <c r="L15" s="84" t="s">
        <v>59</v>
      </c>
      <c r="M15" s="98"/>
      <c r="N15" s="94"/>
      <c r="O15" s="84" t="s">
        <v>60</v>
      </c>
      <c r="P15" s="98"/>
      <c r="Q15" s="94"/>
    </row>
    <row r="16" spans="1:17" s="37" customFormat="1" ht="13.5" customHeight="1" x14ac:dyDescent="0.25">
      <c r="A16" s="64"/>
      <c r="B16" s="65"/>
      <c r="D16" s="99"/>
      <c r="E16" s="203"/>
      <c r="F16" s="203"/>
      <c r="G16" s="203"/>
      <c r="H16" s="86"/>
      <c r="I16" s="100" t="s">
        <v>101</v>
      </c>
      <c r="J16" s="90"/>
      <c r="K16" s="101"/>
      <c r="L16" s="84" t="s">
        <v>61</v>
      </c>
      <c r="M16" s="98"/>
      <c r="N16" s="94"/>
      <c r="O16" s="84"/>
      <c r="P16" s="98"/>
      <c r="Q16" s="94"/>
    </row>
    <row r="17" spans="1:17" s="37" customFormat="1" ht="13.5" customHeight="1" x14ac:dyDescent="0.3">
      <c r="A17" s="102" t="s">
        <v>62</v>
      </c>
      <c r="B17" s="78"/>
      <c r="C17" s="39"/>
      <c r="D17" s="87"/>
      <c r="E17" s="203"/>
      <c r="F17" s="203"/>
      <c r="G17" s="203"/>
      <c r="H17" s="39"/>
      <c r="I17" s="103" t="s">
        <v>102</v>
      </c>
      <c r="J17" s="90"/>
      <c r="K17" s="101"/>
      <c r="L17" s="84"/>
      <c r="M17" s="98"/>
      <c r="N17" s="94"/>
      <c r="O17" s="84"/>
      <c r="P17" s="98"/>
      <c r="Q17" s="94"/>
    </row>
    <row r="18" spans="1:17" s="37" customFormat="1" ht="13.5" customHeight="1" x14ac:dyDescent="0.3">
      <c r="A18" s="104" t="s">
        <v>63</v>
      </c>
      <c r="B18" s="105"/>
      <c r="C18" s="49"/>
      <c r="D18" s="106"/>
      <c r="E18" s="107"/>
      <c r="F18" s="108"/>
      <c r="G18" s="48"/>
      <c r="H18" s="109"/>
      <c r="I18" s="110" t="s">
        <v>64</v>
      </c>
      <c r="J18" s="111"/>
      <c r="K18" s="112"/>
      <c r="L18" s="111"/>
      <c r="M18" s="113"/>
      <c r="N18" s="114"/>
      <c r="O18" s="111"/>
      <c r="P18" s="113"/>
      <c r="Q18" s="114"/>
    </row>
    <row r="19" spans="1:17" s="37" customFormat="1" ht="15.6" x14ac:dyDescent="0.3">
      <c r="A19" s="30"/>
      <c r="B19" s="30"/>
      <c r="C19" s="30"/>
      <c r="D19" s="115"/>
      <c r="E19" s="115"/>
      <c r="F19" s="49"/>
      <c r="G19" s="49"/>
      <c r="H19" s="49"/>
      <c r="I19" s="49"/>
      <c r="J19" s="51"/>
      <c r="K19" s="49"/>
      <c r="L19" s="48"/>
      <c r="M19" s="116"/>
      <c r="N19" s="116"/>
      <c r="O19" s="116"/>
      <c r="P19" s="116"/>
      <c r="Q19" s="117"/>
    </row>
    <row r="20" spans="1:17" s="29" customFormat="1" ht="15.6" x14ac:dyDescent="0.3">
      <c r="A20" s="118"/>
      <c r="B20" s="119"/>
      <c r="C20" s="120"/>
      <c r="D20" s="121" t="s">
        <v>65</v>
      </c>
      <c r="E20" s="122"/>
      <c r="F20" s="123" t="s">
        <v>66</v>
      </c>
      <c r="G20" s="123"/>
      <c r="H20" s="124"/>
      <c r="I20" s="125" t="s">
        <v>67</v>
      </c>
      <c r="K20" s="126" t="s">
        <v>68</v>
      </c>
      <c r="Q20" s="127" t="s">
        <v>69</v>
      </c>
    </row>
    <row r="21" spans="1:17" s="29" customFormat="1" ht="15.6" x14ac:dyDescent="0.3">
      <c r="A21" s="128" t="s">
        <v>70</v>
      </c>
      <c r="B21" s="129"/>
      <c r="C21" s="130"/>
      <c r="D21" s="131" t="s">
        <v>71</v>
      </c>
      <c r="E21" s="132" t="s">
        <v>72</v>
      </c>
      <c r="F21" s="133" t="s">
        <v>71</v>
      </c>
      <c r="G21" s="133" t="s">
        <v>72</v>
      </c>
      <c r="H21" s="134"/>
      <c r="I21" s="135" t="s">
        <v>73</v>
      </c>
      <c r="J21" s="136"/>
      <c r="K21" s="137" t="s">
        <v>74</v>
      </c>
      <c r="L21" s="136"/>
      <c r="M21" s="136"/>
      <c r="N21" s="136"/>
      <c r="O21" s="136"/>
      <c r="P21" s="136"/>
      <c r="Q21" s="138" t="s">
        <v>75</v>
      </c>
    </row>
    <row r="22" spans="1:17" x14ac:dyDescent="0.25">
      <c r="A22" s="139"/>
      <c r="B22" s="140"/>
      <c r="C22" s="141"/>
      <c r="D22" s="142"/>
      <c r="F22" s="139"/>
      <c r="G22" s="143"/>
      <c r="H22" s="144"/>
      <c r="I22" s="30"/>
      <c r="Q22" s="147"/>
    </row>
    <row r="23" spans="1:17" x14ac:dyDescent="0.25">
      <c r="A23" s="139"/>
      <c r="B23" s="140"/>
      <c r="C23" s="141"/>
      <c r="D23" s="142"/>
      <c r="F23" s="139"/>
      <c r="G23" s="143"/>
      <c r="H23" s="144"/>
      <c r="I23" s="30"/>
      <c r="Q23" s="147"/>
    </row>
    <row r="24" spans="1:17" s="156" customFormat="1" ht="13.8" x14ac:dyDescent="0.25">
      <c r="A24" s="1"/>
      <c r="B24" s="1"/>
      <c r="C24" s="148"/>
      <c r="D24" s="149">
        <v>36633</v>
      </c>
      <c r="E24" s="150">
        <v>36662</v>
      </c>
      <c r="F24" s="1"/>
      <c r="G24" s="1"/>
      <c r="H24" s="151"/>
      <c r="I24" s="152">
        <f>+'[3]04-17-00 to 05-16-00'!A14</f>
        <v>4567964</v>
      </c>
      <c r="J24" s="153"/>
      <c r="K24" s="1"/>
      <c r="L24" s="154"/>
      <c r="M24" s="155"/>
      <c r="O24" s="1"/>
      <c r="Q24" s="157">
        <v>174225.25</v>
      </c>
    </row>
    <row r="25" spans="1:17" s="156" customFormat="1" ht="13.8" x14ac:dyDescent="0.25">
      <c r="A25" s="1"/>
      <c r="B25" s="1"/>
      <c r="C25" s="148"/>
      <c r="D25" s="149"/>
      <c r="E25" s="150"/>
      <c r="F25" s="1"/>
      <c r="G25" s="1"/>
      <c r="H25" s="151"/>
      <c r="I25" s="152"/>
      <c r="J25" s="153"/>
      <c r="K25" s="1"/>
      <c r="L25" s="154"/>
      <c r="M25" s="155"/>
      <c r="O25" s="1"/>
      <c r="Q25" s="157"/>
    </row>
    <row r="26" spans="1:17" s="156" customFormat="1" ht="13.8" x14ac:dyDescent="0.25">
      <c r="A26" s="1"/>
      <c r="B26" s="1"/>
      <c r="C26" s="148"/>
      <c r="D26" s="149"/>
      <c r="E26" s="150"/>
      <c r="F26" s="1"/>
      <c r="G26" s="1"/>
      <c r="H26" s="151"/>
      <c r="I26" s="152"/>
      <c r="J26" s="153"/>
      <c r="K26" s="1"/>
      <c r="L26" s="154"/>
      <c r="M26" s="155"/>
      <c r="O26" s="1"/>
      <c r="Q26" s="157"/>
    </row>
    <row r="27" spans="1:17" ht="11.25" customHeight="1" x14ac:dyDescent="0.25">
      <c r="D27" s="149"/>
      <c r="E27" s="150"/>
      <c r="I27" s="152"/>
      <c r="Q27" s="157"/>
    </row>
    <row r="28" spans="1:17" x14ac:dyDescent="0.25">
      <c r="A28" s="1"/>
      <c r="Q28" s="191"/>
    </row>
    <row r="29" spans="1:17" ht="15.6" thickBot="1" x14ac:dyDescent="0.3">
      <c r="A29" s="1" t="s">
        <v>76</v>
      </c>
      <c r="Q29" s="192">
        <f>SUM(Q24:Q27)</f>
        <v>174225.25</v>
      </c>
    </row>
    <row r="30" spans="1:17" ht="15.6" thickTop="1" x14ac:dyDescent="0.25"/>
  </sheetData>
  <mergeCells count="2">
    <mergeCell ref="E15:G17"/>
    <mergeCell ref="A4:Q4"/>
  </mergeCells>
  <printOptions horizontalCentered="1"/>
  <pageMargins left="0" right="0" top="0.25" bottom="1" header="0.25" footer="0.5"/>
  <pageSetup scale="75" orientation="landscape" horizontalDpi="4294967292" verticalDpi="300" r:id="rId1"/>
  <headerFooter alignWithMargins="0"/>
  <drawing r:id="rId2"/>
  <legacyDrawing r:id="rId3"/>
  <oleObjects>
    <mc:AlternateContent xmlns:mc="http://schemas.openxmlformats.org/markup-compatibility/2006">
      <mc:Choice Requires="x14">
        <oleObject progId="Word.Document.6" shapeId="20481" r:id="rId4">
          <objectPr defaultSize="0" r:id="rId5">
            <anchor moveWithCells="1">
              <from>
                <xdr:col>0</xdr:col>
                <xdr:colOff>7620</xdr:colOff>
                <xdr:row>0</xdr:row>
                <xdr:rowOff>7620</xdr:rowOff>
              </from>
              <to>
                <xdr:col>1</xdr:col>
                <xdr:colOff>205740</xdr:colOff>
                <xdr:row>8</xdr:row>
                <xdr:rowOff>190500</xdr:rowOff>
              </to>
            </anchor>
          </objectPr>
        </oleObject>
      </mc:Choice>
      <mc:Fallback>
        <oleObject progId="Word.Document.6" shapeId="20481"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2"/>
  <dimension ref="A1:Q30"/>
  <sheetViews>
    <sheetView topLeftCell="J7" workbookViewId="0">
      <selection activeCell="Q24" sqref="Q24"/>
    </sheetView>
  </sheetViews>
  <sheetFormatPr defaultColWidth="9.109375" defaultRowHeight="15" x14ac:dyDescent="0.25"/>
  <cols>
    <col min="1" max="1" width="15.6640625" style="30" customWidth="1"/>
    <col min="2" max="2" width="10.6640625" style="30" customWidth="1"/>
    <col min="3" max="3" width="10.6640625" style="158" customWidth="1"/>
    <col min="4" max="4" width="12" style="115" customWidth="1"/>
    <col min="5" max="5" width="12.33203125" style="142" customWidth="1"/>
    <col min="6" max="6" width="12.88671875" style="30" customWidth="1"/>
    <col min="7" max="7" width="7" style="30" customWidth="1"/>
    <col min="8" max="8" width="0.44140625" style="143" customWidth="1"/>
    <col min="9" max="9" width="13.33203125" style="147" customWidth="1"/>
    <col min="10" max="10" width="10.44140625" style="41" customWidth="1"/>
    <col min="11" max="11" width="7.6640625" style="30" customWidth="1"/>
    <col min="12" max="12" width="5.6640625" style="30" customWidth="1"/>
    <col min="13" max="13" width="11.109375" style="145" customWidth="1"/>
    <col min="14" max="14" width="14" style="146" customWidth="1"/>
    <col min="15" max="16" width="4.109375" style="30" customWidth="1"/>
    <col min="17" max="17" width="18.44140625" style="30" customWidth="1"/>
    <col min="18" max="16384" width="9.109375" style="30"/>
  </cols>
  <sheetData>
    <row r="1" spans="1:17" s="37" customFormat="1" ht="24.9" customHeight="1" x14ac:dyDescent="0.3">
      <c r="A1" s="29" t="s">
        <v>39</v>
      </c>
      <c r="B1" s="30"/>
      <c r="C1" s="31"/>
      <c r="D1" s="32"/>
      <c r="E1" s="32"/>
      <c r="F1" s="31"/>
      <c r="G1" s="31"/>
      <c r="H1" s="31"/>
      <c r="I1" s="33"/>
      <c r="J1" s="34"/>
      <c r="K1" s="33"/>
      <c r="L1" s="33"/>
      <c r="M1" s="35"/>
      <c r="N1" s="36"/>
      <c r="P1" s="30"/>
    </row>
    <row r="2" spans="1:17" s="37" customFormat="1" ht="15.6" x14ac:dyDescent="0.3">
      <c r="A2" s="38"/>
      <c r="B2" s="39"/>
      <c r="C2" s="39"/>
      <c r="D2" s="40"/>
      <c r="E2" s="40"/>
      <c r="F2" s="39"/>
      <c r="H2" s="38"/>
      <c r="I2" s="38"/>
      <c r="J2" s="41"/>
      <c r="M2" s="42"/>
      <c r="N2" s="36"/>
      <c r="P2" s="30"/>
    </row>
    <row r="3" spans="1:17" s="37" customFormat="1" ht="15.6" x14ac:dyDescent="0.3">
      <c r="A3" s="38"/>
      <c r="B3" s="39"/>
      <c r="C3" s="39"/>
      <c r="D3" s="40"/>
      <c r="E3" s="40"/>
      <c r="F3" s="39"/>
      <c r="G3" s="43"/>
      <c r="H3" s="38"/>
      <c r="I3" s="38"/>
      <c r="J3" s="41"/>
      <c r="M3" s="42"/>
      <c r="N3" s="36"/>
      <c r="P3" s="30"/>
    </row>
    <row r="4" spans="1:17" s="37" customFormat="1" ht="15" customHeight="1" x14ac:dyDescent="0.3">
      <c r="A4" s="204" t="s">
        <v>40</v>
      </c>
      <c r="B4" s="204"/>
      <c r="C4" s="204"/>
      <c r="D4" s="204"/>
      <c r="E4" s="204"/>
      <c r="F4" s="204"/>
      <c r="G4" s="204"/>
      <c r="H4" s="204"/>
      <c r="I4" s="204"/>
      <c r="J4" s="204"/>
      <c r="K4" s="204"/>
      <c r="L4" s="204"/>
      <c r="M4" s="204"/>
      <c r="N4" s="204"/>
      <c r="O4" s="204"/>
      <c r="P4" s="204"/>
      <c r="Q4" s="204"/>
    </row>
    <row r="5" spans="1:17" s="37" customFormat="1" ht="12" customHeight="1" x14ac:dyDescent="0.3">
      <c r="A5" s="39"/>
      <c r="B5" s="39"/>
      <c r="C5" s="39"/>
      <c r="D5" s="40"/>
      <c r="E5" s="40"/>
      <c r="F5" s="39"/>
      <c r="G5" s="38"/>
      <c r="J5" s="41"/>
      <c r="M5" s="42"/>
      <c r="N5" s="36"/>
      <c r="P5" s="30"/>
    </row>
    <row r="6" spans="1:17" s="37" customFormat="1" ht="8.25" customHeight="1" x14ac:dyDescent="0.25">
      <c r="A6" s="39"/>
      <c r="B6" s="39"/>
      <c r="C6" s="39"/>
      <c r="D6" s="40"/>
      <c r="E6" s="40"/>
      <c r="F6" s="39"/>
      <c r="G6" s="39"/>
      <c r="J6" s="41"/>
      <c r="M6" s="42"/>
      <c r="N6" s="36"/>
      <c r="P6" s="30"/>
    </row>
    <row r="7" spans="1:17" s="37" customFormat="1" ht="8.25" customHeight="1" x14ac:dyDescent="0.25">
      <c r="A7" s="39"/>
      <c r="B7" s="39"/>
      <c r="C7" s="39"/>
      <c r="D7" s="40"/>
      <c r="E7" s="40"/>
      <c r="F7" s="39"/>
      <c r="G7" s="30"/>
      <c r="J7" s="41"/>
      <c r="M7" s="42"/>
      <c r="N7" s="36"/>
      <c r="P7" s="30"/>
    </row>
    <row r="8" spans="1:17" s="37" customFormat="1" ht="8.25" customHeight="1" x14ac:dyDescent="0.25">
      <c r="A8" s="39"/>
      <c r="B8" s="39"/>
      <c r="C8" s="39"/>
      <c r="D8" s="40"/>
      <c r="E8" s="40"/>
      <c r="F8" s="39"/>
      <c r="G8" s="30"/>
      <c r="J8" s="41"/>
      <c r="M8" s="42"/>
      <c r="N8" s="36"/>
      <c r="P8" s="30"/>
    </row>
    <row r="9" spans="1:17" s="37" customFormat="1" ht="15.6" x14ac:dyDescent="0.3">
      <c r="A9" s="48"/>
      <c r="B9" s="48"/>
      <c r="C9" s="49"/>
      <c r="D9" s="50"/>
      <c r="E9" s="50"/>
      <c r="F9" s="49"/>
      <c r="G9" s="38"/>
      <c r="H9" s="48"/>
      <c r="I9" s="48"/>
      <c r="J9" s="51"/>
      <c r="K9" s="49"/>
      <c r="L9" s="49"/>
      <c r="M9" s="52"/>
      <c r="N9" s="53"/>
      <c r="P9" s="30"/>
    </row>
    <row r="10" spans="1:17" s="37" customFormat="1" ht="15.6" x14ac:dyDescent="0.3">
      <c r="A10" s="48"/>
      <c r="B10" s="48"/>
      <c r="C10" s="49"/>
      <c r="D10" s="50"/>
      <c r="E10" s="50"/>
      <c r="F10" s="49"/>
      <c r="G10" s="54"/>
      <c r="H10" s="48"/>
      <c r="I10" s="48"/>
      <c r="J10" s="51"/>
      <c r="K10" s="49"/>
      <c r="L10" s="49"/>
      <c r="M10" s="52"/>
      <c r="N10" s="53"/>
      <c r="O10" s="49"/>
      <c r="P10" s="52"/>
      <c r="Q10" s="53"/>
    </row>
    <row r="11" spans="1:17" s="37" customFormat="1" ht="15.6" x14ac:dyDescent="0.3">
      <c r="A11" s="55" t="s">
        <v>41</v>
      </c>
      <c r="B11" s="56"/>
      <c r="C11" s="56"/>
      <c r="D11" s="57" t="s">
        <v>42</v>
      </c>
      <c r="E11" s="58"/>
      <c r="F11" s="59"/>
      <c r="G11" s="59"/>
      <c r="H11" s="60"/>
      <c r="I11" s="55" t="s">
        <v>43</v>
      </c>
      <c r="J11" s="61"/>
      <c r="K11" s="59"/>
      <c r="L11" s="55" t="s">
        <v>44</v>
      </c>
      <c r="M11" s="62"/>
      <c r="N11" s="63"/>
      <c r="O11" s="55"/>
      <c r="P11" s="62"/>
      <c r="Q11" s="63"/>
    </row>
    <row r="12" spans="1:17" s="37" customFormat="1" ht="15.6" x14ac:dyDescent="0.3">
      <c r="A12" s="64" t="s">
        <v>45</v>
      </c>
      <c r="B12" s="65"/>
      <c r="D12" s="66" t="s">
        <v>46</v>
      </c>
      <c r="F12" s="67" t="s">
        <v>107</v>
      </c>
      <c r="H12" s="68"/>
      <c r="I12" s="69" t="s">
        <v>47</v>
      </c>
      <c r="K12" s="70"/>
      <c r="L12" s="71" t="s">
        <v>48</v>
      </c>
      <c r="M12" s="72"/>
      <c r="N12" s="73"/>
      <c r="O12" s="71" t="s">
        <v>49</v>
      </c>
      <c r="P12" s="72"/>
      <c r="Q12" s="73"/>
    </row>
    <row r="13" spans="1:17" s="37" customFormat="1" ht="15.6" x14ac:dyDescent="0.3">
      <c r="A13" s="64" t="s">
        <v>50</v>
      </c>
      <c r="B13" s="65"/>
      <c r="C13" s="74"/>
      <c r="D13" s="75" t="s">
        <v>51</v>
      </c>
      <c r="E13" s="76"/>
      <c r="F13" s="77">
        <v>36731</v>
      </c>
      <c r="G13" s="78"/>
      <c r="H13" s="79"/>
      <c r="I13" s="80" t="s">
        <v>52</v>
      </c>
      <c r="J13" s="81"/>
      <c r="K13" s="82"/>
      <c r="L13" s="83" t="s">
        <v>78</v>
      </c>
      <c r="M13" s="84"/>
      <c r="N13" s="85"/>
      <c r="O13" s="83" t="s">
        <v>53</v>
      </c>
      <c r="P13" s="84"/>
      <c r="Q13" s="85"/>
    </row>
    <row r="14" spans="1:17" s="37" customFormat="1" ht="14.1" customHeight="1" x14ac:dyDescent="0.3">
      <c r="A14" s="64" t="s">
        <v>54</v>
      </c>
      <c r="B14" s="65"/>
      <c r="C14" s="86"/>
      <c r="D14" s="87" t="s">
        <v>55</v>
      </c>
      <c r="E14" s="75"/>
      <c r="F14" s="77">
        <v>36738</v>
      </c>
      <c r="G14" s="88"/>
      <c r="H14" s="89"/>
      <c r="J14" s="90"/>
      <c r="K14" s="91"/>
      <c r="L14" s="92" t="s">
        <v>105</v>
      </c>
      <c r="M14" s="93"/>
      <c r="N14" s="94"/>
      <c r="O14" s="92" t="s">
        <v>56</v>
      </c>
      <c r="P14" s="93"/>
      <c r="Q14" s="94"/>
    </row>
    <row r="15" spans="1:17" s="37" customFormat="1" ht="13.5" customHeight="1" x14ac:dyDescent="0.3">
      <c r="A15" s="64" t="s">
        <v>95</v>
      </c>
      <c r="B15" s="65"/>
      <c r="D15" s="87" t="s">
        <v>57</v>
      </c>
      <c r="E15" s="202" t="s">
        <v>87</v>
      </c>
      <c r="F15" s="203"/>
      <c r="G15" s="203"/>
      <c r="H15" s="89"/>
      <c r="I15" s="95" t="s">
        <v>58</v>
      </c>
      <c r="J15" s="96"/>
      <c r="K15" s="97"/>
      <c r="L15" s="84" t="s">
        <v>106</v>
      </c>
      <c r="M15" s="98"/>
      <c r="N15" s="94"/>
      <c r="O15" s="84" t="s">
        <v>60</v>
      </c>
      <c r="P15" s="98"/>
      <c r="Q15" s="94"/>
    </row>
    <row r="16" spans="1:17" s="37" customFormat="1" ht="13.5" customHeight="1" x14ac:dyDescent="0.25">
      <c r="A16" s="64"/>
      <c r="B16" s="65"/>
      <c r="D16" s="99"/>
      <c r="E16" s="203"/>
      <c r="F16" s="203"/>
      <c r="G16" s="203"/>
      <c r="H16" s="86"/>
      <c r="I16" s="100" t="s">
        <v>101</v>
      </c>
      <c r="J16" s="90"/>
      <c r="K16" s="101"/>
      <c r="L16" s="84" t="s">
        <v>59</v>
      </c>
      <c r="M16" s="98"/>
      <c r="N16" s="94"/>
      <c r="O16" s="84"/>
      <c r="P16" s="98"/>
      <c r="Q16" s="94"/>
    </row>
    <row r="17" spans="1:17" s="37" customFormat="1" ht="13.5" customHeight="1" x14ac:dyDescent="0.3">
      <c r="A17" s="102" t="s">
        <v>62</v>
      </c>
      <c r="B17" s="78"/>
      <c r="C17" s="39"/>
      <c r="D17" s="87"/>
      <c r="E17" s="203"/>
      <c r="F17" s="203"/>
      <c r="G17" s="203"/>
      <c r="H17" s="39"/>
      <c r="I17" s="103" t="s">
        <v>102</v>
      </c>
      <c r="J17" s="90"/>
      <c r="K17" s="101"/>
      <c r="L17" s="84" t="s">
        <v>61</v>
      </c>
      <c r="M17" s="98"/>
      <c r="N17" s="94"/>
      <c r="O17" s="84"/>
      <c r="P17" s="98"/>
      <c r="Q17" s="94"/>
    </row>
    <row r="18" spans="1:17" s="37" customFormat="1" ht="13.5" customHeight="1" x14ac:dyDescent="0.3">
      <c r="A18" s="104" t="s">
        <v>63</v>
      </c>
      <c r="B18" s="105"/>
      <c r="C18" s="49"/>
      <c r="D18" s="106"/>
      <c r="E18" s="107"/>
      <c r="F18" s="108"/>
      <c r="G18" s="48"/>
      <c r="H18" s="109"/>
      <c r="I18" s="110" t="s">
        <v>64</v>
      </c>
      <c r="J18" s="111"/>
      <c r="K18" s="112"/>
      <c r="L18" s="111"/>
      <c r="M18" s="113"/>
      <c r="N18" s="114"/>
      <c r="O18" s="111"/>
      <c r="P18" s="113"/>
      <c r="Q18" s="114"/>
    </row>
    <row r="19" spans="1:17" s="37" customFormat="1" ht="15.6" x14ac:dyDescent="0.3">
      <c r="A19" s="30"/>
      <c r="B19" s="30"/>
      <c r="C19" s="30"/>
      <c r="D19" s="115"/>
      <c r="E19" s="115"/>
      <c r="F19" s="49"/>
      <c r="G19" s="49"/>
      <c r="H19" s="49"/>
      <c r="I19" s="49"/>
      <c r="J19" s="51"/>
      <c r="K19" s="49"/>
      <c r="L19" s="48"/>
      <c r="M19" s="116"/>
      <c r="N19" s="116"/>
      <c r="O19" s="116"/>
      <c r="P19" s="116"/>
      <c r="Q19" s="117"/>
    </row>
    <row r="20" spans="1:17" s="29" customFormat="1" ht="15.6" x14ac:dyDescent="0.3">
      <c r="A20" s="118"/>
      <c r="B20" s="119"/>
      <c r="C20" s="120"/>
      <c r="D20" s="121" t="s">
        <v>65</v>
      </c>
      <c r="E20" s="122"/>
      <c r="F20" s="123" t="s">
        <v>66</v>
      </c>
      <c r="G20" s="123"/>
      <c r="H20" s="124"/>
      <c r="I20" s="125" t="s">
        <v>67</v>
      </c>
      <c r="K20" s="126" t="s">
        <v>68</v>
      </c>
      <c r="Q20" s="127" t="s">
        <v>69</v>
      </c>
    </row>
    <row r="21" spans="1:17" s="29" customFormat="1" ht="15.6" x14ac:dyDescent="0.3">
      <c r="A21" s="128" t="s">
        <v>70</v>
      </c>
      <c r="B21" s="129"/>
      <c r="C21" s="130"/>
      <c r="D21" s="131" t="s">
        <v>71</v>
      </c>
      <c r="E21" s="132" t="s">
        <v>72</v>
      </c>
      <c r="F21" s="133" t="s">
        <v>71</v>
      </c>
      <c r="G21" s="133" t="s">
        <v>72</v>
      </c>
      <c r="H21" s="134"/>
      <c r="I21" s="135" t="s">
        <v>73</v>
      </c>
      <c r="J21" s="136"/>
      <c r="K21" s="137" t="s">
        <v>74</v>
      </c>
      <c r="L21" s="136"/>
      <c r="M21" s="136"/>
      <c r="N21" s="136"/>
      <c r="O21" s="136"/>
      <c r="P21" s="136"/>
      <c r="Q21" s="138" t="s">
        <v>75</v>
      </c>
    </row>
    <row r="22" spans="1:17" x14ac:dyDescent="0.25">
      <c r="A22" s="139"/>
      <c r="B22" s="140"/>
      <c r="C22" s="141"/>
      <c r="D22" s="142"/>
      <c r="F22" s="139"/>
      <c r="G22" s="143"/>
      <c r="H22" s="144"/>
      <c r="I22" s="30"/>
      <c r="Q22" s="147"/>
    </row>
    <row r="23" spans="1:17" x14ac:dyDescent="0.25">
      <c r="A23" s="139"/>
      <c r="B23" s="140"/>
      <c r="C23" s="141"/>
      <c r="D23" s="142"/>
      <c r="F23" s="139"/>
      <c r="G23" s="143"/>
      <c r="H23" s="144"/>
      <c r="I23" s="30"/>
      <c r="Q23" s="147"/>
    </row>
    <row r="24" spans="1:17" s="156" customFormat="1" ht="13.8" x14ac:dyDescent="0.25">
      <c r="A24" s="1"/>
      <c r="B24" s="1"/>
      <c r="C24" s="148"/>
      <c r="D24" s="149">
        <v>36662</v>
      </c>
      <c r="E24" s="150">
        <v>36692</v>
      </c>
      <c r="F24" s="1"/>
      <c r="G24" s="1"/>
      <c r="H24" s="151"/>
      <c r="I24" s="152">
        <f>+'[4]5-16-00 to 6-16-00'!A14</f>
        <v>5281519</v>
      </c>
      <c r="J24" s="153"/>
      <c r="K24" s="1"/>
      <c r="L24" s="154"/>
      <c r="M24" s="155"/>
      <c r="O24" s="1"/>
      <c r="Q24" s="157">
        <v>234171.54</v>
      </c>
    </row>
    <row r="25" spans="1:17" s="156" customFormat="1" ht="13.8" x14ac:dyDescent="0.25">
      <c r="A25" s="1"/>
      <c r="B25" s="1"/>
      <c r="C25" s="148"/>
      <c r="D25" s="149"/>
      <c r="E25" s="150"/>
      <c r="F25" s="1"/>
      <c r="G25" s="1"/>
      <c r="H25" s="151"/>
      <c r="I25" s="152"/>
      <c r="J25" s="153"/>
      <c r="K25" s="1"/>
      <c r="L25" s="154"/>
      <c r="M25" s="155"/>
      <c r="O25" s="1"/>
      <c r="Q25" s="157"/>
    </row>
    <row r="26" spans="1:17" s="156" customFormat="1" ht="13.8" x14ac:dyDescent="0.25">
      <c r="A26" s="1"/>
      <c r="B26" s="1"/>
      <c r="C26" s="148"/>
      <c r="D26" s="149"/>
      <c r="E26" s="150"/>
      <c r="F26" s="1"/>
      <c r="G26" s="1"/>
      <c r="H26" s="151"/>
      <c r="I26" s="152"/>
      <c r="J26" s="153"/>
      <c r="K26" s="1"/>
      <c r="L26" s="154"/>
      <c r="M26" s="155"/>
      <c r="O26" s="1"/>
      <c r="Q26" s="157"/>
    </row>
    <row r="27" spans="1:17" ht="11.25" customHeight="1" x14ac:dyDescent="0.25">
      <c r="D27" s="149"/>
      <c r="E27" s="150"/>
      <c r="I27" s="152"/>
      <c r="Q27" s="157"/>
    </row>
    <row r="28" spans="1:17" x14ac:dyDescent="0.25">
      <c r="A28" s="1"/>
      <c r="Q28" s="191"/>
    </row>
    <row r="29" spans="1:17" ht="15.6" thickBot="1" x14ac:dyDescent="0.3">
      <c r="A29" s="1" t="s">
        <v>76</v>
      </c>
      <c r="Q29" s="192">
        <f>SUM(Q24:Q27)</f>
        <v>234171.54</v>
      </c>
    </row>
    <row r="30" spans="1:17" ht="15.6" thickTop="1" x14ac:dyDescent="0.25"/>
  </sheetData>
  <mergeCells count="2">
    <mergeCell ref="E15:G17"/>
    <mergeCell ref="A4:Q4"/>
  </mergeCells>
  <printOptions horizontalCentered="1"/>
  <pageMargins left="0" right="0" top="0.25" bottom="1" header="0.25" footer="0.5"/>
  <pageSetup scale="75" orientation="landscape" horizontalDpi="4294967292" verticalDpi="300" r:id="rId1"/>
  <headerFooter alignWithMargins="0"/>
  <drawing r:id="rId2"/>
  <legacyDrawing r:id="rId3"/>
  <oleObjects>
    <mc:AlternateContent xmlns:mc="http://schemas.openxmlformats.org/markup-compatibility/2006">
      <mc:Choice Requires="x14">
        <oleObject progId="Word.Document.6" shapeId="21505" r:id="rId4">
          <objectPr defaultSize="0" r:id="rId5">
            <anchor moveWithCells="1">
              <from>
                <xdr:col>0</xdr:col>
                <xdr:colOff>7620</xdr:colOff>
                <xdr:row>0</xdr:row>
                <xdr:rowOff>7620</xdr:rowOff>
              </from>
              <to>
                <xdr:col>1</xdr:col>
                <xdr:colOff>205740</xdr:colOff>
                <xdr:row>8</xdr:row>
                <xdr:rowOff>190500</xdr:rowOff>
              </to>
            </anchor>
          </objectPr>
        </oleObject>
      </mc:Choice>
      <mc:Fallback>
        <oleObject progId="Word.Document.6" shapeId="21505"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11"/>
  <dimension ref="A1:Q44"/>
  <sheetViews>
    <sheetView workbookViewId="0">
      <selection activeCell="I25" sqref="I25"/>
    </sheetView>
  </sheetViews>
  <sheetFormatPr defaultColWidth="9.109375" defaultRowHeight="15" x14ac:dyDescent="0.25"/>
  <cols>
    <col min="1" max="1" width="15.6640625" style="30" customWidth="1"/>
    <col min="2" max="2" width="10.6640625" style="30" customWidth="1"/>
    <col min="3" max="3" width="10.6640625" style="158" customWidth="1"/>
    <col min="4" max="4" width="12.5546875" style="115" customWidth="1"/>
    <col min="5" max="5" width="11.44140625" style="142" customWidth="1"/>
    <col min="6" max="6" width="12.88671875" style="30" customWidth="1"/>
    <col min="7" max="7" width="7" style="30" customWidth="1"/>
    <col min="8" max="8" width="0.44140625" style="143" customWidth="1"/>
    <col min="9" max="9" width="16" style="147" customWidth="1"/>
    <col min="10" max="10" width="10.44140625" style="41" customWidth="1"/>
    <col min="11" max="11" width="7.6640625" style="30" customWidth="1"/>
    <col min="12" max="12" width="5.6640625" style="30" customWidth="1"/>
    <col min="13" max="13" width="11.109375" style="145" customWidth="1"/>
    <col min="14" max="14" width="14" style="146" customWidth="1"/>
    <col min="15" max="16" width="4.109375" style="30" customWidth="1"/>
    <col min="17" max="17" width="18.44140625" style="30" customWidth="1"/>
    <col min="18" max="16384" width="9.109375" style="30"/>
  </cols>
  <sheetData>
    <row r="1" spans="1:17" s="37" customFormat="1" ht="24.9" customHeight="1" x14ac:dyDescent="0.3">
      <c r="A1" s="29" t="s">
        <v>39</v>
      </c>
      <c r="B1" s="30"/>
      <c r="C1" s="31"/>
      <c r="D1" s="32"/>
      <c r="E1" s="32"/>
      <c r="F1" s="31"/>
      <c r="G1" s="31"/>
      <c r="H1" s="31"/>
      <c r="I1" s="33"/>
      <c r="J1" s="34"/>
      <c r="K1" s="33"/>
      <c r="L1" s="33"/>
      <c r="M1" s="35"/>
      <c r="N1" s="36"/>
      <c r="P1" s="30"/>
    </row>
    <row r="2" spans="1:17" s="37" customFormat="1" ht="15.6" x14ac:dyDescent="0.3">
      <c r="A2" s="38"/>
      <c r="B2" s="39"/>
      <c r="C2" s="39"/>
      <c r="D2" s="40"/>
      <c r="E2" s="40"/>
      <c r="F2" s="39"/>
      <c r="H2" s="38"/>
      <c r="I2" s="38"/>
      <c r="J2" s="41"/>
      <c r="M2" s="42"/>
      <c r="N2" s="36"/>
      <c r="P2" s="30"/>
    </row>
    <row r="3" spans="1:17" s="37" customFormat="1" ht="15.6" x14ac:dyDescent="0.3">
      <c r="A3" s="38"/>
      <c r="B3" s="39"/>
      <c r="C3" s="39"/>
      <c r="D3" s="40"/>
      <c r="E3" s="40"/>
      <c r="F3" s="39"/>
      <c r="G3" s="43"/>
      <c r="H3" s="38"/>
      <c r="I3" s="38"/>
      <c r="J3" s="41"/>
      <c r="M3" s="42"/>
      <c r="N3" s="36"/>
      <c r="P3" s="30"/>
    </row>
    <row r="4" spans="1:17" s="37" customFormat="1" ht="15" customHeight="1" x14ac:dyDescent="0.3">
      <c r="A4" s="44" t="s">
        <v>99</v>
      </c>
      <c r="B4" s="31"/>
      <c r="C4" s="45"/>
      <c r="D4" s="46"/>
      <c r="E4" s="46"/>
      <c r="F4" s="45"/>
      <c r="G4" s="45"/>
      <c r="H4" s="33"/>
      <c r="I4" s="33"/>
      <c r="J4" s="34"/>
      <c r="K4" s="33"/>
      <c r="L4" s="33"/>
      <c r="M4" s="35"/>
      <c r="N4" s="47"/>
      <c r="P4" s="30"/>
    </row>
    <row r="5" spans="1:17" s="37" customFormat="1" ht="12" customHeight="1" x14ac:dyDescent="0.3">
      <c r="A5" s="39"/>
      <c r="B5" s="39"/>
      <c r="C5" s="39"/>
      <c r="D5" s="40"/>
      <c r="E5" s="40"/>
      <c r="F5" s="39"/>
      <c r="G5" s="38"/>
      <c r="J5" s="41"/>
      <c r="M5" s="42"/>
      <c r="N5" s="36"/>
      <c r="P5" s="30"/>
    </row>
    <row r="6" spans="1:17" s="37" customFormat="1" ht="8.25" customHeight="1" x14ac:dyDescent="0.25">
      <c r="A6" s="39"/>
      <c r="B6" s="39"/>
      <c r="C6" s="39"/>
      <c r="D6" s="40"/>
      <c r="E6" s="40"/>
      <c r="F6" s="39"/>
      <c r="G6" s="39"/>
      <c r="J6" s="41"/>
      <c r="M6" s="42"/>
      <c r="N6" s="36"/>
      <c r="P6" s="30"/>
    </row>
    <row r="7" spans="1:17" s="37" customFormat="1" ht="8.25" customHeight="1" x14ac:dyDescent="0.25">
      <c r="A7" s="39"/>
      <c r="B7" s="39"/>
      <c r="C7" s="39"/>
      <c r="D7" s="40"/>
      <c r="E7" s="40"/>
      <c r="F7" s="39"/>
      <c r="G7" s="30"/>
      <c r="J7" s="41"/>
      <c r="M7" s="42"/>
      <c r="N7" s="36"/>
      <c r="P7" s="30"/>
    </row>
    <row r="8" spans="1:17" s="37" customFormat="1" ht="8.25" customHeight="1" x14ac:dyDescent="0.25">
      <c r="A8" s="39"/>
      <c r="B8" s="39"/>
      <c r="C8" s="39"/>
      <c r="D8" s="40"/>
      <c r="E8" s="40"/>
      <c r="F8" s="39"/>
      <c r="G8" s="30"/>
      <c r="J8" s="41"/>
      <c r="M8" s="42"/>
      <c r="N8" s="36"/>
      <c r="P8" s="30"/>
    </row>
    <row r="9" spans="1:17" s="37" customFormat="1" ht="15.6" x14ac:dyDescent="0.3">
      <c r="A9" s="55" t="s">
        <v>41</v>
      </c>
      <c r="B9" s="56"/>
      <c r="C9" s="56"/>
      <c r="D9" s="57" t="s">
        <v>42</v>
      </c>
      <c r="E9" s="58"/>
      <c r="F9" s="59"/>
      <c r="G9" s="59"/>
      <c r="H9" s="60"/>
      <c r="I9" s="55" t="s">
        <v>43</v>
      </c>
      <c r="J9" s="61"/>
      <c r="K9" s="59"/>
      <c r="L9" s="55" t="s">
        <v>44</v>
      </c>
      <c r="M9" s="62"/>
      <c r="N9" s="63"/>
      <c r="O9" s="55"/>
      <c r="P9" s="62"/>
      <c r="Q9" s="63"/>
    </row>
    <row r="10" spans="1:17" s="37" customFormat="1" ht="15.6" x14ac:dyDescent="0.3">
      <c r="A10" s="64" t="s">
        <v>45</v>
      </c>
      <c r="B10" s="65"/>
      <c r="D10" s="66" t="s">
        <v>46</v>
      </c>
      <c r="F10" s="67" t="s">
        <v>104</v>
      </c>
      <c r="H10" s="68"/>
      <c r="I10" s="69" t="s">
        <v>47</v>
      </c>
      <c r="K10" s="70"/>
      <c r="L10" s="71" t="s">
        <v>48</v>
      </c>
      <c r="M10" s="72"/>
      <c r="N10" s="73"/>
      <c r="O10" s="71" t="s">
        <v>49</v>
      </c>
      <c r="P10" s="72"/>
      <c r="Q10" s="73"/>
    </row>
    <row r="11" spans="1:17" s="37" customFormat="1" ht="15.6" x14ac:dyDescent="0.3">
      <c r="A11" s="64" t="s">
        <v>50</v>
      </c>
      <c r="B11" s="65"/>
      <c r="C11" s="74"/>
      <c r="D11" s="75" t="s">
        <v>51</v>
      </c>
      <c r="E11" s="76"/>
      <c r="F11" s="77">
        <v>36731</v>
      </c>
      <c r="G11" s="78"/>
      <c r="H11" s="79"/>
      <c r="I11" s="80" t="s">
        <v>52</v>
      </c>
      <c r="J11" s="81"/>
      <c r="K11" s="82"/>
      <c r="L11" s="83" t="s">
        <v>78</v>
      </c>
      <c r="M11" s="84"/>
      <c r="N11" s="85"/>
      <c r="O11" s="83" t="s">
        <v>53</v>
      </c>
      <c r="P11" s="84"/>
      <c r="Q11" s="85"/>
    </row>
    <row r="12" spans="1:17" s="37" customFormat="1" ht="14.1" customHeight="1" x14ac:dyDescent="0.3">
      <c r="A12" s="64" t="s">
        <v>54</v>
      </c>
      <c r="B12" s="65"/>
      <c r="C12" s="86"/>
      <c r="D12" s="87" t="s">
        <v>55</v>
      </c>
      <c r="E12" s="75"/>
      <c r="F12" s="77"/>
      <c r="G12" s="88"/>
      <c r="H12" s="89"/>
      <c r="J12" s="90"/>
      <c r="K12" s="91"/>
      <c r="L12" s="92" t="s">
        <v>105</v>
      </c>
      <c r="M12" s="93"/>
      <c r="N12" s="94"/>
      <c r="O12" s="92" t="s">
        <v>56</v>
      </c>
      <c r="P12" s="93"/>
      <c r="Q12" s="94"/>
    </row>
    <row r="13" spans="1:17" s="37" customFormat="1" ht="13.5" customHeight="1" x14ac:dyDescent="0.3">
      <c r="A13" s="64" t="s">
        <v>95</v>
      </c>
      <c r="B13" s="65"/>
      <c r="D13" s="87" t="s">
        <v>57</v>
      </c>
      <c r="E13" s="202" t="s">
        <v>88</v>
      </c>
      <c r="F13" s="203"/>
      <c r="G13" s="203"/>
      <c r="H13" s="89"/>
      <c r="I13" s="95" t="s">
        <v>58</v>
      </c>
      <c r="J13" s="96"/>
      <c r="K13" s="97"/>
      <c r="L13" s="84" t="s">
        <v>106</v>
      </c>
      <c r="M13" s="98"/>
      <c r="N13" s="94"/>
      <c r="O13" s="84" t="s">
        <v>60</v>
      </c>
      <c r="P13" s="98"/>
      <c r="Q13" s="94"/>
    </row>
    <row r="14" spans="1:17" s="37" customFormat="1" ht="13.5" customHeight="1" x14ac:dyDescent="0.25">
      <c r="A14" s="64"/>
      <c r="B14" s="65"/>
      <c r="D14" s="99"/>
      <c r="E14" s="203"/>
      <c r="F14" s="203"/>
      <c r="G14" s="203"/>
      <c r="H14" s="86"/>
      <c r="I14" s="100" t="s">
        <v>101</v>
      </c>
      <c r="J14" s="90"/>
      <c r="K14" s="101"/>
      <c r="L14" s="84" t="s">
        <v>59</v>
      </c>
      <c r="M14" s="98"/>
      <c r="N14" s="94"/>
      <c r="O14" s="84"/>
      <c r="P14" s="98"/>
      <c r="Q14" s="94"/>
    </row>
    <row r="15" spans="1:17" s="37" customFormat="1" ht="13.5" customHeight="1" x14ac:dyDescent="0.3">
      <c r="A15" s="102" t="s">
        <v>62</v>
      </c>
      <c r="B15" s="78"/>
      <c r="C15" s="39"/>
      <c r="D15" s="87"/>
      <c r="E15" s="203"/>
      <c r="F15" s="203"/>
      <c r="G15" s="203"/>
      <c r="H15" s="39"/>
      <c r="I15" s="103" t="s">
        <v>102</v>
      </c>
      <c r="J15" s="90"/>
      <c r="K15" s="101"/>
      <c r="L15" s="84" t="s">
        <v>61</v>
      </c>
      <c r="M15" s="98"/>
      <c r="N15" s="94"/>
      <c r="O15" s="84"/>
      <c r="P15" s="98"/>
      <c r="Q15" s="94"/>
    </row>
    <row r="16" spans="1:17" s="37" customFormat="1" ht="13.5" customHeight="1" x14ac:dyDescent="0.3">
      <c r="A16" s="104" t="s">
        <v>63</v>
      </c>
      <c r="B16" s="105"/>
      <c r="C16" s="49"/>
      <c r="D16" s="106"/>
      <c r="E16" s="107"/>
      <c r="F16" s="108"/>
      <c r="G16" s="48"/>
      <c r="H16" s="109"/>
      <c r="I16" s="110" t="s">
        <v>64</v>
      </c>
      <c r="J16" s="111"/>
      <c r="K16" s="112"/>
      <c r="L16" s="111"/>
      <c r="M16" s="113"/>
      <c r="N16" s="114"/>
      <c r="O16" s="111"/>
      <c r="P16" s="113"/>
      <c r="Q16" s="114"/>
    </row>
    <row r="17" spans="1:17" s="37" customFormat="1" ht="15.6" x14ac:dyDescent="0.3">
      <c r="A17" s="30"/>
      <c r="B17" s="30"/>
      <c r="C17" s="30"/>
      <c r="D17" s="115"/>
      <c r="E17" s="115"/>
      <c r="F17" s="39"/>
      <c r="G17" s="49"/>
      <c r="H17" s="49"/>
      <c r="I17" s="49"/>
      <c r="J17" s="51"/>
      <c r="K17" s="49"/>
      <c r="L17" s="48"/>
      <c r="M17" s="116"/>
      <c r="N17" s="116"/>
      <c r="O17" s="116"/>
      <c r="P17" s="116"/>
      <c r="Q17" s="117"/>
    </row>
    <row r="18" spans="1:17" s="29" customFormat="1" ht="15.6" x14ac:dyDescent="0.3">
      <c r="A18" s="118"/>
      <c r="B18" s="119"/>
      <c r="C18" s="183"/>
      <c r="D18" s="184"/>
      <c r="E18" s="184"/>
      <c r="F18" s="186" t="s">
        <v>93</v>
      </c>
      <c r="G18" s="123"/>
      <c r="H18" s="124"/>
      <c r="I18" s="125"/>
      <c r="K18" s="126" t="s">
        <v>68</v>
      </c>
      <c r="Q18" s="127"/>
    </row>
    <row r="19" spans="1:17" s="29" customFormat="1" ht="15.6" x14ac:dyDescent="0.3">
      <c r="A19" s="193" t="s">
        <v>97</v>
      </c>
      <c r="B19" s="129"/>
      <c r="C19" s="130"/>
      <c r="D19" s="185" t="s">
        <v>89</v>
      </c>
      <c r="E19" s="185" t="s">
        <v>92</v>
      </c>
      <c r="F19" s="187" t="s">
        <v>94</v>
      </c>
      <c r="G19" s="133" t="s">
        <v>72</v>
      </c>
      <c r="H19" s="134"/>
      <c r="I19" s="167" t="s">
        <v>91</v>
      </c>
      <c r="J19" s="136"/>
      <c r="K19" s="137" t="s">
        <v>74</v>
      </c>
      <c r="L19" s="136" t="s">
        <v>90</v>
      </c>
      <c r="M19" s="136"/>
      <c r="N19" s="136"/>
      <c r="O19" s="136"/>
      <c r="P19" s="136"/>
      <c r="Q19" s="138" t="s">
        <v>100</v>
      </c>
    </row>
    <row r="20" spans="1:17" x14ac:dyDescent="0.25">
      <c r="A20" s="139"/>
      <c r="B20" s="140"/>
      <c r="C20" s="141"/>
      <c r="D20" s="30"/>
      <c r="F20" s="139"/>
      <c r="G20" s="143"/>
      <c r="H20" s="144"/>
      <c r="I20" s="30"/>
      <c r="Q20" s="147"/>
    </row>
    <row r="21" spans="1:17" x14ac:dyDescent="0.25">
      <c r="A21" s="169">
        <v>1</v>
      </c>
      <c r="B21" s="170"/>
      <c r="C21" s="171"/>
      <c r="D21" s="172">
        <v>36598</v>
      </c>
      <c r="E21" s="172">
        <v>36637</v>
      </c>
      <c r="F21" s="188">
        <f t="shared" ref="F21:F27" si="0">+E21-D21</f>
        <v>39</v>
      </c>
      <c r="G21" s="173"/>
      <c r="H21" s="174"/>
      <c r="I21" s="179">
        <v>200913.61203999998</v>
      </c>
      <c r="J21" s="175"/>
      <c r="K21" s="176"/>
      <c r="L21" s="189"/>
      <c r="M21" s="189">
        <f>(8.5+2)/100</f>
        <v>0.105</v>
      </c>
      <c r="N21" s="178"/>
      <c r="O21" s="176"/>
      <c r="P21" s="176"/>
      <c r="Q21" s="179">
        <f t="shared" ref="Q21:Q27" si="1">+I21*M21*F21/360</f>
        <v>2285.3923369549998</v>
      </c>
    </row>
    <row r="22" spans="1:17" x14ac:dyDescent="0.25">
      <c r="A22" s="169">
        <v>2</v>
      </c>
      <c r="B22" s="170"/>
      <c r="C22" s="171"/>
      <c r="D22" s="172">
        <v>36598</v>
      </c>
      <c r="E22" s="172">
        <v>36637</v>
      </c>
      <c r="F22" s="188">
        <f t="shared" si="0"/>
        <v>39</v>
      </c>
      <c r="G22" s="173"/>
      <c r="H22" s="174"/>
      <c r="I22" s="179">
        <v>143383.18627999999</v>
      </c>
      <c r="J22" s="175"/>
      <c r="K22" s="176"/>
      <c r="L22" s="189"/>
      <c r="M22" s="189">
        <f>(8.5+2)/100</f>
        <v>0.105</v>
      </c>
      <c r="N22" s="178"/>
      <c r="O22" s="176"/>
      <c r="P22" s="176"/>
      <c r="Q22" s="179">
        <f t="shared" si="1"/>
        <v>1630.9837439349999</v>
      </c>
    </row>
    <row r="23" spans="1:17" x14ac:dyDescent="0.25">
      <c r="A23" s="169">
        <v>3</v>
      </c>
      <c r="B23" s="170"/>
      <c r="C23" s="171"/>
      <c r="D23" s="172">
        <v>36598</v>
      </c>
      <c r="E23" s="172">
        <v>36637</v>
      </c>
      <c r="F23" s="188">
        <f t="shared" si="0"/>
        <v>39</v>
      </c>
      <c r="G23" s="173"/>
      <c r="H23" s="174"/>
      <c r="I23" s="179">
        <v>16909.2</v>
      </c>
      <c r="J23" s="175"/>
      <c r="K23" s="176"/>
      <c r="L23" s="189"/>
      <c r="M23" s="189">
        <f>(8.5+2)/100</f>
        <v>0.105</v>
      </c>
      <c r="N23" s="178"/>
      <c r="O23" s="176"/>
      <c r="P23" s="176"/>
      <c r="Q23" s="179">
        <f t="shared" si="1"/>
        <v>192.34215</v>
      </c>
    </row>
    <row r="24" spans="1:17" x14ac:dyDescent="0.25">
      <c r="A24" s="169">
        <v>4</v>
      </c>
      <c r="B24" s="170"/>
      <c r="C24" s="171"/>
      <c r="D24" s="172">
        <v>36621</v>
      </c>
      <c r="E24" s="172">
        <v>36683</v>
      </c>
      <c r="F24" s="188">
        <f t="shared" si="0"/>
        <v>62</v>
      </c>
      <c r="G24" s="173"/>
      <c r="H24" s="174"/>
      <c r="I24" s="179">
        <v>108958.12321000002</v>
      </c>
      <c r="J24" s="175"/>
      <c r="K24" s="176"/>
      <c r="L24" s="189"/>
      <c r="M24" s="189">
        <v>0.105</v>
      </c>
      <c r="N24" s="178"/>
      <c r="O24" s="176"/>
      <c r="P24" s="176"/>
      <c r="Q24" s="179">
        <f t="shared" si="1"/>
        <v>1970.3260613808338</v>
      </c>
    </row>
    <row r="25" spans="1:17" x14ac:dyDescent="0.25">
      <c r="A25" s="169">
        <v>5</v>
      </c>
      <c r="B25" s="170"/>
      <c r="C25" s="171"/>
      <c r="D25" s="172">
        <v>36661</v>
      </c>
      <c r="E25" s="172">
        <v>36830</v>
      </c>
      <c r="F25" s="188">
        <f t="shared" si="0"/>
        <v>169</v>
      </c>
      <c r="G25" s="173"/>
      <c r="H25" s="174"/>
      <c r="I25" s="179">
        <v>103967.41</v>
      </c>
      <c r="J25" s="175"/>
      <c r="K25" s="176"/>
      <c r="L25" s="189"/>
      <c r="M25" s="189">
        <f>(8.5+2)/100</f>
        <v>0.105</v>
      </c>
      <c r="N25" s="178"/>
      <c r="O25" s="176"/>
      <c r="P25" s="176"/>
      <c r="Q25" s="179">
        <f t="shared" si="1"/>
        <v>5124.7269179166669</v>
      </c>
    </row>
    <row r="26" spans="1:17" s="156" customFormat="1" ht="13.8" x14ac:dyDescent="0.25">
      <c r="A26" s="169">
        <v>6</v>
      </c>
      <c r="B26" s="1"/>
      <c r="C26" s="148"/>
      <c r="D26" s="168">
        <v>36689</v>
      </c>
      <c r="E26" s="172">
        <v>36830</v>
      </c>
      <c r="F26" s="188">
        <f t="shared" si="0"/>
        <v>141</v>
      </c>
      <c r="G26" s="1"/>
      <c r="H26" s="151"/>
      <c r="I26" s="195">
        <v>174225.25</v>
      </c>
      <c r="J26" s="153"/>
      <c r="K26" s="1"/>
      <c r="L26" s="154"/>
      <c r="M26" s="189">
        <f>(8.5+2)/100</f>
        <v>0.105</v>
      </c>
      <c r="N26" s="178"/>
      <c r="O26" s="176"/>
      <c r="P26" s="176"/>
      <c r="Q26" s="195">
        <f t="shared" si="1"/>
        <v>7165.0134062500001</v>
      </c>
    </row>
    <row r="27" spans="1:17" x14ac:dyDescent="0.25">
      <c r="A27" s="169">
        <v>7</v>
      </c>
      <c r="B27" s="176"/>
      <c r="C27" s="180"/>
      <c r="D27" s="168">
        <v>36738</v>
      </c>
      <c r="E27" s="172">
        <v>36830</v>
      </c>
      <c r="F27" s="188">
        <f t="shared" si="0"/>
        <v>92</v>
      </c>
      <c r="G27" s="176"/>
      <c r="H27" s="173"/>
      <c r="I27" s="195">
        <v>234171.54467999996</v>
      </c>
      <c r="J27" s="175"/>
      <c r="K27" s="176"/>
      <c r="L27" s="176"/>
      <c r="M27" s="189">
        <f>(8.5+2)/100</f>
        <v>0.105</v>
      </c>
      <c r="N27" s="178"/>
      <c r="O27" s="176"/>
      <c r="P27" s="179"/>
      <c r="Q27" s="195">
        <f t="shared" si="1"/>
        <v>6283.6031155799983</v>
      </c>
    </row>
    <row r="28" spans="1:17" x14ac:dyDescent="0.25">
      <c r="A28" s="169"/>
      <c r="B28" s="176"/>
      <c r="C28" s="180"/>
      <c r="D28" s="168"/>
      <c r="E28" s="172"/>
      <c r="F28" s="176"/>
      <c r="G28" s="176"/>
      <c r="H28" s="173"/>
      <c r="I28" s="195"/>
      <c r="J28" s="175"/>
      <c r="K28" s="176"/>
      <c r="L28" s="176"/>
      <c r="M28" s="177"/>
      <c r="N28" s="178"/>
      <c r="O28" s="176"/>
      <c r="P28" s="179"/>
      <c r="Q28" s="195"/>
    </row>
    <row r="29" spans="1:17" x14ac:dyDescent="0.25">
      <c r="A29" s="169"/>
      <c r="B29" s="176"/>
      <c r="C29" s="180"/>
      <c r="D29" s="168"/>
      <c r="E29" s="172"/>
      <c r="F29" s="176"/>
      <c r="G29" s="176"/>
      <c r="H29" s="173"/>
      <c r="I29" s="197"/>
      <c r="J29" s="175"/>
      <c r="K29" s="176"/>
      <c r="L29" s="176"/>
      <c r="M29" s="177"/>
      <c r="N29" s="178"/>
      <c r="O29" s="176"/>
      <c r="P29" s="179"/>
      <c r="Q29" s="197"/>
    </row>
    <row r="30" spans="1:17" x14ac:dyDescent="0.25">
      <c r="A30" s="176"/>
      <c r="B30" s="176"/>
      <c r="C30" s="180"/>
      <c r="D30" s="181"/>
      <c r="E30" s="172"/>
      <c r="F30" s="176"/>
      <c r="G30" s="176"/>
      <c r="H30" s="173"/>
      <c r="I30" s="179">
        <f>SUM(I21:I26)</f>
        <v>748356.78153000004</v>
      </c>
      <c r="J30" s="175"/>
      <c r="K30" s="176" t="s">
        <v>98</v>
      </c>
      <c r="L30" s="176"/>
      <c r="M30" s="177"/>
      <c r="N30" s="178"/>
      <c r="O30" s="176"/>
      <c r="P30" s="179"/>
      <c r="Q30" s="195">
        <f>SUM(Q21:Q26)</f>
        <v>18368.784616437501</v>
      </c>
    </row>
    <row r="31" spans="1:17" x14ac:dyDescent="0.25">
      <c r="A31" s="176"/>
      <c r="B31" s="176"/>
      <c r="C31" s="180"/>
      <c r="D31" s="181"/>
      <c r="E31" s="172"/>
      <c r="F31" s="176"/>
      <c r="G31" s="176"/>
      <c r="H31" s="173"/>
      <c r="I31" s="179"/>
      <c r="J31" s="175"/>
      <c r="K31" s="176"/>
      <c r="L31" s="176"/>
      <c r="M31" s="177"/>
      <c r="N31" s="178"/>
      <c r="O31" s="176"/>
      <c r="P31" s="176"/>
      <c r="Q31" s="176"/>
    </row>
    <row r="32" spans="1:17" x14ac:dyDescent="0.25">
      <c r="A32" s="169"/>
      <c r="B32" s="176"/>
      <c r="C32" s="180"/>
      <c r="D32" s="181"/>
      <c r="E32" s="172"/>
      <c r="F32" s="176"/>
      <c r="G32" s="176"/>
      <c r="H32" s="173"/>
      <c r="I32" s="179"/>
      <c r="J32" s="176"/>
      <c r="K32" s="176"/>
      <c r="M32" s="172"/>
      <c r="N32" s="178"/>
      <c r="O32" s="176"/>
      <c r="P32" s="169"/>
      <c r="Q32" s="179"/>
    </row>
    <row r="33" spans="1:17" x14ac:dyDescent="0.25">
      <c r="A33" s="169"/>
      <c r="B33" s="176"/>
      <c r="C33" s="180"/>
      <c r="D33" s="181"/>
      <c r="E33" s="172"/>
      <c r="F33" s="176"/>
      <c r="G33" s="176"/>
      <c r="H33" s="173"/>
      <c r="I33" s="179"/>
      <c r="J33" s="175"/>
      <c r="K33" s="176"/>
      <c r="L33" s="176"/>
      <c r="M33" s="172"/>
      <c r="N33" s="178"/>
      <c r="O33" s="176"/>
      <c r="P33" s="169"/>
      <c r="Q33" s="179"/>
    </row>
    <row r="34" spans="1:17" x14ac:dyDescent="0.25">
      <c r="A34" s="139"/>
      <c r="M34" s="172"/>
      <c r="P34" s="139"/>
      <c r="Q34" s="179"/>
    </row>
    <row r="35" spans="1:17" x14ac:dyDescent="0.25">
      <c r="A35" s="139"/>
      <c r="M35" s="172"/>
      <c r="P35" s="139"/>
      <c r="Q35" s="179"/>
    </row>
    <row r="36" spans="1:17" x14ac:dyDescent="0.25">
      <c r="A36" s="139"/>
      <c r="M36" s="172"/>
      <c r="P36" s="139"/>
      <c r="Q36" s="179"/>
    </row>
    <row r="37" spans="1:17" x14ac:dyDescent="0.25">
      <c r="A37" s="139"/>
      <c r="M37" s="172"/>
      <c r="P37" s="139"/>
      <c r="Q37" s="179"/>
    </row>
    <row r="38" spans="1:17" x14ac:dyDescent="0.25">
      <c r="A38" s="139"/>
      <c r="M38" s="172"/>
      <c r="P38" s="139"/>
      <c r="Q38" s="179"/>
    </row>
    <row r="39" spans="1:17" x14ac:dyDescent="0.25">
      <c r="Q39" s="182">
        <f>SUM(Q32:Q38)</f>
        <v>0</v>
      </c>
    </row>
    <row r="42" spans="1:17" ht="15.6" thickBot="1" x14ac:dyDescent="0.3">
      <c r="L42" s="30" t="s">
        <v>96</v>
      </c>
      <c r="Q42" s="194">
        <f>+Q30-Q39</f>
        <v>18368.784616437501</v>
      </c>
    </row>
    <row r="43" spans="1:17" ht="15.6" thickTop="1" x14ac:dyDescent="0.25">
      <c r="A43" s="196"/>
    </row>
    <row r="44" spans="1:17" x14ac:dyDescent="0.25">
      <c r="A44" s="30" t="s">
        <v>103</v>
      </c>
    </row>
  </sheetData>
  <mergeCells count="1">
    <mergeCell ref="E13:G15"/>
  </mergeCells>
  <printOptions horizontalCentered="1"/>
  <pageMargins left="0.21" right="0.52" top="0.49" bottom="1" header="0.25" footer="0.5"/>
  <pageSetup scale="70" fitToHeight="0" orientation="landscape" horizontalDpi="4294967292" verticalDpi="300" r:id="rId1"/>
  <headerFooter alignWithMargins="0">
    <oddFooter>&amp;L&amp;8*Note: Interest is not compounded.</oddFooter>
  </headerFooter>
  <drawing r:id="rId2"/>
  <legacyDrawing r:id="rId3"/>
  <oleObjects>
    <mc:AlternateContent xmlns:mc="http://schemas.openxmlformats.org/markup-compatibility/2006">
      <mc:Choice Requires="x14">
        <oleObject progId="Word.Document.6" shapeId="22529" r:id="rId4">
          <objectPr defaultSize="0" r:id="rId5">
            <anchor moveWithCells="1">
              <from>
                <xdr:col>0</xdr:col>
                <xdr:colOff>7620</xdr:colOff>
                <xdr:row>0</xdr:row>
                <xdr:rowOff>0</xdr:rowOff>
              </from>
              <to>
                <xdr:col>1</xdr:col>
                <xdr:colOff>205740</xdr:colOff>
                <xdr:row>8</xdr:row>
                <xdr:rowOff>182880</xdr:rowOff>
              </to>
            </anchor>
          </objectPr>
        </oleObject>
      </mc:Choice>
      <mc:Fallback>
        <oleObject progId="Word.Document.6" shapeId="22529"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12"/>
  <dimension ref="A1:J57"/>
  <sheetViews>
    <sheetView showGridLines="0" topLeftCell="A35" workbookViewId="0">
      <selection activeCell="A57" sqref="A57:IV59"/>
    </sheetView>
  </sheetViews>
  <sheetFormatPr defaultRowHeight="13.2" x14ac:dyDescent="0.25"/>
  <cols>
    <col min="1" max="1" width="46" bestFit="1" customWidth="1"/>
    <col min="2" max="2" width="22.5546875" customWidth="1"/>
    <col min="3" max="3" width="12.33203125" bestFit="1" customWidth="1"/>
    <col min="4" max="4" width="10" bestFit="1" customWidth="1"/>
    <col min="7" max="7" width="11.33203125" bestFit="1" customWidth="1"/>
    <col min="8" max="8" width="5.5546875" customWidth="1"/>
    <col min="10" max="10" width="11.33203125" customWidth="1"/>
  </cols>
  <sheetData>
    <row r="1" spans="1:10" ht="13.8" x14ac:dyDescent="0.25">
      <c r="A1" s="1" t="s">
        <v>78</v>
      </c>
    </row>
    <row r="2" spans="1:10" ht="13.8" x14ac:dyDescent="0.25">
      <c r="A2" s="1" t="s">
        <v>79</v>
      </c>
    </row>
    <row r="3" spans="1:10" ht="13.8" x14ac:dyDescent="0.25">
      <c r="A3" s="1" t="s">
        <v>86</v>
      </c>
    </row>
    <row r="5" spans="1:10" x14ac:dyDescent="0.25">
      <c r="A5" s="3" t="s">
        <v>0</v>
      </c>
      <c r="G5" s="5"/>
      <c r="H5" s="2" t="s">
        <v>1</v>
      </c>
      <c r="I5" s="205" t="s">
        <v>2</v>
      </c>
      <c r="J5" s="205"/>
    </row>
    <row r="6" spans="1:10" x14ac:dyDescent="0.25">
      <c r="A6" s="6">
        <v>36604</v>
      </c>
      <c r="G6" s="7"/>
      <c r="H6" s="2" t="s">
        <v>1</v>
      </c>
      <c r="I6" s="205" t="s">
        <v>3</v>
      </c>
      <c r="J6" s="205"/>
    </row>
    <row r="7" spans="1:10" x14ac:dyDescent="0.25">
      <c r="A7" s="3" t="s">
        <v>4</v>
      </c>
    </row>
    <row r="8" spans="1:10" x14ac:dyDescent="0.25">
      <c r="A8" s="190">
        <v>103967.41</v>
      </c>
    </row>
    <row r="9" spans="1:10" x14ac:dyDescent="0.25">
      <c r="A9" s="3" t="s">
        <v>5</v>
      </c>
    </row>
    <row r="10" spans="1:10" x14ac:dyDescent="0.25">
      <c r="A10" s="8">
        <v>8091.85</v>
      </c>
    </row>
    <row r="11" spans="1:10" x14ac:dyDescent="0.25">
      <c r="A11" s="9" t="s">
        <v>6</v>
      </c>
    </row>
    <row r="12" spans="1:10" x14ac:dyDescent="0.25">
      <c r="A12" s="10">
        <v>545.91999999999996</v>
      </c>
    </row>
    <row r="13" spans="1:10" x14ac:dyDescent="0.25">
      <c r="A13" s="3" t="s">
        <v>7</v>
      </c>
    </row>
    <row r="14" spans="1:10" x14ac:dyDescent="0.25">
      <c r="A14" s="11">
        <v>2729616</v>
      </c>
    </row>
    <row r="15" spans="1:10" x14ac:dyDescent="0.25">
      <c r="A15" s="9" t="s">
        <v>13</v>
      </c>
    </row>
    <row r="16" spans="1:10" x14ac:dyDescent="0.25">
      <c r="A16" s="15">
        <v>0</v>
      </c>
    </row>
    <row r="17" spans="1:7" x14ac:dyDescent="0.25">
      <c r="A17" s="3" t="s">
        <v>8</v>
      </c>
    </row>
    <row r="18" spans="1:7" x14ac:dyDescent="0.25">
      <c r="A18" s="7">
        <f>A14/1000</f>
        <v>2729.616</v>
      </c>
      <c r="C18" s="16"/>
    </row>
    <row r="20" spans="1:7" x14ac:dyDescent="0.25">
      <c r="A20" s="3" t="s">
        <v>9</v>
      </c>
    </row>
    <row r="21" spans="1:7" x14ac:dyDescent="0.25">
      <c r="A21" s="12">
        <f>((A8-A10-A12-A16)/A14)*1000</f>
        <v>34.924194465448622</v>
      </c>
      <c r="B21" t="s">
        <v>83</v>
      </c>
    </row>
    <row r="22" spans="1:7" x14ac:dyDescent="0.25">
      <c r="A22" s="166"/>
    </row>
    <row r="23" spans="1:7" x14ac:dyDescent="0.25">
      <c r="A23" s="165" t="s">
        <v>10</v>
      </c>
    </row>
    <row r="24" spans="1:7" ht="14.25" customHeight="1" x14ac:dyDescent="0.25">
      <c r="A24" s="13">
        <f>VLOOKUP(A6,'Assumed price schedule'!$I$7:$M$37,5,0)</f>
        <v>40</v>
      </c>
      <c r="B24" t="s">
        <v>84</v>
      </c>
    </row>
    <row r="27" spans="1:7" x14ac:dyDescent="0.25">
      <c r="A27" s="3" t="s">
        <v>14</v>
      </c>
    </row>
    <row r="28" spans="1:7" x14ac:dyDescent="0.25">
      <c r="A28" s="14">
        <f>(A21-(40+(A21-A24)))</f>
        <v>0</v>
      </c>
      <c r="B28" t="s">
        <v>16</v>
      </c>
      <c r="E28" s="16"/>
      <c r="F28" s="17"/>
      <c r="G28" s="16"/>
    </row>
    <row r="29" spans="1:7" x14ac:dyDescent="0.25">
      <c r="A29" s="18"/>
      <c r="B29" s="18"/>
      <c r="E29" s="16"/>
      <c r="F29" s="17"/>
      <c r="G29" s="16"/>
    </row>
    <row r="30" spans="1:7" x14ac:dyDescent="0.25">
      <c r="A30" s="14">
        <f>A28*A18</f>
        <v>0</v>
      </c>
      <c r="B30" s="18" t="s">
        <v>15</v>
      </c>
      <c r="E30" s="16"/>
      <c r="F30" s="17"/>
      <c r="G30" s="16"/>
    </row>
    <row r="32" spans="1:7" ht="13.8" thickBot="1" x14ac:dyDescent="0.3"/>
    <row r="33" spans="1:2" ht="13.8" thickTop="1" x14ac:dyDescent="0.25">
      <c r="A33" s="162"/>
    </row>
    <row r="34" spans="1:2" ht="13.8" x14ac:dyDescent="0.25">
      <c r="A34" s="164" t="s">
        <v>80</v>
      </c>
    </row>
    <row r="35" spans="1:2" x14ac:dyDescent="0.25">
      <c r="A35" s="163"/>
    </row>
    <row r="36" spans="1:2" x14ac:dyDescent="0.25">
      <c r="A36" s="3" t="s">
        <v>11</v>
      </c>
    </row>
    <row r="37" spans="1:2" x14ac:dyDescent="0.25">
      <c r="A37" s="14">
        <f>SUM(A50:A53)</f>
        <v>103967.41</v>
      </c>
      <c r="B37" s="16" t="s">
        <v>85</v>
      </c>
    </row>
    <row r="38" spans="1:2" x14ac:dyDescent="0.25">
      <c r="A38" s="18"/>
    </row>
    <row r="39" spans="1:2" x14ac:dyDescent="0.25">
      <c r="A39" s="3" t="s">
        <v>81</v>
      </c>
    </row>
    <row r="40" spans="1:2" x14ac:dyDescent="0.25">
      <c r="A40" s="14">
        <f>+A30</f>
        <v>0</v>
      </c>
    </row>
    <row r="41" spans="1:2" x14ac:dyDescent="0.25">
      <c r="A41" s="161"/>
    </row>
    <row r="42" spans="1:2" x14ac:dyDescent="0.25">
      <c r="A42" s="3" t="s">
        <v>20</v>
      </c>
    </row>
    <row r="43" spans="1:2" x14ac:dyDescent="0.25">
      <c r="A43" s="14">
        <f>+A40+A37</f>
        <v>103967.41</v>
      </c>
    </row>
    <row r="46" spans="1:2" x14ac:dyDescent="0.25">
      <c r="A46" t="s">
        <v>12</v>
      </c>
    </row>
    <row r="47" spans="1:2" x14ac:dyDescent="0.25">
      <c r="A47" s="14">
        <f>+A54-A37-A40</f>
        <v>0</v>
      </c>
    </row>
    <row r="49" spans="1:3" x14ac:dyDescent="0.25">
      <c r="A49" s="3" t="s">
        <v>11</v>
      </c>
      <c r="C49" s="16"/>
    </row>
    <row r="50" spans="1:3" x14ac:dyDescent="0.25">
      <c r="A50" s="14">
        <f>(A21-A28)*A18</f>
        <v>95329.64</v>
      </c>
      <c r="B50" t="s">
        <v>17</v>
      </c>
    </row>
    <row r="51" spans="1:3" x14ac:dyDescent="0.25">
      <c r="A51" s="14">
        <f>A10</f>
        <v>8091.85</v>
      </c>
      <c r="B51" t="s">
        <v>18</v>
      </c>
    </row>
    <row r="52" spans="1:3" x14ac:dyDescent="0.25">
      <c r="A52" s="19">
        <f>A12</f>
        <v>545.91999999999996</v>
      </c>
      <c r="B52" t="s">
        <v>6</v>
      </c>
    </row>
    <row r="53" spans="1:3" x14ac:dyDescent="0.25">
      <c r="A53" s="14">
        <f>A16</f>
        <v>0</v>
      </c>
      <c r="B53" t="s">
        <v>19</v>
      </c>
    </row>
    <row r="54" spans="1:3" x14ac:dyDescent="0.25">
      <c r="A54" s="16">
        <f>SUM(A50:A53,A30)</f>
        <v>103967.41</v>
      </c>
      <c r="B54" t="s">
        <v>20</v>
      </c>
    </row>
    <row r="57" spans="1:3" x14ac:dyDescent="0.25">
      <c r="B57" s="16"/>
    </row>
  </sheetData>
  <mergeCells count="2">
    <mergeCell ref="I5:J5"/>
    <mergeCell ref="I6:J6"/>
  </mergeCells>
  <pageMargins left="0.75" right="0.75" top="1" bottom="1"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13"/>
  <dimension ref="A1:J54"/>
  <sheetViews>
    <sheetView showGridLines="0" topLeftCell="A35" workbookViewId="0">
      <selection activeCell="A57" sqref="A57:IV59"/>
    </sheetView>
  </sheetViews>
  <sheetFormatPr defaultRowHeight="13.2" x14ac:dyDescent="0.25"/>
  <cols>
    <col min="1" max="1" width="46" bestFit="1" customWidth="1"/>
    <col min="2" max="2" width="13.6640625" customWidth="1"/>
    <col min="3" max="3" width="12.33203125" bestFit="1" customWidth="1"/>
    <col min="4" max="4" width="10" bestFit="1" customWidth="1"/>
    <col min="7" max="7" width="11.33203125" bestFit="1" customWidth="1"/>
    <col min="8" max="8" width="5.5546875" customWidth="1"/>
    <col min="10" max="10" width="11.33203125" customWidth="1"/>
  </cols>
  <sheetData>
    <row r="1" spans="1:10" ht="13.8" x14ac:dyDescent="0.25">
      <c r="A1" s="1" t="s">
        <v>78</v>
      </c>
    </row>
    <row r="2" spans="1:10" ht="13.8" x14ac:dyDescent="0.25">
      <c r="A2" s="1" t="s">
        <v>79</v>
      </c>
    </row>
    <row r="3" spans="1:10" ht="13.8" x14ac:dyDescent="0.25">
      <c r="A3" s="1" t="s">
        <v>86</v>
      </c>
    </row>
    <row r="5" spans="1:10" x14ac:dyDescent="0.25">
      <c r="A5" s="3" t="s">
        <v>0</v>
      </c>
      <c r="G5" s="5"/>
      <c r="H5" s="2" t="s">
        <v>1</v>
      </c>
      <c r="I5" s="205" t="s">
        <v>2</v>
      </c>
      <c r="J5" s="205"/>
    </row>
    <row r="6" spans="1:10" x14ac:dyDescent="0.25">
      <c r="A6" s="6">
        <v>36635</v>
      </c>
      <c r="G6" s="7"/>
      <c r="H6" s="2" t="s">
        <v>1</v>
      </c>
      <c r="I6" s="205" t="s">
        <v>3</v>
      </c>
      <c r="J6" s="205"/>
    </row>
    <row r="7" spans="1:10" x14ac:dyDescent="0.25">
      <c r="A7" s="3" t="s">
        <v>4</v>
      </c>
    </row>
    <row r="8" spans="1:10" x14ac:dyDescent="0.25">
      <c r="A8" s="190">
        <v>176052.44</v>
      </c>
    </row>
    <row r="9" spans="1:10" x14ac:dyDescent="0.25">
      <c r="A9" s="3" t="s">
        <v>5</v>
      </c>
    </row>
    <row r="10" spans="1:10" x14ac:dyDescent="0.25">
      <c r="A10" s="8">
        <v>8195.2000000000007</v>
      </c>
    </row>
    <row r="11" spans="1:10" x14ac:dyDescent="0.25">
      <c r="A11" s="9" t="s">
        <v>6</v>
      </c>
    </row>
    <row r="12" spans="1:10" x14ac:dyDescent="0.25">
      <c r="A12" s="10">
        <v>913.59</v>
      </c>
    </row>
    <row r="13" spans="1:10" x14ac:dyDescent="0.25">
      <c r="A13" s="3" t="s">
        <v>7</v>
      </c>
    </row>
    <row r="14" spans="1:10" x14ac:dyDescent="0.25">
      <c r="A14" s="11">
        <v>4567964</v>
      </c>
    </row>
    <row r="15" spans="1:10" x14ac:dyDescent="0.25">
      <c r="A15" s="9" t="s">
        <v>13</v>
      </c>
    </row>
    <row r="16" spans="1:10" x14ac:dyDescent="0.25">
      <c r="A16" s="15">
        <v>0</v>
      </c>
    </row>
    <row r="17" spans="1:7" x14ac:dyDescent="0.25">
      <c r="A17" s="3" t="s">
        <v>8</v>
      </c>
    </row>
    <row r="18" spans="1:7" x14ac:dyDescent="0.25">
      <c r="A18" s="7">
        <f>A14/1000</f>
        <v>4567.9639999999999</v>
      </c>
      <c r="C18" s="16"/>
    </row>
    <row r="20" spans="1:7" x14ac:dyDescent="0.25">
      <c r="A20" s="3" t="s">
        <v>9</v>
      </c>
    </row>
    <row r="21" spans="1:7" x14ac:dyDescent="0.25">
      <c r="A21" s="12">
        <f>((A8-A10-A12-A16)/A14)*1000</f>
        <v>36.546621208048045</v>
      </c>
      <c r="B21" t="s">
        <v>83</v>
      </c>
    </row>
    <row r="22" spans="1:7" x14ac:dyDescent="0.25">
      <c r="A22" s="166"/>
    </row>
    <row r="23" spans="1:7" x14ac:dyDescent="0.25">
      <c r="A23" s="165" t="s">
        <v>10</v>
      </c>
    </row>
    <row r="24" spans="1:7" ht="14.25" customHeight="1" x14ac:dyDescent="0.25">
      <c r="A24" s="13">
        <f>VLOOKUP(A6,'Assumed price schedule'!$I$7:$M$37,5,0)</f>
        <v>40.4</v>
      </c>
      <c r="B24" t="s">
        <v>84</v>
      </c>
    </row>
    <row r="27" spans="1:7" x14ac:dyDescent="0.25">
      <c r="A27" s="3" t="s">
        <v>14</v>
      </c>
    </row>
    <row r="28" spans="1:7" x14ac:dyDescent="0.25">
      <c r="A28" s="14">
        <f>(A21-(40+(A21-A24)))</f>
        <v>0.39999999999999858</v>
      </c>
      <c r="B28" t="s">
        <v>16</v>
      </c>
      <c r="E28" s="16"/>
      <c r="F28" s="17"/>
      <c r="G28" s="16"/>
    </row>
    <row r="29" spans="1:7" x14ac:dyDescent="0.25">
      <c r="A29" s="18"/>
      <c r="B29" s="18"/>
      <c r="E29" s="16"/>
      <c r="F29" s="17"/>
      <c r="G29" s="16"/>
    </row>
    <row r="30" spans="1:7" x14ac:dyDescent="0.25">
      <c r="A30" s="14">
        <f>A28*A18</f>
        <v>1827.1855999999934</v>
      </c>
      <c r="B30" s="18" t="s">
        <v>15</v>
      </c>
      <c r="E30" s="16"/>
      <c r="F30" s="17"/>
      <c r="G30" s="16"/>
    </row>
    <row r="32" spans="1:7" ht="13.8" thickBot="1" x14ac:dyDescent="0.3"/>
    <row r="33" spans="1:2" ht="13.8" thickTop="1" x14ac:dyDescent="0.25">
      <c r="A33" s="162"/>
    </row>
    <row r="34" spans="1:2" ht="13.8" x14ac:dyDescent="0.25">
      <c r="A34" s="164" t="s">
        <v>80</v>
      </c>
    </row>
    <row r="35" spans="1:2" x14ac:dyDescent="0.25">
      <c r="A35" s="163"/>
    </row>
    <row r="36" spans="1:2" x14ac:dyDescent="0.25">
      <c r="A36" s="3" t="s">
        <v>11</v>
      </c>
    </row>
    <row r="37" spans="1:2" x14ac:dyDescent="0.25">
      <c r="A37" s="14">
        <f>SUM(A50:A53)</f>
        <v>174225.25439999998</v>
      </c>
      <c r="B37" s="16" t="s">
        <v>85</v>
      </c>
    </row>
    <row r="38" spans="1:2" x14ac:dyDescent="0.25">
      <c r="A38" s="18"/>
    </row>
    <row r="39" spans="1:2" x14ac:dyDescent="0.25">
      <c r="A39" s="3" t="s">
        <v>81</v>
      </c>
    </row>
    <row r="40" spans="1:2" x14ac:dyDescent="0.25">
      <c r="A40" s="14">
        <f>+A30</f>
        <v>1827.1855999999934</v>
      </c>
    </row>
    <row r="41" spans="1:2" x14ac:dyDescent="0.25">
      <c r="A41" s="161"/>
    </row>
    <row r="42" spans="1:2" x14ac:dyDescent="0.25">
      <c r="A42" s="3" t="s">
        <v>20</v>
      </c>
    </row>
    <row r="43" spans="1:2" x14ac:dyDescent="0.25">
      <c r="A43" s="14">
        <f>+A40+A37</f>
        <v>176052.43999999997</v>
      </c>
    </row>
    <row r="46" spans="1:2" x14ac:dyDescent="0.25">
      <c r="A46" t="s">
        <v>12</v>
      </c>
    </row>
    <row r="47" spans="1:2" x14ac:dyDescent="0.25">
      <c r="A47" s="14">
        <f>+A54-A37-A40</f>
        <v>3.637978807091713E-12</v>
      </c>
    </row>
    <row r="49" spans="1:3" x14ac:dyDescent="0.25">
      <c r="A49" s="3" t="s">
        <v>11</v>
      </c>
      <c r="C49" s="16"/>
    </row>
    <row r="50" spans="1:3" x14ac:dyDescent="0.25">
      <c r="A50" s="14">
        <f>(A21-A28)*A18</f>
        <v>165116.46439999997</v>
      </c>
      <c r="B50" t="s">
        <v>17</v>
      </c>
    </row>
    <row r="51" spans="1:3" x14ac:dyDescent="0.25">
      <c r="A51" s="14">
        <f>A10</f>
        <v>8195.2000000000007</v>
      </c>
      <c r="B51" t="s">
        <v>18</v>
      </c>
    </row>
    <row r="52" spans="1:3" x14ac:dyDescent="0.25">
      <c r="A52" s="19">
        <f>A12</f>
        <v>913.59</v>
      </c>
      <c r="B52" t="s">
        <v>6</v>
      </c>
    </row>
    <row r="53" spans="1:3" x14ac:dyDescent="0.25">
      <c r="A53" s="14">
        <f>A16</f>
        <v>0</v>
      </c>
      <c r="B53" t="s">
        <v>19</v>
      </c>
    </row>
    <row r="54" spans="1:3" x14ac:dyDescent="0.25">
      <c r="A54" s="16">
        <f>SUM(A50:A53,A30)</f>
        <v>176052.43999999997</v>
      </c>
      <c r="B54" t="s">
        <v>20</v>
      </c>
    </row>
  </sheetData>
  <mergeCells count="2">
    <mergeCell ref="I5:J5"/>
    <mergeCell ref="I6:J6"/>
  </mergeCells>
  <pageMargins left="0.75" right="0.75" top="1" bottom="1" header="0.5" footer="0.5"/>
  <pageSetup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14"/>
  <dimension ref="A1:J54"/>
  <sheetViews>
    <sheetView showGridLines="0" topLeftCell="A35" workbookViewId="0">
      <selection activeCell="A57" sqref="A57:IV60"/>
    </sheetView>
  </sheetViews>
  <sheetFormatPr defaultRowHeight="13.2" x14ac:dyDescent="0.25"/>
  <cols>
    <col min="1" max="1" width="46" bestFit="1" customWidth="1"/>
    <col min="2" max="2" width="14.6640625" customWidth="1"/>
    <col min="3" max="3" width="12.33203125" bestFit="1" customWidth="1"/>
    <col min="4" max="4" width="10" bestFit="1" customWidth="1"/>
    <col min="7" max="7" width="11.33203125" bestFit="1" customWidth="1"/>
    <col min="8" max="8" width="5.5546875" customWidth="1"/>
    <col min="10" max="10" width="11.33203125" customWidth="1"/>
  </cols>
  <sheetData>
    <row r="1" spans="1:10" ht="13.8" x14ac:dyDescent="0.25">
      <c r="A1" s="1" t="s">
        <v>78</v>
      </c>
    </row>
    <row r="2" spans="1:10" ht="13.8" x14ac:dyDescent="0.25">
      <c r="A2" s="1" t="s">
        <v>79</v>
      </c>
    </row>
    <row r="3" spans="1:10" ht="13.8" x14ac:dyDescent="0.25">
      <c r="A3" s="1" t="s">
        <v>86</v>
      </c>
    </row>
    <row r="5" spans="1:10" x14ac:dyDescent="0.25">
      <c r="A5" s="3" t="s">
        <v>0</v>
      </c>
      <c r="G5" s="5"/>
      <c r="H5" s="2" t="s">
        <v>1</v>
      </c>
      <c r="I5" s="205" t="s">
        <v>2</v>
      </c>
      <c r="J5" s="205"/>
    </row>
    <row r="6" spans="1:10" x14ac:dyDescent="0.25">
      <c r="A6" s="6">
        <v>36665</v>
      </c>
      <c r="G6" s="7"/>
      <c r="H6" s="2" t="s">
        <v>1</v>
      </c>
      <c r="I6" s="205" t="s">
        <v>3</v>
      </c>
      <c r="J6" s="205"/>
    </row>
    <row r="7" spans="1:10" x14ac:dyDescent="0.25">
      <c r="A7" s="3" t="s">
        <v>4</v>
      </c>
    </row>
    <row r="8" spans="1:10" x14ac:dyDescent="0.25">
      <c r="A8" s="190">
        <v>235650.37</v>
      </c>
    </row>
    <row r="9" spans="1:10" x14ac:dyDescent="0.25">
      <c r="A9" s="3" t="s">
        <v>5</v>
      </c>
    </row>
    <row r="10" spans="1:10" x14ac:dyDescent="0.25">
      <c r="A10" s="8">
        <v>7092</v>
      </c>
    </row>
    <row r="11" spans="1:10" x14ac:dyDescent="0.25">
      <c r="A11" s="9" t="s">
        <v>6</v>
      </c>
    </row>
    <row r="12" spans="1:10" x14ac:dyDescent="0.25">
      <c r="A12" s="10">
        <v>1056.3</v>
      </c>
    </row>
    <row r="13" spans="1:10" x14ac:dyDescent="0.25">
      <c r="A13" s="3" t="s">
        <v>7</v>
      </c>
    </row>
    <row r="14" spans="1:10" x14ac:dyDescent="0.25">
      <c r="A14" s="11">
        <v>5281519</v>
      </c>
    </row>
    <row r="15" spans="1:10" x14ac:dyDescent="0.25">
      <c r="A15" s="9" t="s">
        <v>13</v>
      </c>
    </row>
    <row r="16" spans="1:10" x14ac:dyDescent="0.25">
      <c r="A16" s="15">
        <v>0</v>
      </c>
    </row>
    <row r="17" spans="1:7" x14ac:dyDescent="0.25">
      <c r="A17" s="3" t="s">
        <v>8</v>
      </c>
    </row>
    <row r="18" spans="1:7" x14ac:dyDescent="0.25">
      <c r="A18" s="7">
        <f>A14/1000</f>
        <v>5281.5190000000002</v>
      </c>
      <c r="C18" s="16"/>
    </row>
    <row r="20" spans="1:7" x14ac:dyDescent="0.25">
      <c r="A20" s="3" t="s">
        <v>9</v>
      </c>
    </row>
    <row r="21" spans="1:7" x14ac:dyDescent="0.25">
      <c r="A21" s="12">
        <f>((A8-A10-A12-A16)/A14)*1000</f>
        <v>43.075121002120788</v>
      </c>
      <c r="B21" t="s">
        <v>83</v>
      </c>
    </row>
    <row r="22" spans="1:7" x14ac:dyDescent="0.25">
      <c r="A22" s="166"/>
    </row>
    <row r="23" spans="1:7" x14ac:dyDescent="0.25">
      <c r="A23" s="165" t="s">
        <v>10</v>
      </c>
    </row>
    <row r="24" spans="1:7" ht="14.25" customHeight="1" x14ac:dyDescent="0.25">
      <c r="A24" s="13">
        <f>VLOOKUP(A6,'Assumed price schedule'!$I$7:$M$37,5,0)</f>
        <v>40.28</v>
      </c>
      <c r="B24" t="s">
        <v>84</v>
      </c>
    </row>
    <row r="27" spans="1:7" x14ac:dyDescent="0.25">
      <c r="A27" s="3" t="s">
        <v>14</v>
      </c>
    </row>
    <row r="28" spans="1:7" x14ac:dyDescent="0.25">
      <c r="A28" s="14">
        <f>(A21-(40+(A21-A24)))</f>
        <v>0.28000000000000114</v>
      </c>
      <c r="B28" t="s">
        <v>16</v>
      </c>
      <c r="E28" s="16"/>
      <c r="F28" s="17"/>
      <c r="G28" s="16"/>
    </row>
    <row r="29" spans="1:7" x14ac:dyDescent="0.25">
      <c r="A29" s="18"/>
      <c r="B29" s="18"/>
      <c r="E29" s="16"/>
      <c r="F29" s="17"/>
      <c r="G29" s="16"/>
    </row>
    <row r="30" spans="1:7" x14ac:dyDescent="0.25">
      <c r="A30" s="14">
        <f>A28*A18</f>
        <v>1478.8253200000061</v>
      </c>
      <c r="B30" s="18" t="s">
        <v>15</v>
      </c>
      <c r="E30" s="16"/>
      <c r="F30" s="17"/>
      <c r="G30" s="16"/>
    </row>
    <row r="32" spans="1:7" ht="13.8" thickBot="1" x14ac:dyDescent="0.3"/>
    <row r="33" spans="1:2" ht="13.8" thickTop="1" x14ac:dyDescent="0.25">
      <c r="A33" s="162"/>
    </row>
    <row r="34" spans="1:2" ht="13.8" x14ac:dyDescent="0.25">
      <c r="A34" s="164" t="s">
        <v>80</v>
      </c>
    </row>
    <row r="35" spans="1:2" x14ac:dyDescent="0.25">
      <c r="A35" s="163"/>
    </row>
    <row r="36" spans="1:2" x14ac:dyDescent="0.25">
      <c r="A36" s="3" t="s">
        <v>11</v>
      </c>
    </row>
    <row r="37" spans="1:2" x14ac:dyDescent="0.25">
      <c r="A37" s="14">
        <f>SUM(A50:A53)</f>
        <v>234171.54467999996</v>
      </c>
      <c r="B37" s="16" t="s">
        <v>85</v>
      </c>
    </row>
    <row r="38" spans="1:2" x14ac:dyDescent="0.25">
      <c r="A38" s="18"/>
    </row>
    <row r="39" spans="1:2" x14ac:dyDescent="0.25">
      <c r="A39" s="3" t="s">
        <v>81</v>
      </c>
    </row>
    <row r="40" spans="1:2" x14ac:dyDescent="0.25">
      <c r="A40" s="14">
        <f>+A30</f>
        <v>1478.8253200000061</v>
      </c>
    </row>
    <row r="41" spans="1:2" x14ac:dyDescent="0.25">
      <c r="A41" s="161"/>
    </row>
    <row r="42" spans="1:2" x14ac:dyDescent="0.25">
      <c r="A42" s="3" t="s">
        <v>20</v>
      </c>
    </row>
    <row r="43" spans="1:2" x14ac:dyDescent="0.25">
      <c r="A43" s="14">
        <f>+A40+A37</f>
        <v>235650.36999999997</v>
      </c>
    </row>
    <row r="46" spans="1:2" x14ac:dyDescent="0.25">
      <c r="A46" t="s">
        <v>12</v>
      </c>
    </row>
    <row r="47" spans="1:2" x14ac:dyDescent="0.25">
      <c r="A47" s="14">
        <f>+A54-A37-A40</f>
        <v>-2.5011104298755527E-12</v>
      </c>
    </row>
    <row r="49" spans="1:3" x14ac:dyDescent="0.25">
      <c r="A49" s="3" t="s">
        <v>11</v>
      </c>
      <c r="C49" s="16"/>
    </row>
    <row r="50" spans="1:3" x14ac:dyDescent="0.25">
      <c r="A50" s="14">
        <f>(A21-A28)*A18</f>
        <v>226023.24467999997</v>
      </c>
      <c r="B50" t="s">
        <v>17</v>
      </c>
    </row>
    <row r="51" spans="1:3" x14ac:dyDescent="0.25">
      <c r="A51" s="14">
        <f>A10</f>
        <v>7092</v>
      </c>
      <c r="B51" t="s">
        <v>18</v>
      </c>
    </row>
    <row r="52" spans="1:3" x14ac:dyDescent="0.25">
      <c r="A52" s="19">
        <f>A12</f>
        <v>1056.3</v>
      </c>
      <c r="B52" t="s">
        <v>6</v>
      </c>
    </row>
    <row r="53" spans="1:3" x14ac:dyDescent="0.25">
      <c r="A53" s="14">
        <f>A16</f>
        <v>0</v>
      </c>
      <c r="B53" t="s">
        <v>19</v>
      </c>
    </row>
    <row r="54" spans="1:3" x14ac:dyDescent="0.25">
      <c r="A54" s="16">
        <f>SUM(A50:A53,A30)</f>
        <v>235650.36999999997</v>
      </c>
      <c r="B54" t="s">
        <v>20</v>
      </c>
    </row>
  </sheetData>
  <mergeCells count="2">
    <mergeCell ref="I5:J5"/>
    <mergeCell ref="I6:J6"/>
  </mergeCells>
  <pageMargins left="0.75" right="0.75" top="1" bottom="1" header="0.5" footer="0.5"/>
  <pageSetup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39"/>
  <sheetViews>
    <sheetView workbookViewId="0">
      <selection activeCell="L10" sqref="L10"/>
    </sheetView>
  </sheetViews>
  <sheetFormatPr defaultRowHeight="13.2" x14ac:dyDescent="0.25"/>
  <cols>
    <col min="1" max="1" width="16" customWidth="1"/>
    <col min="2" max="2" width="8.33203125" customWidth="1"/>
    <col min="3" max="3" width="7.44140625" customWidth="1"/>
    <col min="4" max="4" width="8.33203125" customWidth="1"/>
    <col min="5" max="6" width="6.33203125" customWidth="1"/>
    <col min="7" max="8" width="9.5546875" customWidth="1"/>
    <col min="9" max="10" width="11.44140625" customWidth="1"/>
    <col min="11" max="11" width="8.109375" style="27" customWidth="1"/>
    <col min="12" max="13" width="10.5546875" customWidth="1"/>
  </cols>
  <sheetData>
    <row r="1" spans="1:13" ht="50.1" customHeight="1" x14ac:dyDescent="0.25">
      <c r="A1" s="206" t="s">
        <v>82</v>
      </c>
      <c r="B1" s="206"/>
      <c r="C1" s="206"/>
      <c r="D1" s="206"/>
      <c r="E1" s="206"/>
      <c r="F1" s="206"/>
      <c r="G1" s="206"/>
      <c r="H1" s="206"/>
      <c r="I1" s="206"/>
      <c r="J1" s="206"/>
      <c r="K1" s="206"/>
      <c r="L1" s="206"/>
      <c r="M1" s="206"/>
    </row>
    <row r="3" spans="1:13" ht="39.6" x14ac:dyDescent="0.25">
      <c r="A3" s="159" t="s">
        <v>21</v>
      </c>
      <c r="B3" s="159" t="s">
        <v>77</v>
      </c>
      <c r="C3" s="159" t="s">
        <v>22</v>
      </c>
      <c r="D3" s="159" t="s">
        <v>23</v>
      </c>
      <c r="E3" s="159" t="s">
        <v>24</v>
      </c>
      <c r="F3" s="159" t="s">
        <v>25</v>
      </c>
      <c r="G3" s="159" t="s">
        <v>26</v>
      </c>
      <c r="H3" s="159" t="s">
        <v>27</v>
      </c>
      <c r="I3" s="159" t="s">
        <v>28</v>
      </c>
      <c r="J3" s="159" t="s">
        <v>29</v>
      </c>
      <c r="K3" s="160" t="s">
        <v>30</v>
      </c>
      <c r="L3" s="159" t="s">
        <v>31</v>
      </c>
      <c r="M3" s="159" t="s">
        <v>32</v>
      </c>
    </row>
    <row r="4" spans="1:13" x14ac:dyDescent="0.25">
      <c r="A4" s="22">
        <v>36342</v>
      </c>
      <c r="B4" s="23">
        <v>51.39</v>
      </c>
      <c r="C4" s="20">
        <v>31</v>
      </c>
      <c r="D4" s="23">
        <f t="shared" ref="D4:D37" si="0">B4/C4</f>
        <v>1.6577419354838709</v>
      </c>
      <c r="E4" s="20">
        <v>13</v>
      </c>
      <c r="F4" s="20">
        <v>18</v>
      </c>
      <c r="G4" s="24">
        <f t="shared" ref="G4:G37" si="1">D4*E4</f>
        <v>21.550645161290323</v>
      </c>
      <c r="H4" s="24">
        <f t="shared" ref="H4:H37" si="2">(F4*D4)</f>
        <v>29.839354838709678</v>
      </c>
      <c r="I4" s="20" t="s">
        <v>33</v>
      </c>
      <c r="J4" s="20"/>
      <c r="K4" s="21"/>
      <c r="L4" s="24"/>
      <c r="M4" s="20" t="s">
        <v>34</v>
      </c>
    </row>
    <row r="5" spans="1:13" x14ac:dyDescent="0.25">
      <c r="A5" s="22">
        <v>36373</v>
      </c>
      <c r="B5" s="23">
        <v>52.29</v>
      </c>
      <c r="C5" s="20">
        <v>31</v>
      </c>
      <c r="D5" s="23">
        <f t="shared" si="0"/>
        <v>1.6867741935483871</v>
      </c>
      <c r="E5" s="20">
        <v>13</v>
      </c>
      <c r="F5" s="20">
        <v>18</v>
      </c>
      <c r="G5" s="24">
        <f t="shared" si="1"/>
        <v>21.928064516129034</v>
      </c>
      <c r="H5" s="24">
        <f t="shared" si="2"/>
        <v>30.361935483870969</v>
      </c>
      <c r="I5" s="22">
        <v>36360</v>
      </c>
      <c r="J5" s="22">
        <v>36391</v>
      </c>
      <c r="K5" s="21"/>
      <c r="L5" s="24">
        <f>SUM(H4,G5)</f>
        <v>51.767419354838708</v>
      </c>
      <c r="M5" s="24" t="s">
        <v>34</v>
      </c>
    </row>
    <row r="6" spans="1:13" x14ac:dyDescent="0.25">
      <c r="A6" s="22">
        <v>36404</v>
      </c>
      <c r="B6" s="23">
        <v>52.29</v>
      </c>
      <c r="C6" s="20">
        <v>30</v>
      </c>
      <c r="D6" s="23">
        <f t="shared" si="0"/>
        <v>1.7429999999999999</v>
      </c>
      <c r="E6" s="20">
        <v>8</v>
      </c>
      <c r="F6" s="20">
        <v>18</v>
      </c>
      <c r="G6" s="24">
        <f t="shared" si="1"/>
        <v>13.943999999999999</v>
      </c>
      <c r="H6" s="24">
        <f t="shared" si="2"/>
        <v>31.373999999999999</v>
      </c>
      <c r="I6" s="22">
        <v>36391</v>
      </c>
      <c r="J6" s="22">
        <v>36425</v>
      </c>
      <c r="K6" s="21"/>
      <c r="L6" s="24">
        <f>SUM(H5,G6)</f>
        <v>44.305935483870968</v>
      </c>
      <c r="M6" s="24" t="s">
        <v>34</v>
      </c>
    </row>
    <row r="7" spans="1:13" x14ac:dyDescent="0.25">
      <c r="A7" s="25">
        <v>36434</v>
      </c>
      <c r="B7" s="26">
        <v>51.84</v>
      </c>
      <c r="C7">
        <v>31</v>
      </c>
      <c r="D7" s="26">
        <f t="shared" si="0"/>
        <v>1.6722580645161291</v>
      </c>
      <c r="E7">
        <v>13</v>
      </c>
      <c r="F7">
        <v>18</v>
      </c>
      <c r="G7" s="16">
        <f t="shared" si="1"/>
        <v>21.73935483870968</v>
      </c>
      <c r="H7" s="16">
        <f t="shared" si="2"/>
        <v>30.100645161290323</v>
      </c>
      <c r="I7" s="25">
        <v>36426</v>
      </c>
      <c r="J7" s="25">
        <v>36451</v>
      </c>
      <c r="K7" s="27">
        <v>26</v>
      </c>
      <c r="L7" s="16">
        <f>SUM(G6,H7)</f>
        <v>44.044645161290319</v>
      </c>
      <c r="M7">
        <f t="shared" ref="M7:M37" si="3">ROUND((E6*B6+F7*B7)/K7,2)</f>
        <v>51.98</v>
      </c>
    </row>
    <row r="8" spans="1:13" x14ac:dyDescent="0.25">
      <c r="A8" s="25">
        <v>36465</v>
      </c>
      <c r="B8" s="26">
        <v>40.86</v>
      </c>
      <c r="C8">
        <v>30</v>
      </c>
      <c r="D8" s="26">
        <f t="shared" si="0"/>
        <v>1.3619999999999999</v>
      </c>
      <c r="E8">
        <v>12</v>
      </c>
      <c r="F8">
        <v>18</v>
      </c>
      <c r="G8" s="16">
        <f t="shared" si="1"/>
        <v>16.343999999999998</v>
      </c>
      <c r="H8" s="16">
        <f t="shared" si="2"/>
        <v>24.515999999999998</v>
      </c>
      <c r="I8" s="25">
        <v>36452</v>
      </c>
      <c r="J8" s="25">
        <v>36482</v>
      </c>
      <c r="K8" s="27">
        <f t="shared" ref="K8:K37" si="4">SUM(E7,F8)</f>
        <v>31</v>
      </c>
      <c r="L8" s="16">
        <f>SUM(G7,H8)</f>
        <v>46.255354838709678</v>
      </c>
      <c r="M8">
        <f t="shared" si="3"/>
        <v>45.46</v>
      </c>
    </row>
    <row r="9" spans="1:13" x14ac:dyDescent="0.25">
      <c r="A9" s="25">
        <v>36495</v>
      </c>
      <c r="B9" s="26">
        <v>37.44</v>
      </c>
      <c r="C9">
        <v>31</v>
      </c>
      <c r="D9" s="26">
        <f t="shared" si="0"/>
        <v>1.207741935483871</v>
      </c>
      <c r="E9">
        <v>13</v>
      </c>
      <c r="F9">
        <v>18</v>
      </c>
      <c r="G9" s="16">
        <f t="shared" si="1"/>
        <v>15.700645161290323</v>
      </c>
      <c r="H9" s="16">
        <f t="shared" si="2"/>
        <v>21.739354838709676</v>
      </c>
      <c r="I9" s="25">
        <v>36483</v>
      </c>
      <c r="J9" s="25">
        <v>36512</v>
      </c>
      <c r="K9" s="27">
        <f t="shared" si="4"/>
        <v>30</v>
      </c>
      <c r="L9" s="16">
        <f t="shared" ref="L9:L37" si="5">SUM(H8,G9)</f>
        <v>40.216645161290323</v>
      </c>
      <c r="M9">
        <f t="shared" si="3"/>
        <v>38.81</v>
      </c>
    </row>
    <row r="10" spans="1:13" x14ac:dyDescent="0.25">
      <c r="A10" s="25">
        <v>36526</v>
      </c>
      <c r="B10" s="26">
        <v>40</v>
      </c>
      <c r="C10">
        <v>31</v>
      </c>
      <c r="D10" s="26">
        <f t="shared" si="0"/>
        <v>1.2903225806451613</v>
      </c>
      <c r="E10">
        <v>13</v>
      </c>
      <c r="F10">
        <v>18</v>
      </c>
      <c r="G10" s="16">
        <f t="shared" si="1"/>
        <v>16.774193548387096</v>
      </c>
      <c r="H10" s="16">
        <f t="shared" si="2"/>
        <v>23.225806451612904</v>
      </c>
      <c r="I10" s="25">
        <v>36513</v>
      </c>
      <c r="J10" s="25">
        <v>36543</v>
      </c>
      <c r="K10" s="27">
        <f t="shared" si="4"/>
        <v>31</v>
      </c>
      <c r="L10" s="16">
        <f t="shared" si="5"/>
        <v>38.513548387096776</v>
      </c>
      <c r="M10">
        <f t="shared" si="3"/>
        <v>38.93</v>
      </c>
    </row>
    <row r="11" spans="1:13" x14ac:dyDescent="0.25">
      <c r="A11" s="25">
        <v>36557</v>
      </c>
      <c r="B11" s="26">
        <v>40.380000000000003</v>
      </c>
      <c r="C11">
        <v>28</v>
      </c>
      <c r="D11" s="26">
        <f t="shared" si="0"/>
        <v>1.4421428571428572</v>
      </c>
      <c r="E11">
        <v>10</v>
      </c>
      <c r="F11">
        <v>18</v>
      </c>
      <c r="G11" s="16">
        <f t="shared" si="1"/>
        <v>14.421428571428571</v>
      </c>
      <c r="H11" s="16">
        <f t="shared" si="2"/>
        <v>25.958571428571428</v>
      </c>
      <c r="I11" s="25">
        <v>36544</v>
      </c>
      <c r="J11" s="25">
        <v>36574</v>
      </c>
      <c r="K11" s="27">
        <f t="shared" si="4"/>
        <v>31</v>
      </c>
      <c r="L11" s="16">
        <f t="shared" si="5"/>
        <v>37.647235023041475</v>
      </c>
      <c r="M11">
        <f t="shared" si="3"/>
        <v>40.22</v>
      </c>
    </row>
    <row r="12" spans="1:13" x14ac:dyDescent="0.25">
      <c r="A12" s="25">
        <v>36586</v>
      </c>
      <c r="B12" s="26">
        <v>40</v>
      </c>
      <c r="C12">
        <v>31</v>
      </c>
      <c r="D12" s="26">
        <f t="shared" si="0"/>
        <v>1.2903225806451613</v>
      </c>
      <c r="E12">
        <v>13</v>
      </c>
      <c r="F12">
        <v>18</v>
      </c>
      <c r="G12" s="16">
        <f t="shared" si="1"/>
        <v>16.774193548387096</v>
      </c>
      <c r="H12" s="16">
        <f t="shared" si="2"/>
        <v>23.225806451612904</v>
      </c>
      <c r="I12" s="25">
        <v>36575</v>
      </c>
      <c r="J12" s="25">
        <v>36603</v>
      </c>
      <c r="K12" s="27">
        <f t="shared" si="4"/>
        <v>28</v>
      </c>
      <c r="L12" s="16">
        <f t="shared" si="5"/>
        <v>42.732764976958521</v>
      </c>
      <c r="M12">
        <f t="shared" si="3"/>
        <v>40.14</v>
      </c>
    </row>
    <row r="13" spans="1:13" x14ac:dyDescent="0.25">
      <c r="A13" s="25">
        <v>36617</v>
      </c>
      <c r="B13" s="26">
        <v>40</v>
      </c>
      <c r="C13">
        <v>30</v>
      </c>
      <c r="D13" s="26">
        <f t="shared" si="0"/>
        <v>1.3333333333333333</v>
      </c>
      <c r="E13">
        <v>12</v>
      </c>
      <c r="F13">
        <v>18</v>
      </c>
      <c r="G13" s="16">
        <f t="shared" si="1"/>
        <v>16</v>
      </c>
      <c r="H13" s="16">
        <f t="shared" si="2"/>
        <v>24</v>
      </c>
      <c r="I13" s="25">
        <v>36604</v>
      </c>
      <c r="J13" s="25">
        <v>36634</v>
      </c>
      <c r="K13" s="27">
        <f t="shared" si="4"/>
        <v>31</v>
      </c>
      <c r="L13" s="16">
        <f t="shared" si="5"/>
        <v>39.225806451612904</v>
      </c>
      <c r="M13">
        <f t="shared" si="3"/>
        <v>40</v>
      </c>
    </row>
    <row r="14" spans="1:13" x14ac:dyDescent="0.25">
      <c r="A14" s="25">
        <v>36647</v>
      </c>
      <c r="B14" s="26">
        <v>40.659999999999997</v>
      </c>
      <c r="C14">
        <v>31</v>
      </c>
      <c r="D14" s="26">
        <f t="shared" si="0"/>
        <v>1.3116129032258064</v>
      </c>
      <c r="E14">
        <v>13</v>
      </c>
      <c r="F14">
        <v>18</v>
      </c>
      <c r="G14" s="16">
        <f t="shared" si="1"/>
        <v>17.050967741935484</v>
      </c>
      <c r="H14" s="16">
        <f t="shared" si="2"/>
        <v>23.609032258064516</v>
      </c>
      <c r="I14" s="25">
        <v>36635</v>
      </c>
      <c r="J14" s="25">
        <v>36664</v>
      </c>
      <c r="K14" s="27">
        <f t="shared" si="4"/>
        <v>30</v>
      </c>
      <c r="L14" s="16">
        <f t="shared" si="5"/>
        <v>41.05096774193548</v>
      </c>
      <c r="M14">
        <f t="shared" si="3"/>
        <v>40.4</v>
      </c>
    </row>
    <row r="15" spans="1:13" x14ac:dyDescent="0.25">
      <c r="A15" s="25">
        <v>36678</v>
      </c>
      <c r="B15" s="26">
        <v>40</v>
      </c>
      <c r="C15">
        <v>30</v>
      </c>
      <c r="D15" s="26">
        <f t="shared" si="0"/>
        <v>1.3333333333333333</v>
      </c>
      <c r="E15">
        <v>12</v>
      </c>
      <c r="F15">
        <v>18</v>
      </c>
      <c r="G15" s="16">
        <f t="shared" si="1"/>
        <v>16</v>
      </c>
      <c r="H15" s="16">
        <f t="shared" si="2"/>
        <v>24</v>
      </c>
      <c r="I15" s="25">
        <v>36665</v>
      </c>
      <c r="J15" s="25">
        <v>36695</v>
      </c>
      <c r="K15" s="27">
        <f t="shared" si="4"/>
        <v>31</v>
      </c>
      <c r="L15" s="16">
        <f t="shared" si="5"/>
        <v>39.609032258064516</v>
      </c>
      <c r="M15">
        <f t="shared" si="3"/>
        <v>40.28</v>
      </c>
    </row>
    <row r="16" spans="1:13" x14ac:dyDescent="0.25">
      <c r="A16" s="25">
        <v>36708</v>
      </c>
      <c r="B16" s="26">
        <v>54.25</v>
      </c>
      <c r="C16">
        <v>31</v>
      </c>
      <c r="D16" s="26">
        <f t="shared" si="0"/>
        <v>1.75</v>
      </c>
      <c r="E16">
        <v>13</v>
      </c>
      <c r="F16">
        <v>18</v>
      </c>
      <c r="G16" s="16">
        <f t="shared" si="1"/>
        <v>22.75</v>
      </c>
      <c r="H16" s="16">
        <f t="shared" si="2"/>
        <v>31.5</v>
      </c>
      <c r="I16" s="25">
        <v>36696</v>
      </c>
      <c r="J16" s="25">
        <v>36725</v>
      </c>
      <c r="K16" s="27">
        <f t="shared" si="4"/>
        <v>30</v>
      </c>
      <c r="L16" s="16">
        <f t="shared" si="5"/>
        <v>46.75</v>
      </c>
      <c r="M16">
        <f t="shared" si="3"/>
        <v>48.55</v>
      </c>
    </row>
    <row r="17" spans="1:13" x14ac:dyDescent="0.25">
      <c r="A17" s="25">
        <v>36739</v>
      </c>
      <c r="B17" s="26">
        <v>55.2</v>
      </c>
      <c r="C17">
        <v>31</v>
      </c>
      <c r="D17" s="26">
        <f t="shared" si="0"/>
        <v>1.7806451612903227</v>
      </c>
      <c r="E17">
        <v>13</v>
      </c>
      <c r="F17">
        <v>18</v>
      </c>
      <c r="G17" s="16">
        <f t="shared" si="1"/>
        <v>23.148387096774194</v>
      </c>
      <c r="H17" s="16">
        <f t="shared" si="2"/>
        <v>32.051612903225809</v>
      </c>
      <c r="I17" s="25">
        <v>36726</v>
      </c>
      <c r="J17" s="25">
        <v>36756</v>
      </c>
      <c r="K17" s="27">
        <f t="shared" si="4"/>
        <v>31</v>
      </c>
      <c r="L17" s="16">
        <f t="shared" si="5"/>
        <v>54.648387096774194</v>
      </c>
      <c r="M17">
        <f t="shared" si="3"/>
        <v>54.8</v>
      </c>
    </row>
    <row r="18" spans="1:13" x14ac:dyDescent="0.25">
      <c r="A18" s="25">
        <v>36770</v>
      </c>
      <c r="B18" s="26">
        <v>55.2</v>
      </c>
      <c r="C18">
        <v>30</v>
      </c>
      <c r="D18" s="26">
        <f t="shared" si="0"/>
        <v>1.84</v>
      </c>
      <c r="E18">
        <v>12</v>
      </c>
      <c r="F18">
        <v>18</v>
      </c>
      <c r="G18" s="16">
        <f t="shared" si="1"/>
        <v>22.080000000000002</v>
      </c>
      <c r="H18" s="16">
        <f t="shared" si="2"/>
        <v>33.120000000000005</v>
      </c>
      <c r="I18" s="25">
        <v>36757</v>
      </c>
      <c r="J18" s="25">
        <v>36787</v>
      </c>
      <c r="K18" s="27">
        <f t="shared" si="4"/>
        <v>31</v>
      </c>
      <c r="L18" s="16">
        <f t="shared" si="5"/>
        <v>54.131612903225815</v>
      </c>
      <c r="M18">
        <f t="shared" si="3"/>
        <v>55.2</v>
      </c>
    </row>
    <row r="19" spans="1:13" x14ac:dyDescent="0.25">
      <c r="A19" s="25">
        <v>36800</v>
      </c>
      <c r="B19" s="26">
        <v>54.72</v>
      </c>
      <c r="C19">
        <v>31</v>
      </c>
      <c r="D19" s="26">
        <f t="shared" si="0"/>
        <v>1.7651612903225806</v>
      </c>
      <c r="E19">
        <v>13</v>
      </c>
      <c r="F19">
        <v>18</v>
      </c>
      <c r="G19" s="16">
        <f t="shared" si="1"/>
        <v>22.947096774193547</v>
      </c>
      <c r="H19" s="16">
        <f t="shared" si="2"/>
        <v>31.772903225806452</v>
      </c>
      <c r="I19" s="25">
        <v>36788</v>
      </c>
      <c r="J19" s="25">
        <v>36817</v>
      </c>
      <c r="K19" s="27">
        <f t="shared" si="4"/>
        <v>30</v>
      </c>
      <c r="L19" s="16">
        <f t="shared" si="5"/>
        <v>56.067096774193551</v>
      </c>
      <c r="M19">
        <f t="shared" si="3"/>
        <v>54.91</v>
      </c>
    </row>
    <row r="20" spans="1:13" x14ac:dyDescent="0.25">
      <c r="A20" s="25">
        <v>36831</v>
      </c>
      <c r="B20" s="26">
        <v>43.13</v>
      </c>
      <c r="C20">
        <v>30</v>
      </c>
      <c r="D20" s="26">
        <f t="shared" si="0"/>
        <v>1.4376666666666666</v>
      </c>
      <c r="E20">
        <v>12</v>
      </c>
      <c r="F20">
        <v>18</v>
      </c>
      <c r="G20" s="16">
        <f t="shared" si="1"/>
        <v>17.251999999999999</v>
      </c>
      <c r="H20" s="16">
        <f t="shared" si="2"/>
        <v>25.878</v>
      </c>
      <c r="I20" s="25">
        <v>36818</v>
      </c>
      <c r="J20" s="25">
        <v>36848</v>
      </c>
      <c r="K20" s="27">
        <f t="shared" si="4"/>
        <v>31</v>
      </c>
      <c r="L20" s="16">
        <f t="shared" si="5"/>
        <v>49.024903225806455</v>
      </c>
      <c r="M20">
        <f t="shared" si="3"/>
        <v>47.99</v>
      </c>
    </row>
    <row r="21" spans="1:13" x14ac:dyDescent="0.25">
      <c r="A21" s="25">
        <v>36861</v>
      </c>
      <c r="B21" s="26">
        <v>39.520000000000003</v>
      </c>
      <c r="C21">
        <v>31</v>
      </c>
      <c r="D21" s="26">
        <f t="shared" si="0"/>
        <v>1.2748387096774194</v>
      </c>
      <c r="E21">
        <v>13</v>
      </c>
      <c r="F21">
        <v>18</v>
      </c>
      <c r="G21" s="16">
        <f t="shared" si="1"/>
        <v>16.572903225806453</v>
      </c>
      <c r="H21" s="16">
        <f t="shared" si="2"/>
        <v>22.94709677419355</v>
      </c>
      <c r="I21" s="25">
        <v>36849</v>
      </c>
      <c r="J21" s="25">
        <v>36878</v>
      </c>
      <c r="K21" s="27">
        <f t="shared" si="4"/>
        <v>30</v>
      </c>
      <c r="L21" s="16">
        <f t="shared" si="5"/>
        <v>42.450903225806456</v>
      </c>
      <c r="M21">
        <f t="shared" si="3"/>
        <v>40.96</v>
      </c>
    </row>
    <row r="22" spans="1:13" x14ac:dyDescent="0.25">
      <c r="A22" s="25">
        <v>36892</v>
      </c>
      <c r="B22" s="26">
        <v>42.1</v>
      </c>
      <c r="C22">
        <v>31</v>
      </c>
      <c r="D22" s="26">
        <f t="shared" si="0"/>
        <v>1.3580645161290323</v>
      </c>
      <c r="E22">
        <v>13</v>
      </c>
      <c r="F22">
        <v>18</v>
      </c>
      <c r="G22" s="16">
        <f t="shared" si="1"/>
        <v>17.654838709677421</v>
      </c>
      <c r="H22" s="16">
        <f t="shared" si="2"/>
        <v>24.445161290322581</v>
      </c>
      <c r="I22" s="25">
        <v>36879</v>
      </c>
      <c r="J22" s="25">
        <v>36909</v>
      </c>
      <c r="K22" s="27">
        <f t="shared" si="4"/>
        <v>31</v>
      </c>
      <c r="L22" s="16">
        <f t="shared" si="5"/>
        <v>40.601935483870975</v>
      </c>
      <c r="M22">
        <f t="shared" si="3"/>
        <v>41.02</v>
      </c>
    </row>
    <row r="23" spans="1:13" x14ac:dyDescent="0.25">
      <c r="A23" s="25">
        <v>36923</v>
      </c>
      <c r="B23" s="26">
        <v>42.5</v>
      </c>
      <c r="C23">
        <v>28</v>
      </c>
      <c r="D23" s="26">
        <f t="shared" si="0"/>
        <v>1.5178571428571428</v>
      </c>
      <c r="E23">
        <v>10</v>
      </c>
      <c r="F23">
        <v>18</v>
      </c>
      <c r="G23" s="16">
        <f t="shared" si="1"/>
        <v>15.178571428571427</v>
      </c>
      <c r="H23" s="16">
        <f t="shared" si="2"/>
        <v>27.321428571428569</v>
      </c>
      <c r="I23" s="25">
        <v>36910</v>
      </c>
      <c r="J23" s="25">
        <v>36940</v>
      </c>
      <c r="K23" s="27">
        <f t="shared" si="4"/>
        <v>31</v>
      </c>
      <c r="L23" s="16">
        <f t="shared" si="5"/>
        <v>39.623732718894004</v>
      </c>
      <c r="M23">
        <f t="shared" si="3"/>
        <v>42.33</v>
      </c>
    </row>
    <row r="24" spans="1:13" x14ac:dyDescent="0.25">
      <c r="A24" s="25">
        <v>36951</v>
      </c>
      <c r="B24" s="26">
        <v>42.1</v>
      </c>
      <c r="C24">
        <v>31</v>
      </c>
      <c r="D24" s="26">
        <f t="shared" si="0"/>
        <v>1.3580645161290323</v>
      </c>
      <c r="E24">
        <v>13</v>
      </c>
      <c r="F24">
        <v>18</v>
      </c>
      <c r="G24" s="16">
        <f t="shared" si="1"/>
        <v>17.654838709677421</v>
      </c>
      <c r="H24" s="16">
        <f t="shared" si="2"/>
        <v>24.445161290322581</v>
      </c>
      <c r="I24" s="25">
        <v>36941</v>
      </c>
      <c r="J24" s="25">
        <v>36968</v>
      </c>
      <c r="K24" s="27">
        <f t="shared" si="4"/>
        <v>28</v>
      </c>
      <c r="L24" s="16">
        <f t="shared" si="5"/>
        <v>44.97626728110599</v>
      </c>
      <c r="M24">
        <f t="shared" si="3"/>
        <v>42.24</v>
      </c>
    </row>
    <row r="25" spans="1:13" x14ac:dyDescent="0.25">
      <c r="A25" s="25">
        <v>36982</v>
      </c>
      <c r="B25" s="26">
        <v>42.1</v>
      </c>
      <c r="C25">
        <v>30</v>
      </c>
      <c r="D25" s="26">
        <f t="shared" si="0"/>
        <v>1.4033333333333333</v>
      </c>
      <c r="E25">
        <v>12</v>
      </c>
      <c r="F25">
        <v>18</v>
      </c>
      <c r="G25" s="16">
        <f t="shared" si="1"/>
        <v>16.84</v>
      </c>
      <c r="H25" s="16">
        <f t="shared" si="2"/>
        <v>25.259999999999998</v>
      </c>
      <c r="I25" s="25">
        <v>36969</v>
      </c>
      <c r="J25" s="25">
        <v>36999</v>
      </c>
      <c r="K25" s="27">
        <f t="shared" si="4"/>
        <v>31</v>
      </c>
      <c r="L25" s="16">
        <f t="shared" si="5"/>
        <v>41.285161290322577</v>
      </c>
      <c r="M25">
        <f t="shared" si="3"/>
        <v>42.1</v>
      </c>
    </row>
    <row r="26" spans="1:13" x14ac:dyDescent="0.25">
      <c r="A26" s="25">
        <v>37012</v>
      </c>
      <c r="B26" s="26">
        <v>42.8</v>
      </c>
      <c r="C26">
        <v>31</v>
      </c>
      <c r="D26" s="26">
        <f t="shared" si="0"/>
        <v>1.3806451612903226</v>
      </c>
      <c r="E26">
        <v>13</v>
      </c>
      <c r="F26">
        <v>18</v>
      </c>
      <c r="G26" s="16">
        <f t="shared" si="1"/>
        <v>17.948387096774194</v>
      </c>
      <c r="H26" s="16">
        <f t="shared" si="2"/>
        <v>24.851612903225806</v>
      </c>
      <c r="I26" s="25">
        <v>37000</v>
      </c>
      <c r="J26" s="25">
        <v>37029</v>
      </c>
      <c r="K26" s="27">
        <f t="shared" si="4"/>
        <v>30</v>
      </c>
      <c r="L26" s="16">
        <f t="shared" si="5"/>
        <v>43.208387096774189</v>
      </c>
      <c r="M26">
        <f t="shared" si="3"/>
        <v>42.52</v>
      </c>
    </row>
    <row r="27" spans="1:13" x14ac:dyDescent="0.25">
      <c r="A27" s="25">
        <v>37043</v>
      </c>
      <c r="B27" s="26">
        <v>42.1</v>
      </c>
      <c r="C27">
        <v>30</v>
      </c>
      <c r="D27" s="26">
        <f t="shared" si="0"/>
        <v>1.4033333333333333</v>
      </c>
      <c r="E27">
        <v>12</v>
      </c>
      <c r="F27">
        <v>18</v>
      </c>
      <c r="G27" s="16">
        <f t="shared" si="1"/>
        <v>16.84</v>
      </c>
      <c r="H27" s="16">
        <f t="shared" si="2"/>
        <v>25.259999999999998</v>
      </c>
      <c r="I27" s="25">
        <v>37030</v>
      </c>
      <c r="J27" s="25">
        <v>37060</v>
      </c>
      <c r="K27" s="27">
        <f t="shared" si="4"/>
        <v>31</v>
      </c>
      <c r="L27" s="16">
        <f t="shared" si="5"/>
        <v>41.691612903225803</v>
      </c>
      <c r="M27">
        <f t="shared" si="3"/>
        <v>42.39</v>
      </c>
    </row>
    <row r="28" spans="1:13" x14ac:dyDescent="0.25">
      <c r="A28" s="25">
        <v>37073</v>
      </c>
      <c r="B28" s="26">
        <v>57.1</v>
      </c>
      <c r="C28">
        <v>31</v>
      </c>
      <c r="D28" s="26">
        <f t="shared" si="0"/>
        <v>1.8419354838709678</v>
      </c>
      <c r="E28">
        <v>13</v>
      </c>
      <c r="F28">
        <v>18</v>
      </c>
      <c r="G28" s="16">
        <f t="shared" si="1"/>
        <v>23.945161290322581</v>
      </c>
      <c r="H28" s="16">
        <f t="shared" si="2"/>
        <v>33.154838709677421</v>
      </c>
      <c r="I28" s="25">
        <v>37061</v>
      </c>
      <c r="J28" s="25">
        <v>37090</v>
      </c>
      <c r="K28" s="27">
        <f t="shared" si="4"/>
        <v>30</v>
      </c>
      <c r="L28" s="16">
        <f t="shared" si="5"/>
        <v>49.205161290322579</v>
      </c>
      <c r="M28">
        <f t="shared" si="3"/>
        <v>51.1</v>
      </c>
    </row>
    <row r="29" spans="1:13" x14ac:dyDescent="0.25">
      <c r="A29" s="25">
        <v>37104</v>
      </c>
      <c r="B29" s="26">
        <v>58.1</v>
      </c>
      <c r="C29">
        <v>31</v>
      </c>
      <c r="D29" s="26">
        <f t="shared" si="0"/>
        <v>1.8741935483870968</v>
      </c>
      <c r="E29">
        <v>13</v>
      </c>
      <c r="F29">
        <v>18</v>
      </c>
      <c r="G29" s="16">
        <f t="shared" si="1"/>
        <v>24.36451612903226</v>
      </c>
      <c r="H29" s="16">
        <f t="shared" si="2"/>
        <v>33.735483870967741</v>
      </c>
      <c r="I29" s="25">
        <v>37091</v>
      </c>
      <c r="J29" s="25">
        <v>37121</v>
      </c>
      <c r="K29" s="27">
        <f t="shared" si="4"/>
        <v>31</v>
      </c>
      <c r="L29" s="16">
        <f t="shared" si="5"/>
        <v>57.519354838709681</v>
      </c>
      <c r="M29">
        <f t="shared" si="3"/>
        <v>57.68</v>
      </c>
    </row>
    <row r="30" spans="1:13" x14ac:dyDescent="0.25">
      <c r="A30" s="25">
        <v>37135</v>
      </c>
      <c r="B30" s="26">
        <v>58.1</v>
      </c>
      <c r="C30">
        <v>30</v>
      </c>
      <c r="D30" s="26">
        <f t="shared" si="0"/>
        <v>1.9366666666666668</v>
      </c>
      <c r="E30">
        <v>12</v>
      </c>
      <c r="F30">
        <v>18</v>
      </c>
      <c r="G30" s="16">
        <f t="shared" si="1"/>
        <v>23.240000000000002</v>
      </c>
      <c r="H30" s="16">
        <f t="shared" si="2"/>
        <v>34.86</v>
      </c>
      <c r="I30" s="25">
        <v>37122</v>
      </c>
      <c r="J30" s="25">
        <v>37152</v>
      </c>
      <c r="K30" s="27">
        <f t="shared" si="4"/>
        <v>31</v>
      </c>
      <c r="L30" s="16">
        <f t="shared" si="5"/>
        <v>56.975483870967743</v>
      </c>
      <c r="M30">
        <f t="shared" si="3"/>
        <v>58.1</v>
      </c>
    </row>
    <row r="31" spans="1:13" x14ac:dyDescent="0.25">
      <c r="A31" s="25">
        <v>37165</v>
      </c>
      <c r="B31" s="26">
        <v>57.6</v>
      </c>
      <c r="C31">
        <v>31</v>
      </c>
      <c r="D31" s="26">
        <f t="shared" si="0"/>
        <v>1.8580645161290323</v>
      </c>
      <c r="E31">
        <v>13</v>
      </c>
      <c r="F31">
        <v>18</v>
      </c>
      <c r="G31" s="16">
        <f t="shared" si="1"/>
        <v>24.154838709677421</v>
      </c>
      <c r="H31" s="16">
        <f t="shared" si="2"/>
        <v>33.445161290322581</v>
      </c>
      <c r="I31" s="25">
        <v>37153</v>
      </c>
      <c r="J31" s="25">
        <v>37182</v>
      </c>
      <c r="K31" s="27">
        <f t="shared" si="4"/>
        <v>30</v>
      </c>
      <c r="L31" s="16">
        <f t="shared" si="5"/>
        <v>59.01483870967742</v>
      </c>
      <c r="M31">
        <f t="shared" si="3"/>
        <v>57.8</v>
      </c>
    </row>
    <row r="32" spans="1:13" x14ac:dyDescent="0.25">
      <c r="A32" s="25">
        <v>37196</v>
      </c>
      <c r="B32" s="26">
        <v>45.4</v>
      </c>
      <c r="C32">
        <v>30</v>
      </c>
      <c r="D32" s="26">
        <f t="shared" si="0"/>
        <v>1.5133333333333332</v>
      </c>
      <c r="E32">
        <v>12</v>
      </c>
      <c r="F32">
        <v>18</v>
      </c>
      <c r="G32" s="16">
        <f t="shared" si="1"/>
        <v>18.159999999999997</v>
      </c>
      <c r="H32" s="16">
        <f t="shared" si="2"/>
        <v>27.24</v>
      </c>
      <c r="I32" s="25">
        <v>37183</v>
      </c>
      <c r="J32" s="25">
        <v>37213</v>
      </c>
      <c r="K32" s="27">
        <f t="shared" si="4"/>
        <v>31</v>
      </c>
      <c r="L32" s="16">
        <f t="shared" si="5"/>
        <v>51.605161290322577</v>
      </c>
      <c r="M32">
        <f t="shared" si="3"/>
        <v>50.52</v>
      </c>
    </row>
    <row r="33" spans="1:14" x14ac:dyDescent="0.25">
      <c r="A33" s="25">
        <v>37226</v>
      </c>
      <c r="B33" s="26">
        <v>41.6</v>
      </c>
      <c r="C33">
        <v>31</v>
      </c>
      <c r="D33" s="26">
        <f t="shared" si="0"/>
        <v>1.3419354838709678</v>
      </c>
      <c r="E33">
        <v>13</v>
      </c>
      <c r="F33">
        <v>18</v>
      </c>
      <c r="G33" s="16">
        <f t="shared" si="1"/>
        <v>17.445161290322581</v>
      </c>
      <c r="H33" s="16">
        <f t="shared" si="2"/>
        <v>24.154838709677421</v>
      </c>
      <c r="I33" s="25">
        <v>37214</v>
      </c>
      <c r="J33" s="25">
        <v>37243</v>
      </c>
      <c r="K33" s="27">
        <f t="shared" si="4"/>
        <v>30</v>
      </c>
      <c r="L33" s="16">
        <f t="shared" si="5"/>
        <v>44.685161290322583</v>
      </c>
      <c r="M33">
        <f t="shared" si="3"/>
        <v>43.12</v>
      </c>
    </row>
    <row r="34" spans="1:14" x14ac:dyDescent="0.25">
      <c r="A34" s="25">
        <v>37257</v>
      </c>
      <c r="B34" s="26">
        <v>42.1</v>
      </c>
      <c r="C34">
        <v>31</v>
      </c>
      <c r="D34" s="26">
        <f t="shared" si="0"/>
        <v>1.3580645161290323</v>
      </c>
      <c r="E34">
        <v>13</v>
      </c>
      <c r="F34">
        <v>18</v>
      </c>
      <c r="G34" s="16">
        <f t="shared" si="1"/>
        <v>17.654838709677421</v>
      </c>
      <c r="H34" s="16">
        <f t="shared" si="2"/>
        <v>24.445161290322581</v>
      </c>
      <c r="I34" s="25">
        <v>37244</v>
      </c>
      <c r="J34" s="25">
        <v>37274</v>
      </c>
      <c r="K34" s="27">
        <f t="shared" si="4"/>
        <v>31</v>
      </c>
      <c r="L34" s="16">
        <f t="shared" si="5"/>
        <v>41.809677419354841</v>
      </c>
      <c r="M34">
        <f t="shared" si="3"/>
        <v>41.89</v>
      </c>
    </row>
    <row r="35" spans="1:14" x14ac:dyDescent="0.25">
      <c r="A35" s="25">
        <v>37288</v>
      </c>
      <c r="B35" s="26">
        <v>42.5</v>
      </c>
      <c r="C35">
        <v>28</v>
      </c>
      <c r="D35" s="26">
        <f t="shared" si="0"/>
        <v>1.5178571428571428</v>
      </c>
      <c r="E35">
        <v>10</v>
      </c>
      <c r="F35">
        <v>18</v>
      </c>
      <c r="G35" s="16">
        <f t="shared" si="1"/>
        <v>15.178571428571427</v>
      </c>
      <c r="H35" s="16">
        <f t="shared" si="2"/>
        <v>27.321428571428569</v>
      </c>
      <c r="I35" s="25">
        <v>37275</v>
      </c>
      <c r="J35" s="25">
        <v>37305</v>
      </c>
      <c r="K35" s="27">
        <f t="shared" si="4"/>
        <v>31</v>
      </c>
      <c r="L35" s="16">
        <f t="shared" si="5"/>
        <v>39.623732718894004</v>
      </c>
      <c r="M35">
        <f t="shared" si="3"/>
        <v>42.33</v>
      </c>
    </row>
    <row r="36" spans="1:14" x14ac:dyDescent="0.25">
      <c r="A36" s="25">
        <v>37316</v>
      </c>
      <c r="B36" s="26">
        <v>42.1</v>
      </c>
      <c r="C36">
        <v>31</v>
      </c>
      <c r="D36" s="26">
        <f t="shared" si="0"/>
        <v>1.3580645161290323</v>
      </c>
      <c r="E36">
        <v>13</v>
      </c>
      <c r="F36">
        <v>18</v>
      </c>
      <c r="G36" s="16">
        <f t="shared" si="1"/>
        <v>17.654838709677421</v>
      </c>
      <c r="H36" s="16">
        <f t="shared" si="2"/>
        <v>24.445161290322581</v>
      </c>
      <c r="I36" s="25">
        <v>37306</v>
      </c>
      <c r="J36" s="25">
        <v>37333</v>
      </c>
      <c r="K36" s="27">
        <f t="shared" si="4"/>
        <v>28</v>
      </c>
      <c r="L36" s="16">
        <f t="shared" si="5"/>
        <v>44.97626728110599</v>
      </c>
      <c r="M36">
        <f t="shared" si="3"/>
        <v>42.24</v>
      </c>
    </row>
    <row r="37" spans="1:14" x14ac:dyDescent="0.25">
      <c r="A37" s="28" t="s">
        <v>35</v>
      </c>
      <c r="B37" s="26">
        <v>42.1</v>
      </c>
      <c r="C37">
        <v>31</v>
      </c>
      <c r="D37" s="26">
        <f t="shared" si="0"/>
        <v>1.3580645161290323</v>
      </c>
      <c r="E37">
        <v>13</v>
      </c>
      <c r="F37">
        <v>18</v>
      </c>
      <c r="G37" s="16">
        <f t="shared" si="1"/>
        <v>17.654838709677421</v>
      </c>
      <c r="H37" s="16">
        <f t="shared" si="2"/>
        <v>24.445161290322581</v>
      </c>
      <c r="I37" s="25">
        <v>37334</v>
      </c>
      <c r="J37" s="25">
        <v>37364</v>
      </c>
      <c r="K37" s="27">
        <f t="shared" si="4"/>
        <v>31</v>
      </c>
      <c r="L37" s="16">
        <f t="shared" si="5"/>
        <v>42.1</v>
      </c>
      <c r="M37">
        <f t="shared" si="3"/>
        <v>42.1</v>
      </c>
    </row>
    <row r="38" spans="1:14" x14ac:dyDescent="0.25">
      <c r="I38" t="s">
        <v>36</v>
      </c>
      <c r="L38" s="26">
        <v>24.45</v>
      </c>
    </row>
    <row r="39" spans="1:14" x14ac:dyDescent="0.25">
      <c r="B39">
        <f>SUM(B7:B37)/31</f>
        <v>45.59999999999998</v>
      </c>
      <c r="C39" t="s">
        <v>37</v>
      </c>
      <c r="L39" s="16">
        <f>SUM(L4:L38)/34</f>
        <v>45.052770398481975</v>
      </c>
      <c r="M39" s="26">
        <f>SUM(M7:M37)/31</f>
        <v>45.745483870967739</v>
      </c>
      <c r="N39" t="s">
        <v>38</v>
      </c>
    </row>
  </sheetData>
  <mergeCells count="1">
    <mergeCell ref="A1:M1"/>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Overview</vt:lpstr>
      <vt:lpstr>April Invoice</vt:lpstr>
      <vt:lpstr>May Invoice</vt:lpstr>
      <vt:lpstr>June Invoice</vt:lpstr>
      <vt:lpstr>Invoice - Late Charges</vt:lpstr>
      <vt:lpstr>102400 Rvsd 031700 to 041700</vt:lpstr>
      <vt:lpstr>102400 RVSD 041700 to 051600</vt:lpstr>
      <vt:lpstr>102400 Rvsd51600 to 61600</vt:lpstr>
      <vt:lpstr>Assumed price schedule</vt:lpstr>
      <vt:lpstr>'102400 Rvsd 031700 to 041700'!Print_Area</vt:lpstr>
      <vt:lpstr>'102400 RVSD 041700 to 051600'!Print_Area</vt:lpstr>
      <vt:lpstr>'102400 Rvsd51600 to 61600'!Print_Area</vt:lpstr>
      <vt:lpstr>'April Invoice'!Print_Area</vt:lpstr>
      <vt:lpstr>'Invoice - Late Charges'!Print_Area</vt:lpstr>
      <vt:lpstr>'June Invoice'!Print_Area</vt:lpstr>
      <vt:lpstr>'May Invoice'!Print_Area</vt:lpstr>
      <vt:lpstr>'April Invoice'!Print_Titles</vt:lpstr>
      <vt:lpstr>'Invoice - Late Charges'!Print_Titles</vt:lpstr>
      <vt:lpstr>'June Invoice'!Print_Titles</vt:lpstr>
      <vt:lpstr>'May Invoice'!Print_Titles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Grace</dc:creator>
  <cp:lastModifiedBy>Havlíček Jan</cp:lastModifiedBy>
  <cp:lastPrinted>2000-10-26T18:02:56Z</cp:lastPrinted>
  <dcterms:created xsi:type="dcterms:W3CDTF">1998-09-22T20:48:29Z</dcterms:created>
  <dcterms:modified xsi:type="dcterms:W3CDTF">2023-09-10T11:35:04Z</dcterms:modified>
</cp:coreProperties>
</file>