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836" tabRatio="709" firstSheet="1" activeTab="2"/>
  </bookViews>
  <sheets>
    <sheet name="Summary Graph" sheetId="5" r:id="rId1"/>
    <sheet name="Valuation" sheetId="1" r:id="rId2"/>
    <sheet name="Litigation Analysis" sheetId="6" r:id="rId3"/>
    <sheet name="PACE ERCOT Power Pricing" sheetId="2" r:id="rId4"/>
    <sheet name="PACE Waha Natural Gas Pricing" sheetId="3" r:id="rId5"/>
    <sheet name="PACE CPI (1998=100)" sheetId="4" r:id="rId6"/>
  </sheets>
  <definedNames>
    <definedName name="_xlnm.Print_Area" localSheetId="2">'Litigation Analysis'!$A$88:$R$126</definedName>
    <definedName name="_xlnm.Print_Area" localSheetId="5">'PACE CPI (1998=100)'!$A$1:$G$30</definedName>
    <definedName name="_xlnm.Print_Area" localSheetId="3">'PACE ERCOT Power Pricing'!$A$1:$I$31</definedName>
    <definedName name="_xlnm.Print_Area" localSheetId="4">'PACE Waha Natural Gas Pricing'!$A$1:$AA$31</definedName>
    <definedName name="_xlnm.Print_Area" localSheetId="1">Valuation!$A$9:$Z$488</definedName>
    <definedName name="_xlnm.Print_Titles" localSheetId="1">Valuation!$1:$8</definedName>
  </definedNames>
  <calcPr calcId="0" calcMode="autoNoTable" fullCalcOnLoad="1" iterate="1"/>
</workbook>
</file>

<file path=xl/calcChain.xml><?xml version="1.0" encoding="utf-8"?>
<calcChain xmlns="http://schemas.openxmlformats.org/spreadsheetml/2006/main">
  <c r="I9" i="6" l="1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F16" i="6"/>
  <c r="F17" i="6"/>
  <c r="F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F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F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30" i="6"/>
  <c r="H30" i="6"/>
  <c r="A31" i="6"/>
  <c r="H31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E45" i="6"/>
  <c r="I45" i="6"/>
  <c r="J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B47" i="6"/>
  <c r="H47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B57" i="6"/>
  <c r="H57" i="6"/>
  <c r="J57" i="6"/>
  <c r="H61" i="6"/>
  <c r="G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B64" i="6"/>
  <c r="H64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B70" i="6"/>
  <c r="H70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B78" i="6"/>
  <c r="H78" i="6"/>
  <c r="H80" i="6"/>
  <c r="H82" i="6"/>
  <c r="H84" i="6"/>
  <c r="G96" i="6"/>
  <c r="H96" i="6"/>
  <c r="I96" i="6"/>
  <c r="G97" i="6"/>
  <c r="H97" i="6"/>
  <c r="I97" i="6"/>
  <c r="O97" i="6"/>
  <c r="P97" i="6"/>
  <c r="Q97" i="6"/>
  <c r="R98" i="6"/>
  <c r="R99" i="6"/>
  <c r="O100" i="6"/>
  <c r="P100" i="6"/>
  <c r="Q100" i="6"/>
  <c r="G102" i="6"/>
  <c r="H102" i="6"/>
  <c r="I102" i="6"/>
  <c r="N102" i="6"/>
  <c r="O102" i="6"/>
  <c r="P102" i="6"/>
  <c r="Q102" i="6"/>
  <c r="R102" i="6"/>
  <c r="G103" i="6"/>
  <c r="H103" i="6"/>
  <c r="I103" i="6"/>
  <c r="N103" i="6"/>
  <c r="G105" i="6"/>
  <c r="H105" i="6"/>
  <c r="I105" i="6"/>
  <c r="G106" i="6"/>
  <c r="H106" i="6"/>
  <c r="I106" i="6"/>
  <c r="N106" i="6"/>
  <c r="G107" i="6"/>
  <c r="H107" i="6"/>
  <c r="I107" i="6"/>
  <c r="N107" i="6"/>
  <c r="O108" i="6"/>
  <c r="P108" i="6"/>
  <c r="Q108" i="6"/>
  <c r="G109" i="6"/>
  <c r="H109" i="6"/>
  <c r="I109" i="6"/>
  <c r="G110" i="6"/>
  <c r="H110" i="6"/>
  <c r="I110" i="6"/>
  <c r="R110" i="6"/>
  <c r="N111" i="6"/>
  <c r="O111" i="6"/>
  <c r="P111" i="6"/>
  <c r="Q111" i="6"/>
  <c r="R111" i="6"/>
  <c r="G112" i="6"/>
  <c r="H112" i="6"/>
  <c r="I112" i="6"/>
  <c r="N112" i="6"/>
  <c r="O112" i="6"/>
  <c r="P112" i="6"/>
  <c r="Q112" i="6"/>
  <c r="R112" i="6"/>
  <c r="G113" i="6"/>
  <c r="H113" i="6"/>
  <c r="I113" i="6"/>
  <c r="L113" i="6"/>
  <c r="N113" i="6"/>
  <c r="N116" i="6"/>
  <c r="N117" i="6"/>
  <c r="B118" i="6"/>
  <c r="O118" i="6"/>
  <c r="P118" i="6"/>
  <c r="Q118" i="6"/>
  <c r="R119" i="6"/>
  <c r="R120" i="6"/>
  <c r="D121" i="6"/>
  <c r="N121" i="6"/>
  <c r="O121" i="6"/>
  <c r="P121" i="6"/>
  <c r="Q121" i="6"/>
  <c r="R121" i="6"/>
  <c r="D122" i="6"/>
  <c r="N122" i="6"/>
  <c r="O122" i="6"/>
  <c r="P122" i="6"/>
  <c r="Q122" i="6"/>
  <c r="R122" i="6"/>
  <c r="D123" i="6"/>
  <c r="L123" i="6"/>
  <c r="N123" i="6"/>
  <c r="D124" i="6"/>
  <c r="I133" i="6"/>
  <c r="I134" i="6"/>
  <c r="I135" i="6"/>
  <c r="I136" i="6"/>
  <c r="B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H138" i="6"/>
  <c r="H139" i="6"/>
  <c r="C6" i="4"/>
  <c r="G6" i="4"/>
  <c r="A9" i="4"/>
  <c r="E9" i="4"/>
  <c r="A10" i="4"/>
  <c r="E10" i="4"/>
  <c r="A11" i="4"/>
  <c r="E11" i="4"/>
  <c r="A12" i="4"/>
  <c r="E12" i="4"/>
  <c r="A13" i="4"/>
  <c r="E13" i="4"/>
  <c r="A14" i="4"/>
  <c r="E14" i="4"/>
  <c r="A15" i="4"/>
  <c r="E15" i="4"/>
  <c r="A16" i="4"/>
  <c r="E16" i="4"/>
  <c r="A17" i="4"/>
  <c r="E17" i="4"/>
  <c r="A18" i="4"/>
  <c r="E18" i="4"/>
  <c r="A19" i="4"/>
  <c r="E19" i="4"/>
  <c r="A20" i="4"/>
  <c r="E20" i="4"/>
  <c r="A21" i="4"/>
  <c r="E21" i="4"/>
  <c r="A22" i="4"/>
  <c r="E22" i="4"/>
  <c r="A23" i="4"/>
  <c r="E23" i="4"/>
  <c r="A24" i="4"/>
  <c r="E24" i="4"/>
  <c r="A25" i="4"/>
  <c r="E25" i="4"/>
  <c r="A26" i="4"/>
  <c r="E26" i="4"/>
  <c r="A27" i="4"/>
  <c r="E27" i="4"/>
  <c r="A28" i="4"/>
  <c r="E28" i="4"/>
  <c r="A29" i="4"/>
  <c r="E29" i="4"/>
  <c r="A30" i="4"/>
  <c r="E30" i="4"/>
  <c r="E9" i="2"/>
  <c r="A10" i="2"/>
  <c r="E10" i="2"/>
  <c r="A11" i="2"/>
  <c r="E11" i="2"/>
  <c r="F11" i="2"/>
  <c r="G11" i="2"/>
  <c r="H11" i="2"/>
  <c r="I11" i="2"/>
  <c r="A12" i="2"/>
  <c r="E12" i="2"/>
  <c r="F12" i="2"/>
  <c r="G12" i="2"/>
  <c r="H12" i="2"/>
  <c r="I12" i="2"/>
  <c r="A13" i="2"/>
  <c r="E13" i="2"/>
  <c r="F13" i="2"/>
  <c r="G13" i="2"/>
  <c r="H13" i="2"/>
  <c r="I13" i="2"/>
  <c r="A14" i="2"/>
  <c r="E14" i="2"/>
  <c r="F14" i="2"/>
  <c r="G14" i="2"/>
  <c r="H14" i="2"/>
  <c r="I14" i="2"/>
  <c r="A15" i="2"/>
  <c r="E15" i="2"/>
  <c r="F15" i="2"/>
  <c r="G15" i="2"/>
  <c r="H15" i="2"/>
  <c r="I15" i="2"/>
  <c r="A16" i="2"/>
  <c r="E16" i="2"/>
  <c r="F16" i="2"/>
  <c r="G16" i="2"/>
  <c r="H16" i="2"/>
  <c r="I16" i="2"/>
  <c r="A17" i="2"/>
  <c r="E17" i="2"/>
  <c r="F17" i="2"/>
  <c r="G17" i="2"/>
  <c r="H17" i="2"/>
  <c r="I17" i="2"/>
  <c r="A18" i="2"/>
  <c r="E18" i="2"/>
  <c r="F18" i="2"/>
  <c r="G18" i="2"/>
  <c r="H18" i="2"/>
  <c r="I18" i="2"/>
  <c r="A19" i="2"/>
  <c r="E19" i="2"/>
  <c r="F19" i="2"/>
  <c r="G19" i="2"/>
  <c r="H19" i="2"/>
  <c r="I19" i="2"/>
  <c r="A20" i="2"/>
  <c r="E20" i="2"/>
  <c r="F20" i="2"/>
  <c r="G20" i="2"/>
  <c r="H20" i="2"/>
  <c r="I20" i="2"/>
  <c r="A21" i="2"/>
  <c r="E21" i="2"/>
  <c r="F21" i="2"/>
  <c r="G21" i="2"/>
  <c r="H21" i="2"/>
  <c r="I21" i="2"/>
  <c r="A22" i="2"/>
  <c r="E22" i="2"/>
  <c r="F22" i="2"/>
  <c r="G22" i="2"/>
  <c r="H22" i="2"/>
  <c r="I22" i="2"/>
  <c r="A23" i="2"/>
  <c r="E23" i="2"/>
  <c r="F23" i="2"/>
  <c r="G23" i="2"/>
  <c r="H23" i="2"/>
  <c r="I23" i="2"/>
  <c r="A24" i="2"/>
  <c r="E24" i="2"/>
  <c r="F24" i="2"/>
  <c r="G24" i="2"/>
  <c r="H24" i="2"/>
  <c r="I24" i="2"/>
  <c r="A25" i="2"/>
  <c r="E25" i="2"/>
  <c r="F25" i="2"/>
  <c r="G25" i="2"/>
  <c r="H25" i="2"/>
  <c r="I25" i="2"/>
  <c r="A26" i="2"/>
  <c r="E26" i="2"/>
  <c r="F26" i="2"/>
  <c r="G26" i="2"/>
  <c r="H26" i="2"/>
  <c r="I26" i="2"/>
  <c r="A27" i="2"/>
  <c r="E27" i="2"/>
  <c r="F27" i="2"/>
  <c r="G27" i="2"/>
  <c r="H27" i="2"/>
  <c r="I27" i="2"/>
  <c r="A28" i="2"/>
  <c r="E28" i="2"/>
  <c r="F28" i="2"/>
  <c r="G28" i="2"/>
  <c r="H28" i="2"/>
  <c r="I28" i="2"/>
  <c r="A29" i="2"/>
  <c r="E29" i="2"/>
  <c r="F29" i="2"/>
  <c r="G29" i="2"/>
  <c r="H29" i="2"/>
  <c r="I29" i="2"/>
  <c r="A30" i="2"/>
  <c r="E30" i="2"/>
  <c r="F30" i="2"/>
  <c r="G30" i="2"/>
  <c r="H30" i="2"/>
  <c r="I30" i="2"/>
  <c r="A31" i="2"/>
  <c r="E31" i="2"/>
  <c r="F31" i="2"/>
  <c r="G31" i="2"/>
  <c r="H31" i="2"/>
  <c r="I31" i="2"/>
  <c r="N9" i="3"/>
  <c r="N10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E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E14" i="1"/>
  <c r="E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Z33" i="1"/>
  <c r="A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Z39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Z43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Z47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W50" i="1"/>
  <c r="X50" i="1"/>
  <c r="Y50" i="1"/>
  <c r="Z50" i="1"/>
  <c r="Z51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B74" i="1"/>
  <c r="G74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B91" i="1"/>
  <c r="G91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G99" i="1"/>
  <c r="H99" i="1"/>
  <c r="H100" i="1"/>
  <c r="H101" i="1"/>
  <c r="G103" i="1"/>
  <c r="I105" i="1"/>
  <c r="G106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E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B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D178" i="1"/>
  <c r="G178" i="1"/>
  <c r="G180" i="1"/>
  <c r="G181" i="1"/>
  <c r="G182" i="1"/>
  <c r="I182" i="1"/>
  <c r="J182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B190" i="1"/>
  <c r="G190" i="1"/>
  <c r="G193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E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202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233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I246" i="1"/>
  <c r="J246" i="1"/>
  <c r="K246" i="1"/>
  <c r="L246" i="1"/>
  <c r="M246" i="1"/>
  <c r="O246" i="1"/>
  <c r="P246" i="1"/>
  <c r="R246" i="1"/>
  <c r="S246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G259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G272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297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B303" i="1"/>
  <c r="G303" i="1"/>
  <c r="H303" i="1"/>
  <c r="B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307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B312" i="1"/>
  <c r="G312" i="1"/>
  <c r="H312" i="1"/>
  <c r="B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E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E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B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D338" i="1"/>
  <c r="G338" i="1"/>
  <c r="G340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B346" i="1"/>
  <c r="G346" i="1"/>
  <c r="H346" i="1"/>
  <c r="B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B356" i="1"/>
  <c r="G356" i="1"/>
  <c r="G358" i="1"/>
  <c r="G360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B367" i="1"/>
  <c r="G367" i="1"/>
  <c r="H367" i="1"/>
  <c r="B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B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B379" i="1"/>
  <c r="G379" i="1"/>
  <c r="G381" i="1"/>
  <c r="G383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B390" i="1"/>
  <c r="G390" i="1"/>
  <c r="H390" i="1"/>
  <c r="B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B413" i="1"/>
  <c r="G413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B425" i="1"/>
  <c r="G425" i="1"/>
  <c r="G428" i="1"/>
  <c r="F432" i="1"/>
  <c r="F450" i="1"/>
  <c r="F468" i="1"/>
  <c r="F485" i="1"/>
  <c r="F508" i="1"/>
  <c r="F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F514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528" i="1"/>
  <c r="G528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J534" i="1"/>
  <c r="K534" i="1"/>
  <c r="L534" i="1"/>
  <c r="M534" i="1"/>
  <c r="N534" i="1"/>
  <c r="O534" i="1"/>
  <c r="P534" i="1"/>
  <c r="Q534" i="1"/>
  <c r="R534" i="1"/>
  <c r="S534" i="1"/>
  <c r="J535" i="1"/>
  <c r="K535" i="1"/>
  <c r="L535" i="1"/>
  <c r="M535" i="1"/>
  <c r="N535" i="1"/>
  <c r="O535" i="1"/>
  <c r="P535" i="1"/>
  <c r="Q535" i="1"/>
  <c r="R535" i="1"/>
  <c r="S535" i="1"/>
  <c r="J536" i="1"/>
  <c r="K536" i="1"/>
  <c r="L536" i="1"/>
  <c r="M536" i="1"/>
  <c r="N536" i="1"/>
  <c r="O536" i="1"/>
  <c r="P536" i="1"/>
  <c r="Q536" i="1"/>
  <c r="R536" i="1"/>
  <c r="S536" i="1"/>
</calcChain>
</file>

<file path=xl/comments1.xml><?xml version="1.0" encoding="utf-8"?>
<comments xmlns="http://schemas.openxmlformats.org/spreadsheetml/2006/main">
  <authors>
    <author>ECT</author>
    <author>Rick Hill</author>
  </authors>
  <commentList>
    <comment ref="E18" authorId="0" shapeId="0">
      <text>
        <r>
          <rPr>
            <b/>
            <sz val="8"/>
            <color indexed="81"/>
            <rFont val="Tahoma"/>
          </rPr>
          <t>ECT:</t>
        </r>
        <r>
          <rPr>
            <sz val="8"/>
            <color indexed="81"/>
            <rFont val="Tahoma"/>
          </rPr>
          <t xml:space="preserve">
Enter "Pace" or "Brazos"
</t>
        </r>
      </text>
    </comment>
    <comment ref="G107" authorId="1" shapeId="0">
      <text>
        <r>
          <rPr>
            <b/>
            <sz val="8"/>
            <color indexed="81"/>
            <rFont val="Tahoma"/>
          </rPr>
          <t xml:space="preserve">ENA:
</t>
        </r>
        <r>
          <rPr>
            <sz val="8"/>
            <color indexed="81"/>
            <rFont val="Tahoma"/>
          </rPr>
          <t xml:space="preserve">
Per Tenaska; value is as follows:
$  9.4 MM = Capital Savings From Facilities and Contracts in Place    
$  4.0 MM = Capital Savings from Reduced Development Costs
$  4.5 MM = Other Capital Cost Savings
</t>
        </r>
        <r>
          <rPr>
            <u/>
            <sz val="8"/>
            <color indexed="81"/>
            <rFont val="Tahoma"/>
            <family val="2"/>
          </rPr>
          <t>$  4.0 MM</t>
        </r>
        <r>
          <rPr>
            <sz val="8"/>
            <color indexed="81"/>
            <rFont val="Tahoma"/>
          </rPr>
          <t xml:space="preserve"> = Operating Savings from Shared Operations w/Existing Plant
$22.4 MM = Total Savings (Excl. $5.0 - $12.0 MM in Profits)</t>
        </r>
      </text>
    </comment>
    <comment ref="G173" authorId="1" shapeId="0">
      <text>
        <r>
          <rPr>
            <b/>
            <sz val="8"/>
            <color indexed="81"/>
            <rFont val="Tahoma"/>
          </rPr>
          <t xml:space="preserve">ENA:
</t>
        </r>
        <r>
          <rPr>
            <sz val="8"/>
            <color indexed="81"/>
            <rFont val="Tahoma"/>
            <family val="2"/>
          </rPr>
          <t xml:space="preserve">Negative Value = Cost Increase </t>
        </r>
        <r>
          <rPr>
            <sz val="8"/>
            <color indexed="81"/>
            <rFont val="Tahoma"/>
          </rPr>
          <t xml:space="preserve">
</t>
        </r>
      </text>
    </comment>
    <comment ref="G360" authorId="1" shapeId="0">
      <text>
        <r>
          <rPr>
            <b/>
            <sz val="8"/>
            <color indexed="81"/>
            <rFont val="Tahoma"/>
          </rPr>
          <t>ENA:</t>
        </r>
        <r>
          <rPr>
            <sz val="8"/>
            <color indexed="81"/>
            <rFont val="Tahoma"/>
          </rPr>
          <t xml:space="preserve">
Use Excel's Goal Seek function to hit zero in this cell by changing the Premium to Index.</t>
        </r>
      </text>
    </comment>
    <comment ref="G383" authorId="1" shapeId="0">
      <text>
        <r>
          <rPr>
            <b/>
            <sz val="8"/>
            <color indexed="81"/>
            <rFont val="Tahoma"/>
          </rPr>
          <t>ENA:</t>
        </r>
        <r>
          <rPr>
            <sz val="8"/>
            <color indexed="81"/>
            <rFont val="Tahoma"/>
          </rPr>
          <t xml:space="preserve">
Use Excel's Goal Seek function to hit zero in this cell by changing the Premium to Index.</t>
        </r>
      </text>
    </comment>
  </commentList>
</comments>
</file>

<file path=xl/sharedStrings.xml><?xml version="1.0" encoding="utf-8"?>
<sst xmlns="http://schemas.openxmlformats.org/spreadsheetml/2006/main" count="732" uniqueCount="363">
  <si>
    <t>Avoided O&amp;M Contract Margin</t>
  </si>
  <si>
    <t>NPV</t>
  </si>
  <si>
    <t>Project Debt</t>
  </si>
  <si>
    <t>Total Purchase Price (Enterprise Value)</t>
  </si>
  <si>
    <t>n =</t>
  </si>
  <si>
    <t>PVIF =</t>
  </si>
  <si>
    <t>Date =</t>
  </si>
  <si>
    <t>Interest</t>
  </si>
  <si>
    <t>EBIT</t>
  </si>
  <si>
    <t>Beginning Principal</t>
  </si>
  <si>
    <t>Ending Principal</t>
  </si>
  <si>
    <t>Operating Expenses</t>
  </si>
  <si>
    <t>Efficiency Gains (EWG)</t>
  </si>
  <si>
    <t>Depreciation &amp; Amorization</t>
  </si>
  <si>
    <t>($/MWh)</t>
  </si>
  <si>
    <t>Capacity Charges</t>
  </si>
  <si>
    <t>Energy Charges</t>
  </si>
  <si>
    <t>Principal Amortization</t>
  </si>
  <si>
    <t>Stranded Investment</t>
  </si>
  <si>
    <t>Proforma Impact</t>
  </si>
  <si>
    <t>Purchase Price</t>
  </si>
  <si>
    <t>Plant Ownership/Operation</t>
  </si>
  <si>
    <t>t = 0</t>
  </si>
  <si>
    <t>Pace Curves</t>
  </si>
  <si>
    <t>Pace</t>
  </si>
  <si>
    <t>Treasury Rate</t>
  </si>
  <si>
    <t>($/MMBtu)</t>
  </si>
  <si>
    <t>DSCR Reserve</t>
  </si>
  <si>
    <t>Overhaul Reserve</t>
  </si>
  <si>
    <t>Gas Supply Costs - Demand</t>
  </si>
  <si>
    <t>Gas Supply Costs - Commodity</t>
  </si>
  <si>
    <t>Contract Capacity</t>
  </si>
  <si>
    <t>Hours Per Year</t>
  </si>
  <si>
    <t>Quantity Delivered</t>
  </si>
  <si>
    <t>Quantity Delivered (MWh)</t>
  </si>
  <si>
    <t>Annual Capacity Factor</t>
  </si>
  <si>
    <t>Year</t>
  </si>
  <si>
    <t>Inf. Adj Average of Off Peak &amp; On-Peak</t>
  </si>
  <si>
    <t>Average w/Wheeling</t>
  </si>
  <si>
    <t>Wheeling @</t>
  </si>
  <si>
    <t>Inflation</t>
  </si>
  <si>
    <t>Waha Hub Monthly Price Forecast (Inflation Adjusted)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</si>
  <si>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</si>
  <si>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</si>
  <si>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</si>
  <si>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</si>
  <si>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</si>
  <si>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</si>
  <si>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</si>
  <si>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</si>
  <si>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</si>
  <si>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</si>
  <si>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</si>
  <si>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</si>
  <si>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2000 Pace CPI-U Forecast - High Case</t>
  </si>
  <si>
    <t>2000 Pace CPI-U Forecast - Base Case</t>
  </si>
  <si>
    <t>CAGR</t>
  </si>
  <si>
    <t xml:space="preserve"> </t>
  </si>
  <si>
    <t>Percentage Increase</t>
  </si>
  <si>
    <t>Index Value</t>
  </si>
  <si>
    <t>Inf. Adj On-Peak</t>
  </si>
  <si>
    <t>Inf. Adj. Off-Peak</t>
  </si>
  <si>
    <t>Strip</t>
  </si>
  <si>
    <t>CY</t>
  </si>
  <si>
    <t>Capacity Rate</t>
  </si>
  <si>
    <t>($/kW-mo.)</t>
  </si>
  <si>
    <t>(kW)</t>
  </si>
  <si>
    <t>(MWh)</t>
  </si>
  <si>
    <t>Quantity Purchased</t>
  </si>
  <si>
    <t>Energy Rate - Per Formula</t>
  </si>
  <si>
    <t>Cost of Gas - Supply Component</t>
  </si>
  <si>
    <t>($/Dth)</t>
  </si>
  <si>
    <t>Cost of Gas - Transportation Component</t>
  </si>
  <si>
    <t>Cost of Gas - Delivered</t>
  </si>
  <si>
    <t>Cost of Gas - Fuel Loss Factor @</t>
  </si>
  <si>
    <t>Cost of Gas - Management Fee</t>
  </si>
  <si>
    <t>(Btu/kWh)</t>
  </si>
  <si>
    <t>(*)  Calculated as Follows:</t>
  </si>
  <si>
    <t>O&amp;M - Other</t>
  </si>
  <si>
    <t>O&amp;M - Fuel</t>
  </si>
  <si>
    <t>CAPEX</t>
  </si>
  <si>
    <t xml:space="preserve">Quantity Delivered </t>
  </si>
  <si>
    <t>Total O&amp;M - Fuel</t>
  </si>
  <si>
    <t>Labor &amp; Supervision</t>
  </si>
  <si>
    <t>Training</t>
  </si>
  <si>
    <t>Utilities</t>
  </si>
  <si>
    <t>Operator Liability Insurance</t>
  </si>
  <si>
    <t>Operator Profit - GI Fee</t>
  </si>
  <si>
    <t>Operator Profit - Award Fee</t>
  </si>
  <si>
    <t>Operator Profit - Mgmt Fee</t>
  </si>
  <si>
    <t>Building &amp; Grounds</t>
  </si>
  <si>
    <t>Vehicle Maintenance</t>
  </si>
  <si>
    <t xml:space="preserve">Consumables </t>
  </si>
  <si>
    <t>Office Equipment &amp; Supplies</t>
  </si>
  <si>
    <t>Equipment Rental</t>
  </si>
  <si>
    <t>Equipment &amp; Tools</t>
  </si>
  <si>
    <t>Outside Services</t>
  </si>
  <si>
    <t>Use of Existing Spare Parts</t>
  </si>
  <si>
    <t>CT Planned Outage Total</t>
  </si>
  <si>
    <t>ST Planned Outage Total</t>
  </si>
  <si>
    <t>HRSG Maintenance Total</t>
  </si>
  <si>
    <t>Electrical Maintenance Total</t>
  </si>
  <si>
    <t>BOP Planned Outage Total</t>
  </si>
  <si>
    <t>Other Expenses</t>
  </si>
  <si>
    <t>Total O&amp;M - Other</t>
  </si>
  <si>
    <t>Property Taxes</t>
  </si>
  <si>
    <t>Insurance</t>
  </si>
  <si>
    <t>Other G&amp;A</t>
  </si>
  <si>
    <t>Other</t>
  </si>
  <si>
    <t>Total Other</t>
  </si>
  <si>
    <t>Quantity Required</t>
  </si>
  <si>
    <t>Heat Rate - Operating</t>
  </si>
  <si>
    <t>Heat Rate - Guaranteed</t>
  </si>
  <si>
    <t>Cleburne Analysis ($000)</t>
  </si>
  <si>
    <t>Brazos Electric Power Cooperative, Inc.</t>
  </si>
  <si>
    <t>Costs of Operation</t>
  </si>
  <si>
    <t>O&amp;M - Total</t>
  </si>
  <si>
    <t>Plant Ownership/Operation (Con't)</t>
  </si>
  <si>
    <t>Cost Saving Opportunities:</t>
  </si>
  <si>
    <t>Operating Costs - Total</t>
  </si>
  <si>
    <t>Cost to Own/Operate vs. Market Price</t>
  </si>
  <si>
    <t>Cost of Debt:</t>
  </si>
  <si>
    <t>Stranded Investment Mitigation</t>
  </si>
  <si>
    <t>Effective TIER</t>
  </si>
  <si>
    <t>Pricing Used in Valuation:</t>
  </si>
  <si>
    <t>Year Life, or</t>
  </si>
  <si>
    <t>Equals a</t>
  </si>
  <si>
    <t>Input</t>
  </si>
  <si>
    <t>Key Output</t>
  </si>
  <si>
    <t>Cleburne Analysis</t>
  </si>
  <si>
    <t>Chart Data</t>
  </si>
  <si>
    <t>Contract Price vs. Market Price</t>
  </si>
  <si>
    <t>Contract Gas</t>
  </si>
  <si>
    <t>Market Gas</t>
  </si>
  <si>
    <t>Efficiency Gain</t>
  </si>
  <si>
    <t>Key Sensitivities</t>
  </si>
  <si>
    <t>Base Value*</t>
  </si>
  <si>
    <t>spread over Treasury.</t>
  </si>
  <si>
    <t xml:space="preserve">Energy Rate </t>
  </si>
  <si>
    <t>As Scheduled</t>
  </si>
  <si>
    <t>Per Formula (*)</t>
  </si>
  <si>
    <t>('98=100)</t>
  </si>
  <si>
    <t>Inflation ('98=100)</t>
  </si>
  <si>
    <t>On Peak ('98$)</t>
  </si>
  <si>
    <t>Off-Peak ('98$)</t>
  </si>
  <si>
    <t>Average of Off Peak &amp; On-Peak ('98$)</t>
  </si>
  <si>
    <t>Waha Hub Monthly Price Forecast ('98$)</t>
  </si>
  <si>
    <t>Market Price - ERCOT 7x24 w/Wheeling (Brazos)</t>
  </si>
  <si>
    <t>Other Operating Cost Savings</t>
  </si>
  <si>
    <t>Other Operating Cost Savings (Negative Value = Cost Increase)</t>
  </si>
  <si>
    <t>Contract Purchase (Status Quo)</t>
  </si>
  <si>
    <t>Cost of Ownership/Operation</t>
  </si>
  <si>
    <t>Base Rate</t>
  </si>
  <si>
    <t>Spread</t>
  </si>
  <si>
    <t>Cost of Debt (Discount Rate)</t>
  </si>
  <si>
    <t>Operating Costs</t>
  </si>
  <si>
    <t>*Assumes a:</t>
  </si>
  <si>
    <t>ERCOT On-Peak Power (Pace)</t>
  </si>
  <si>
    <t>ERCOT Off-Peak Power (Pace)</t>
  </si>
  <si>
    <t>ERCOT Average Power (Pace)</t>
  </si>
  <si>
    <t>COBANK Stock - Book Value</t>
  </si>
  <si>
    <t>Development Assets</t>
  </si>
  <si>
    <t>Cost to Unwind Swap</t>
  </si>
  <si>
    <t>Fuel Use</t>
  </si>
  <si>
    <t>(MMBtu)</t>
  </si>
  <si>
    <t>Cost of Gas - Management Fee (Market)</t>
  </si>
  <si>
    <t>Cost of Gas - Management Fee  (Per PPA)</t>
  </si>
  <si>
    <t>Incremental Cost of Renewal Term to Brazos</t>
  </si>
  <si>
    <t>Cost of Gas - Management Fee (Net)</t>
  </si>
  <si>
    <t>Plant, Property &amp; Equipment</t>
  </si>
  <si>
    <t>Value Realized Above PP&amp;E in Acquisition Price</t>
  </si>
  <si>
    <t>Total Cost</t>
  </si>
  <si>
    <t>Total Stranded Investment Mitigation</t>
  </si>
  <si>
    <t>Avoided Capacity Charges - Renewal Term</t>
  </si>
  <si>
    <t>Avoided Gas Management Fees - Renewal Term</t>
  </si>
  <si>
    <t>($/kW)</t>
  </si>
  <si>
    <t>Operating Margin</t>
  </si>
  <si>
    <t>Rate Esc:</t>
  </si>
  <si>
    <t>Delta to PPE/ENA Equity Offer Price</t>
  </si>
  <si>
    <t>Cost of Contract Purchase (Status Quo)</t>
  </si>
  <si>
    <t>Waha Hub Natural Gas (Pace)*</t>
  </si>
  <si>
    <t>Brazos</t>
  </si>
  <si>
    <t>Operating Costs - Other Than Fuel</t>
  </si>
  <si>
    <t>Operating Costs - Fuel</t>
  </si>
  <si>
    <t>Esc. Post 2019:</t>
  </si>
  <si>
    <t>Modifications</t>
  </si>
  <si>
    <t>Delete Row</t>
  </si>
  <si>
    <t>Hardcode/Data Input Format (2001-19)</t>
  </si>
  <si>
    <t>Delete Comment, Column G</t>
  </si>
  <si>
    <t>DELETE THIS COLUMN!!!</t>
  </si>
  <si>
    <t>Principal</t>
  </si>
  <si>
    <t>Total</t>
  </si>
  <si>
    <t>Tranche (A) Principal Total</t>
  </si>
  <si>
    <t>Tranche (B) Principal Total</t>
  </si>
  <si>
    <t>TOTAL PRINCIPAL OUTSTANDING-AVG (Interest)</t>
  </si>
  <si>
    <t>TOTAL PRINCIPAL OUTSTANDING-EOY</t>
  </si>
  <si>
    <t>Total Interest</t>
  </si>
  <si>
    <t>Total  Principal</t>
  </si>
  <si>
    <t>Total Debt Service</t>
  </si>
  <si>
    <t>Project-Level Debt</t>
  </si>
  <si>
    <t>LIBOR</t>
  </si>
  <si>
    <t>Total (w/365 Day Gross-Up)</t>
  </si>
  <si>
    <t>Tenor:</t>
  </si>
  <si>
    <t>All-In Average Interest Cost</t>
  </si>
  <si>
    <t>EOQ1B</t>
  </si>
  <si>
    <t>EOQ2B</t>
  </si>
  <si>
    <t>EOQ3B</t>
  </si>
  <si>
    <t>EOQ4B</t>
  </si>
  <si>
    <t>Tranche B1 (Fixed Interest Rate)</t>
  </si>
  <si>
    <t>Tranche A1 &amp; B2 (Swapped for Fixed Interest Rate)</t>
  </si>
  <si>
    <t>Tranche A2 (Floating Interest Rate)</t>
  </si>
  <si>
    <t>B.O.Y. Balance</t>
  </si>
  <si>
    <t>Average Principal Outstanding</t>
  </si>
  <si>
    <t>Term:</t>
  </si>
  <si>
    <t>Debt Service - Total</t>
  </si>
  <si>
    <t>Refinance:</t>
  </si>
  <si>
    <t>Cost of Debt (RUS)</t>
  </si>
  <si>
    <t>Avoided Costs</t>
  </si>
  <si>
    <t>This Information Is CONFIDENTIAL Per Section 5 of the Facilitation Agreement</t>
  </si>
  <si>
    <t>Amortization of Tranche A</t>
  </si>
  <si>
    <t>Amortization of Tranche B</t>
  </si>
  <si>
    <t>Debt Service (Detailed on Page 5)</t>
  </si>
  <si>
    <t>New Debt - RUS</t>
  </si>
  <si>
    <t>New Debt - Market</t>
  </si>
  <si>
    <t>Cost to Brazos</t>
  </si>
  <si>
    <t>Credit Reserve</t>
  </si>
  <si>
    <t>Seller Equity Cost</t>
  </si>
  <si>
    <t>Seller Power Exchange Cost</t>
  </si>
  <si>
    <t>Net Seller Shortfall</t>
  </si>
  <si>
    <t>Design Basis</t>
  </si>
  <si>
    <t>Quantity Delivered (Full Output)</t>
  </si>
  <si>
    <t>Premium to Index</t>
  </si>
  <si>
    <t>Debt Service</t>
  </si>
  <si>
    <t>Term (Years):</t>
  </si>
  <si>
    <t>Seller Shortfall to Equity From Contractual Cf</t>
  </si>
  <si>
    <t>Total Cost to Brazos</t>
  </si>
  <si>
    <t>Operating Costs - Total (Including Savings)</t>
  </si>
  <si>
    <t>Production Payment on Partial Output</t>
  </si>
  <si>
    <t>Equity - Market Settlement</t>
  </si>
  <si>
    <t>Equity - RUS</t>
  </si>
  <si>
    <t>Yes</t>
  </si>
  <si>
    <t>Capacity Commitment</t>
  </si>
  <si>
    <t>(MW)</t>
  </si>
  <si>
    <t>Market (Index) Plus Power Exchange on Full Output</t>
  </si>
  <si>
    <t>Premium to Market</t>
  </si>
  <si>
    <t>Market Price (Cost of Replacement Power to Brazos)</t>
  </si>
  <si>
    <t>Replacement Power Cost</t>
  </si>
  <si>
    <t>Summary of Renewal Term Values</t>
  </si>
  <si>
    <t>Summary (Pages 1 through 6)</t>
  </si>
  <si>
    <t>Full Term Blend &amp; Extend from Equity Seller</t>
  </si>
  <si>
    <t>Blend and Extend Alternatives (Indicative)</t>
  </si>
  <si>
    <t>*Others highlighted below</t>
  </si>
  <si>
    <t>Key Assumptions*</t>
  </si>
  <si>
    <t>Market Price - ERCOT 7x24 w/Wheeling (Pace)</t>
  </si>
  <si>
    <t>NOTE:  ENA assumes post 2019 escalation at:</t>
  </si>
  <si>
    <t>Principal Q1</t>
  </si>
  <si>
    <t>Principal Q2</t>
  </si>
  <si>
    <t>Principal Q3</t>
  </si>
  <si>
    <t>Principal Q4</t>
  </si>
  <si>
    <t>O&amp;M Pass-Through</t>
  </si>
  <si>
    <t>General Inflation</t>
  </si>
  <si>
    <t>Market Price - ERCOT 7x24 w/Wheeling (Enron-Mid)</t>
  </si>
  <si>
    <t>Market Price - Midlothian I</t>
  </si>
  <si>
    <t>Market Price - Midlothian II</t>
  </si>
  <si>
    <t>Term</t>
  </si>
  <si>
    <t>Margin Required</t>
  </si>
  <si>
    <t>Hurdle Rate</t>
  </si>
  <si>
    <t>Escalator</t>
  </si>
  <si>
    <t>Contract</t>
  </si>
  <si>
    <t>Test Beginning Year</t>
  </si>
  <si>
    <t>Test Ending Year</t>
  </si>
  <si>
    <t>Margin Over Index</t>
  </si>
  <si>
    <t>Margin Total</t>
  </si>
  <si>
    <t>Blend &amp; Extend Offer</t>
  </si>
  <si>
    <t>Years</t>
  </si>
  <si>
    <t>Per Year</t>
  </si>
  <si>
    <t>MW</t>
  </si>
  <si>
    <t>Beginning Year</t>
  </si>
  <si>
    <t>Ending Year</t>
  </si>
  <si>
    <t>Minimum Take</t>
  </si>
  <si>
    <t>Escalation Component</t>
  </si>
  <si>
    <t>Adder in Year 1</t>
  </si>
  <si>
    <t>Equivalent Capacity Rate</t>
  </si>
  <si>
    <t>Judgement in Year</t>
  </si>
  <si>
    <t>Pre-Judgement Interest</t>
  </si>
  <si>
    <t>Contract Discount Rate</t>
  </si>
  <si>
    <t>Legal Costs ($/Year)</t>
  </si>
  <si>
    <t>Liquidated Damages Per Contract:</t>
  </si>
  <si>
    <t>Months in Year</t>
  </si>
  <si>
    <t>Capacity Component ($/kW)</t>
  </si>
  <si>
    <t>O &amp; M Adjustment ($/kW)</t>
  </si>
  <si>
    <t>Buyout Capacity Component ($/kW)</t>
  </si>
  <si>
    <t>Capacity Payment</t>
  </si>
  <si>
    <t>DCF Per Contract</t>
  </si>
  <si>
    <t>Damages Awarded @ NPV</t>
  </si>
  <si>
    <t>DCF</t>
  </si>
  <si>
    <t>FMV Offset:</t>
  </si>
  <si>
    <t>Merchant Revenue</t>
  </si>
  <si>
    <t>Operating Costs (PPE Proforma Net of EWG Savings)</t>
  </si>
  <si>
    <t>Equal To</t>
  </si>
  <si>
    <t>Per kW</t>
  </si>
  <si>
    <t>Pre-Judgement Interest:</t>
  </si>
  <si>
    <t>Damage Award</t>
  </si>
  <si>
    <t>Legal Costs:</t>
  </si>
  <si>
    <t>Annual Cost</t>
  </si>
  <si>
    <t>Cost of Replacement Contract</t>
  </si>
  <si>
    <t>NPV Savings (Cost) vs. Contract</t>
  </si>
  <si>
    <t>Replacement Contract</t>
  </si>
  <si>
    <t>10 Year Treasury</t>
  </si>
  <si>
    <t>RUS Spread</t>
  </si>
  <si>
    <t>Discount Rate</t>
  </si>
  <si>
    <t>Delta vs. PPA</t>
  </si>
  <si>
    <t>Break-Even</t>
  </si>
  <si>
    <t>to PPA</t>
  </si>
  <si>
    <t>Section</t>
  </si>
  <si>
    <t>Partnership Capital</t>
  </si>
  <si>
    <t>FMV Offset</t>
  </si>
  <si>
    <t>Note</t>
  </si>
  <si>
    <t>11.02 (PV5)</t>
  </si>
  <si>
    <t>Delta vs. Ownership</t>
  </si>
  <si>
    <t>Legal Costs</t>
  </si>
  <si>
    <t>PPA Cost</t>
  </si>
  <si>
    <t>Ownership Cost</t>
  </si>
  <si>
    <t>(1)</t>
  </si>
  <si>
    <t>(2)</t>
  </si>
  <si>
    <t>(3)</t>
  </si>
  <si>
    <t>(4)</t>
  </si>
  <si>
    <t>(5)</t>
  </si>
  <si>
    <t>(6)</t>
  </si>
  <si>
    <t>NOTES:</t>
  </si>
  <si>
    <t>Bank Capital</t>
  </si>
  <si>
    <t>At December 31, 2000</t>
  </si>
  <si>
    <t>Total "Damages" Awarded</t>
  </si>
  <si>
    <t>Cleburne Litigation Risk Analysis</t>
  </si>
  <si>
    <t>NPV Savings (Cost) vs. Ownership</t>
  </si>
  <si>
    <t>$405.1 EV</t>
  </si>
  <si>
    <t xml:space="preserve">to Own at </t>
  </si>
  <si>
    <t>Market Price</t>
  </si>
  <si>
    <t>Purchased Quantity</t>
  </si>
  <si>
    <t>Quantity Sold</t>
  </si>
  <si>
    <t>Billing Units</t>
  </si>
  <si>
    <t xml:space="preserve">Assumes pricing from Pace Global Energy, 2001-36 </t>
  </si>
  <si>
    <t>NPV Impact on Brazos Electric</t>
  </si>
  <si>
    <t>Annual Interest from Date of Breach @</t>
  </si>
  <si>
    <t>NOTE:  Efficiency Gain (EWG) reflected in heat rate (i.e., not shown as a line item) post 2019.</t>
  </si>
  <si>
    <t>NOTE:  Avoided O&amp;M Contract Margin assumed to be zero post 2019, as the contract expires with the initial term of the PPA.</t>
  </si>
  <si>
    <t>Contract Price Upon Breach</t>
  </si>
  <si>
    <t>Market Price Upon Breach</t>
  </si>
  <si>
    <t>Delta Price</t>
  </si>
  <si>
    <t>ENA Perspective</t>
  </si>
  <si>
    <t>"Book-Up"</t>
  </si>
  <si>
    <t>Section 11.02 (PV5)</t>
  </si>
  <si>
    <t xml:space="preserve">XNPV </t>
  </si>
  <si>
    <t>Brazos Perspective</t>
  </si>
  <si>
    <t>Merchant Margins (Pace)</t>
  </si>
  <si>
    <t>Damages &amp; Interest</t>
  </si>
  <si>
    <t>Damages (Including PLD) &amp; Interest</t>
  </si>
  <si>
    <t>Break-Even to ENA "Carried Value"</t>
  </si>
  <si>
    <t>Merchant Discount Rate</t>
  </si>
  <si>
    <t>Statutory Discount Rate</t>
  </si>
  <si>
    <t>Worst Case (UCC Interpretation)</t>
  </si>
  <si>
    <t>Brazos Approach - UCC Interpretation</t>
  </si>
  <si>
    <t>Total Damages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</si>
</sst>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0.000%"/>
    <numFmt numFmtId="168" formatCode="dd\-mmm\-yy"/>
    <numFmt numFmtId="171" formatCode="0.0000"/>
    <numFmt numFmtId="173" formatCode="_(&quot;$&quot;* #,##0_);_(&quot;$&quot;* \(#,##0\);_(&quot;$&quot;* &quot;-&quot;??_);_(@_)"/>
    <numFmt numFmtId="179" formatCode="_(* #,##0.0000_);_(* \(#,##0.0000\);_(* &quot;-&quot;??_);_(@_)"/>
    <numFmt numFmtId="196" formatCode="_(&quot;$&quot;* #,##0.0000_);_(&quot;$&quot;* \(#,##0.0000\);_(&quot;$&quot;* &quot;-&quot;??_);_(@_)"/>
    <numFmt numFmtId="198" formatCode="_(&quot;$&quot;* #,##0.000000_);_(&quot;$&quot;* \(#,##0.000000\);_(&quot;$&quot;* &quot;-&quot;??_);_(@_)"/>
    <numFmt numFmtId="200" formatCode="#,##0.000_);\(#,##0.000\)"/>
    <numFmt numFmtId="201" formatCode="&quot;$&quot;#,##0"/>
    <numFmt numFmtId="203" formatCode="0.0000%"/>
  </numFmts>
  <fonts count="35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b/>
      <u/>
      <sz val="10"/>
      <color indexed="12"/>
      <name val="Arial"/>
      <family val="2"/>
    </font>
    <font>
      <sz val="10"/>
      <color indexed="8"/>
      <name val="Arial"/>
      <family val="2"/>
    </font>
    <font>
      <u val="singleAccounting"/>
      <sz val="10"/>
      <name val="Arial"/>
      <family val="2"/>
    </font>
    <font>
      <b/>
      <sz val="10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  <font>
      <i/>
      <sz val="12"/>
      <name val="Arial"/>
      <family val="2"/>
    </font>
    <font>
      <sz val="10"/>
      <color indexed="8"/>
      <name val="MS Sans Serif"/>
    </font>
    <font>
      <sz val="8"/>
      <name val="Arial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SWISS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b/>
      <u val="singleAccounting"/>
      <sz val="10"/>
      <name val="Arial"/>
      <family val="2"/>
    </font>
    <font>
      <sz val="9"/>
      <name val="Arial"/>
    </font>
    <font>
      <sz val="9"/>
      <name val="Arial"/>
    </font>
    <font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indexed="10"/>
      <name val="Arial"/>
      <family val="2"/>
    </font>
    <font>
      <b/>
      <u val="singleAccounting"/>
      <sz val="10"/>
      <color indexed="8"/>
      <name val="Arial"/>
      <family val="2"/>
    </font>
    <font>
      <i/>
      <sz val="10"/>
      <name val="Arial"/>
      <family val="2"/>
    </font>
    <font>
      <b/>
      <u/>
      <sz val="10"/>
      <color indexed="8"/>
      <name val="Arial"/>
      <family val="2"/>
    </font>
    <font>
      <u val="singleAccounting"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1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7" fillId="0" borderId="0"/>
    <xf numFmtId="9" fontId="1" fillId="0" borderId="0" applyFont="0" applyFill="0" applyBorder="0" applyAlignment="0" applyProtection="0"/>
  </cellStyleXfs>
  <cellXfs count="476">
    <xf numFmtId="0" fontId="0" fillId="0" borderId="0" xfId="0"/>
    <xf numFmtId="0" fontId="0" fillId="2" borderId="0" xfId="0" applyFill="1"/>
    <xf numFmtId="44" fontId="0" fillId="2" borderId="0" xfId="2" applyFont="1" applyFill="1"/>
    <xf numFmtId="166" fontId="0" fillId="2" borderId="0" xfId="6" applyNumberFormat="1" applyFont="1" applyFill="1"/>
    <xf numFmtId="2" fontId="0" fillId="2" borderId="0" xfId="0" applyNumberFormat="1" applyFill="1"/>
    <xf numFmtId="171" fontId="0" fillId="2" borderId="0" xfId="0" applyNumberFormat="1" applyFill="1"/>
    <xf numFmtId="173" fontId="0" fillId="2" borderId="0" xfId="2" applyNumberFormat="1" applyFont="1" applyFill="1"/>
    <xf numFmtId="173" fontId="0" fillId="2" borderId="0" xfId="0" applyNumberFormat="1" applyFill="1"/>
    <xf numFmtId="173" fontId="0" fillId="2" borderId="0" xfId="0" applyNumberFormat="1" applyFill="1" applyBorder="1"/>
    <xf numFmtId="8" fontId="0" fillId="2" borderId="0" xfId="0" applyNumberFormat="1" applyFill="1"/>
    <xf numFmtId="0" fontId="3" fillId="2" borderId="0" xfId="0" applyFont="1" applyFill="1" applyAlignment="1">
      <alignment horizontal="right"/>
    </xf>
    <xf numFmtId="1" fontId="3" fillId="2" borderId="1" xfId="0" applyNumberFormat="1" applyFont="1" applyFill="1" applyBorder="1" applyAlignment="1">
      <alignment horizontal="center"/>
    </xf>
    <xf numFmtId="173" fontId="5" fillId="2" borderId="0" xfId="2" applyNumberFormat="1" applyFont="1" applyFill="1"/>
    <xf numFmtId="43" fontId="0" fillId="2" borderId="0" xfId="1" applyFont="1" applyFill="1"/>
    <xf numFmtId="168" fontId="3" fillId="2" borderId="0" xfId="2" applyNumberFormat="1" applyFont="1" applyFill="1"/>
    <xf numFmtId="43" fontId="6" fillId="2" borderId="0" xfId="1" applyFont="1" applyFill="1"/>
    <xf numFmtId="43" fontId="3" fillId="2" borderId="0" xfId="1" applyFont="1" applyFill="1"/>
    <xf numFmtId="43" fontId="2" fillId="2" borderId="0" xfId="1" applyFont="1" applyFill="1"/>
    <xf numFmtId="10" fontId="0" fillId="2" borderId="0" xfId="6" applyNumberFormat="1" applyFont="1" applyFill="1" applyAlignment="1">
      <alignment horizontal="left"/>
    </xf>
    <xf numFmtId="173" fontId="2" fillId="2" borderId="0" xfId="2" applyNumberFormat="1" applyFont="1" applyFill="1"/>
    <xf numFmtId="165" fontId="2" fillId="2" borderId="0" xfId="1" applyNumberFormat="1" applyFont="1" applyFill="1"/>
    <xf numFmtId="0" fontId="3" fillId="2" borderId="0" xfId="0" applyFont="1" applyFill="1"/>
    <xf numFmtId="173" fontId="8" fillId="2" borderId="0" xfId="2" applyNumberFormat="1" applyFont="1" applyFill="1"/>
    <xf numFmtId="173" fontId="0" fillId="2" borderId="0" xfId="2" applyNumberFormat="1" applyFont="1" applyFill="1" applyBorder="1"/>
    <xf numFmtId="43" fontId="0" fillId="2" borderId="0" xfId="1" applyFont="1" applyFill="1" applyAlignment="1">
      <alignment horizontal="right"/>
    </xf>
    <xf numFmtId="165" fontId="0" fillId="2" borderId="0" xfId="1" applyNumberFormat="1" applyFont="1" applyFill="1"/>
    <xf numFmtId="44" fontId="2" fillId="2" borderId="0" xfId="2" applyFont="1" applyFill="1"/>
    <xf numFmtId="173" fontId="4" fillId="2" borderId="1" xfId="0" applyNumberFormat="1" applyFont="1" applyFill="1" applyBorder="1"/>
    <xf numFmtId="173" fontId="8" fillId="2" borderId="0" xfId="2" applyNumberFormat="1" applyFont="1" applyFill="1" applyBorder="1"/>
    <xf numFmtId="43" fontId="13" fillId="2" borderId="0" xfId="1" applyFont="1" applyFill="1"/>
    <xf numFmtId="44" fontId="0" fillId="2" borderId="1" xfId="2" applyFont="1" applyFill="1" applyBorder="1"/>
    <xf numFmtId="165" fontId="0" fillId="2" borderId="0" xfId="0" applyNumberFormat="1" applyFill="1"/>
    <xf numFmtId="44" fontId="0" fillId="2" borderId="1" xfId="0" applyNumberFormat="1" applyFill="1" applyBorder="1"/>
    <xf numFmtId="43" fontId="4" fillId="2" borderId="0" xfId="1" applyFont="1" applyFill="1"/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173" fontId="3" fillId="3" borderId="2" xfId="0" applyNumberFormat="1" applyFont="1" applyFill="1" applyBorder="1"/>
    <xf numFmtId="173" fontId="4" fillId="2" borderId="0" xfId="2" applyNumberFormat="1" applyFont="1" applyFill="1"/>
    <xf numFmtId="37" fontId="4" fillId="2" borderId="0" xfId="1" applyNumberFormat="1" applyFont="1" applyFill="1"/>
    <xf numFmtId="37" fontId="4" fillId="2" borderId="0" xfId="0" applyNumberFormat="1" applyFont="1" applyFill="1"/>
    <xf numFmtId="37" fontId="4" fillId="2" borderId="0" xfId="2" applyNumberFormat="1" applyFont="1" applyFill="1"/>
    <xf numFmtId="0" fontId="14" fillId="2" borderId="0" xfId="0" applyFont="1" applyFill="1" applyBorder="1" applyAlignment="1">
      <alignment horizontal="left"/>
    </xf>
    <xf numFmtId="165" fontId="4" fillId="2" borderId="0" xfId="1" applyNumberFormat="1" applyFont="1" applyFill="1"/>
    <xf numFmtId="43" fontId="9" fillId="2" borderId="0" xfId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6" fontId="4" fillId="2" borderId="0" xfId="0" quotePrefix="1" applyNumberFormat="1" applyFont="1" applyFill="1"/>
    <xf numFmtId="165" fontId="8" fillId="2" borderId="0" xfId="1" applyNumberFormat="1" applyFont="1" applyFill="1"/>
    <xf numFmtId="0" fontId="19" fillId="0" borderId="0" xfId="5" applyFont="1" applyFill="1" applyBorder="1" applyAlignment="1">
      <alignment horizontal="center" wrapText="1" shrinkToFit="1"/>
    </xf>
    <xf numFmtId="0" fontId="19" fillId="2" borderId="0" xfId="5" applyFont="1" applyFill="1" applyBorder="1" applyAlignment="1">
      <alignment horizontal="center" wrapText="1" shrinkToFit="1"/>
    </xf>
    <xf numFmtId="0" fontId="19" fillId="0" borderId="0" xfId="5" applyFont="1"/>
    <xf numFmtId="0" fontId="17" fillId="0" borderId="0" xfId="5"/>
    <xf numFmtId="171" fontId="19" fillId="0" borderId="0" xfId="5" applyNumberFormat="1" applyFont="1"/>
    <xf numFmtId="0" fontId="21" fillId="2" borderId="0" xfId="3" applyFont="1" applyFill="1"/>
    <xf numFmtId="0" fontId="21" fillId="0" borderId="0" xfId="3" applyFont="1"/>
    <xf numFmtId="0" fontId="21" fillId="2" borderId="0" xfId="3" applyFont="1" applyFill="1" applyBorder="1"/>
    <xf numFmtId="0" fontId="21" fillId="2" borderId="0" xfId="4" applyFont="1" applyFill="1"/>
    <xf numFmtId="0" fontId="21" fillId="2" borderId="0" xfId="4" applyFont="1" applyFill="1" applyAlignment="1">
      <alignment horizontal="center"/>
    </xf>
    <xf numFmtId="0" fontId="21" fillId="0" borderId="0" xfId="4" applyFont="1" applyAlignment="1">
      <alignment horizontal="center"/>
    </xf>
    <xf numFmtId="0" fontId="21" fillId="0" borderId="0" xfId="4" applyFont="1"/>
    <xf numFmtId="44" fontId="19" fillId="0" borderId="0" xfId="5" applyNumberFormat="1" applyFont="1"/>
    <xf numFmtId="44" fontId="8" fillId="2" borderId="0" xfId="2" applyFont="1" applyFill="1"/>
    <xf numFmtId="44" fontId="19" fillId="2" borderId="0" xfId="5" applyNumberFormat="1" applyFont="1" applyFill="1"/>
    <xf numFmtId="44" fontId="2" fillId="2" borderId="0" xfId="2" quotePrefix="1" applyFont="1" applyFill="1"/>
    <xf numFmtId="43" fontId="21" fillId="2" borderId="0" xfId="3" applyNumberFormat="1" applyFont="1" applyFill="1"/>
    <xf numFmtId="196" fontId="2" fillId="2" borderId="0" xfId="2" applyNumberFormat="1" applyFont="1" applyFill="1"/>
    <xf numFmtId="196" fontId="8" fillId="2" borderId="0" xfId="2" applyNumberFormat="1" applyFont="1" applyFill="1"/>
    <xf numFmtId="165" fontId="8" fillId="2" borderId="1" xfId="1" applyNumberFormat="1" applyFont="1" applyFill="1" applyBorder="1"/>
    <xf numFmtId="173" fontId="2" fillId="2" borderId="0" xfId="2" applyNumberFormat="1" applyFont="1" applyFill="1" applyBorder="1"/>
    <xf numFmtId="196" fontId="0" fillId="2" borderId="0" xfId="2" applyNumberFormat="1" applyFont="1" applyFill="1"/>
    <xf numFmtId="198" fontId="0" fillId="2" borderId="0" xfId="2" applyNumberFormat="1" applyFont="1" applyFill="1"/>
    <xf numFmtId="196" fontId="0" fillId="2" borderId="0" xfId="2" applyNumberFormat="1" applyFont="1" applyFill="1" applyBorder="1"/>
    <xf numFmtId="44" fontId="8" fillId="2" borderId="0" xfId="2" applyNumberFormat="1" applyFont="1" applyFill="1"/>
    <xf numFmtId="43" fontId="4" fillId="2" borderId="0" xfId="1" quotePrefix="1" applyFont="1" applyFill="1"/>
    <xf numFmtId="0" fontId="4" fillId="2" borderId="0" xfId="0" quotePrefix="1" applyFont="1" applyFill="1"/>
    <xf numFmtId="173" fontId="8" fillId="2" borderId="0" xfId="2" quotePrefix="1" applyNumberFormat="1" applyFont="1" applyFill="1"/>
    <xf numFmtId="173" fontId="4" fillId="2" borderId="1" xfId="2" applyNumberFormat="1" applyFont="1" applyFill="1" applyBorder="1"/>
    <xf numFmtId="173" fontId="4" fillId="2" borderId="0" xfId="2" applyNumberFormat="1" applyFont="1" applyFill="1" applyBorder="1"/>
    <xf numFmtId="0" fontId="0" fillId="2" borderId="0" xfId="0" quotePrefix="1" applyFill="1"/>
    <xf numFmtId="173" fontId="0" fillId="2" borderId="0" xfId="0" quotePrefix="1" applyNumberFormat="1" applyFill="1"/>
    <xf numFmtId="196" fontId="23" fillId="2" borderId="1" xfId="2" applyNumberFormat="1" applyFont="1" applyFill="1" applyBorder="1"/>
    <xf numFmtId="173" fontId="3" fillId="2" borderId="0" xfId="2" applyNumberFormat="1" applyFont="1" applyFill="1"/>
    <xf numFmtId="200" fontId="3" fillId="2" borderId="0" xfId="1" applyNumberFormat="1" applyFont="1" applyFill="1" applyAlignment="1">
      <alignment horizontal="left"/>
    </xf>
    <xf numFmtId="173" fontId="4" fillId="2" borderId="0" xfId="0" applyNumberFormat="1" applyFont="1" applyFill="1" applyBorder="1"/>
    <xf numFmtId="37" fontId="4" fillId="2" borderId="0" xfId="2" applyNumberFormat="1" applyFont="1" applyFill="1" applyBorder="1"/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/>
    <xf numFmtId="0" fontId="3" fillId="3" borderId="4" xfId="0" applyFont="1" applyFill="1" applyBorder="1"/>
    <xf numFmtId="167" fontId="3" fillId="3" borderId="3" xfId="6" applyNumberFormat="1" applyFont="1" applyFill="1" applyBorder="1" applyAlignment="1">
      <alignment horizontal="center"/>
    </xf>
    <xf numFmtId="173" fontId="3" fillId="2" borderId="2" xfId="0" applyNumberFormat="1" applyFont="1" applyFill="1" applyBorder="1"/>
    <xf numFmtId="43" fontId="0" fillId="2" borderId="0" xfId="1" applyFont="1" applyFill="1" applyAlignment="1">
      <alignment horizontal="center"/>
    </xf>
    <xf numFmtId="43" fontId="3" fillId="4" borderId="5" xfId="1" applyFont="1" applyFill="1" applyBorder="1"/>
    <xf numFmtId="0" fontId="0" fillId="4" borderId="6" xfId="0" applyFill="1" applyBorder="1"/>
    <xf numFmtId="43" fontId="3" fillId="4" borderId="7" xfId="1" applyFont="1" applyFill="1" applyBorder="1"/>
    <xf numFmtId="0" fontId="0" fillId="4" borderId="0" xfId="0" applyFill="1" applyBorder="1"/>
    <xf numFmtId="43" fontId="3" fillId="4" borderId="8" xfId="1" applyFont="1" applyFill="1" applyBorder="1"/>
    <xf numFmtId="0" fontId="0" fillId="4" borderId="1" xfId="0" applyFill="1" applyBorder="1"/>
    <xf numFmtId="0" fontId="5" fillId="4" borderId="2" xfId="0" applyFont="1" applyFill="1" applyBorder="1" applyAlignment="1">
      <alignment horizontal="center"/>
    </xf>
    <xf numFmtId="196" fontId="2" fillId="4" borderId="1" xfId="2" applyNumberFormat="1" applyFont="1" applyFill="1" applyBorder="1"/>
    <xf numFmtId="165" fontId="2" fillId="4" borderId="1" xfId="1" applyNumberFormat="1" applyFont="1" applyFill="1" applyBorder="1"/>
    <xf numFmtId="1" fontId="5" fillId="4" borderId="1" xfId="0" applyNumberFormat="1" applyFont="1" applyFill="1" applyBorder="1" applyAlignment="1">
      <alignment horizontal="center"/>
    </xf>
    <xf numFmtId="168" fontId="5" fillId="4" borderId="0" xfId="2" applyNumberFormat="1" applyFont="1" applyFill="1"/>
    <xf numFmtId="165" fontId="2" fillId="4" borderId="0" xfId="1" applyNumberFormat="1" applyFont="1" applyFill="1"/>
    <xf numFmtId="10" fontId="2" fillId="4" borderId="0" xfId="6" applyNumberFormat="1" applyFont="1" applyFill="1"/>
    <xf numFmtId="44" fontId="2" fillId="4" borderId="0" xfId="0" applyNumberFormat="1" applyFont="1" applyFill="1"/>
    <xf numFmtId="44" fontId="2" fillId="4" borderId="1" xfId="2" applyFont="1" applyFill="1" applyBorder="1"/>
    <xf numFmtId="44" fontId="2" fillId="4" borderId="0" xfId="2" applyNumberFormat="1" applyFont="1" applyFill="1"/>
    <xf numFmtId="173" fontId="2" fillId="4" borderId="0" xfId="2" applyNumberFormat="1" applyFont="1" applyFill="1"/>
    <xf numFmtId="173" fontId="2" fillId="4" borderId="1" xfId="2" applyNumberFormat="1" applyFont="1" applyFill="1" applyBorder="1"/>
    <xf numFmtId="173" fontId="5" fillId="4" borderId="2" xfId="2" applyNumberFormat="1" applyFont="1" applyFill="1" applyBorder="1"/>
    <xf numFmtId="10" fontId="2" fillId="4" borderId="2" xfId="6" applyNumberFormat="1" applyFont="1" applyFill="1" applyBorder="1" applyAlignment="1">
      <alignment horizontal="center"/>
    </xf>
    <xf numFmtId="196" fontId="2" fillId="4" borderId="0" xfId="2" applyNumberFormat="1" applyFont="1" applyFill="1"/>
    <xf numFmtId="196" fontId="2" fillId="4" borderId="0" xfId="2" applyNumberFormat="1" applyFont="1" applyFill="1" applyBorder="1"/>
    <xf numFmtId="167" fontId="2" fillId="4" borderId="2" xfId="6" applyNumberFormat="1" applyFont="1" applyFill="1" applyBorder="1" applyAlignment="1">
      <alignment horizontal="centerContinuous"/>
    </xf>
    <xf numFmtId="168" fontId="2" fillId="4" borderId="2" xfId="0" applyNumberFormat="1" applyFont="1" applyFill="1" applyBorder="1" applyAlignment="1">
      <alignment horizontal="center" vertical="center"/>
    </xf>
    <xf numFmtId="168" fontId="0" fillId="3" borderId="2" xfId="0" applyNumberFormat="1" applyFill="1" applyBorder="1" applyAlignment="1">
      <alignment horizontal="center" vertical="center"/>
    </xf>
    <xf numFmtId="43" fontId="16" fillId="2" borderId="0" xfId="1" applyFont="1" applyFill="1" applyBorder="1"/>
    <xf numFmtId="0" fontId="16" fillId="2" borderId="0" xfId="0" applyFont="1" applyFill="1" applyBorder="1"/>
    <xf numFmtId="0" fontId="3" fillId="5" borderId="3" xfId="3" applyFont="1" applyFill="1" applyBorder="1" applyAlignment="1">
      <alignment horizontal="center"/>
    </xf>
    <xf numFmtId="0" fontId="3" fillId="5" borderId="2" xfId="3" applyFont="1" applyFill="1" applyBorder="1" applyAlignment="1">
      <alignment horizontal="center"/>
    </xf>
    <xf numFmtId="0" fontId="3" fillId="2" borderId="9" xfId="3" applyFont="1" applyFill="1" applyBorder="1" applyAlignment="1">
      <alignment horizontal="center"/>
    </xf>
    <xf numFmtId="0" fontId="3" fillId="2" borderId="0" xfId="3" applyFont="1" applyFill="1" applyBorder="1"/>
    <xf numFmtId="0" fontId="4" fillId="2" borderId="0" xfId="3" applyFont="1" applyFill="1" applyBorder="1"/>
    <xf numFmtId="0" fontId="4" fillId="2" borderId="9" xfId="3" applyFont="1" applyFill="1" applyBorder="1"/>
    <xf numFmtId="44" fontId="2" fillId="4" borderId="0" xfId="2" applyFont="1" applyFill="1" applyBorder="1"/>
    <xf numFmtId="44" fontId="4" fillId="2" borderId="0" xfId="2" applyNumberFormat="1" applyFont="1" applyFill="1" applyBorder="1"/>
    <xf numFmtId="44" fontId="4" fillId="3" borderId="9" xfId="2" applyNumberFormat="1" applyFont="1" applyFill="1" applyBorder="1"/>
    <xf numFmtId="44" fontId="4" fillId="2" borderId="1" xfId="2" applyNumberFormat="1" applyFont="1" applyFill="1" applyBorder="1"/>
    <xf numFmtId="44" fontId="4" fillId="3" borderId="10" xfId="2" applyNumberFormat="1" applyFont="1" applyFill="1" applyBorder="1"/>
    <xf numFmtId="44" fontId="8" fillId="0" borderId="11" xfId="2" applyFont="1" applyBorder="1" applyAlignment="1">
      <alignment horizontal="right"/>
    </xf>
    <xf numFmtId="43" fontId="8" fillId="0" borderId="11" xfId="1" applyFont="1" applyBorder="1" applyAlignment="1">
      <alignment horizontal="right"/>
    </xf>
    <xf numFmtId="43" fontId="8" fillId="3" borderId="11" xfId="1" applyFont="1" applyFill="1" applyBorder="1" applyAlignment="1">
      <alignment horizontal="right"/>
    </xf>
    <xf numFmtId="44" fontId="8" fillId="3" borderId="11" xfId="2" applyFont="1" applyFill="1" applyBorder="1" applyAlignment="1">
      <alignment horizontal="center" wrapText="1" shrinkToFit="1"/>
    </xf>
    <xf numFmtId="44" fontId="2" fillId="4" borderId="11" xfId="2" applyFont="1" applyFill="1" applyBorder="1" applyAlignment="1">
      <alignment horizontal="right"/>
    </xf>
    <xf numFmtId="44" fontId="8" fillId="3" borderId="11" xfId="2" applyFont="1" applyFill="1" applyBorder="1" applyAlignment="1">
      <alignment horizontal="right"/>
    </xf>
    <xf numFmtId="44" fontId="8" fillId="3" borderId="11" xfId="2" applyFont="1" applyFill="1" applyBorder="1"/>
    <xf numFmtId="0" fontId="8" fillId="2" borderId="11" xfId="5" applyFont="1" applyFill="1" applyBorder="1" applyAlignment="1">
      <alignment horizontal="center" wrapText="1" shrinkToFit="1"/>
    </xf>
    <xf numFmtId="0" fontId="8" fillId="2" borderId="11" xfId="5" quotePrefix="1" applyFont="1" applyFill="1" applyBorder="1" applyAlignment="1">
      <alignment horizontal="center" wrapText="1" shrinkToFit="1"/>
    </xf>
    <xf numFmtId="0" fontId="10" fillId="2" borderId="11" xfId="5" quotePrefix="1" applyFont="1" applyFill="1" applyBorder="1" applyAlignment="1">
      <alignment horizontal="center" wrapText="1" shrinkToFit="1"/>
    </xf>
    <xf numFmtId="0" fontId="10" fillId="2" borderId="11" xfId="5" applyFont="1" applyFill="1" applyBorder="1" applyAlignment="1">
      <alignment horizontal="center" wrapText="1" shrinkToFit="1"/>
    </xf>
    <xf numFmtId="43" fontId="10" fillId="3" borderId="11" xfId="1" applyFont="1" applyFill="1" applyBorder="1" applyAlignment="1">
      <alignment horizontal="right"/>
    </xf>
    <xf numFmtId="44" fontId="10" fillId="3" borderId="11" xfId="2" applyFont="1" applyFill="1" applyBorder="1" applyAlignment="1">
      <alignment horizontal="center" wrapText="1" shrinkToFit="1"/>
    </xf>
    <xf numFmtId="0" fontId="10" fillId="3" borderId="11" xfId="5" applyFont="1" applyFill="1" applyBorder="1" applyAlignment="1">
      <alignment horizontal="center" wrapText="1" shrinkToFit="1"/>
    </xf>
    <xf numFmtId="0" fontId="4" fillId="2" borderId="0" xfId="4" applyFont="1" applyFill="1"/>
    <xf numFmtId="0" fontId="4" fillId="2" borderId="12" xfId="4" applyFont="1" applyFill="1" applyBorder="1"/>
    <xf numFmtId="0" fontId="4" fillId="2" borderId="13" xfId="4" applyFont="1" applyFill="1" applyBorder="1" applyAlignment="1">
      <alignment horizontal="center" wrapText="1"/>
    </xf>
    <xf numFmtId="0" fontId="4" fillId="2" borderId="0" xfId="4" applyFont="1" applyFill="1" applyAlignment="1">
      <alignment horizontal="center"/>
    </xf>
    <xf numFmtId="43" fontId="2" fillId="4" borderId="11" xfId="1" applyFont="1" applyFill="1" applyBorder="1"/>
    <xf numFmtId="43" fontId="2" fillId="4" borderId="11" xfId="1" applyFont="1" applyFill="1" applyBorder="1" applyAlignment="1">
      <alignment horizontal="right"/>
    </xf>
    <xf numFmtId="0" fontId="3" fillId="5" borderId="14" xfId="3" applyFont="1" applyFill="1" applyBorder="1" applyAlignment="1">
      <alignment horizontal="center"/>
    </xf>
    <xf numFmtId="0" fontId="3" fillId="5" borderId="10" xfId="3" applyFont="1" applyFill="1" applyBorder="1" applyAlignment="1">
      <alignment horizontal="center"/>
    </xf>
    <xf numFmtId="0" fontId="3" fillId="5" borderId="3" xfId="3" applyFont="1" applyFill="1" applyBorder="1"/>
    <xf numFmtId="0" fontId="3" fillId="5" borderId="4" xfId="3" applyFont="1" applyFill="1" applyBorder="1"/>
    <xf numFmtId="0" fontId="21" fillId="0" borderId="9" xfId="3" applyFont="1" applyBorder="1"/>
    <xf numFmtId="0" fontId="3" fillId="2" borderId="10" xfId="3" applyFont="1" applyFill="1" applyBorder="1" applyAlignment="1">
      <alignment horizontal="center"/>
    </xf>
    <xf numFmtId="43" fontId="25" fillId="2" borderId="14" xfId="1" applyFont="1" applyFill="1" applyBorder="1" applyAlignment="1">
      <alignment horizontal="center"/>
    </xf>
    <xf numFmtId="168" fontId="15" fillId="3" borderId="2" xfId="0" applyNumberFormat="1" applyFont="1" applyFill="1" applyBorder="1" applyAlignment="1">
      <alignment horizontal="center" vertical="center"/>
    </xf>
    <xf numFmtId="0" fontId="15" fillId="2" borderId="0" xfId="0" applyFont="1" applyFill="1"/>
    <xf numFmtId="173" fontId="4" fillId="2" borderId="15" xfId="2" applyNumberFormat="1" applyFont="1" applyFill="1" applyBorder="1"/>
    <xf numFmtId="173" fontId="4" fillId="2" borderId="3" xfId="2" applyNumberFormat="1" applyFont="1" applyFill="1" applyBorder="1"/>
    <xf numFmtId="173" fontId="4" fillId="2" borderId="4" xfId="2" applyNumberFormat="1" applyFont="1" applyFill="1" applyBorder="1"/>
    <xf numFmtId="43" fontId="4" fillId="2" borderId="0" xfId="2" applyNumberFormat="1" applyFont="1" applyFill="1"/>
    <xf numFmtId="10" fontId="4" fillId="2" borderId="0" xfId="6" applyNumberFormat="1" applyFont="1" applyFill="1" applyAlignment="1">
      <alignment horizontal="left"/>
    </xf>
    <xf numFmtId="173" fontId="2" fillId="4" borderId="0" xfId="2" applyNumberFormat="1" applyFont="1" applyFill="1" applyBorder="1"/>
    <xf numFmtId="0" fontId="4" fillId="2" borderId="16" xfId="4" applyFont="1" applyFill="1" applyBorder="1" applyAlignment="1">
      <alignment horizontal="center"/>
    </xf>
    <xf numFmtId="10" fontId="4" fillId="2" borderId="17" xfId="6" applyNumberFormat="1" applyFont="1" applyFill="1" applyBorder="1"/>
    <xf numFmtId="0" fontId="4" fillId="2" borderId="18" xfId="4" applyFont="1" applyFill="1" applyBorder="1" applyAlignment="1">
      <alignment horizontal="center"/>
    </xf>
    <xf numFmtId="0" fontId="4" fillId="2" borderId="19" xfId="4" applyFont="1" applyFill="1" applyBorder="1" applyAlignment="1">
      <alignment horizontal="center" wrapText="1"/>
    </xf>
    <xf numFmtId="0" fontId="2" fillId="4" borderId="16" xfId="4" applyFont="1" applyFill="1" applyBorder="1" applyAlignment="1">
      <alignment horizontal="center"/>
    </xf>
    <xf numFmtId="43" fontId="2" fillId="4" borderId="20" xfId="1" applyNumberFormat="1" applyFont="1" applyFill="1" applyBorder="1"/>
    <xf numFmtId="0" fontId="4" fillId="2" borderId="21" xfId="4" applyFont="1" applyFill="1" applyBorder="1" applyAlignment="1">
      <alignment horizontal="center"/>
    </xf>
    <xf numFmtId="0" fontId="4" fillId="2" borderId="22" xfId="4" applyFont="1" applyFill="1" applyBorder="1" applyAlignment="1">
      <alignment horizontal="center"/>
    </xf>
    <xf numFmtId="43" fontId="2" fillId="4" borderId="23" xfId="1" applyFont="1" applyFill="1" applyBorder="1"/>
    <xf numFmtId="43" fontId="2" fillId="4" borderId="24" xfId="1" applyNumberFormat="1" applyFont="1" applyFill="1" applyBorder="1"/>
    <xf numFmtId="0" fontId="10" fillId="5" borderId="25" xfId="5" applyFont="1" applyFill="1" applyBorder="1" applyAlignment="1">
      <alignment horizontal="center" wrapText="1" shrinkToFit="1"/>
    </xf>
    <xf numFmtId="0" fontId="10" fillId="5" borderId="26" xfId="5" applyFont="1" applyFill="1" applyBorder="1" applyAlignment="1">
      <alignment horizontal="center" wrapText="1" shrinkToFit="1"/>
    </xf>
    <xf numFmtId="0" fontId="10" fillId="5" borderId="27" xfId="5" applyFont="1" applyFill="1" applyBorder="1" applyAlignment="1">
      <alignment horizontal="center" wrapText="1" shrinkToFit="1"/>
    </xf>
    <xf numFmtId="0" fontId="10" fillId="2" borderId="21" xfId="5" applyFont="1" applyFill="1" applyBorder="1" applyAlignment="1">
      <alignment horizontal="center" wrapText="1" shrinkToFit="1"/>
    </xf>
    <xf numFmtId="0" fontId="10" fillId="3" borderId="20" xfId="5" applyFont="1" applyFill="1" applyBorder="1" applyAlignment="1">
      <alignment horizontal="center" wrapText="1" shrinkToFit="1"/>
    </xf>
    <xf numFmtId="0" fontId="8" fillId="2" borderId="21" xfId="5" applyFont="1" applyFill="1" applyBorder="1" applyAlignment="1">
      <alignment horizontal="center" wrapText="1" shrinkToFit="1"/>
    </xf>
    <xf numFmtId="44" fontId="10" fillId="3" borderId="20" xfId="2" applyFont="1" applyFill="1" applyBorder="1" applyAlignment="1">
      <alignment horizontal="center"/>
    </xf>
    <xf numFmtId="44" fontId="8" fillId="3" borderId="20" xfId="2" applyFont="1" applyFill="1" applyBorder="1" applyAlignment="1">
      <alignment horizontal="center"/>
    </xf>
    <xf numFmtId="0" fontId="5" fillId="4" borderId="21" xfId="5" applyFont="1" applyFill="1" applyBorder="1" applyAlignment="1">
      <alignment horizontal="center"/>
    </xf>
    <xf numFmtId="44" fontId="8" fillId="4" borderId="20" xfId="2" applyFont="1" applyFill="1" applyBorder="1" applyAlignment="1">
      <alignment horizontal="center"/>
    </xf>
    <xf numFmtId="0" fontId="10" fillId="0" borderId="21" xfId="5" applyFont="1" applyBorder="1" applyAlignment="1">
      <alignment horizontal="center"/>
    </xf>
    <xf numFmtId="44" fontId="2" fillId="4" borderId="20" xfId="2" applyFont="1" applyFill="1" applyBorder="1"/>
    <xf numFmtId="44" fontId="8" fillId="3" borderId="20" xfId="2" applyFont="1" applyFill="1" applyBorder="1"/>
    <xf numFmtId="0" fontId="10" fillId="0" borderId="22" xfId="5" applyFont="1" applyBorder="1" applyAlignment="1">
      <alignment horizontal="center"/>
    </xf>
    <xf numFmtId="44" fontId="2" fillId="4" borderId="23" xfId="2" applyFont="1" applyFill="1" applyBorder="1" applyAlignment="1">
      <alignment horizontal="right"/>
    </xf>
    <xf numFmtId="43" fontId="8" fillId="0" borderId="23" xfId="1" applyFont="1" applyBorder="1" applyAlignment="1">
      <alignment horizontal="right"/>
    </xf>
    <xf numFmtId="44" fontId="8" fillId="3" borderId="23" xfId="2" applyFont="1" applyFill="1" applyBorder="1" applyAlignment="1">
      <alignment horizontal="right"/>
    </xf>
    <xf numFmtId="44" fontId="8" fillId="3" borderId="23" xfId="2" applyFont="1" applyFill="1" applyBorder="1"/>
    <xf numFmtId="44" fontId="8" fillId="3" borderId="24" xfId="2" applyFont="1" applyFill="1" applyBorder="1"/>
    <xf numFmtId="9" fontId="0" fillId="2" borderId="0" xfId="6" applyFont="1" applyFill="1"/>
    <xf numFmtId="43" fontId="0" fillId="2" borderId="0" xfId="0" applyNumberFormat="1" applyFill="1"/>
    <xf numFmtId="10" fontId="8" fillId="2" borderId="0" xfId="6" applyNumberFormat="1" applyFont="1" applyFill="1"/>
    <xf numFmtId="0" fontId="0" fillId="2" borderId="5" xfId="0" applyFill="1" applyBorder="1"/>
    <xf numFmtId="0" fontId="0" fillId="2" borderId="28" xfId="0" applyFill="1" applyBorder="1"/>
    <xf numFmtId="0" fontId="3" fillId="2" borderId="7" xfId="0" applyFont="1" applyFill="1" applyBorder="1"/>
    <xf numFmtId="173" fontId="3" fillId="2" borderId="29" xfId="2" applyNumberFormat="1" applyFont="1" applyFill="1" applyBorder="1"/>
    <xf numFmtId="173" fontId="8" fillId="2" borderId="5" xfId="2" applyNumberFormat="1" applyFont="1" applyFill="1" applyBorder="1"/>
    <xf numFmtId="173" fontId="8" fillId="2" borderId="6" xfId="2" applyNumberFormat="1" applyFont="1" applyFill="1" applyBorder="1"/>
    <xf numFmtId="173" fontId="8" fillId="2" borderId="28" xfId="2" applyNumberFormat="1" applyFont="1" applyFill="1" applyBorder="1"/>
    <xf numFmtId="173" fontId="8" fillId="2" borderId="7" xfId="2" applyNumberFormat="1" applyFont="1" applyFill="1" applyBorder="1"/>
    <xf numFmtId="173" fontId="8" fillId="2" borderId="29" xfId="2" applyNumberFormat="1" applyFont="1" applyFill="1" applyBorder="1"/>
    <xf numFmtId="173" fontId="8" fillId="2" borderId="0" xfId="2" applyNumberFormat="1" applyFont="1" applyFill="1" applyBorder="1" applyAlignment="1">
      <alignment horizontal="right"/>
    </xf>
    <xf numFmtId="173" fontId="8" fillId="2" borderId="8" xfId="2" applyNumberFormat="1" applyFont="1" applyFill="1" applyBorder="1"/>
    <xf numFmtId="173" fontId="8" fillId="2" borderId="1" xfId="2" applyNumberFormat="1" applyFont="1" applyFill="1" applyBorder="1"/>
    <xf numFmtId="173" fontId="8" fillId="2" borderId="30" xfId="2" applyNumberFormat="1" applyFont="1" applyFill="1" applyBorder="1"/>
    <xf numFmtId="0" fontId="3" fillId="2" borderId="8" xfId="0" applyFont="1" applyFill="1" applyBorder="1"/>
    <xf numFmtId="173" fontId="3" fillId="2" borderId="30" xfId="2" applyNumberFormat="1" applyFont="1" applyFill="1" applyBorder="1"/>
    <xf numFmtId="9" fontId="2" fillId="4" borderId="15" xfId="6" applyFont="1" applyFill="1" applyBorder="1"/>
    <xf numFmtId="167" fontId="2" fillId="4" borderId="28" xfId="6" applyNumberFormat="1" applyFont="1" applyFill="1" applyBorder="1" applyAlignment="1">
      <alignment horizontal="center"/>
    </xf>
    <xf numFmtId="167" fontId="2" fillId="4" borderId="29" xfId="6" applyNumberFormat="1" applyFont="1" applyFill="1" applyBorder="1" applyAlignment="1">
      <alignment horizontal="center"/>
    </xf>
    <xf numFmtId="167" fontId="2" fillId="4" borderId="30" xfId="6" applyNumberFormat="1" applyFont="1" applyFill="1" applyBorder="1" applyAlignment="1">
      <alignment horizontal="center"/>
    </xf>
    <xf numFmtId="10" fontId="2" fillId="4" borderId="28" xfId="6" applyNumberFormat="1" applyFont="1" applyFill="1" applyBorder="1" applyAlignment="1">
      <alignment horizontal="center"/>
    </xf>
    <xf numFmtId="10" fontId="2" fillId="4" borderId="29" xfId="6" applyNumberFormat="1" applyFont="1" applyFill="1" applyBorder="1" applyAlignment="1">
      <alignment horizontal="center"/>
    </xf>
    <xf numFmtId="10" fontId="2" fillId="4" borderId="30" xfId="6" applyNumberFormat="1" applyFont="1" applyFill="1" applyBorder="1" applyAlignment="1">
      <alignment horizontal="center"/>
    </xf>
    <xf numFmtId="9" fontId="2" fillId="4" borderId="3" xfId="6" applyFont="1" applyFill="1" applyBorder="1"/>
    <xf numFmtId="9" fontId="2" fillId="4" borderId="4" xfId="6" applyFont="1" applyFill="1" applyBorder="1"/>
    <xf numFmtId="173" fontId="8" fillId="2" borderId="15" xfId="2" applyNumberFormat="1" applyFont="1" applyFill="1" applyBorder="1"/>
    <xf numFmtId="173" fontId="8" fillId="2" borderId="3" xfId="2" applyNumberFormat="1" applyFont="1" applyFill="1" applyBorder="1"/>
    <xf numFmtId="173" fontId="8" fillId="2" borderId="4" xfId="2" applyNumberFormat="1" applyFont="1" applyFill="1" applyBorder="1"/>
    <xf numFmtId="203" fontId="5" fillId="4" borderId="28" xfId="6" applyNumberFormat="1" applyFont="1" applyFill="1" applyBorder="1" applyAlignment="1">
      <alignment horizontal="centerContinuous"/>
    </xf>
    <xf numFmtId="203" fontId="7" fillId="4" borderId="29" xfId="6" applyNumberFormat="1" applyFont="1" applyFill="1" applyBorder="1" applyAlignment="1">
      <alignment horizontal="centerContinuous"/>
    </xf>
    <xf numFmtId="203" fontId="3" fillId="4" borderId="30" xfId="0" applyNumberFormat="1" applyFont="1" applyFill="1" applyBorder="1" applyAlignment="1">
      <alignment horizontal="centerContinuous"/>
    </xf>
    <xf numFmtId="44" fontId="15" fillId="3" borderId="0" xfId="2" applyFont="1" applyFill="1"/>
    <xf numFmtId="173" fontId="24" fillId="2" borderId="0" xfId="2" applyNumberFormat="1" applyFont="1" applyFill="1" applyAlignment="1">
      <alignment horizontal="right"/>
    </xf>
    <xf numFmtId="44" fontId="15" fillId="3" borderId="0" xfId="2" applyNumberFormat="1" applyFont="1" applyFill="1"/>
    <xf numFmtId="43" fontId="4" fillId="2" borderId="9" xfId="1" applyFont="1" applyFill="1" applyBorder="1" applyAlignment="1">
      <alignment horizontal="center"/>
    </xf>
    <xf numFmtId="43" fontId="4" fillId="2" borderId="10" xfId="1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167" fontId="3" fillId="2" borderId="0" xfId="6" applyNumberFormat="1" applyFont="1" applyFill="1" applyAlignment="1">
      <alignment horizontal="center"/>
    </xf>
    <xf numFmtId="173" fontId="0" fillId="2" borderId="1" xfId="0" applyNumberFormat="1" applyFill="1" applyBorder="1"/>
    <xf numFmtId="0" fontId="0" fillId="2" borderId="0" xfId="1" applyNumberFormat="1" applyFont="1" applyFill="1"/>
    <xf numFmtId="173" fontId="3" fillId="3" borderId="2" xfId="2" applyNumberFormat="1" applyFont="1" applyFill="1" applyBorder="1"/>
    <xf numFmtId="44" fontId="0" fillId="2" borderId="0" xfId="0" applyNumberFormat="1" applyFill="1"/>
    <xf numFmtId="173" fontId="0" fillId="2" borderId="15" xfId="2" applyNumberFormat="1" applyFont="1" applyFill="1" applyBorder="1"/>
    <xf numFmtId="173" fontId="0" fillId="2" borderId="3" xfId="2" applyNumberFormat="1" applyFont="1" applyFill="1" applyBorder="1"/>
    <xf numFmtId="173" fontId="0" fillId="2" borderId="4" xfId="2" applyNumberFormat="1" applyFont="1" applyFill="1" applyBorder="1"/>
    <xf numFmtId="173" fontId="0" fillId="2" borderId="2" xfId="2" applyNumberFormat="1" applyFont="1" applyFill="1" applyBorder="1"/>
    <xf numFmtId="173" fontId="0" fillId="2" borderId="2" xfId="0" applyNumberFormat="1" applyFill="1" applyBorder="1"/>
    <xf numFmtId="10" fontId="0" fillId="2" borderId="0" xfId="0" applyNumberFormat="1" applyFill="1"/>
    <xf numFmtId="196" fontId="8" fillId="2" borderId="0" xfId="2" applyNumberFormat="1" applyFont="1" applyFill="1" applyBorder="1"/>
    <xf numFmtId="173" fontId="3" fillId="3" borderId="8" xfId="0" applyNumberFormat="1" applyFont="1" applyFill="1" applyBorder="1"/>
    <xf numFmtId="173" fontId="3" fillId="3" borderId="14" xfId="0" applyNumberFormat="1" applyFont="1" applyFill="1" applyBorder="1"/>
    <xf numFmtId="167" fontId="2" fillId="4" borderId="0" xfId="6" applyNumberFormat="1" applyFont="1" applyFill="1" applyAlignment="1">
      <alignment horizontal="center"/>
    </xf>
    <xf numFmtId="200" fontId="3" fillId="2" borderId="0" xfId="0" applyNumberFormat="1" applyFont="1" applyFill="1" applyAlignment="1">
      <alignment horizontal="left"/>
    </xf>
    <xf numFmtId="44" fontId="0" fillId="2" borderId="1" xfId="2" applyNumberFormat="1" applyFont="1" applyFill="1" applyBorder="1"/>
    <xf numFmtId="44" fontId="2" fillId="4" borderId="1" xfId="2" applyNumberFormat="1" applyFont="1" applyFill="1" applyBorder="1"/>
    <xf numFmtId="203" fontId="2" fillId="2" borderId="0" xfId="6" applyNumberFormat="1" applyFont="1" applyFill="1"/>
    <xf numFmtId="167" fontId="0" fillId="2" borderId="0" xfId="6" applyNumberFormat="1" applyFont="1" applyFill="1"/>
    <xf numFmtId="173" fontId="0" fillId="2" borderId="6" xfId="2" applyNumberFormat="1" applyFont="1" applyFill="1" applyBorder="1"/>
    <xf numFmtId="167" fontId="8" fillId="2" borderId="0" xfId="6" applyNumberFormat="1" applyFont="1" applyFill="1" applyAlignment="1">
      <alignment horizontal="center"/>
    </xf>
    <xf numFmtId="1" fontId="3" fillId="6" borderId="0" xfId="0" applyNumberFormat="1" applyFont="1" applyFill="1" applyBorder="1" applyAlignment="1">
      <alignment horizontal="center"/>
    </xf>
    <xf numFmtId="0" fontId="0" fillId="6" borderId="0" xfId="0" applyFill="1"/>
    <xf numFmtId="168" fontId="3" fillId="6" borderId="0" xfId="2" applyNumberFormat="1" applyFont="1" applyFill="1"/>
    <xf numFmtId="2" fontId="0" fillId="6" borderId="0" xfId="0" applyNumberFormat="1" applyFill="1"/>
    <xf numFmtId="171" fontId="0" fillId="6" borderId="0" xfId="0" applyNumberFormat="1" applyFill="1"/>
    <xf numFmtId="10" fontId="8" fillId="6" borderId="0" xfId="6" applyNumberFormat="1" applyFont="1" applyFill="1"/>
    <xf numFmtId="165" fontId="8" fillId="6" borderId="0" xfId="1" applyNumberFormat="1" applyFont="1" applyFill="1"/>
    <xf numFmtId="44" fontId="0" fillId="6" borderId="0" xfId="0" applyNumberFormat="1" applyFill="1"/>
    <xf numFmtId="165" fontId="0" fillId="6" borderId="0" xfId="0" applyNumberFormat="1" applyFill="1"/>
    <xf numFmtId="173" fontId="8" fillId="6" borderId="0" xfId="2" applyNumberFormat="1" applyFont="1" applyFill="1"/>
    <xf numFmtId="44" fontId="8" fillId="6" borderId="0" xfId="2" applyNumberFormat="1" applyFont="1" applyFill="1"/>
    <xf numFmtId="165" fontId="8" fillId="6" borderId="1" xfId="1" applyNumberFormat="1" applyFont="1" applyFill="1" applyBorder="1"/>
    <xf numFmtId="173" fontId="8" fillId="6" borderId="0" xfId="2" applyNumberFormat="1" applyFont="1" applyFill="1" applyBorder="1"/>
    <xf numFmtId="173" fontId="2" fillId="6" borderId="0" xfId="2" applyNumberFormat="1" applyFont="1" applyFill="1" applyBorder="1"/>
    <xf numFmtId="173" fontId="4" fillId="6" borderId="0" xfId="2" applyNumberFormat="1" applyFont="1" applyFill="1" applyBorder="1"/>
    <xf numFmtId="196" fontId="8" fillId="6" borderId="0" xfId="2" applyNumberFormat="1" applyFont="1" applyFill="1"/>
    <xf numFmtId="196" fontId="23" fillId="6" borderId="1" xfId="2" applyNumberFormat="1" applyFont="1" applyFill="1" applyBorder="1"/>
    <xf numFmtId="196" fontId="0" fillId="6" borderId="0" xfId="2" applyNumberFormat="1" applyFont="1" applyFill="1"/>
    <xf numFmtId="44" fontId="0" fillId="6" borderId="0" xfId="2" applyFont="1" applyFill="1"/>
    <xf numFmtId="173" fontId="0" fillId="6" borderId="0" xfId="2" applyNumberFormat="1" applyFont="1" applyFill="1"/>
    <xf numFmtId="37" fontId="4" fillId="6" borderId="0" xfId="2" applyNumberFormat="1" applyFont="1" applyFill="1"/>
    <xf numFmtId="37" fontId="4" fillId="6" borderId="0" xfId="2" applyNumberFormat="1" applyFont="1" applyFill="1" applyBorder="1"/>
    <xf numFmtId="43" fontId="0" fillId="6" borderId="0" xfId="0" applyNumberFormat="1" applyFill="1"/>
    <xf numFmtId="1" fontId="3" fillId="6" borderId="1" xfId="0" applyNumberFormat="1" applyFont="1" applyFill="1" applyBorder="1" applyAlignment="1">
      <alignment horizontal="center"/>
    </xf>
    <xf numFmtId="173" fontId="0" fillId="6" borderId="0" xfId="0" applyNumberFormat="1" applyFill="1"/>
    <xf numFmtId="165" fontId="0" fillId="6" borderId="0" xfId="1" applyNumberFormat="1" applyFont="1" applyFill="1"/>
    <xf numFmtId="44" fontId="0" fillId="6" borderId="1" xfId="2" applyNumberFormat="1" applyFont="1" applyFill="1" applyBorder="1"/>
    <xf numFmtId="173" fontId="0" fillId="6" borderId="6" xfId="2" applyNumberFormat="1" applyFont="1" applyFill="1" applyBorder="1"/>
    <xf numFmtId="173" fontId="0" fillId="6" borderId="3" xfId="2" applyNumberFormat="1" applyFont="1" applyFill="1" applyBorder="1"/>
    <xf numFmtId="44" fontId="8" fillId="6" borderId="1" xfId="2" applyFont="1" applyFill="1" applyBorder="1"/>
    <xf numFmtId="196" fontId="8" fillId="6" borderId="1" xfId="2" applyNumberFormat="1" applyFont="1" applyFill="1" applyBorder="1"/>
    <xf numFmtId="173" fontId="8" fillId="6" borderId="1" xfId="2" applyNumberFormat="1" applyFont="1" applyFill="1" applyBorder="1"/>
    <xf numFmtId="167" fontId="0" fillId="2" borderId="0" xfId="0" applyNumberFormat="1" applyFill="1"/>
    <xf numFmtId="167" fontId="3" fillId="2" borderId="15" xfId="6" applyNumberFormat="1" applyFont="1" applyFill="1" applyBorder="1"/>
    <xf numFmtId="167" fontId="3" fillId="2" borderId="3" xfId="6" applyNumberFormat="1" applyFont="1" applyFill="1" applyBorder="1"/>
    <xf numFmtId="167" fontId="3" fillId="7" borderId="2" xfId="0" applyNumberFormat="1" applyFont="1" applyFill="1" applyBorder="1"/>
    <xf numFmtId="43" fontId="16" fillId="2" borderId="31" xfId="1" applyFont="1" applyFill="1" applyBorder="1"/>
    <xf numFmtId="0" fontId="16" fillId="2" borderId="31" xfId="0" applyFont="1" applyFill="1" applyBorder="1"/>
    <xf numFmtId="0" fontId="21" fillId="2" borderId="31" xfId="3" applyFont="1" applyFill="1" applyBorder="1"/>
    <xf numFmtId="6" fontId="30" fillId="2" borderId="0" xfId="0" quotePrefix="1" applyNumberFormat="1" applyFont="1" applyFill="1" applyAlignment="1">
      <alignment horizontal="center"/>
    </xf>
    <xf numFmtId="167" fontId="3" fillId="2" borderId="4" xfId="6" applyNumberFormat="1" applyFont="1" applyFill="1" applyBorder="1"/>
    <xf numFmtId="43" fontId="8" fillId="2" borderId="0" xfId="1" applyFont="1" applyFill="1" applyAlignment="1">
      <alignment horizontal="right"/>
    </xf>
    <xf numFmtId="173" fontId="0" fillId="2" borderId="1" xfId="2" applyNumberFormat="1" applyFont="1" applyFill="1" applyBorder="1"/>
    <xf numFmtId="173" fontId="0" fillId="6" borderId="1" xfId="2" applyNumberFormat="1" applyFont="1" applyFill="1" applyBorder="1"/>
    <xf numFmtId="43" fontId="24" fillId="2" borderId="0" xfId="1" applyFont="1" applyFill="1" applyAlignment="1"/>
    <xf numFmtId="0" fontId="10" fillId="7" borderId="14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24" fillId="2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73" fontId="3" fillId="2" borderId="9" xfId="2" applyNumberFormat="1" applyFont="1" applyFill="1" applyBorder="1" applyAlignment="1">
      <alignment horizontal="center"/>
    </xf>
    <xf numFmtId="37" fontId="3" fillId="2" borderId="9" xfId="2" applyNumberFormat="1" applyFont="1" applyFill="1" applyBorder="1" applyAlignment="1">
      <alignment horizontal="center"/>
    </xf>
    <xf numFmtId="173" fontId="10" fillId="2" borderId="9" xfId="2" applyNumberFormat="1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173" fontId="3" fillId="7" borderId="9" xfId="2" applyNumberFormat="1" applyFont="1" applyFill="1" applyBorder="1" applyAlignment="1">
      <alignment horizontal="center"/>
    </xf>
    <xf numFmtId="43" fontId="10" fillId="7" borderId="9" xfId="1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43" fontId="23" fillId="2" borderId="0" xfId="1" applyFont="1" applyFill="1"/>
    <xf numFmtId="0" fontId="2" fillId="2" borderId="0" xfId="0" applyFont="1" applyFill="1"/>
    <xf numFmtId="10" fontId="0" fillId="2" borderId="0" xfId="6" applyNumberFormat="1" applyFont="1" applyFill="1"/>
    <xf numFmtId="10" fontId="2" fillId="4" borderId="1" xfId="6" applyNumberFormat="1" applyFont="1" applyFill="1" applyBorder="1"/>
    <xf numFmtId="10" fontId="0" fillId="2" borderId="1" xfId="6" applyNumberFormat="1" applyFont="1" applyFill="1" applyBorder="1"/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2" borderId="0" xfId="0" applyFill="1" applyAlignment="1">
      <alignment horizontal="left"/>
    </xf>
    <xf numFmtId="167" fontId="2" fillId="4" borderId="2" xfId="6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73" fontId="4" fillId="6" borderId="1" xfId="0" applyNumberFormat="1" applyFont="1" applyFill="1" applyBorder="1"/>
    <xf numFmtId="43" fontId="4" fillId="2" borderId="0" xfId="1" applyFont="1" applyFill="1" applyAlignment="1">
      <alignment horizontal="right"/>
    </xf>
    <xf numFmtId="0" fontId="2" fillId="4" borderId="2" xfId="0" applyNumberFormat="1" applyFont="1" applyFill="1" applyBorder="1" applyAlignment="1">
      <alignment horizontal="center"/>
    </xf>
    <xf numFmtId="2" fontId="2" fillId="2" borderId="0" xfId="0" applyNumberFormat="1" applyFont="1" applyFill="1"/>
    <xf numFmtId="203" fontId="10" fillId="4" borderId="29" xfId="6" applyNumberFormat="1" applyFont="1" applyFill="1" applyBorder="1" applyAlignment="1">
      <alignment horizontal="centerContinuous"/>
    </xf>
    <xf numFmtId="167" fontId="8" fillId="2" borderId="2" xfId="6" applyNumberFormat="1" applyFont="1" applyFill="1" applyBorder="1" applyAlignment="1">
      <alignment horizontal="center"/>
    </xf>
    <xf numFmtId="44" fontId="0" fillId="6" borderId="1" xfId="2" applyFont="1" applyFill="1" applyBorder="1"/>
    <xf numFmtId="173" fontId="0" fillId="6" borderId="30" xfId="2" applyNumberFormat="1" applyFont="1" applyFill="1" applyBorder="1"/>
    <xf numFmtId="173" fontId="4" fillId="6" borderId="0" xfId="2" applyNumberFormat="1" applyFont="1" applyFill="1"/>
    <xf numFmtId="44" fontId="0" fillId="6" borderId="1" xfId="0" applyNumberFormat="1" applyFill="1" applyBorder="1"/>
    <xf numFmtId="43" fontId="4" fillId="6" borderId="0" xfId="2" applyNumberFormat="1" applyFont="1" applyFill="1"/>
    <xf numFmtId="0" fontId="0" fillId="2" borderId="0" xfId="0" applyFill="1" applyBorder="1"/>
    <xf numFmtId="43" fontId="10" fillId="2" borderId="0" xfId="1" applyFont="1" applyFill="1"/>
    <xf numFmtId="0" fontId="3" fillId="2" borderId="0" xfId="1" applyNumberFormat="1" applyFont="1" applyFill="1" applyAlignment="1">
      <alignment horizontal="left"/>
    </xf>
    <xf numFmtId="10" fontId="0" fillId="0" borderId="0" xfId="6" applyNumberFormat="1" applyFont="1"/>
    <xf numFmtId="164" fontId="0" fillId="2" borderId="0" xfId="1" applyNumberFormat="1" applyFont="1" applyFill="1"/>
    <xf numFmtId="165" fontId="2" fillId="4" borderId="2" xfId="1" applyNumberFormat="1" applyFont="1" applyFill="1" applyBorder="1"/>
    <xf numFmtId="173" fontId="4" fillId="6" borderId="1" xfId="2" applyNumberFormat="1" applyFont="1" applyFill="1" applyBorder="1"/>
    <xf numFmtId="43" fontId="10" fillId="2" borderId="0" xfId="1" applyFont="1" applyFill="1" applyAlignment="1"/>
    <xf numFmtId="173" fontId="0" fillId="2" borderId="15" xfId="0" applyNumberFormat="1" applyFill="1" applyBorder="1"/>
    <xf numFmtId="173" fontId="0" fillId="2" borderId="3" xfId="0" applyNumberFormat="1" applyFill="1" applyBorder="1"/>
    <xf numFmtId="173" fontId="0" fillId="2" borderId="4" xfId="0" applyNumberFormat="1" applyFill="1" applyBorder="1"/>
    <xf numFmtId="173" fontId="8" fillId="2" borderId="5" xfId="2" applyNumberFormat="1" applyFont="1" applyFill="1" applyBorder="1" applyAlignment="1">
      <alignment horizontal="left"/>
    </xf>
    <xf numFmtId="173" fontId="0" fillId="2" borderId="6" xfId="0" applyNumberFormat="1" applyFill="1" applyBorder="1"/>
    <xf numFmtId="173" fontId="3" fillId="3" borderId="15" xfId="0" applyNumberFormat="1" applyFont="1" applyFill="1" applyBorder="1"/>
    <xf numFmtId="0" fontId="0" fillId="3" borderId="3" xfId="0" applyFill="1" applyBorder="1"/>
    <xf numFmtId="0" fontId="0" fillId="3" borderId="4" xfId="0" applyFill="1" applyBorder="1"/>
    <xf numFmtId="173" fontId="0" fillId="6" borderId="0" xfId="2" applyNumberFormat="1" applyFont="1" applyFill="1" applyBorder="1"/>
    <xf numFmtId="164" fontId="2" fillId="4" borderId="0" xfId="1" applyNumberFormat="1" applyFont="1" applyFill="1" applyBorder="1"/>
    <xf numFmtId="166" fontId="2" fillId="4" borderId="0" xfId="6" applyNumberFormat="1" applyFont="1" applyFill="1"/>
    <xf numFmtId="165" fontId="0" fillId="2" borderId="0" xfId="1" applyNumberFormat="1" applyFont="1" applyFill="1" applyBorder="1"/>
    <xf numFmtId="43" fontId="3" fillId="2" borderId="0" xfId="1" applyFont="1" applyFill="1" applyAlignment="1">
      <alignment horizontal="left"/>
    </xf>
    <xf numFmtId="164" fontId="0" fillId="6" borderId="0" xfId="1" applyNumberFormat="1" applyFont="1" applyFill="1"/>
    <xf numFmtId="166" fontId="0" fillId="6" borderId="0" xfId="6" applyNumberFormat="1" applyFont="1" applyFill="1"/>
    <xf numFmtId="165" fontId="0" fillId="6" borderId="0" xfId="1" applyNumberFormat="1" applyFont="1" applyFill="1" applyBorder="1"/>
    <xf numFmtId="44" fontId="15" fillId="2" borderId="0" xfId="2" applyFont="1" applyFill="1"/>
    <xf numFmtId="1" fontId="3" fillId="6" borderId="30" xfId="0" applyNumberFormat="1" applyFont="1" applyFill="1" applyBorder="1" applyAlignment="1">
      <alignment horizontal="center"/>
    </xf>
    <xf numFmtId="43" fontId="13" fillId="2" borderId="0" xfId="0" applyNumberFormat="1" applyFont="1" applyFill="1"/>
    <xf numFmtId="173" fontId="31" fillId="3" borderId="9" xfId="2" applyNumberFormat="1" applyFont="1" applyFill="1" applyBorder="1"/>
    <xf numFmtId="167" fontId="0" fillId="6" borderId="0" xfId="6" applyNumberFormat="1" applyFont="1" applyFill="1"/>
    <xf numFmtId="0" fontId="3" fillId="2" borderId="29" xfId="0" applyFont="1" applyFill="1" applyBorder="1" applyAlignment="1">
      <alignment horizontal="center"/>
    </xf>
    <xf numFmtId="173" fontId="0" fillId="6" borderId="29" xfId="2" applyNumberFormat="1" applyFont="1" applyFill="1" applyBorder="1"/>
    <xf numFmtId="196" fontId="8" fillId="2" borderId="1" xfId="2" applyNumberFormat="1" applyFont="1" applyFill="1" applyBorder="1"/>
    <xf numFmtId="43" fontId="25" fillId="2" borderId="0" xfId="1" applyFont="1" applyFill="1" applyBorder="1" applyAlignment="1">
      <alignment horizontal="center"/>
    </xf>
    <xf numFmtId="44" fontId="8" fillId="2" borderId="1" xfId="2" applyNumberFormat="1" applyFont="1" applyFill="1" applyBorder="1"/>
    <xf numFmtId="44" fontId="2" fillId="4" borderId="0" xfId="2" applyFont="1" applyFill="1"/>
    <xf numFmtId="44" fontId="0" fillId="2" borderId="0" xfId="2" applyNumberFormat="1" applyFont="1" applyFill="1"/>
    <xf numFmtId="44" fontId="2" fillId="2" borderId="0" xfId="2" applyNumberFormat="1" applyFont="1" applyFill="1"/>
    <xf numFmtId="44" fontId="2" fillId="6" borderId="0" xfId="2" applyNumberFormat="1" applyFont="1" applyFill="1"/>
    <xf numFmtId="6" fontId="0" fillId="2" borderId="0" xfId="0" applyNumberFormat="1" applyFill="1"/>
    <xf numFmtId="166" fontId="2" fillId="2" borderId="0" xfId="6" applyNumberFormat="1" applyFont="1" applyFill="1"/>
    <xf numFmtId="179" fontId="0" fillId="2" borderId="0" xfId="1" applyNumberFormat="1" applyFont="1" applyFill="1"/>
    <xf numFmtId="166" fontId="8" fillId="2" borderId="0" xfId="6" applyNumberFormat="1" applyFont="1" applyFill="1"/>
    <xf numFmtId="44" fontId="0" fillId="2" borderId="0" xfId="2" applyNumberFormat="1" applyFont="1" applyFill="1" applyBorder="1"/>
    <xf numFmtId="173" fontId="8" fillId="2" borderId="2" xfId="2" applyNumberFormat="1" applyFont="1" applyFill="1" applyBorder="1"/>
    <xf numFmtId="166" fontId="8" fillId="2" borderId="0" xfId="6" quotePrefix="1" applyNumberFormat="1" applyFont="1" applyFill="1"/>
    <xf numFmtId="0" fontId="2" fillId="4" borderId="0" xfId="0" applyFont="1" applyFill="1"/>
    <xf numFmtId="168" fontId="10" fillId="2" borderId="0" xfId="2" applyNumberFormat="1" applyFont="1" applyFill="1"/>
    <xf numFmtId="43" fontId="0" fillId="2" borderId="0" xfId="1" applyFont="1" applyFill="1" applyBorder="1"/>
    <xf numFmtId="43" fontId="0" fillId="2" borderId="0" xfId="1" applyNumberFormat="1" applyFont="1" applyFill="1"/>
    <xf numFmtId="2" fontId="0" fillId="2" borderId="0" xfId="0" applyNumberFormat="1" applyFill="1" applyAlignment="1">
      <alignment horizontal="left"/>
    </xf>
    <xf numFmtId="44" fontId="8" fillId="2" borderId="0" xfId="0" applyNumberFormat="1" applyFont="1" applyFill="1"/>
    <xf numFmtId="165" fontId="4" fillId="2" borderId="1" xfId="0" applyNumberFormat="1" applyFont="1" applyFill="1" applyBorder="1"/>
    <xf numFmtId="0" fontId="0" fillId="2" borderId="0" xfId="0" applyFill="1" applyAlignment="1">
      <alignment horizontal="center"/>
    </xf>
    <xf numFmtId="166" fontId="0" fillId="2" borderId="0" xfId="6" applyNumberFormat="1" applyFont="1" applyFill="1" applyAlignment="1">
      <alignment horizontal="left"/>
    </xf>
    <xf numFmtId="1" fontId="0" fillId="2" borderId="0" xfId="0" applyNumberFormat="1" applyFill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29" xfId="0" applyFill="1" applyBorder="1"/>
    <xf numFmtId="0" fontId="3" fillId="2" borderId="0" xfId="0" applyFont="1" applyFill="1" applyBorder="1" applyAlignment="1">
      <alignment horizontal="center"/>
    </xf>
    <xf numFmtId="43" fontId="25" fillId="2" borderId="29" xfId="1" applyFont="1" applyFill="1" applyBorder="1" applyAlignment="1">
      <alignment horizontal="center"/>
    </xf>
    <xf numFmtId="173" fontId="0" fillId="2" borderId="29" xfId="0" applyNumberFormat="1" applyFill="1" applyBorder="1"/>
    <xf numFmtId="0" fontId="0" fillId="2" borderId="0" xfId="0" quotePrefix="1" applyFill="1" applyBorder="1" applyAlignment="1">
      <alignment horizontal="center"/>
    </xf>
    <xf numFmtId="173" fontId="9" fillId="2" borderId="0" xfId="2" applyNumberFormat="1" applyFont="1" applyFill="1" applyBorder="1"/>
    <xf numFmtId="173" fontId="9" fillId="2" borderId="0" xfId="0" applyNumberFormat="1" applyFont="1" applyFill="1" applyBorder="1"/>
    <xf numFmtId="173" fontId="9" fillId="2" borderId="29" xfId="0" applyNumberFormat="1" applyFont="1" applyFill="1" applyBorder="1"/>
    <xf numFmtId="173" fontId="0" fillId="2" borderId="29" xfId="2" applyNumberFormat="1" applyFont="1" applyFill="1" applyBorder="1"/>
    <xf numFmtId="0" fontId="0" fillId="2" borderId="0" xfId="0" applyFill="1" applyBorder="1" applyAlignment="1">
      <alignment horizontal="right"/>
    </xf>
    <xf numFmtId="0" fontId="0" fillId="2" borderId="0" xfId="0" quotePrefix="1" applyFill="1" applyBorder="1" applyAlignment="1">
      <alignment horizontal="right"/>
    </xf>
    <xf numFmtId="0" fontId="0" fillId="2" borderId="8" xfId="0" applyFill="1" applyBorder="1"/>
    <xf numFmtId="0" fontId="0" fillId="2" borderId="30" xfId="0" applyFill="1" applyBorder="1"/>
    <xf numFmtId="0" fontId="8" fillId="2" borderId="0" xfId="0" applyFont="1" applyFill="1" applyBorder="1"/>
    <xf numFmtId="0" fontId="8" fillId="2" borderId="0" xfId="0" quotePrefix="1" applyFont="1" applyFill="1" applyBorder="1" applyAlignment="1">
      <alignment horizontal="center"/>
    </xf>
    <xf numFmtId="173" fontId="8" fillId="2" borderId="0" xfId="0" applyNumberFormat="1" applyFont="1" applyFill="1" applyBorder="1"/>
    <xf numFmtId="173" fontId="8" fillId="2" borderId="29" xfId="0" applyNumberFormat="1" applyFont="1" applyFill="1" applyBorder="1"/>
    <xf numFmtId="43" fontId="0" fillId="2" borderId="7" xfId="1" applyFont="1" applyFill="1" applyBorder="1"/>
    <xf numFmtId="43" fontId="8" fillId="2" borderId="7" xfId="1" applyFont="1" applyFill="1" applyBorder="1"/>
    <xf numFmtId="43" fontId="3" fillId="2" borderId="29" xfId="1" applyFont="1" applyFill="1" applyBorder="1" applyAlignment="1">
      <alignment horizontal="center"/>
    </xf>
    <xf numFmtId="43" fontId="3" fillId="3" borderId="5" xfId="1" applyFont="1" applyFill="1" applyBorder="1"/>
    <xf numFmtId="0" fontId="3" fillId="3" borderId="6" xfId="0" applyFont="1" applyFill="1" applyBorder="1"/>
    <xf numFmtId="165" fontId="5" fillId="3" borderId="28" xfId="1" applyNumberFormat="1" applyFont="1" applyFill="1" applyBorder="1" applyAlignment="1">
      <alignment horizontal="right"/>
    </xf>
    <xf numFmtId="43" fontId="3" fillId="3" borderId="7" xfId="1" applyFont="1" applyFill="1" applyBorder="1"/>
    <xf numFmtId="0" fontId="0" fillId="3" borderId="0" xfId="0" applyFill="1" applyBorder="1"/>
    <xf numFmtId="166" fontId="5" fillId="3" borderId="29" xfId="6" applyNumberFormat="1" applyFont="1" applyFill="1" applyBorder="1"/>
    <xf numFmtId="43" fontId="3" fillId="3" borderId="8" xfId="1" applyFont="1" applyFill="1" applyBorder="1"/>
    <xf numFmtId="0" fontId="0" fillId="3" borderId="1" xfId="0" applyFill="1" applyBorder="1"/>
    <xf numFmtId="173" fontId="5" fillId="3" borderId="30" xfId="2" applyNumberFormat="1" applyFont="1" applyFill="1" applyBorder="1"/>
    <xf numFmtId="0" fontId="0" fillId="3" borderId="6" xfId="0" applyFill="1" applyBorder="1"/>
    <xf numFmtId="167" fontId="5" fillId="3" borderId="28" xfId="6" applyNumberFormat="1" applyFont="1" applyFill="1" applyBorder="1"/>
    <xf numFmtId="167" fontId="7" fillId="3" borderId="29" xfId="6" applyNumberFormat="1" applyFont="1" applyFill="1" applyBorder="1"/>
    <xf numFmtId="167" fontId="10" fillId="3" borderId="30" xfId="6" applyNumberFormat="1" applyFont="1" applyFill="1" applyBorder="1"/>
    <xf numFmtId="167" fontId="10" fillId="3" borderId="28" xfId="6" applyNumberFormat="1" applyFont="1" applyFill="1" applyBorder="1"/>
    <xf numFmtId="167" fontId="33" fillId="3" borderId="29" xfId="6" applyNumberFormat="1" applyFont="1" applyFill="1" applyBorder="1"/>
    <xf numFmtId="173" fontId="2" fillId="4" borderId="29" xfId="2" applyNumberFormat="1" applyFont="1" applyFill="1" applyBorder="1"/>
    <xf numFmtId="1" fontId="10" fillId="2" borderId="1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43" fontId="4" fillId="2" borderId="0" xfId="1" applyFont="1" applyFill="1" applyAlignment="1">
      <alignment horizontal="left"/>
    </xf>
    <xf numFmtId="43" fontId="32" fillId="2" borderId="0" xfId="1" applyFont="1" applyFill="1" applyAlignment="1">
      <alignment horizontal="left"/>
    </xf>
    <xf numFmtId="43" fontId="3" fillId="2" borderId="7" xfId="1" applyFont="1" applyFill="1" applyBorder="1"/>
    <xf numFmtId="173" fontId="3" fillId="6" borderId="0" xfId="2" applyNumberFormat="1" applyFont="1" applyFill="1"/>
    <xf numFmtId="173" fontId="34" fillId="4" borderId="0" xfId="2" applyNumberFormat="1" applyFont="1" applyFill="1" applyBorder="1"/>
    <xf numFmtId="173" fontId="34" fillId="4" borderId="29" xfId="2" applyNumberFormat="1" applyFont="1" applyFill="1" applyBorder="1"/>
    <xf numFmtId="10" fontId="2" fillId="4" borderId="0" xfId="6" applyNumberFormat="1" applyFont="1" applyFill="1" applyBorder="1" applyAlignment="1">
      <alignment horizontal="left"/>
    </xf>
    <xf numFmtId="14" fontId="3" fillId="2" borderId="0" xfId="0" applyNumberFormat="1" applyFont="1" applyFill="1" applyBorder="1" applyAlignment="1">
      <alignment horizontal="center"/>
    </xf>
    <xf numFmtId="14" fontId="3" fillId="2" borderId="29" xfId="0" applyNumberFormat="1" applyFont="1" applyFill="1" applyBorder="1" applyAlignment="1">
      <alignment horizontal="center"/>
    </xf>
    <xf numFmtId="10" fontId="8" fillId="2" borderId="0" xfId="6" applyNumberFormat="1" applyFont="1" applyFill="1" applyBorder="1" applyAlignment="1">
      <alignment horizontal="left"/>
    </xf>
    <xf numFmtId="173" fontId="2" fillId="4" borderId="29" xfId="0" applyNumberFormat="1" applyFont="1" applyFill="1" applyBorder="1" applyAlignment="1">
      <alignment horizontal="center" vertical="center"/>
    </xf>
    <xf numFmtId="173" fontId="9" fillId="2" borderId="29" xfId="2" applyNumberFormat="1" applyFont="1" applyFill="1" applyBorder="1"/>
    <xf numFmtId="173" fontId="8" fillId="2" borderId="29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8" xfId="0" applyFont="1" applyFill="1" applyBorder="1" applyAlignment="1">
      <alignment horizontal="center" vertical="center" textRotation="90"/>
    </xf>
    <xf numFmtId="0" fontId="3" fillId="2" borderId="1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textRotation="90" wrapText="1"/>
    </xf>
    <xf numFmtId="0" fontId="3" fillId="2" borderId="7" xfId="0" applyFont="1" applyFill="1" applyBorder="1" applyAlignment="1">
      <alignment horizontal="center" vertical="center" textRotation="90" wrapText="1"/>
    </xf>
    <xf numFmtId="0" fontId="3" fillId="2" borderId="8" xfId="0" applyFont="1" applyFill="1" applyBorder="1" applyAlignment="1">
      <alignment horizontal="center" vertical="center" textRotation="90" wrapText="1"/>
    </xf>
    <xf numFmtId="6" fontId="30" fillId="2" borderId="0" xfId="0" applyNumberFormat="1" applyFont="1" applyFill="1" applyAlignment="1">
      <alignment horizontal="center"/>
    </xf>
    <xf numFmtId="6" fontId="30" fillId="2" borderId="0" xfId="0" quotePrefix="1" applyNumberFormat="1" applyFont="1" applyFill="1" applyAlignment="1">
      <alignment horizontal="center"/>
    </xf>
    <xf numFmtId="173" fontId="4" fillId="2" borderId="32" xfId="2" applyNumberFormat="1" applyFont="1" applyFill="1" applyBorder="1" applyAlignment="1">
      <alignment horizontal="center"/>
    </xf>
    <xf numFmtId="173" fontId="4" fillId="2" borderId="33" xfId="2" applyNumberFormat="1" applyFont="1" applyFill="1" applyBorder="1" applyAlignment="1">
      <alignment horizontal="center"/>
    </xf>
    <xf numFmtId="173" fontId="4" fillId="2" borderId="34" xfId="2" applyNumberFormat="1" applyFont="1" applyFill="1" applyBorder="1" applyAlignment="1">
      <alignment horizontal="center"/>
    </xf>
    <xf numFmtId="173" fontId="8" fillId="2" borderId="32" xfId="2" applyNumberFormat="1" applyFont="1" applyFill="1" applyBorder="1" applyAlignment="1">
      <alignment horizontal="center"/>
    </xf>
    <xf numFmtId="173" fontId="8" fillId="2" borderId="33" xfId="2" applyNumberFormat="1" applyFont="1" applyFill="1" applyBorder="1" applyAlignment="1">
      <alignment horizontal="center"/>
    </xf>
    <xf numFmtId="173" fontId="8" fillId="2" borderId="34" xfId="2" applyNumberFormat="1" applyFont="1" applyFill="1" applyBorder="1" applyAlignment="1">
      <alignment horizontal="center"/>
    </xf>
    <xf numFmtId="201" fontId="24" fillId="2" borderId="0" xfId="2" applyNumberFormat="1" applyFont="1" applyFill="1" applyAlignment="1">
      <alignment horizontal="center" vertical="center"/>
    </xf>
    <xf numFmtId="0" fontId="24" fillId="2" borderId="0" xfId="1" applyNumberFormat="1" applyFont="1" applyFill="1" applyAlignment="1">
      <alignment horizontal="left" vertical="center"/>
    </xf>
    <xf numFmtId="0" fontId="13" fillId="2" borderId="7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168" fontId="2" fillId="4" borderId="15" xfId="0" applyNumberFormat="1" applyFont="1" applyFill="1" applyBorder="1" applyAlignment="1">
      <alignment horizontal="center" vertical="center"/>
    </xf>
    <xf numFmtId="168" fontId="2" fillId="4" borderId="4" xfId="0" applyNumberFormat="1" applyFont="1" applyFill="1" applyBorder="1" applyAlignment="1">
      <alignment horizontal="center" vertical="center"/>
    </xf>
    <xf numFmtId="168" fontId="0" fillId="3" borderId="15" xfId="0" applyNumberFormat="1" applyFill="1" applyBorder="1" applyAlignment="1">
      <alignment horizontal="center" vertical="center"/>
    </xf>
    <xf numFmtId="168" fontId="0" fillId="3" borderId="4" xfId="0" applyNumberFormat="1" applyFill="1" applyBorder="1" applyAlignment="1">
      <alignment horizontal="center" vertical="center"/>
    </xf>
    <xf numFmtId="0" fontId="3" fillId="5" borderId="3" xfId="3" applyFont="1" applyFill="1" applyBorder="1" applyAlignment="1">
      <alignment horizontal="center"/>
    </xf>
    <xf numFmtId="0" fontId="20" fillId="5" borderId="14" xfId="3" applyFont="1" applyFill="1" applyBorder="1" applyAlignment="1">
      <alignment horizontal="center"/>
    </xf>
    <xf numFmtId="0" fontId="20" fillId="5" borderId="10" xfId="3" applyFont="1" applyFill="1" applyBorder="1" applyAlignment="1">
      <alignment horizontal="center"/>
    </xf>
    <xf numFmtId="43" fontId="25" fillId="2" borderId="0" xfId="1" applyFont="1" applyFill="1" applyBorder="1" applyAlignment="1">
      <alignment horizontal="center"/>
    </xf>
    <xf numFmtId="0" fontId="3" fillId="5" borderId="35" xfId="4" applyFont="1" applyFill="1" applyBorder="1" applyAlignment="1">
      <alignment horizontal="center"/>
    </xf>
    <xf numFmtId="0" fontId="3" fillId="5" borderId="36" xfId="4" applyFont="1" applyFill="1" applyBorder="1" applyAlignment="1">
      <alignment horizontal="center"/>
    </xf>
    <xf numFmtId="0" fontId="3" fillId="5" borderId="37" xfId="4" applyFont="1" applyFill="1" applyBorder="1" applyAlignment="1">
      <alignment horizontal="center"/>
    </xf>
  </cellXfs>
  <cellStyles count="7">
    <cellStyle name="Comma" xfId="1" builtinId="3"/>
    <cellStyle name="Currency" xfId="2" builtinId="4"/>
    <cellStyle name="Normal" xfId="0" builtinId="0"/>
    <cellStyle name="Normal_Delivered Waha Monthly Price Forecast 8-18-00" xfId="3"/>
    <cellStyle name="Normal_inflation forecast ecp 08-18-00 Delivered (UPDATE)" xfId="4"/>
    <cellStyle name="Normal_PACE Commodity Pricing (Brazos 25-Aug-00)" xfId="5"/>
    <cellStyle name="Percent" xfId="6" builtinId="5"/>
  </cellStyles>
  <dxfs count="1">
    <dxf>
      <font>
        <b/>
        <i val="0"/>
        <condense val="0"/>
        <extend val="0"/>
      </font>
      <fill>
        <patternFill>
          <bgColor indexed="2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Brazos Electric Power Cooperative, Inc.</a:t>
            </a:r>
            <a:endParaRPr lang="en-US" sz="10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75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Cleburne, TX Analysis</a:t>
            </a:r>
          </a:p>
        </c:rich>
      </c:tx>
      <c:layout>
        <c:manualLayout>
          <c:xMode val="edge"/>
          <c:yMode val="edge"/>
          <c:x val="0.3176156583629893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0284697508894"/>
          <c:y val="0.15314136125654451"/>
          <c:w val="0.83985765124555145"/>
          <c:h val="0.68062827225130895"/>
        </c:manualLayout>
      </c:layout>
      <c:lineChart>
        <c:grouping val="standard"/>
        <c:varyColors val="0"/>
        <c:ser>
          <c:idx val="0"/>
          <c:order val="0"/>
          <c:tx>
            <c:strRef>
              <c:f>Valuation!$B$85</c:f>
              <c:strCache>
                <c:ptCount val="1"/>
                <c:pt idx="0">
                  <c:v>Cost of Contract Purchase (Status Quo)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Valuation!$H$9:$AQ$9</c:f>
              <c:numCache>
                <c:formatCode>0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Valuation!$H$85:$AQ$85</c:f>
              <c:numCache>
                <c:formatCode>_("$"* #,##0.00_);_("$"* \(#,##0.00\);_("$"* "-"??_);_(@_)</c:formatCode>
                <c:ptCount val="36"/>
                <c:pt idx="0">
                  <c:v>43.437338410741582</c:v>
                </c:pt>
                <c:pt idx="1">
                  <c:v>44.677346140453565</c:v>
                </c:pt>
                <c:pt idx="2">
                  <c:v>46.83288450377966</c:v>
                </c:pt>
                <c:pt idx="3">
                  <c:v>48.881466038847364</c:v>
                </c:pt>
                <c:pt idx="4">
                  <c:v>50.723324949188871</c:v>
                </c:pt>
                <c:pt idx="5">
                  <c:v>53.001626116548259</c:v>
                </c:pt>
                <c:pt idx="6">
                  <c:v>51.835918927809068</c:v>
                </c:pt>
                <c:pt idx="7">
                  <c:v>53.175204029183149</c:v>
                </c:pt>
                <c:pt idx="8">
                  <c:v>54.596897821612401</c:v>
                </c:pt>
                <c:pt idx="9">
                  <c:v>56.104739900597501</c:v>
                </c:pt>
                <c:pt idx="10">
                  <c:v>57.778071219693608</c:v>
                </c:pt>
                <c:pt idx="11">
                  <c:v>59.466714354559116</c:v>
                </c:pt>
                <c:pt idx="12">
                  <c:v>61.125067795442412</c:v>
                </c:pt>
                <c:pt idx="13">
                  <c:v>61.982972202301674</c:v>
                </c:pt>
                <c:pt idx="14">
                  <c:v>62.743269161933931</c:v>
                </c:pt>
                <c:pt idx="15">
                  <c:v>63.593360942423253</c:v>
                </c:pt>
                <c:pt idx="16">
                  <c:v>66.081049107759455</c:v>
                </c:pt>
                <c:pt idx="17">
                  <c:v>67.716912836377617</c:v>
                </c:pt>
                <c:pt idx="18">
                  <c:v>69.443926921914979</c:v>
                </c:pt>
                <c:pt idx="19">
                  <c:v>44.740661241102451</c:v>
                </c:pt>
                <c:pt idx="20">
                  <c:v>44.592684275434536</c:v>
                </c:pt>
                <c:pt idx="21">
                  <c:v>49.19941992820128</c:v>
                </c:pt>
                <c:pt idx="22">
                  <c:v>47.090849902531993</c:v>
                </c:pt>
                <c:pt idx="23">
                  <c:v>48.286580949652034</c:v>
                </c:pt>
                <c:pt idx="24">
                  <c:v>57.372023064627641</c:v>
                </c:pt>
                <c:pt idx="25">
                  <c:v>50.967301095629828</c:v>
                </c:pt>
                <c:pt idx="26">
                  <c:v>50.919973732174455</c:v>
                </c:pt>
                <c:pt idx="27">
                  <c:v>55.754272453841907</c:v>
                </c:pt>
                <c:pt idx="28">
                  <c:v>53.78865518663924</c:v>
                </c:pt>
                <c:pt idx="29">
                  <c:v>55.214380835429957</c:v>
                </c:pt>
                <c:pt idx="30">
                  <c:v>64.671746980300753</c:v>
                </c:pt>
                <c:pt idx="31">
                  <c:v>58.220253670437842</c:v>
                </c:pt>
                <c:pt idx="32">
                  <c:v>58.386026782234531</c:v>
                </c:pt>
                <c:pt idx="33">
                  <c:v>63.579480913441429</c:v>
                </c:pt>
                <c:pt idx="34">
                  <c:v>61.696985064457238</c:v>
                </c:pt>
                <c:pt idx="35">
                  <c:v>63.312279003006708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2-4DBC-B0F1-AB568DDA8DE0}"/>
            </c:ext>
          </c:extLst>
        </c:ser>
        <c:ser>
          <c:idx val="2"/>
          <c:order val="1"/>
          <c:tx>
            <c:strRef>
              <c:f>Valuation!$B$184</c:f>
              <c:strCache>
                <c:ptCount val="1"/>
                <c:pt idx="0">
                  <c:v>Cost of Ownership/Operation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Valuation!$H$9:$AQ$9</c:f>
              <c:numCache>
                <c:formatCode>0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Valuation!$H$184:$AQ$184</c:f>
              <c:numCache>
                <c:formatCode>_("$"* #,##0.00_);_("$"* \(#,##0.00\);_("$"* "-"??_);_(@_)</c:formatCode>
                <c:ptCount val="36"/>
                <c:pt idx="0">
                  <c:v>48.253662825759335</c:v>
                </c:pt>
                <c:pt idx="1">
                  <c:v>46.855814195371316</c:v>
                </c:pt>
                <c:pt idx="2">
                  <c:v>47.446223737279901</c:v>
                </c:pt>
                <c:pt idx="3">
                  <c:v>50.410249208529692</c:v>
                </c:pt>
                <c:pt idx="4">
                  <c:v>50.183673894362066</c:v>
                </c:pt>
                <c:pt idx="5">
                  <c:v>51.49793557913511</c:v>
                </c:pt>
                <c:pt idx="6">
                  <c:v>51.375656733217006</c:v>
                </c:pt>
                <c:pt idx="7">
                  <c:v>47.637056191268023</c:v>
                </c:pt>
                <c:pt idx="8">
                  <c:v>47.538992742540337</c:v>
                </c:pt>
                <c:pt idx="9">
                  <c:v>52.411737244259804</c:v>
                </c:pt>
                <c:pt idx="10">
                  <c:v>49.630143432739644</c:v>
                </c:pt>
                <c:pt idx="11">
                  <c:v>50.333253274772659</c:v>
                </c:pt>
                <c:pt idx="12">
                  <c:v>54.60902245561639</c:v>
                </c:pt>
                <c:pt idx="13">
                  <c:v>43.10955776187015</c:v>
                </c:pt>
                <c:pt idx="14">
                  <c:v>43.049657180415053</c:v>
                </c:pt>
                <c:pt idx="15">
                  <c:v>45.629378471063589</c:v>
                </c:pt>
                <c:pt idx="16">
                  <c:v>45.096851594726296</c:v>
                </c:pt>
                <c:pt idx="17">
                  <c:v>45.858309140069174</c:v>
                </c:pt>
                <c:pt idx="18">
                  <c:v>50.656942206168125</c:v>
                </c:pt>
                <c:pt idx="19">
                  <c:v>48.178836223864351</c:v>
                </c:pt>
                <c:pt idx="20">
                  <c:v>48.553909857177651</c:v>
                </c:pt>
                <c:pt idx="21">
                  <c:v>51.287569497633818</c:v>
                </c:pt>
                <c:pt idx="22">
                  <c:v>50.674989170036959</c:v>
                </c:pt>
                <c:pt idx="23">
                  <c:v>51.696391838940649</c:v>
                </c:pt>
                <c:pt idx="24">
                  <c:v>56.734451658224565</c:v>
                </c:pt>
                <c:pt idx="25">
                  <c:v>42.673586118639321</c:v>
                </c:pt>
                <c:pt idx="26">
                  <c:v>43.140405966113548</c:v>
                </c:pt>
                <c:pt idx="27">
                  <c:v>46.062142451644185</c:v>
                </c:pt>
                <c:pt idx="28">
                  <c:v>45.595104981129985</c:v>
                </c:pt>
                <c:pt idx="29">
                  <c:v>46.838539942800658</c:v>
                </c:pt>
                <c:pt idx="30">
                  <c:v>52.111869498582124</c:v>
                </c:pt>
                <c:pt idx="31">
                  <c:v>49.446301774260874</c:v>
                </c:pt>
                <c:pt idx="32">
                  <c:v>50.102014570188636</c:v>
                </c:pt>
                <c:pt idx="33">
                  <c:v>53.287867189672518</c:v>
                </c:pt>
                <c:pt idx="34">
                  <c:v>52.951353224252024</c:v>
                </c:pt>
                <c:pt idx="35">
                  <c:v>54.380837029888561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2-4DBC-B0F1-AB568DDA8DE0}"/>
            </c:ext>
          </c:extLst>
        </c:ser>
        <c:ser>
          <c:idx val="1"/>
          <c:order val="2"/>
          <c:tx>
            <c:strRef>
              <c:f>Valuation!$A$35</c:f>
              <c:strCache>
                <c:ptCount val="1"/>
                <c:pt idx="0">
                  <c:v> Market Price - ERCOT 7x24 w/Wheeling (Pace) 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Valuation!$H$9:$AQ$9</c:f>
              <c:numCache>
                <c:formatCode>0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Valuation!$H$35:$AQ$35</c:f>
              <c:numCache>
                <c:formatCode>_("$"* #,##0.00_);_("$"* \(#,##0.00\);_("$"* "-"??_);_(@_)</c:formatCode>
                <c:ptCount val="36"/>
                <c:pt idx="0">
                  <c:v>37.242367045424324</c:v>
                </c:pt>
                <c:pt idx="1">
                  <c:v>31.113730703956207</c:v>
                </c:pt>
                <c:pt idx="2">
                  <c:v>29.951771706852913</c:v>
                </c:pt>
                <c:pt idx="3">
                  <c:v>31.523412257672124</c:v>
                </c:pt>
                <c:pt idx="4">
                  <c:v>33.935229099445905</c:v>
                </c:pt>
                <c:pt idx="5">
                  <c:v>35.092072014523161</c:v>
                </c:pt>
                <c:pt idx="6">
                  <c:v>36.91360485180823</c:v>
                </c:pt>
                <c:pt idx="7">
                  <c:v>39.73241117254733</c:v>
                </c:pt>
                <c:pt idx="8">
                  <c:v>40.612389068550648</c:v>
                </c:pt>
                <c:pt idx="9">
                  <c:v>41.659400526072069</c:v>
                </c:pt>
                <c:pt idx="10">
                  <c:v>42.886850640474215</c:v>
                </c:pt>
                <c:pt idx="11">
                  <c:v>43.641232880530993</c:v>
                </c:pt>
                <c:pt idx="12">
                  <c:v>44.600722026511448</c:v>
                </c:pt>
                <c:pt idx="13">
                  <c:v>46.437335059612842</c:v>
                </c:pt>
                <c:pt idx="14">
                  <c:v>45.134710212582107</c:v>
                </c:pt>
                <c:pt idx="15">
                  <c:v>45.980703480541258</c:v>
                </c:pt>
                <c:pt idx="16">
                  <c:v>46.719347296062317</c:v>
                </c:pt>
                <c:pt idx="17">
                  <c:v>47.291516630540663</c:v>
                </c:pt>
                <c:pt idx="18">
                  <c:v>48.916753587034229</c:v>
                </c:pt>
                <c:pt idx="19">
                  <c:v>49.912469419476565</c:v>
                </c:pt>
                <c:pt idx="20">
                  <c:v>50.928453359392805</c:v>
                </c:pt>
                <c:pt idx="21">
                  <c:v>51.965117970455417</c:v>
                </c:pt>
                <c:pt idx="22">
                  <c:v>53.022884214199586</c:v>
                </c:pt>
                <c:pt idx="23">
                  <c:v>54.102181620964316</c:v>
                </c:pt>
                <c:pt idx="24">
                  <c:v>55.203448464313134</c:v>
                </c:pt>
                <c:pt idx="25">
                  <c:v>56.327131939005142</c:v>
                </c:pt>
                <c:pt idx="26">
                  <c:v>57.473688342588758</c:v>
                </c:pt>
                <c:pt idx="27">
                  <c:v>58.643583260691848</c:v>
                </c:pt>
                <c:pt idx="28">
                  <c:v>59.837291756083474</c:v>
                </c:pt>
                <c:pt idx="29">
                  <c:v>61.055298561584074</c:v>
                </c:pt>
                <c:pt idx="30">
                  <c:v>62.298098276902408</c:v>
                </c:pt>
                <c:pt idx="31">
                  <c:v>63.566195569479127</c:v>
                </c:pt>
                <c:pt idx="32">
                  <c:v>64.860105379418613</c:v>
                </c:pt>
                <c:pt idx="33">
                  <c:v>66.180353128592301</c:v>
                </c:pt>
                <c:pt idx="34">
                  <c:v>67.527474933998263</c:v>
                </c:pt>
                <c:pt idx="35">
                  <c:v>68.902017825463929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2-4DBC-B0F1-AB568DDA8DE0}"/>
            </c:ext>
          </c:extLst>
        </c:ser>
        <c:ser>
          <c:idx val="5"/>
          <c:order val="3"/>
          <c:tx>
            <c:strRef>
              <c:f>Valuation!$B$348</c:f>
              <c:strCache>
                <c:ptCount val="1"/>
                <c:pt idx="0">
                  <c:v> Full Term Blend &amp; Extend from Equity Seller 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Valuation!$H$9:$AQ$9</c:f>
              <c:numCache>
                <c:formatCode>0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Valuation!$H$348:$AQ$348</c:f>
              <c:numCache>
                <c:formatCode>_("$"* #,##0.00_);_("$"* \(#,##0.00\);_("$"* "-"??_);_(@_)</c:formatCode>
                <c:ptCount val="36"/>
                <c:pt idx="0">
                  <c:v>43.439999999999969</c:v>
                </c:pt>
                <c:pt idx="1">
                  <c:v>44.245903748810633</c:v>
                </c:pt>
                <c:pt idx="2">
                  <c:v>44.950975571236015</c:v>
                </c:pt>
                <c:pt idx="3">
                  <c:v>45.858613441413716</c:v>
                </c:pt>
                <c:pt idx="4">
                  <c:v>46.909539425814344</c:v>
                </c:pt>
                <c:pt idx="5">
                  <c:v>47.227361235973298</c:v>
                </c:pt>
                <c:pt idx="6">
                  <c:v>41.922424209254139</c:v>
                </c:pt>
                <c:pt idx="7">
                  <c:v>42.205158716370875</c:v>
                </c:pt>
                <c:pt idx="8">
                  <c:v>42.313489919772813</c:v>
                </c:pt>
                <c:pt idx="9">
                  <c:v>42.653700663030833</c:v>
                </c:pt>
                <c:pt idx="10">
                  <c:v>43.047637676868469</c:v>
                </c:pt>
                <c:pt idx="11">
                  <c:v>43.257070847569963</c:v>
                </c:pt>
                <c:pt idx="12">
                  <c:v>43.888217928768924</c:v>
                </c:pt>
                <c:pt idx="13">
                  <c:v>44.340043351913444</c:v>
                </c:pt>
                <c:pt idx="14">
                  <c:v>44.573569364255654</c:v>
                </c:pt>
                <c:pt idx="15">
                  <c:v>45.145472701056327</c:v>
                </c:pt>
                <c:pt idx="16">
                  <c:v>45.885653014331055</c:v>
                </c:pt>
                <c:pt idx="17">
                  <c:v>46.305779128164552</c:v>
                </c:pt>
                <c:pt idx="18">
                  <c:v>46.985427737251378</c:v>
                </c:pt>
                <c:pt idx="19">
                  <c:v>46.637090772826937</c:v>
                </c:pt>
                <c:pt idx="20">
                  <c:v>47.314148407619577</c:v>
                </c:pt>
                <c:pt idx="21">
                  <c:v>47.973833651312596</c:v>
                </c:pt>
                <c:pt idx="22">
                  <c:v>48.661771732195469</c:v>
                </c:pt>
                <c:pt idx="23">
                  <c:v>49.336207859837998</c:v>
                </c:pt>
                <c:pt idx="24">
                  <c:v>50.125109850196985</c:v>
                </c:pt>
                <c:pt idx="25">
                  <c:v>50.901916125077342</c:v>
                </c:pt>
                <c:pt idx="26">
                  <c:v>51.709788917978337</c:v>
                </c:pt>
                <c:pt idx="27">
                  <c:v>52.509469205260785</c:v>
                </c:pt>
                <c:pt idx="28">
                  <c:v>53.42179962037001</c:v>
                </c:pt>
                <c:pt idx="29">
                  <c:v>54.32753110844633</c:v>
                </c:pt>
                <c:pt idx="30">
                  <c:v>55.267517626556874</c:v>
                </c:pt>
                <c:pt idx="31">
                  <c:v>56.204869869945277</c:v>
                </c:pt>
                <c:pt idx="32">
                  <c:v>57.253725276492077</c:v>
                </c:pt>
                <c:pt idx="33">
                  <c:v>58.301749027551914</c:v>
                </c:pt>
                <c:pt idx="34">
                  <c:v>59.387634569385305</c:v>
                </c:pt>
                <c:pt idx="35">
                  <c:v>60.476745289979831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2-4DBC-B0F1-AB568DDA8DE0}"/>
            </c:ext>
          </c:extLst>
        </c:ser>
        <c:ser>
          <c:idx val="3"/>
          <c:order val="4"/>
          <c:tx>
            <c:strRef>
              <c:f>Valuation!$B$369</c:f>
              <c:strCache>
                <c:ptCount val="1"/>
                <c:pt idx="0">
                  <c:v> Market (Index) Plus Power Exchange on Full Output 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Valuation!$H$9:$AQ$9</c:f>
              <c:numCache>
                <c:formatCode>0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Valuation!$H$369:$AQ$369</c:f>
              <c:numCache>
                <c:formatCode>_("$"* #,##0.00_);_("$"* \(#,##0.00\);_("$"* "-"??_);_(@_)</c:formatCode>
                <c:ptCount val="36"/>
                <c:pt idx="0">
                  <c:v>48.248546967675594</c:v>
                </c:pt>
                <c:pt idx="1">
                  <c:v>46.850698337287575</c:v>
                </c:pt>
                <c:pt idx="2">
                  <c:v>47.44110787919616</c:v>
                </c:pt>
                <c:pt idx="3">
                  <c:v>50.429541662302718</c:v>
                </c:pt>
                <c:pt idx="4">
                  <c:v>50.178558036278332</c:v>
                </c:pt>
                <c:pt idx="5">
                  <c:v>51.492819721051376</c:v>
                </c:pt>
                <c:pt idx="6">
                  <c:v>51.370540875133273</c:v>
                </c:pt>
                <c:pt idx="7">
                  <c:v>47.656348645041056</c:v>
                </c:pt>
                <c:pt idx="8">
                  <c:v>47.533876884456603</c:v>
                </c:pt>
                <c:pt idx="9">
                  <c:v>52.40662138617607</c:v>
                </c:pt>
                <c:pt idx="10">
                  <c:v>49.625027574655903</c:v>
                </c:pt>
                <c:pt idx="11">
                  <c:v>50.352545728545678</c:v>
                </c:pt>
                <c:pt idx="12">
                  <c:v>54.603906597532657</c:v>
                </c:pt>
                <c:pt idx="13">
                  <c:v>43.10955776187015</c:v>
                </c:pt>
                <c:pt idx="14">
                  <c:v>43.049657180415053</c:v>
                </c:pt>
                <c:pt idx="15">
                  <c:v>45.629378471063589</c:v>
                </c:pt>
                <c:pt idx="16">
                  <c:v>45.096851594726296</c:v>
                </c:pt>
                <c:pt idx="17">
                  <c:v>45.858309140069174</c:v>
                </c:pt>
                <c:pt idx="18">
                  <c:v>50.656942206168125</c:v>
                </c:pt>
                <c:pt idx="19">
                  <c:v>48.178836223864351</c:v>
                </c:pt>
                <c:pt idx="20">
                  <c:v>48.553909857177651</c:v>
                </c:pt>
                <c:pt idx="21">
                  <c:v>51.287569497633818</c:v>
                </c:pt>
                <c:pt idx="22">
                  <c:v>50.674989170036959</c:v>
                </c:pt>
                <c:pt idx="23">
                  <c:v>51.696391838940649</c:v>
                </c:pt>
                <c:pt idx="24">
                  <c:v>56.734451658224565</c:v>
                </c:pt>
                <c:pt idx="25">
                  <c:v>42.673586118639321</c:v>
                </c:pt>
                <c:pt idx="26">
                  <c:v>43.140405966113548</c:v>
                </c:pt>
                <c:pt idx="27">
                  <c:v>46.062142451644185</c:v>
                </c:pt>
                <c:pt idx="28">
                  <c:v>45.595104981129985</c:v>
                </c:pt>
                <c:pt idx="29">
                  <c:v>46.838539942800658</c:v>
                </c:pt>
                <c:pt idx="30">
                  <c:v>52.111869498582124</c:v>
                </c:pt>
                <c:pt idx="31">
                  <c:v>49.446301774260874</c:v>
                </c:pt>
                <c:pt idx="32">
                  <c:v>50.102014570188636</c:v>
                </c:pt>
                <c:pt idx="33">
                  <c:v>53.287867189672518</c:v>
                </c:pt>
                <c:pt idx="34">
                  <c:v>52.951353224252024</c:v>
                </c:pt>
                <c:pt idx="35">
                  <c:v>54.380837029888561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22-4DBC-B0F1-AB568DDA8DE0}"/>
            </c:ext>
          </c:extLst>
        </c:ser>
        <c:ser>
          <c:idx val="4"/>
          <c:order val="5"/>
          <c:tx>
            <c:strRef>
              <c:f>Valuation!$B$392</c:f>
              <c:strCache>
                <c:ptCount val="1"/>
                <c:pt idx="0">
                  <c:v> Production Payment on Partial Output 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Valuation!$H$9:$AQ$9</c:f>
              <c:numCache>
                <c:formatCode>0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Valuation!$H$392:$AQ$392</c:f>
              <c:numCache>
                <c:formatCode>_("$"* #,##0.00_);_("$"* \(#,##0.00\);_("$"* "-"??_);_(@_)</c:formatCode>
                <c:ptCount val="36"/>
                <c:pt idx="0">
                  <c:v>48.901752817377549</c:v>
                </c:pt>
                <c:pt idx="1">
                  <c:v>46.348785630014135</c:v>
                </c:pt>
                <c:pt idx="2">
                  <c:v>46.741648289685116</c:v>
                </c:pt>
                <c:pt idx="3">
                  <c:v>49.540537519445195</c:v>
                </c:pt>
                <c:pt idx="4">
                  <c:v>49.452888156894282</c:v>
                </c:pt>
                <c:pt idx="5">
                  <c:v>50.998144924900103</c:v>
                </c:pt>
                <c:pt idx="6">
                  <c:v>51.169448197132617</c:v>
                </c:pt>
                <c:pt idx="7">
                  <c:v>47.758745048670562</c:v>
                </c:pt>
                <c:pt idx="8">
                  <c:v>48.0017108861976</c:v>
                </c:pt>
                <c:pt idx="9">
                  <c:v>53.120564395087456</c:v>
                </c:pt>
                <c:pt idx="10">
                  <c:v>50.633325481895405</c:v>
                </c:pt>
                <c:pt idx="11">
                  <c:v>51.598822752809085</c:v>
                </c:pt>
                <c:pt idx="12">
                  <c:v>56.038207271396992</c:v>
                </c:pt>
                <c:pt idx="13">
                  <c:v>43.10955776187015</c:v>
                </c:pt>
                <c:pt idx="14">
                  <c:v>43.049657180415053</c:v>
                </c:pt>
                <c:pt idx="15">
                  <c:v>45.629378471063589</c:v>
                </c:pt>
                <c:pt idx="16">
                  <c:v>45.096851594726296</c:v>
                </c:pt>
                <c:pt idx="17">
                  <c:v>45.858309140069174</c:v>
                </c:pt>
                <c:pt idx="18">
                  <c:v>50.656942206168125</c:v>
                </c:pt>
                <c:pt idx="19">
                  <c:v>48.178836223864351</c:v>
                </c:pt>
                <c:pt idx="20">
                  <c:v>48.553909857177651</c:v>
                </c:pt>
                <c:pt idx="21">
                  <c:v>51.287569497633818</c:v>
                </c:pt>
                <c:pt idx="22">
                  <c:v>50.674989170036959</c:v>
                </c:pt>
                <c:pt idx="23">
                  <c:v>51.696391838940649</c:v>
                </c:pt>
                <c:pt idx="24">
                  <c:v>56.734451658224565</c:v>
                </c:pt>
                <c:pt idx="25">
                  <c:v>42.673586118639321</c:v>
                </c:pt>
                <c:pt idx="26">
                  <c:v>43.140405966113548</c:v>
                </c:pt>
                <c:pt idx="27">
                  <c:v>46.062142451644185</c:v>
                </c:pt>
                <c:pt idx="28">
                  <c:v>45.595104981129985</c:v>
                </c:pt>
                <c:pt idx="29">
                  <c:v>46.838539942800658</c:v>
                </c:pt>
                <c:pt idx="30">
                  <c:v>52.111869498582124</c:v>
                </c:pt>
                <c:pt idx="31">
                  <c:v>49.446301774260874</c:v>
                </c:pt>
                <c:pt idx="32">
                  <c:v>50.102014570188636</c:v>
                </c:pt>
                <c:pt idx="33">
                  <c:v>53.287867189672518</c:v>
                </c:pt>
                <c:pt idx="34">
                  <c:v>52.951353224252024</c:v>
                </c:pt>
                <c:pt idx="35">
                  <c:v>54.380837029888561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22-4DBC-B0F1-AB568DDA8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82640"/>
        <c:axId val="1"/>
      </c:lineChart>
      <c:catAx>
        <c:axId val="185982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5587188612099638E-3"/>
              <c:y val="0.44502617801047123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826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4.8042704626334511E-2"/>
          <c:y val="0.91492146596858648"/>
          <c:w val="0.91814946619217064"/>
          <c:h val="8.6387434554973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pageSetup orientation="landscape" r:id="rId1"/>
  <headerFooter alignWithMargins="0">
    <oddFooter>&amp;L&amp;F, &amp;A&amp;CPage &amp;P of 1&amp;R&amp;D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0.5365</cdr:x>
      <cdr:y>0.1225</cdr:y>
    </cdr:from>
    <cdr:to>
      <cdr:x>0.5365</cdr:x>
      <cdr:y>0.83175</cdr:y>
    </cdr:to>
    <cdr:sp macro="" textlink="">
      <cdr:nvSpPr>
        <cdr:cNvPr id="4915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95058" y="713156"/>
          <a:ext cx="0" cy="412902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0.136</cdr:x>
      <cdr:y>0.69075</cdr:y>
    </cdr:from>
    <cdr:to>
      <cdr:x>0.498</cdr:x>
      <cdr:y>0.72425</cdr:y>
    </cdr:to>
    <cdr:sp macro="" textlink="">
      <cdr:nvSpPr>
        <cdr:cNvPr id="4915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64824" y="4021325"/>
          <a:ext cx="3100486" cy="19502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 xmlns:a="http://schemas.openxmlformats.org/drawingml/2006/main">
          <a:outerShdw dist="107763" dir="2700000" algn="ctr" rotWithShape="0">
            <a:srgbClr val="808080"/>
          </a:outerShdw>
        </a:effectLst>
      </cdr:spPr>
      <cdr:txBody>
        <a:bodyPr xmlns:a="http://schemas.openxmlformats.org/drawingml/2006/main" vertOverflow="clip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Initial Term</a:t>
          </a:r>
        </a:p>
      </cdr:txBody>
    </cdr:sp>
  </cdr:relSizeAnchor>
  <cdr:relSizeAnchor xmlns:cdr="http://schemas.openxmlformats.org/drawingml/2006/chartDrawing">
    <cdr:from>
      <cdr:x>0.565</cdr:x>
      <cdr:y>0.69075</cdr:y>
    </cdr:from>
    <cdr:to>
      <cdr:x>0.927</cdr:x>
      <cdr:y>0.72275</cdr:y>
    </cdr:to>
    <cdr:sp macro="" textlink="">
      <cdr:nvSpPr>
        <cdr:cNvPr id="49155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9157" y="4021325"/>
          <a:ext cx="3100487" cy="18629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 xmlns:a="http://schemas.openxmlformats.org/drawingml/2006/main">
          <a:outerShdw dist="107763" dir="2700000" algn="ctr" rotWithShape="0">
            <a:srgbClr val="808080"/>
          </a:outerShdw>
        </a:effectLst>
      </cdr:spPr>
      <cdr:txBody>
        <a:bodyPr xmlns:a="http://schemas.openxmlformats.org/drawingml/2006/main" vertOverflow="clip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Renewal Term </a:t>
          </a:r>
        </a:p>
      </cdr:txBody>
    </cdr:sp>
  </cdr:relSizeAnchor>
  <cdr:relSizeAnchor xmlns:cdr="http://schemas.openxmlformats.org/drawingml/2006/chartDrawing">
    <cdr:from>
      <cdr:x>0.2755</cdr:x>
      <cdr:y>0.24425</cdr:y>
    </cdr:from>
    <cdr:to>
      <cdr:x>0.28625</cdr:x>
      <cdr:y>0.281</cdr:y>
    </cdr:to>
    <cdr:sp macro="" textlink="">
      <cdr:nvSpPr>
        <cdr:cNvPr id="4915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9624" y="1421945"/>
          <a:ext cx="92073" cy="213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0" rIns="0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0.11425</cdr:x>
      <cdr:y>0.769</cdr:y>
    </cdr:from>
    <cdr:to>
      <cdr:x>0.93875</cdr:x>
      <cdr:y>0.801</cdr:y>
    </cdr:to>
    <cdr:sp macro="" textlink="">
      <cdr:nvSpPr>
        <cdr:cNvPr id="49172" name="AutoShape 20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8538" y="4476872"/>
          <a:ext cx="7061743" cy="186294"/>
        </a:xfrm>
        <a:prstGeom xmlns:a="http://schemas.openxmlformats.org/drawingml/2006/main" prst="homePlate">
          <a:avLst>
            <a:gd name="adj" fmla="val 162506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CC" mc:Ignorable="a14" a14:legacySpreadsheetColorIndex="26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Stranded Investment Through 2036 Is $252.5 MM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103</xdr:row>
      <xdr:rowOff>0</xdr:rowOff>
    </xdr:from>
    <xdr:to>
      <xdr:col>7</xdr:col>
      <xdr:colOff>624840</xdr:colOff>
      <xdr:row>107</xdr:row>
      <xdr:rowOff>0</xdr:rowOff>
    </xdr:to>
    <xdr:sp macro="" textlink="">
      <xdr:nvSpPr>
        <xdr:cNvPr id="2886" name="AutoShape 838"/>
        <xdr:cNvSpPr>
          <a:spLocks/>
        </xdr:cNvSpPr>
      </xdr:nvSpPr>
      <xdr:spPr bwMode="auto">
        <a:xfrm>
          <a:off x="5212080" y="17975580"/>
          <a:ext cx="441960" cy="670560"/>
        </a:xfrm>
        <a:prstGeom prst="rightBrace">
          <a:avLst>
            <a:gd name="adj1" fmla="val 1264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179</xdr:row>
      <xdr:rowOff>91440</xdr:rowOff>
    </xdr:from>
    <xdr:to>
      <xdr:col>6</xdr:col>
      <xdr:colOff>7620</xdr:colOff>
      <xdr:row>192</xdr:row>
      <xdr:rowOff>91440</xdr:rowOff>
    </xdr:to>
    <xdr:cxnSp macro="">
      <xdr:nvCxnSpPr>
        <xdr:cNvPr id="2895" name="AutoShape 847"/>
        <xdr:cNvCxnSpPr>
          <a:cxnSpLocks noChangeShapeType="1"/>
        </xdr:cNvCxnSpPr>
      </xdr:nvCxnSpPr>
      <xdr:spPr bwMode="auto">
        <a:xfrm rot="10800000" flipH="1" flipV="1">
          <a:off x="4114800" y="31005780"/>
          <a:ext cx="7620" cy="2270760"/>
        </a:xfrm>
        <a:prstGeom prst="bentConnector3">
          <a:avLst>
            <a:gd name="adj1" fmla="val -1400005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0</xdr:colOff>
      <xdr:row>104</xdr:row>
      <xdr:rowOff>0</xdr:rowOff>
    </xdr:from>
    <xdr:to>
      <xdr:col>13</xdr:col>
      <xdr:colOff>312420</xdr:colOff>
      <xdr:row>106</xdr:row>
      <xdr:rowOff>0</xdr:rowOff>
    </xdr:to>
    <xdr:sp macro="" textlink="">
      <xdr:nvSpPr>
        <xdr:cNvPr id="47117" name="Rectangle 1037"/>
        <xdr:cNvSpPr>
          <a:spLocks noChangeArrowheads="1"/>
        </xdr:cNvSpPr>
      </xdr:nvSpPr>
      <xdr:spPr bwMode="auto">
        <a:xfrm>
          <a:off x="5783580" y="18143220"/>
          <a:ext cx="408432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79</xdr:row>
      <xdr:rowOff>0</xdr:rowOff>
    </xdr:from>
    <xdr:to>
      <xdr:col>8</xdr:col>
      <xdr:colOff>0</xdr:colOff>
      <xdr:row>80</xdr:row>
      <xdr:rowOff>0</xdr:rowOff>
    </xdr:to>
    <xdr:sp macro="" textlink="">
      <xdr:nvSpPr>
        <xdr:cNvPr id="67585" name="Rectangle 1"/>
        <xdr:cNvSpPr>
          <a:spLocks noChangeArrowheads="1"/>
        </xdr:cNvSpPr>
      </xdr:nvSpPr>
      <xdr:spPr bwMode="auto">
        <a:xfrm>
          <a:off x="3825240" y="13571220"/>
          <a:ext cx="868680" cy="175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81</xdr:row>
      <xdr:rowOff>0</xdr:rowOff>
    </xdr:from>
    <xdr:to>
      <xdr:col>8</xdr:col>
      <xdr:colOff>0</xdr:colOff>
      <xdr:row>82</xdr:row>
      <xdr:rowOff>0</xdr:rowOff>
    </xdr:to>
    <xdr:sp macro="" textlink="">
      <xdr:nvSpPr>
        <xdr:cNvPr id="67586" name="Rectangle 2"/>
        <xdr:cNvSpPr>
          <a:spLocks noChangeArrowheads="1"/>
        </xdr:cNvSpPr>
      </xdr:nvSpPr>
      <xdr:spPr bwMode="auto">
        <a:xfrm>
          <a:off x="3825240" y="13921740"/>
          <a:ext cx="868680" cy="175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83</xdr:row>
      <xdr:rowOff>0</xdr:rowOff>
    </xdr:from>
    <xdr:to>
      <xdr:col>8</xdr:col>
      <xdr:colOff>0</xdr:colOff>
      <xdr:row>84</xdr:row>
      <xdr:rowOff>0</xdr:rowOff>
    </xdr:to>
    <xdr:sp macro="" textlink="">
      <xdr:nvSpPr>
        <xdr:cNvPr id="67625" name="Rectangle 41"/>
        <xdr:cNvSpPr>
          <a:spLocks noChangeArrowheads="1"/>
        </xdr:cNvSpPr>
      </xdr:nvSpPr>
      <xdr:spPr bwMode="auto">
        <a:xfrm>
          <a:off x="3825240" y="14272260"/>
          <a:ext cx="868680" cy="175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V1121"/>
  <sheetViews>
    <sheetView zoomScale="75" workbookViewId="0">
      <pane xSplit="7" ySplit="9" topLeftCell="H282" activePane="bottomRight" state="frozen"/>
      <selection pane="topRight" activeCell="H1" sqref="H1"/>
      <selection pane="bottomLeft" activeCell="A10" sqref="A10"/>
      <selection pane="bottomRight" activeCell="H291" sqref="H291"/>
    </sheetView>
  </sheetViews>
  <sheetFormatPr defaultRowHeight="13.2"/>
  <cols>
    <col min="1" max="3" width="3" customWidth="1"/>
    <col min="4" max="4" width="25.6640625" customWidth="1"/>
    <col min="5" max="6" width="12.6640625" customWidth="1"/>
    <col min="7" max="7" width="13.33203125" customWidth="1"/>
    <col min="8" max="26" width="11" customWidth="1"/>
    <col min="27" max="27" width="11.6640625" bestFit="1" customWidth="1"/>
    <col min="28" max="43" width="11.33203125" bestFit="1" customWidth="1"/>
    <col min="44" max="44" width="39.6640625" customWidth="1"/>
  </cols>
  <sheetData>
    <row r="1" spans="1:49" s="1" customFormat="1" ht="18" thickBot="1">
      <c r="A1" s="15" t="s">
        <v>114</v>
      </c>
      <c r="B1" s="13"/>
      <c r="Z1" s="113" t="s">
        <v>127</v>
      </c>
      <c r="AR1" s="298"/>
    </row>
    <row r="2" spans="1:49" s="116" customFormat="1" ht="18.75" customHeight="1" thickBot="1">
      <c r="A2" s="115" t="s">
        <v>113</v>
      </c>
      <c r="B2" s="115"/>
      <c r="Y2" s="114" t="s">
        <v>128</v>
      </c>
      <c r="Z2" s="155" t="s">
        <v>130</v>
      </c>
      <c r="AR2" s="299" t="s">
        <v>181</v>
      </c>
    </row>
    <row r="3" spans="1:49" s="290" customFormat="1" ht="12.75" customHeight="1" thickBot="1">
      <c r="A3" s="289"/>
      <c r="B3" s="289"/>
      <c r="AR3" s="299" t="s">
        <v>185</v>
      </c>
    </row>
    <row r="4" spans="1:49" s="35" customFormat="1" ht="13.8" thickTop="1">
      <c r="A4" s="45"/>
      <c r="AQ4" s="1"/>
      <c r="AR4" s="300"/>
      <c r="AS4" s="1"/>
      <c r="AT4" s="1"/>
      <c r="AU4" s="1"/>
      <c r="AV4" s="1"/>
      <c r="AW4" s="1"/>
    </row>
    <row r="5" spans="1:49" s="35" customFormat="1">
      <c r="A5" s="45"/>
      <c r="AQ5" s="1"/>
      <c r="AR5" s="300"/>
      <c r="AS5" s="1"/>
      <c r="AT5" s="1"/>
      <c r="AU5" s="1"/>
      <c r="AV5" s="1"/>
      <c r="AW5" s="1"/>
    </row>
    <row r="6" spans="1:49" s="35" customFormat="1" ht="17.399999999999999">
      <c r="A6" s="449" t="s">
        <v>218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  <c r="O6" s="450"/>
      <c r="P6" s="450"/>
      <c r="Q6" s="450"/>
      <c r="R6" s="450"/>
      <c r="S6" s="450"/>
      <c r="T6" s="450"/>
      <c r="U6" s="450"/>
      <c r="V6" s="450"/>
      <c r="W6" s="450"/>
      <c r="X6" s="450"/>
      <c r="Y6" s="450"/>
      <c r="Z6" s="450"/>
      <c r="AQ6" s="1"/>
      <c r="AR6" s="300"/>
      <c r="AS6" s="1"/>
      <c r="AT6" s="1"/>
      <c r="AU6" s="1"/>
      <c r="AV6" s="1"/>
      <c r="AW6" s="1"/>
    </row>
    <row r="7" spans="1:49" s="35" customFormat="1" ht="17.399999999999999">
      <c r="A7" s="292"/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Q7" s="1"/>
      <c r="AR7" s="300"/>
      <c r="AS7" s="1"/>
      <c r="AT7" s="1"/>
      <c r="AU7" s="1"/>
      <c r="AV7" s="1"/>
      <c r="AW7" s="1"/>
    </row>
    <row r="8" spans="1:49" s="35" customFormat="1">
      <c r="A8" s="45"/>
      <c r="AQ8" s="1"/>
      <c r="AR8" s="300"/>
      <c r="AS8" s="1"/>
      <c r="AT8" s="1"/>
      <c r="AU8" s="1"/>
      <c r="AV8" s="1"/>
      <c r="AW8" s="1"/>
    </row>
    <row r="9" spans="1:49" s="1" customFormat="1" ht="13.8" thickBot="1">
      <c r="G9" s="34" t="s">
        <v>22</v>
      </c>
      <c r="H9" s="99">
        <v>2001</v>
      </c>
      <c r="I9" s="11">
        <f>+H9+1</f>
        <v>2002</v>
      </c>
      <c r="J9" s="11">
        <f t="shared" ref="J9:Z9" si="0">+I9+1</f>
        <v>2003</v>
      </c>
      <c r="K9" s="11">
        <f t="shared" si="0"/>
        <v>2004</v>
      </c>
      <c r="L9" s="11">
        <f t="shared" si="0"/>
        <v>2005</v>
      </c>
      <c r="M9" s="11">
        <f t="shared" si="0"/>
        <v>2006</v>
      </c>
      <c r="N9" s="11">
        <f t="shared" si="0"/>
        <v>2007</v>
      </c>
      <c r="O9" s="11">
        <f t="shared" si="0"/>
        <v>2008</v>
      </c>
      <c r="P9" s="11">
        <f t="shared" si="0"/>
        <v>2009</v>
      </c>
      <c r="Q9" s="11">
        <f t="shared" si="0"/>
        <v>2010</v>
      </c>
      <c r="R9" s="11">
        <f t="shared" si="0"/>
        <v>2011</v>
      </c>
      <c r="S9" s="11">
        <f t="shared" si="0"/>
        <v>2012</v>
      </c>
      <c r="T9" s="11">
        <f t="shared" si="0"/>
        <v>2013</v>
      </c>
      <c r="U9" s="11">
        <f t="shared" si="0"/>
        <v>2014</v>
      </c>
      <c r="V9" s="11">
        <f t="shared" si="0"/>
        <v>2015</v>
      </c>
      <c r="W9" s="11">
        <f t="shared" si="0"/>
        <v>2016</v>
      </c>
      <c r="X9" s="11">
        <f t="shared" si="0"/>
        <v>2017</v>
      </c>
      <c r="Y9" s="11">
        <f t="shared" si="0"/>
        <v>2018</v>
      </c>
      <c r="Z9" s="11">
        <f t="shared" si="0"/>
        <v>2019</v>
      </c>
      <c r="AA9" s="276">
        <f>+Z9+1</f>
        <v>2020</v>
      </c>
      <c r="AB9" s="276">
        <f t="shared" ref="AB9:AQ9" si="1">+AA9+1</f>
        <v>2021</v>
      </c>
      <c r="AC9" s="276">
        <f t="shared" si="1"/>
        <v>2022</v>
      </c>
      <c r="AD9" s="276">
        <f t="shared" si="1"/>
        <v>2023</v>
      </c>
      <c r="AE9" s="276">
        <f t="shared" si="1"/>
        <v>2024</v>
      </c>
      <c r="AF9" s="276">
        <f t="shared" si="1"/>
        <v>2025</v>
      </c>
      <c r="AG9" s="276">
        <f t="shared" si="1"/>
        <v>2026</v>
      </c>
      <c r="AH9" s="276">
        <f t="shared" si="1"/>
        <v>2027</v>
      </c>
      <c r="AI9" s="276">
        <f t="shared" si="1"/>
        <v>2028</v>
      </c>
      <c r="AJ9" s="276">
        <f t="shared" si="1"/>
        <v>2029</v>
      </c>
      <c r="AK9" s="276">
        <f t="shared" si="1"/>
        <v>2030</v>
      </c>
      <c r="AL9" s="276">
        <f t="shared" si="1"/>
        <v>2031</v>
      </c>
      <c r="AM9" s="276">
        <f t="shared" si="1"/>
        <v>2032</v>
      </c>
      <c r="AN9" s="276">
        <f t="shared" si="1"/>
        <v>2033</v>
      </c>
      <c r="AO9" s="276">
        <f t="shared" si="1"/>
        <v>2034</v>
      </c>
      <c r="AP9" s="276">
        <f t="shared" si="1"/>
        <v>2035</v>
      </c>
      <c r="AQ9" s="355">
        <f t="shared" si="1"/>
        <v>2036</v>
      </c>
      <c r="AR9" s="300"/>
    </row>
    <row r="10" spans="1:49" s="1" customFormat="1" ht="15.6">
      <c r="A10" s="29" t="s">
        <v>252</v>
      </c>
      <c r="AA10" s="254"/>
      <c r="AB10" s="254"/>
      <c r="AC10" s="254"/>
      <c r="AD10" s="254"/>
      <c r="AE10" s="254"/>
      <c r="AF10" s="254"/>
      <c r="AG10" s="254"/>
      <c r="AH10" s="254"/>
      <c r="AI10" s="254"/>
      <c r="AJ10" s="254"/>
      <c r="AK10" s="254"/>
      <c r="AL10" s="254"/>
      <c r="AM10" s="254"/>
      <c r="AN10" s="254"/>
      <c r="AO10" s="254"/>
      <c r="AP10" s="254"/>
      <c r="AQ10" s="254"/>
      <c r="AR10" s="301"/>
    </row>
    <row r="11" spans="1:49" s="1" customFormat="1" ht="12.75" customHeight="1" thickBot="1">
      <c r="A11" s="13"/>
      <c r="AA11" s="254"/>
      <c r="AB11" s="254"/>
      <c r="AC11" s="254"/>
      <c r="AD11" s="254"/>
      <c r="AE11" s="254"/>
      <c r="AF11" s="254"/>
      <c r="AG11" s="254"/>
      <c r="AH11" s="254"/>
      <c r="AI11" s="254"/>
      <c r="AJ11" s="254"/>
      <c r="AK11" s="254"/>
      <c r="AL11" s="254"/>
      <c r="AM11" s="254"/>
      <c r="AN11" s="254"/>
      <c r="AO11" s="254"/>
      <c r="AP11" s="254"/>
      <c r="AQ11" s="254"/>
      <c r="AR11" s="301"/>
    </row>
    <row r="12" spans="1:49" s="1" customFormat="1">
      <c r="A12" s="13"/>
      <c r="B12" s="90" t="s">
        <v>152</v>
      </c>
      <c r="C12" s="91"/>
      <c r="D12" s="91"/>
      <c r="E12" s="222">
        <v>6.1249999999999999E-2</v>
      </c>
      <c r="F12" s="10" t="s">
        <v>6</v>
      </c>
      <c r="G12" s="100">
        <v>36891</v>
      </c>
      <c r="H12" s="14">
        <f>+G12+365</f>
        <v>37256</v>
      </c>
      <c r="I12" s="14">
        <f>+H12+365</f>
        <v>37621</v>
      </c>
      <c r="J12" s="14">
        <f>+I12+365</f>
        <v>37986</v>
      </c>
      <c r="K12" s="14">
        <f>+J12+366</f>
        <v>38352</v>
      </c>
      <c r="L12" s="14">
        <f>+K12+365</f>
        <v>38717</v>
      </c>
      <c r="M12" s="14">
        <f>+L12+365</f>
        <v>39082</v>
      </c>
      <c r="N12" s="14">
        <f>+M12+365</f>
        <v>39447</v>
      </c>
      <c r="O12" s="14">
        <f>+N12+366</f>
        <v>39813</v>
      </c>
      <c r="P12" s="14">
        <f>+O12+365</f>
        <v>40178</v>
      </c>
      <c r="Q12" s="14">
        <f>+P12+365</f>
        <v>40543</v>
      </c>
      <c r="R12" s="14">
        <f>+Q12+365</f>
        <v>40908</v>
      </c>
      <c r="S12" s="14">
        <f>+R12+366</f>
        <v>41274</v>
      </c>
      <c r="T12" s="14">
        <f>+S12+365</f>
        <v>41639</v>
      </c>
      <c r="U12" s="14">
        <f>+T12+365</f>
        <v>42004</v>
      </c>
      <c r="V12" s="14">
        <f>+U12+365</f>
        <v>42369</v>
      </c>
      <c r="W12" s="14">
        <f>+V12+366</f>
        <v>42735</v>
      </c>
      <c r="X12" s="14">
        <f>+W12+365</f>
        <v>43100</v>
      </c>
      <c r="Y12" s="14">
        <f>+X12+365</f>
        <v>43465</v>
      </c>
      <c r="Z12" s="14">
        <f>+Y12+365</f>
        <v>43830</v>
      </c>
      <c r="AA12" s="255">
        <v>44196</v>
      </c>
      <c r="AB12" s="255">
        <v>44561</v>
      </c>
      <c r="AC12" s="255">
        <v>44926</v>
      </c>
      <c r="AD12" s="255">
        <v>45291</v>
      </c>
      <c r="AE12" s="255">
        <v>45657</v>
      </c>
      <c r="AF12" s="255">
        <v>46022</v>
      </c>
      <c r="AG12" s="255">
        <v>46387</v>
      </c>
      <c r="AH12" s="255">
        <v>46752</v>
      </c>
      <c r="AI12" s="255">
        <v>47118</v>
      </c>
      <c r="AJ12" s="255">
        <v>47483</v>
      </c>
      <c r="AK12" s="255">
        <v>47848</v>
      </c>
      <c r="AL12" s="255">
        <v>48213</v>
      </c>
      <c r="AM12" s="255">
        <v>48579</v>
      </c>
      <c r="AN12" s="255">
        <v>48944</v>
      </c>
      <c r="AO12" s="255">
        <v>49309</v>
      </c>
      <c r="AP12" s="255">
        <v>49674</v>
      </c>
      <c r="AQ12" s="255">
        <v>50040</v>
      </c>
      <c r="AR12" s="301"/>
    </row>
    <row r="13" spans="1:49" s="1" customFormat="1">
      <c r="A13" s="13"/>
      <c r="B13" s="92" t="s">
        <v>153</v>
      </c>
      <c r="C13" s="93"/>
      <c r="D13" s="93"/>
      <c r="E13" s="223">
        <f>1/8/100</f>
        <v>1.25E-3</v>
      </c>
      <c r="F13" s="10" t="s">
        <v>4</v>
      </c>
      <c r="G13" s="4">
        <f t="shared" ref="G13:AQ13" si="2">ROUND(YEARFRAC($G$12,G12),0)</f>
        <v>0</v>
      </c>
      <c r="H13" s="4">
        <f t="shared" si="2"/>
        <v>1</v>
      </c>
      <c r="I13" s="4">
        <f t="shared" si="2"/>
        <v>2</v>
      </c>
      <c r="J13" s="4">
        <f t="shared" si="2"/>
        <v>3</v>
      </c>
      <c r="K13" s="4">
        <f t="shared" si="2"/>
        <v>4</v>
      </c>
      <c r="L13" s="4">
        <f t="shared" si="2"/>
        <v>5</v>
      </c>
      <c r="M13" s="4">
        <f t="shared" si="2"/>
        <v>6</v>
      </c>
      <c r="N13" s="4">
        <f t="shared" si="2"/>
        <v>7</v>
      </c>
      <c r="O13" s="4">
        <f t="shared" si="2"/>
        <v>8</v>
      </c>
      <c r="P13" s="4">
        <f t="shared" si="2"/>
        <v>9</v>
      </c>
      <c r="Q13" s="4">
        <f t="shared" si="2"/>
        <v>10</v>
      </c>
      <c r="R13" s="4">
        <f t="shared" si="2"/>
        <v>11</v>
      </c>
      <c r="S13" s="4">
        <f t="shared" si="2"/>
        <v>12</v>
      </c>
      <c r="T13" s="4">
        <f t="shared" si="2"/>
        <v>13</v>
      </c>
      <c r="U13" s="4">
        <f t="shared" si="2"/>
        <v>14</v>
      </c>
      <c r="V13" s="4">
        <f t="shared" si="2"/>
        <v>15</v>
      </c>
      <c r="W13" s="4">
        <f t="shared" si="2"/>
        <v>16</v>
      </c>
      <c r="X13" s="4">
        <f t="shared" si="2"/>
        <v>17</v>
      </c>
      <c r="Y13" s="4">
        <f t="shared" si="2"/>
        <v>18</v>
      </c>
      <c r="Z13" s="4">
        <f t="shared" si="2"/>
        <v>19</v>
      </c>
      <c r="AA13" s="256">
        <f t="shared" si="2"/>
        <v>20</v>
      </c>
      <c r="AB13" s="256">
        <f t="shared" si="2"/>
        <v>21</v>
      </c>
      <c r="AC13" s="256">
        <f t="shared" si="2"/>
        <v>22</v>
      </c>
      <c r="AD13" s="256">
        <f t="shared" si="2"/>
        <v>23</v>
      </c>
      <c r="AE13" s="256">
        <f t="shared" si="2"/>
        <v>24</v>
      </c>
      <c r="AF13" s="256">
        <f t="shared" si="2"/>
        <v>25</v>
      </c>
      <c r="AG13" s="256">
        <f t="shared" si="2"/>
        <v>26</v>
      </c>
      <c r="AH13" s="256">
        <f t="shared" si="2"/>
        <v>27</v>
      </c>
      <c r="AI13" s="256">
        <f t="shared" si="2"/>
        <v>28</v>
      </c>
      <c r="AJ13" s="256">
        <f t="shared" si="2"/>
        <v>29</v>
      </c>
      <c r="AK13" s="256">
        <f t="shared" si="2"/>
        <v>30</v>
      </c>
      <c r="AL13" s="256">
        <f t="shared" si="2"/>
        <v>31</v>
      </c>
      <c r="AM13" s="256">
        <f t="shared" si="2"/>
        <v>32</v>
      </c>
      <c r="AN13" s="256">
        <f t="shared" si="2"/>
        <v>33</v>
      </c>
      <c r="AO13" s="256">
        <f t="shared" si="2"/>
        <v>34</v>
      </c>
      <c r="AP13" s="256">
        <f t="shared" si="2"/>
        <v>35</v>
      </c>
      <c r="AQ13" s="256">
        <f t="shared" si="2"/>
        <v>36</v>
      </c>
      <c r="AR13" s="301"/>
    </row>
    <row r="14" spans="1:49" s="1" customFormat="1">
      <c r="A14" s="13"/>
      <c r="B14" s="92" t="s">
        <v>216</v>
      </c>
      <c r="C14" s="93"/>
      <c r="D14" s="93"/>
      <c r="E14" s="323">
        <f>SUM(E12:E13)</f>
        <v>6.25E-2</v>
      </c>
      <c r="F14" s="10"/>
      <c r="G14" s="32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301"/>
    </row>
    <row r="15" spans="1:49" s="1" customFormat="1">
      <c r="A15" s="13"/>
      <c r="B15" s="92"/>
      <c r="C15" s="93"/>
      <c r="D15" s="93"/>
      <c r="E15" s="223"/>
      <c r="F15" s="10"/>
      <c r="G15" s="32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301"/>
    </row>
    <row r="16" spans="1:49" s="1" customFormat="1" ht="13.8" thickBot="1">
      <c r="A16" s="13"/>
      <c r="B16" s="94" t="s">
        <v>154</v>
      </c>
      <c r="C16" s="95"/>
      <c r="D16" s="95"/>
      <c r="E16" s="224">
        <f>+E14</f>
        <v>6.25E-2</v>
      </c>
      <c r="F16" s="10" t="s">
        <v>5</v>
      </c>
      <c r="G16" s="5">
        <f t="shared" ref="G16:AQ16" si="3">1/(1+$E$16)^G$13</f>
        <v>1</v>
      </c>
      <c r="H16" s="5">
        <f t="shared" si="3"/>
        <v>0.94117647058823528</v>
      </c>
      <c r="I16" s="5">
        <f t="shared" si="3"/>
        <v>0.88581314878892736</v>
      </c>
      <c r="J16" s="5">
        <f t="shared" si="3"/>
        <v>0.83370649297781396</v>
      </c>
      <c r="K16" s="5">
        <f t="shared" si="3"/>
        <v>0.78466493456735431</v>
      </c>
      <c r="L16" s="5">
        <f t="shared" si="3"/>
        <v>0.73850817371045108</v>
      </c>
      <c r="M16" s="5">
        <f t="shared" si="3"/>
        <v>0.69506651643336581</v>
      </c>
      <c r="N16" s="5">
        <f t="shared" si="3"/>
        <v>0.65418025076081487</v>
      </c>
      <c r="O16" s="5">
        <f t="shared" si="3"/>
        <v>0.61569905953959048</v>
      </c>
      <c r="P16" s="5">
        <f t="shared" si="3"/>
        <v>0.57948146780196752</v>
      </c>
      <c r="Q16" s="5">
        <f t="shared" si="3"/>
        <v>0.54539432263714582</v>
      </c>
      <c r="R16" s="5">
        <f t="shared" si="3"/>
        <v>0.51331230365849023</v>
      </c>
      <c r="S16" s="5">
        <f t="shared" si="3"/>
        <v>0.48311746226681429</v>
      </c>
      <c r="T16" s="5">
        <f t="shared" si="3"/>
        <v>0.45469878801582531</v>
      </c>
      <c r="U16" s="5">
        <f t="shared" si="3"/>
        <v>0.42795180048548259</v>
      </c>
      <c r="V16" s="5">
        <f t="shared" si="3"/>
        <v>0.40277816516280712</v>
      </c>
      <c r="W16" s="5">
        <f t="shared" si="3"/>
        <v>0.37908533191793609</v>
      </c>
      <c r="X16" s="5">
        <f t="shared" si="3"/>
        <v>0.35678619474629281</v>
      </c>
      <c r="Y16" s="5">
        <f t="shared" si="3"/>
        <v>0.33579877152592269</v>
      </c>
      <c r="Z16" s="5">
        <f t="shared" si="3"/>
        <v>0.3160459026126331</v>
      </c>
      <c r="AA16" s="257">
        <f t="shared" si="3"/>
        <v>0.29745496716483116</v>
      </c>
      <c r="AB16" s="257">
        <f t="shared" si="3"/>
        <v>0.27995761615513515</v>
      </c>
      <c r="AC16" s="257">
        <f t="shared" si="3"/>
        <v>0.26348952108718604</v>
      </c>
      <c r="AD16" s="257">
        <f t="shared" si="3"/>
        <v>0.2479901374938222</v>
      </c>
      <c r="AE16" s="257">
        <f t="shared" si="3"/>
        <v>0.23340248234712674</v>
      </c>
      <c r="AF16" s="257">
        <f t="shared" si="3"/>
        <v>0.21967292456200166</v>
      </c>
      <c r="AG16" s="257">
        <f t="shared" si="3"/>
        <v>0.20675098782306039</v>
      </c>
      <c r="AH16" s="257">
        <f t="shared" si="3"/>
        <v>0.19458916500993917</v>
      </c>
      <c r="AI16" s="257">
        <f t="shared" si="3"/>
        <v>0.18314274353876628</v>
      </c>
      <c r="AJ16" s="257">
        <f t="shared" si="3"/>
        <v>0.17236964097766239</v>
      </c>
      <c r="AK16" s="257">
        <f t="shared" si="3"/>
        <v>0.16223025033191754</v>
      </c>
      <c r="AL16" s="257">
        <f t="shared" si="3"/>
        <v>0.15268729443004003</v>
      </c>
      <c r="AM16" s="257">
        <f t="shared" si="3"/>
        <v>0.14370568887533181</v>
      </c>
      <c r="AN16" s="257">
        <f t="shared" si="3"/>
        <v>0.1352524130591358</v>
      </c>
      <c r="AO16" s="257">
        <f t="shared" si="3"/>
        <v>0.12729638876153959</v>
      </c>
      <c r="AP16" s="257">
        <f t="shared" si="3"/>
        <v>0.11980836589321374</v>
      </c>
      <c r="AQ16" s="257">
        <f t="shared" si="3"/>
        <v>0.1127608149583188</v>
      </c>
      <c r="AR16" s="301"/>
    </row>
    <row r="17" spans="1:44" s="1" customFormat="1" ht="13.8" thickBot="1">
      <c r="A17" s="13"/>
      <c r="E17" s="41"/>
      <c r="F17" s="41"/>
      <c r="G17" s="41"/>
      <c r="AA17" s="254"/>
      <c r="AB17" s="254"/>
      <c r="AC17" s="254"/>
      <c r="AD17" s="254"/>
      <c r="AE17" s="254"/>
      <c r="AF17" s="254"/>
      <c r="AG17" s="254"/>
      <c r="AH17" s="254"/>
      <c r="AI17" s="254"/>
      <c r="AJ17" s="254"/>
      <c r="AK17" s="254"/>
      <c r="AL17" s="254"/>
      <c r="AM17" s="254"/>
      <c r="AN17" s="254"/>
      <c r="AO17" s="254"/>
      <c r="AP17" s="254"/>
      <c r="AQ17" s="254"/>
      <c r="AR17" s="301"/>
    </row>
    <row r="18" spans="1:44" s="1" customFormat="1" ht="13.8" thickBot="1">
      <c r="A18" s="13"/>
      <c r="B18" s="21" t="s">
        <v>124</v>
      </c>
      <c r="E18" s="96" t="s">
        <v>24</v>
      </c>
      <c r="F18" s="41"/>
      <c r="G18" s="41"/>
      <c r="AA18" s="254"/>
      <c r="AB18" s="254"/>
      <c r="AC18" s="254"/>
      <c r="AD18" s="254"/>
      <c r="AE18" s="254"/>
      <c r="AF18" s="254"/>
      <c r="AG18" s="254"/>
      <c r="AH18" s="254"/>
      <c r="AI18" s="254"/>
      <c r="AJ18" s="254"/>
      <c r="AK18" s="254"/>
      <c r="AL18" s="254"/>
      <c r="AM18" s="254"/>
      <c r="AN18" s="254"/>
      <c r="AO18" s="254"/>
      <c r="AP18" s="254"/>
      <c r="AQ18" s="254"/>
      <c r="AR18" s="301"/>
    </row>
    <row r="19" spans="1:44" s="1" customFormat="1">
      <c r="A19" s="13"/>
      <c r="E19" s="41"/>
      <c r="F19" s="41"/>
      <c r="G19" s="41"/>
      <c r="AA19" s="254"/>
      <c r="AB19" s="254"/>
      <c r="AC19" s="254"/>
      <c r="AD19" s="254"/>
      <c r="AE19" s="254"/>
      <c r="AF19" s="254"/>
      <c r="AG19" s="254"/>
      <c r="AH19" s="254"/>
      <c r="AI19" s="254"/>
      <c r="AJ19" s="254"/>
      <c r="AK19" s="254"/>
      <c r="AL19" s="254"/>
      <c r="AM19" s="254"/>
      <c r="AN19" s="254"/>
      <c r="AO19" s="254"/>
      <c r="AP19" s="254"/>
      <c r="AQ19" s="254"/>
      <c r="AR19" s="301"/>
    </row>
    <row r="20" spans="1:44" s="1" customFormat="1">
      <c r="A20" s="16" t="s">
        <v>32</v>
      </c>
      <c r="H20" s="101">
        <v>8760</v>
      </c>
      <c r="I20" s="101">
        <v>8760</v>
      </c>
      <c r="J20" s="101">
        <v>8760</v>
      </c>
      <c r="K20" s="101">
        <v>8784</v>
      </c>
      <c r="L20" s="101">
        <v>8760</v>
      </c>
      <c r="M20" s="101">
        <v>8760</v>
      </c>
      <c r="N20" s="101">
        <v>8760</v>
      </c>
      <c r="O20" s="101">
        <v>8784</v>
      </c>
      <c r="P20" s="101">
        <v>8760</v>
      </c>
      <c r="Q20" s="101">
        <v>8760</v>
      </c>
      <c r="R20" s="101">
        <v>8760</v>
      </c>
      <c r="S20" s="101">
        <v>8784</v>
      </c>
      <c r="T20" s="101">
        <v>8760</v>
      </c>
      <c r="U20" s="101">
        <v>8760</v>
      </c>
      <c r="V20" s="101">
        <v>8760</v>
      </c>
      <c r="W20" s="101">
        <v>8784</v>
      </c>
      <c r="X20" s="101">
        <v>8760</v>
      </c>
      <c r="Y20" s="101">
        <v>8760</v>
      </c>
      <c r="Z20" s="101">
        <v>8760</v>
      </c>
      <c r="AA20" s="259">
        <f>+W20</f>
        <v>8784</v>
      </c>
      <c r="AB20" s="259">
        <f t="shared" ref="AB20:AQ20" si="4">+X20</f>
        <v>8760</v>
      </c>
      <c r="AC20" s="259">
        <f t="shared" si="4"/>
        <v>8760</v>
      </c>
      <c r="AD20" s="259">
        <f t="shared" si="4"/>
        <v>8760</v>
      </c>
      <c r="AE20" s="259">
        <f t="shared" si="4"/>
        <v>8784</v>
      </c>
      <c r="AF20" s="259">
        <f t="shared" si="4"/>
        <v>8760</v>
      </c>
      <c r="AG20" s="259">
        <f t="shared" si="4"/>
        <v>8760</v>
      </c>
      <c r="AH20" s="259">
        <f t="shared" si="4"/>
        <v>8760</v>
      </c>
      <c r="AI20" s="259">
        <f t="shared" si="4"/>
        <v>8784</v>
      </c>
      <c r="AJ20" s="259">
        <f t="shared" si="4"/>
        <v>8760</v>
      </c>
      <c r="AK20" s="259">
        <f t="shared" si="4"/>
        <v>8760</v>
      </c>
      <c r="AL20" s="259">
        <f t="shared" si="4"/>
        <v>8760</v>
      </c>
      <c r="AM20" s="259">
        <f t="shared" si="4"/>
        <v>8784</v>
      </c>
      <c r="AN20" s="259">
        <f t="shared" si="4"/>
        <v>8760</v>
      </c>
      <c r="AO20" s="259">
        <f t="shared" si="4"/>
        <v>8760</v>
      </c>
      <c r="AP20" s="259">
        <f t="shared" si="4"/>
        <v>8760</v>
      </c>
      <c r="AQ20" s="259">
        <f t="shared" si="4"/>
        <v>8784</v>
      </c>
      <c r="AR20" s="301"/>
    </row>
    <row r="21" spans="1:44" s="1" customFormat="1">
      <c r="A21" s="13"/>
      <c r="E21" s="41"/>
      <c r="F21" s="41"/>
      <c r="G21" s="41"/>
      <c r="AA21" s="254"/>
      <c r="AB21" s="254"/>
      <c r="AC21" s="254"/>
      <c r="AD21" s="254"/>
      <c r="AE21" s="254"/>
      <c r="AF21" s="254"/>
      <c r="AG21" s="254"/>
      <c r="AH21" s="254"/>
      <c r="AI21" s="254"/>
      <c r="AJ21" s="254"/>
      <c r="AK21" s="254"/>
      <c r="AL21" s="254"/>
      <c r="AM21" s="254"/>
      <c r="AN21" s="254"/>
      <c r="AO21" s="254"/>
      <c r="AP21" s="254"/>
      <c r="AQ21" s="254"/>
      <c r="AR21" s="301"/>
    </row>
    <row r="22" spans="1:44" s="1" customFormat="1">
      <c r="A22" s="16" t="s">
        <v>34</v>
      </c>
      <c r="AA22" s="254"/>
      <c r="AB22" s="254"/>
      <c r="AC22" s="254"/>
      <c r="AD22" s="254"/>
      <c r="AE22" s="254"/>
      <c r="AF22" s="254"/>
      <c r="AG22" s="254"/>
      <c r="AH22" s="254"/>
      <c r="AI22" s="254"/>
      <c r="AJ22" s="254"/>
      <c r="AK22" s="254"/>
      <c r="AL22" s="254"/>
      <c r="AM22" s="254"/>
      <c r="AN22" s="254"/>
      <c r="AO22" s="254"/>
      <c r="AP22" s="254"/>
      <c r="AQ22" s="254"/>
      <c r="AR22" s="301"/>
    </row>
    <row r="23" spans="1:44" s="1" customFormat="1">
      <c r="A23" s="13" t="s">
        <v>31</v>
      </c>
      <c r="G23" s="73" t="s">
        <v>66</v>
      </c>
      <c r="H23" s="101">
        <v>258000</v>
      </c>
      <c r="I23" s="46">
        <f>+H23</f>
        <v>258000</v>
      </c>
      <c r="J23" s="46">
        <f t="shared" ref="J23:Z23" si="5">+I23</f>
        <v>258000</v>
      </c>
      <c r="K23" s="46">
        <f t="shared" si="5"/>
        <v>258000</v>
      </c>
      <c r="L23" s="46">
        <f t="shared" si="5"/>
        <v>258000</v>
      </c>
      <c r="M23" s="46">
        <f t="shared" si="5"/>
        <v>258000</v>
      </c>
      <c r="N23" s="46">
        <f t="shared" si="5"/>
        <v>258000</v>
      </c>
      <c r="O23" s="46">
        <f t="shared" si="5"/>
        <v>258000</v>
      </c>
      <c r="P23" s="46">
        <f t="shared" si="5"/>
        <v>258000</v>
      </c>
      <c r="Q23" s="46">
        <f t="shared" si="5"/>
        <v>258000</v>
      </c>
      <c r="R23" s="46">
        <f t="shared" si="5"/>
        <v>258000</v>
      </c>
      <c r="S23" s="46">
        <f t="shared" si="5"/>
        <v>258000</v>
      </c>
      <c r="T23" s="46">
        <f t="shared" si="5"/>
        <v>258000</v>
      </c>
      <c r="U23" s="46">
        <f t="shared" si="5"/>
        <v>258000</v>
      </c>
      <c r="V23" s="46">
        <f t="shared" si="5"/>
        <v>258000</v>
      </c>
      <c r="W23" s="46">
        <f t="shared" si="5"/>
        <v>258000</v>
      </c>
      <c r="X23" s="46">
        <f t="shared" si="5"/>
        <v>258000</v>
      </c>
      <c r="Y23" s="46">
        <f t="shared" si="5"/>
        <v>258000</v>
      </c>
      <c r="Z23" s="46">
        <f t="shared" si="5"/>
        <v>258000</v>
      </c>
      <c r="AA23" s="259">
        <f>+Z23</f>
        <v>258000</v>
      </c>
      <c r="AB23" s="259">
        <f t="shared" ref="AB23:AQ23" si="6">+AA23</f>
        <v>258000</v>
      </c>
      <c r="AC23" s="259">
        <f t="shared" si="6"/>
        <v>258000</v>
      </c>
      <c r="AD23" s="259">
        <f t="shared" si="6"/>
        <v>258000</v>
      </c>
      <c r="AE23" s="259">
        <f t="shared" si="6"/>
        <v>258000</v>
      </c>
      <c r="AF23" s="259">
        <f t="shared" si="6"/>
        <v>258000</v>
      </c>
      <c r="AG23" s="259">
        <f t="shared" si="6"/>
        <v>258000</v>
      </c>
      <c r="AH23" s="259">
        <f t="shared" si="6"/>
        <v>258000</v>
      </c>
      <c r="AI23" s="259">
        <f t="shared" si="6"/>
        <v>258000</v>
      </c>
      <c r="AJ23" s="259">
        <f t="shared" si="6"/>
        <v>258000</v>
      </c>
      <c r="AK23" s="259">
        <f t="shared" si="6"/>
        <v>258000</v>
      </c>
      <c r="AL23" s="259">
        <f t="shared" si="6"/>
        <v>258000</v>
      </c>
      <c r="AM23" s="259">
        <f t="shared" si="6"/>
        <v>258000</v>
      </c>
      <c r="AN23" s="259">
        <f t="shared" si="6"/>
        <v>258000</v>
      </c>
      <c r="AO23" s="259">
        <f t="shared" si="6"/>
        <v>258000</v>
      </c>
      <c r="AP23" s="259">
        <f t="shared" si="6"/>
        <v>258000</v>
      </c>
      <c r="AQ23" s="259">
        <f t="shared" si="6"/>
        <v>258000</v>
      </c>
      <c r="AR23" s="301"/>
    </row>
    <row r="24" spans="1:44" s="1" customFormat="1">
      <c r="A24" s="13" t="s">
        <v>35</v>
      </c>
      <c r="G24" s="35"/>
      <c r="H24" s="102">
        <v>0.86</v>
      </c>
      <c r="I24" s="194">
        <f>+H24</f>
        <v>0.86</v>
      </c>
      <c r="J24" s="194">
        <f t="shared" ref="J24:Z24" si="7">+I24</f>
        <v>0.86</v>
      </c>
      <c r="K24" s="194">
        <f t="shared" si="7"/>
        <v>0.86</v>
      </c>
      <c r="L24" s="194">
        <f t="shared" si="7"/>
        <v>0.86</v>
      </c>
      <c r="M24" s="194">
        <f t="shared" si="7"/>
        <v>0.86</v>
      </c>
      <c r="N24" s="194">
        <f t="shared" si="7"/>
        <v>0.86</v>
      </c>
      <c r="O24" s="194">
        <f t="shared" si="7"/>
        <v>0.86</v>
      </c>
      <c r="P24" s="194">
        <f t="shared" si="7"/>
        <v>0.86</v>
      </c>
      <c r="Q24" s="194">
        <f t="shared" si="7"/>
        <v>0.86</v>
      </c>
      <c r="R24" s="194">
        <f t="shared" si="7"/>
        <v>0.86</v>
      </c>
      <c r="S24" s="194">
        <f t="shared" si="7"/>
        <v>0.86</v>
      </c>
      <c r="T24" s="194">
        <f t="shared" si="7"/>
        <v>0.86</v>
      </c>
      <c r="U24" s="194">
        <f t="shared" si="7"/>
        <v>0.86</v>
      </c>
      <c r="V24" s="194">
        <f t="shared" si="7"/>
        <v>0.86</v>
      </c>
      <c r="W24" s="194">
        <f t="shared" si="7"/>
        <v>0.86</v>
      </c>
      <c r="X24" s="194">
        <f t="shared" si="7"/>
        <v>0.86</v>
      </c>
      <c r="Y24" s="194">
        <f t="shared" si="7"/>
        <v>0.86</v>
      </c>
      <c r="Z24" s="194">
        <f t="shared" si="7"/>
        <v>0.86</v>
      </c>
      <c r="AA24" s="258">
        <f t="shared" ref="AA24:AQ24" si="8">+Z24</f>
        <v>0.86</v>
      </c>
      <c r="AB24" s="258">
        <f t="shared" si="8"/>
        <v>0.86</v>
      </c>
      <c r="AC24" s="258">
        <f t="shared" si="8"/>
        <v>0.86</v>
      </c>
      <c r="AD24" s="258">
        <f t="shared" si="8"/>
        <v>0.86</v>
      </c>
      <c r="AE24" s="258">
        <f t="shared" si="8"/>
        <v>0.86</v>
      </c>
      <c r="AF24" s="258">
        <f t="shared" si="8"/>
        <v>0.86</v>
      </c>
      <c r="AG24" s="258">
        <f t="shared" si="8"/>
        <v>0.86</v>
      </c>
      <c r="AH24" s="258">
        <f t="shared" si="8"/>
        <v>0.86</v>
      </c>
      <c r="AI24" s="258">
        <f t="shared" si="8"/>
        <v>0.86</v>
      </c>
      <c r="AJ24" s="258">
        <f t="shared" si="8"/>
        <v>0.86</v>
      </c>
      <c r="AK24" s="258">
        <f t="shared" si="8"/>
        <v>0.86</v>
      </c>
      <c r="AL24" s="258">
        <f t="shared" si="8"/>
        <v>0.86</v>
      </c>
      <c r="AM24" s="258">
        <f t="shared" si="8"/>
        <v>0.86</v>
      </c>
      <c r="AN24" s="258">
        <f t="shared" si="8"/>
        <v>0.86</v>
      </c>
      <c r="AO24" s="258">
        <f t="shared" si="8"/>
        <v>0.86</v>
      </c>
      <c r="AP24" s="258">
        <f t="shared" si="8"/>
        <v>0.86</v>
      </c>
      <c r="AQ24" s="258">
        <f t="shared" si="8"/>
        <v>0.86</v>
      </c>
      <c r="AR24" s="301"/>
    </row>
    <row r="25" spans="1:44" s="1" customFormat="1">
      <c r="A25" s="13" t="s">
        <v>33</v>
      </c>
      <c r="G25" s="73" t="s">
        <v>67</v>
      </c>
      <c r="H25" s="46">
        <f t="shared" ref="H25:Z25" si="9">+H20*H23*H24/1000</f>
        <v>1943668.8</v>
      </c>
      <c r="I25" s="46">
        <f t="shared" si="9"/>
        <v>1943668.8</v>
      </c>
      <c r="J25" s="46">
        <f t="shared" si="9"/>
        <v>1943668.8</v>
      </c>
      <c r="K25" s="46">
        <f t="shared" si="9"/>
        <v>1948993.92</v>
      </c>
      <c r="L25" s="46">
        <f t="shared" si="9"/>
        <v>1943668.8</v>
      </c>
      <c r="M25" s="46">
        <f t="shared" si="9"/>
        <v>1943668.8</v>
      </c>
      <c r="N25" s="46">
        <f t="shared" si="9"/>
        <v>1943668.8</v>
      </c>
      <c r="O25" s="46">
        <f t="shared" si="9"/>
        <v>1948993.92</v>
      </c>
      <c r="P25" s="46">
        <f t="shared" si="9"/>
        <v>1943668.8</v>
      </c>
      <c r="Q25" s="46">
        <f t="shared" si="9"/>
        <v>1943668.8</v>
      </c>
      <c r="R25" s="46">
        <f t="shared" si="9"/>
        <v>1943668.8</v>
      </c>
      <c r="S25" s="46">
        <f t="shared" si="9"/>
        <v>1948993.92</v>
      </c>
      <c r="T25" s="46">
        <f t="shared" si="9"/>
        <v>1943668.8</v>
      </c>
      <c r="U25" s="46">
        <f t="shared" si="9"/>
        <v>1943668.8</v>
      </c>
      <c r="V25" s="46">
        <f t="shared" si="9"/>
        <v>1943668.8</v>
      </c>
      <c r="W25" s="46">
        <f t="shared" si="9"/>
        <v>1948993.92</v>
      </c>
      <c r="X25" s="46">
        <f t="shared" si="9"/>
        <v>1943668.8</v>
      </c>
      <c r="Y25" s="46">
        <f t="shared" si="9"/>
        <v>1943668.8</v>
      </c>
      <c r="Z25" s="46">
        <f t="shared" si="9"/>
        <v>1943668.8</v>
      </c>
      <c r="AA25" s="259">
        <f t="shared" ref="AA25:AQ25" si="10">+AA20*AA23*AA24/1000</f>
        <v>1948993.92</v>
      </c>
      <c r="AB25" s="259">
        <f t="shared" si="10"/>
        <v>1943668.8</v>
      </c>
      <c r="AC25" s="259">
        <f t="shared" si="10"/>
        <v>1943668.8</v>
      </c>
      <c r="AD25" s="259">
        <f t="shared" si="10"/>
        <v>1943668.8</v>
      </c>
      <c r="AE25" s="259">
        <f t="shared" si="10"/>
        <v>1948993.92</v>
      </c>
      <c r="AF25" s="259">
        <f t="shared" si="10"/>
        <v>1943668.8</v>
      </c>
      <c r="AG25" s="259">
        <f t="shared" si="10"/>
        <v>1943668.8</v>
      </c>
      <c r="AH25" s="259">
        <f t="shared" si="10"/>
        <v>1943668.8</v>
      </c>
      <c r="AI25" s="259">
        <f t="shared" si="10"/>
        <v>1948993.92</v>
      </c>
      <c r="AJ25" s="259">
        <f t="shared" si="10"/>
        <v>1943668.8</v>
      </c>
      <c r="AK25" s="259">
        <f t="shared" si="10"/>
        <v>1943668.8</v>
      </c>
      <c r="AL25" s="259">
        <f t="shared" si="10"/>
        <v>1943668.8</v>
      </c>
      <c r="AM25" s="259">
        <f t="shared" si="10"/>
        <v>1948993.92</v>
      </c>
      <c r="AN25" s="259">
        <f t="shared" si="10"/>
        <v>1943668.8</v>
      </c>
      <c r="AO25" s="259">
        <f t="shared" si="10"/>
        <v>1943668.8</v>
      </c>
      <c r="AP25" s="259">
        <f t="shared" si="10"/>
        <v>1943668.8</v>
      </c>
      <c r="AQ25" s="259">
        <f t="shared" si="10"/>
        <v>1948993.92</v>
      </c>
      <c r="AR25" s="301"/>
    </row>
    <row r="26" spans="1:44" s="1" customFormat="1">
      <c r="A26" s="13"/>
      <c r="G26" s="35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254"/>
      <c r="AB26" s="254"/>
      <c r="AC26" s="254"/>
      <c r="AD26" s="254"/>
      <c r="AE26" s="254"/>
      <c r="AF26" s="254"/>
      <c r="AG26" s="254"/>
      <c r="AH26" s="254"/>
      <c r="AI26" s="254"/>
      <c r="AJ26" s="254"/>
      <c r="AK26" s="254"/>
      <c r="AL26" s="254"/>
      <c r="AM26" s="254"/>
      <c r="AN26" s="254"/>
      <c r="AO26" s="254"/>
      <c r="AP26" s="254"/>
      <c r="AQ26" s="254"/>
      <c r="AR26" s="301"/>
    </row>
    <row r="27" spans="1:44" s="1" customFormat="1">
      <c r="A27" s="16" t="s">
        <v>23</v>
      </c>
      <c r="G27" s="35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254"/>
      <c r="AB27" s="254"/>
      <c r="AC27" s="254"/>
      <c r="AD27" s="254"/>
      <c r="AE27" s="254"/>
      <c r="AF27" s="254"/>
      <c r="AG27" s="254"/>
      <c r="AH27" s="254"/>
      <c r="AI27" s="254"/>
      <c r="AJ27" s="254"/>
      <c r="AK27" s="254"/>
      <c r="AL27" s="254"/>
      <c r="AM27" s="254"/>
      <c r="AN27" s="254"/>
      <c r="AO27" s="254"/>
      <c r="AP27" s="254"/>
      <c r="AQ27" s="254"/>
      <c r="AR27" s="301"/>
    </row>
    <row r="28" spans="1:44" s="1" customFormat="1">
      <c r="A28" s="13" t="s">
        <v>157</v>
      </c>
      <c r="G28" s="35" t="s">
        <v>14</v>
      </c>
      <c r="H28" s="60">
        <f>++'PACE ERCOT Power Pricing'!$F$12</f>
        <v>38.090907622206494</v>
      </c>
      <c r="I28" s="60">
        <f>++'PACE ERCOT Power Pricing'!$F$13</f>
        <v>30.75326332792417</v>
      </c>
      <c r="J28" s="60">
        <f>++'PACE ERCOT Power Pricing'!$F$14</f>
        <v>29.52660983972865</v>
      </c>
      <c r="K28" s="60">
        <f>++'PACE ERCOT Power Pricing'!$F$15</f>
        <v>31.686188684801831</v>
      </c>
      <c r="L28" s="60">
        <f>++'PACE ERCOT Power Pricing'!$F$16</f>
        <v>34.930339021402297</v>
      </c>
      <c r="M28" s="60">
        <f>++'PACE ERCOT Power Pricing'!$F$17</f>
        <v>36.330047033449624</v>
      </c>
      <c r="N28" s="60">
        <f>++'PACE ERCOT Power Pricing'!$F$18</f>
        <v>38.724374672258236</v>
      </c>
      <c r="O28" s="60">
        <f>++'PACE ERCOT Power Pricing'!$F$19</f>
        <v>42.565526093695119</v>
      </c>
      <c r="P28" s="60">
        <f>++'PACE ERCOT Power Pricing'!$F$20</f>
        <v>43.637221641362757</v>
      </c>
      <c r="Q28" s="60">
        <f>++'PACE ERCOT Power Pricing'!$F$21</f>
        <v>44.947463898453471</v>
      </c>
      <c r="R28" s="60">
        <f>++'PACE ERCOT Power Pricing'!$F$22</f>
        <v>46.429163777559324</v>
      </c>
      <c r="S28" s="60">
        <f>++'PACE ERCOT Power Pricing'!$F$23</f>
        <v>47.069287533279933</v>
      </c>
      <c r="T28" s="60">
        <f>++'PACE ERCOT Power Pricing'!$F$24</f>
        <v>48.293138702074799</v>
      </c>
      <c r="U28" s="60">
        <f>++'PACE ERCOT Power Pricing'!$F$25</f>
        <v>50.589782276535999</v>
      </c>
      <c r="V28" s="60">
        <f>++'PACE ERCOT Power Pricing'!$F$26</f>
        <v>48.888737762417897</v>
      </c>
      <c r="W28" s="60">
        <f>++'PACE ERCOT Power Pricing'!$F$27</f>
        <v>49.885997982149796</v>
      </c>
      <c r="X28" s="60">
        <f>++'PACE ERCOT Power Pricing'!$F$28</f>
        <v>50.395130778445406</v>
      </c>
      <c r="Y28" s="60">
        <f>++'PACE ERCOT Power Pricing'!$F$29</f>
        <v>50.967167453919075</v>
      </c>
      <c r="Z28" s="60">
        <f>++'PACE ERCOT Power Pricing'!$F$30</f>
        <v>53.037956864097261</v>
      </c>
      <c r="AA28" s="254"/>
      <c r="AB28" s="254"/>
      <c r="AC28" s="254"/>
      <c r="AD28" s="254"/>
      <c r="AE28" s="254"/>
      <c r="AF28" s="254"/>
      <c r="AG28" s="254"/>
      <c r="AH28" s="254"/>
      <c r="AI28" s="254"/>
      <c r="AJ28" s="254"/>
      <c r="AK28" s="254"/>
      <c r="AL28" s="254"/>
      <c r="AM28" s="254"/>
      <c r="AN28" s="254"/>
      <c r="AO28" s="254"/>
      <c r="AP28" s="254"/>
      <c r="AQ28" s="254"/>
      <c r="AR28" s="301"/>
    </row>
    <row r="29" spans="1:44" s="1" customFormat="1">
      <c r="A29" s="13" t="s">
        <v>158</v>
      </c>
      <c r="G29" s="35" t="s">
        <v>14</v>
      </c>
      <c r="H29" s="60">
        <f>++'PACE ERCOT Power Pricing'!$G$12</f>
        <v>25.045285891860004</v>
      </c>
      <c r="I29" s="60">
        <f>++'PACE ERCOT Power Pricing'!$G$13</f>
        <v>21.334665456020286</v>
      </c>
      <c r="J29" s="60">
        <f>++'PACE ERCOT Power Pricing'!$G$14</f>
        <v>20.302095441101461</v>
      </c>
      <c r="K29" s="60">
        <f>++'PACE ERCOT Power Pricing'!$G$15</f>
        <v>20.697859403412718</v>
      </c>
      <c r="L29" s="60">
        <f>++'PACE ERCOT Power Pricing'!$G$16</f>
        <v>21.445009255533122</v>
      </c>
      <c r="M29" s="60">
        <f>++'PACE ERCOT Power Pricing'!$G$17</f>
        <v>22.116121976670243</v>
      </c>
      <c r="N29" s="60">
        <f>++'PACE ERCOT Power Pricing'!$G$18</f>
        <v>22.79206521090823</v>
      </c>
      <c r="O29" s="60">
        <f>++'PACE ERCOT Power Pricing'!$G$19</f>
        <v>23.566181330251752</v>
      </c>
      <c r="P29" s="60">
        <f>++'PACE ERCOT Power Pricing'!$G$20</f>
        <v>24.062723922926445</v>
      </c>
      <c r="Q29" s="60">
        <f>++'PACE ERCOT Power Pricing'!$G$21</f>
        <v>24.583273781309263</v>
      </c>
      <c r="R29" s="60">
        <f>++'PACE ERCOT Power Pricing'!$G$22</f>
        <v>25.302224366303999</v>
      </c>
      <c r="S29" s="60">
        <f>++'PACE ERCOT Power Pricing'!$G$23</f>
        <v>26.285123575033129</v>
      </c>
      <c r="T29" s="60">
        <f>++'PACE ERCOT Power Pricing'!$G$24</f>
        <v>26.71588867538475</v>
      </c>
      <c r="U29" s="60">
        <f>++'PACE ERCOT Power Pricing'!$G$25</f>
        <v>27.632440625766552</v>
      </c>
      <c r="V29" s="60">
        <f>++'PACE ERCOT Power Pricing'!$G$26</f>
        <v>27.126655112910516</v>
      </c>
      <c r="W29" s="60">
        <f>++'PACE ERCOT Power Pricing'!$G$27</f>
        <v>27.670114477324223</v>
      </c>
      <c r="X29" s="60">
        <f>++'PACE ERCOT Power Pricing'!$G$28</f>
        <v>28.867780331296121</v>
      </c>
      <c r="Y29" s="60">
        <f>++'PACE ERCOT Power Pricing'!$G$29</f>
        <v>29.440214983783871</v>
      </c>
      <c r="Z29" s="60">
        <f>++'PACE ERCOT Power Pricing'!$G$30</f>
        <v>30.174347032908187</v>
      </c>
      <c r="AA29" s="254"/>
      <c r="AB29" s="254"/>
      <c r="AC29" s="254"/>
      <c r="AD29" s="254"/>
      <c r="AE29" s="254"/>
      <c r="AF29" s="254"/>
      <c r="AG29" s="254"/>
      <c r="AH29" s="254"/>
      <c r="AI29" s="254"/>
      <c r="AJ29" s="254"/>
      <c r="AK29" s="254"/>
      <c r="AL29" s="254"/>
      <c r="AM29" s="254"/>
      <c r="AN29" s="254"/>
      <c r="AO29" s="254"/>
      <c r="AP29" s="254"/>
      <c r="AQ29" s="254"/>
      <c r="AR29" s="301"/>
    </row>
    <row r="30" spans="1:44" s="1" customFormat="1">
      <c r="A30" s="13" t="s">
        <v>159</v>
      </c>
      <c r="G30" s="35" t="s">
        <v>14</v>
      </c>
      <c r="H30" s="60">
        <f>++'PACE ERCOT Power Pricing'!$H$12</f>
        <v>33.742367045424324</v>
      </c>
      <c r="I30" s="60">
        <f>++'PACE ERCOT Power Pricing'!$H$13</f>
        <v>27.613730703956207</v>
      </c>
      <c r="J30" s="60">
        <f>++'PACE ERCOT Power Pricing'!$H$14</f>
        <v>26.451771706852913</v>
      </c>
      <c r="K30" s="60">
        <f>++'PACE ERCOT Power Pricing'!$H$15</f>
        <v>28.023412257672124</v>
      </c>
      <c r="L30" s="60">
        <f>++'PACE ERCOT Power Pricing'!$H$16</f>
        <v>30.435229099445902</v>
      </c>
      <c r="M30" s="60">
        <f>++'PACE ERCOT Power Pricing'!$H$17</f>
        <v>31.592072014523161</v>
      </c>
      <c r="N30" s="60">
        <f>++'PACE ERCOT Power Pricing'!$H$18</f>
        <v>33.41360485180823</v>
      </c>
      <c r="O30" s="60">
        <f>++'PACE ERCOT Power Pricing'!$H$19</f>
        <v>36.23241117254733</v>
      </c>
      <c r="P30" s="60">
        <f>++'PACE ERCOT Power Pricing'!$H$20</f>
        <v>37.112389068550648</v>
      </c>
      <c r="Q30" s="60">
        <f>++'PACE ERCOT Power Pricing'!$H$21</f>
        <v>38.159400526072069</v>
      </c>
      <c r="R30" s="60">
        <f>++'PACE ERCOT Power Pricing'!$H$22</f>
        <v>39.386850640474215</v>
      </c>
      <c r="S30" s="60">
        <f>++'PACE ERCOT Power Pricing'!$H$23</f>
        <v>40.141232880530993</v>
      </c>
      <c r="T30" s="60">
        <f>++'PACE ERCOT Power Pricing'!$H$24</f>
        <v>41.100722026511448</v>
      </c>
      <c r="U30" s="60">
        <f>++'PACE ERCOT Power Pricing'!$H$25</f>
        <v>42.937335059612842</v>
      </c>
      <c r="V30" s="60">
        <f>++'PACE ERCOT Power Pricing'!$H$26</f>
        <v>41.634710212582107</v>
      </c>
      <c r="W30" s="60">
        <f>++'PACE ERCOT Power Pricing'!$H$27</f>
        <v>42.480703480541258</v>
      </c>
      <c r="X30" s="60">
        <f>++'PACE ERCOT Power Pricing'!$H$28</f>
        <v>43.219347296062317</v>
      </c>
      <c r="Y30" s="60">
        <f>++'PACE ERCOT Power Pricing'!$H$29</f>
        <v>43.791516630540663</v>
      </c>
      <c r="Z30" s="60">
        <f>++'PACE ERCOT Power Pricing'!$H$30</f>
        <v>45.416753587034229</v>
      </c>
      <c r="AA30" s="254"/>
      <c r="AB30" s="254"/>
      <c r="AC30" s="254"/>
      <c r="AD30" s="254"/>
      <c r="AE30" s="254"/>
      <c r="AF30" s="254"/>
      <c r="AG30" s="254"/>
      <c r="AH30" s="254"/>
      <c r="AI30" s="254"/>
      <c r="AJ30" s="254"/>
      <c r="AK30" s="254"/>
      <c r="AL30" s="254"/>
      <c r="AM30" s="254"/>
      <c r="AN30" s="254"/>
      <c r="AO30" s="254"/>
      <c r="AP30" s="254"/>
      <c r="AQ30" s="254"/>
      <c r="AR30" s="301"/>
    </row>
    <row r="31" spans="1:44" s="1" customFormat="1" ht="13.8" thickBot="1">
      <c r="A31" s="13" t="s">
        <v>180</v>
      </c>
      <c r="G31" s="35" t="s">
        <v>26</v>
      </c>
      <c r="H31" s="60">
        <f>+'PACE Waha Natural Gas Pricing'!$AA$12</f>
        <v>3.1799592038499997</v>
      </c>
      <c r="I31" s="60">
        <f>+'PACE Waha Natural Gas Pricing'!$AA$13</f>
        <v>2.633554489616051</v>
      </c>
      <c r="J31" s="60">
        <f>+'PACE Waha Natural Gas Pricing'!$AA$14</f>
        <v>2.4959708791095987</v>
      </c>
      <c r="K31" s="60">
        <f>+'PACE Waha Natural Gas Pricing'!$AA$15</f>
        <v>2.5218423580848448</v>
      </c>
      <c r="L31" s="60">
        <f>+'PACE Waha Natural Gas Pricing'!$AA$16</f>
        <v>2.5714115989306858</v>
      </c>
      <c r="M31" s="60">
        <f>+'PACE Waha Natural Gas Pricing'!$AA$17</f>
        <v>2.6270668088801448</v>
      </c>
      <c r="N31" s="60">
        <f>+'PACE Waha Natural Gas Pricing'!$AA$18</f>
        <v>2.6838711580157941</v>
      </c>
      <c r="O31" s="60">
        <f>+'PACE Waha Natural Gas Pricing'!$AA$19</f>
        <v>2.7541982977265165</v>
      </c>
      <c r="P31" s="60">
        <f>+'PACE Waha Natural Gas Pricing'!$AA$20</f>
        <v>2.8135802951053019</v>
      </c>
      <c r="Q31" s="60">
        <f>+'PACE Waha Natural Gas Pricing'!$AA$21</f>
        <v>2.8741853170869223</v>
      </c>
      <c r="R31" s="60">
        <f>+'PACE Waha Natural Gas Pricing'!$AA$22</f>
        <v>2.9490291027438662</v>
      </c>
      <c r="S31" s="60">
        <f>+'PACE Waha Natural Gas Pricing'!$AA$23</f>
        <v>3.0257625790212348</v>
      </c>
      <c r="T31" s="60">
        <f>+'PACE Waha Natural Gas Pricing'!$AA$24</f>
        <v>3.1180483376813832</v>
      </c>
      <c r="U31" s="60">
        <f>+'PACE Waha Natural Gas Pricing'!$AA$25</f>
        <v>3.1989950510766483</v>
      </c>
      <c r="V31" s="60">
        <f>+'PACE Waha Natural Gas Pricing'!$AA$26</f>
        <v>3.2819811553038178</v>
      </c>
      <c r="W31" s="60">
        <f>+'PACE Waha Natural Gas Pricing'!$AA$27</f>
        <v>3.3736493042822597</v>
      </c>
      <c r="X31" s="60">
        <f>+'PACE Waha Natural Gas Pricing'!$AA$28</f>
        <v>3.4826967014064518</v>
      </c>
      <c r="Y31" s="60">
        <f>+'PACE Waha Natural Gas Pricing'!$AA$29</f>
        <v>3.5797731511283479</v>
      </c>
      <c r="Z31" s="60">
        <f>+'PACE Waha Natural Gas Pricing'!$AA$30</f>
        <v>3.679488874733821</v>
      </c>
      <c r="AA31" s="260">
        <f t="shared" ref="AA31:AQ31" si="11">+Z31*$Z$33</f>
        <v>3.7861786558002519</v>
      </c>
      <c r="AB31" s="260">
        <f t="shared" si="11"/>
        <v>3.895961994089308</v>
      </c>
      <c r="AC31" s="260">
        <f t="shared" si="11"/>
        <v>4.0089285898158931</v>
      </c>
      <c r="AD31" s="260">
        <f t="shared" si="11"/>
        <v>4.1251707441258052</v>
      </c>
      <c r="AE31" s="260">
        <f t="shared" si="11"/>
        <v>4.2447834345118487</v>
      </c>
      <c r="AF31" s="260">
        <f t="shared" si="11"/>
        <v>4.3678643924167</v>
      </c>
      <c r="AG31" s="260">
        <f t="shared" si="11"/>
        <v>4.4945141830859292</v>
      </c>
      <c r="AH31" s="260">
        <f t="shared" si="11"/>
        <v>4.6248362877364277</v>
      </c>
      <c r="AI31" s="260">
        <f t="shared" si="11"/>
        <v>4.7589371881073737</v>
      </c>
      <c r="AJ31" s="260">
        <f t="shared" si="11"/>
        <v>4.8969264534628234</v>
      </c>
      <c r="AK31" s="260">
        <f t="shared" si="11"/>
        <v>5.0389168301170146</v>
      </c>
      <c r="AL31" s="260">
        <f t="shared" si="11"/>
        <v>5.1850243335555266</v>
      </c>
      <c r="AM31" s="260">
        <f t="shared" si="11"/>
        <v>5.3353683432275689</v>
      </c>
      <c r="AN31" s="260">
        <f t="shared" si="11"/>
        <v>5.4900717000868537</v>
      </c>
      <c r="AO31" s="260">
        <f t="shared" si="11"/>
        <v>5.6492608069607391</v>
      </c>
      <c r="AP31" s="260">
        <f t="shared" si="11"/>
        <v>5.8130657318296617</v>
      </c>
      <c r="AQ31" s="260">
        <f t="shared" si="11"/>
        <v>5.9816203141012396</v>
      </c>
      <c r="AR31" s="301"/>
    </row>
    <row r="32" spans="1:44" s="1" customFormat="1" ht="13.8" thickBot="1">
      <c r="A32" s="13"/>
      <c r="G32" s="35"/>
      <c r="H32" s="26"/>
      <c r="I32" s="62"/>
      <c r="J32" s="26"/>
      <c r="K32" s="26"/>
      <c r="L32" s="26"/>
      <c r="M32" s="26"/>
      <c r="N32" s="26"/>
      <c r="O32" s="26"/>
      <c r="P32" s="26"/>
      <c r="Q32" s="26"/>
      <c r="R32" s="249"/>
      <c r="S32" s="249"/>
      <c r="T32" s="249"/>
      <c r="U32" s="249"/>
      <c r="V32" s="249"/>
      <c r="W32" s="286">
        <f>+W31/V31</f>
        <v>1.0279307359307357</v>
      </c>
      <c r="X32" s="287">
        <f>+X31/W31</f>
        <v>1.0323232758620688</v>
      </c>
      <c r="Y32" s="287">
        <f>+Y31/X31</f>
        <v>1.0278739316239318</v>
      </c>
      <c r="Z32" s="293">
        <f>+Z31/Y31</f>
        <v>1.0278553191489361</v>
      </c>
      <c r="AA32" s="254"/>
      <c r="AB32" s="254"/>
      <c r="AC32" s="254"/>
      <c r="AD32" s="254"/>
      <c r="AE32" s="254"/>
      <c r="AF32" s="254"/>
      <c r="AG32" s="254"/>
      <c r="AH32" s="254"/>
      <c r="AI32" s="254"/>
      <c r="AJ32" s="254"/>
      <c r="AK32" s="254"/>
      <c r="AL32" s="254"/>
      <c r="AM32" s="254"/>
      <c r="AN32" s="254"/>
      <c r="AO32" s="254"/>
      <c r="AP32" s="254"/>
      <c r="AQ32" s="254"/>
      <c r="AR32" s="301"/>
    </row>
    <row r="33" spans="1:44" s="1" customFormat="1" ht="13.8" thickBot="1">
      <c r="A33" s="13"/>
      <c r="G33" s="35"/>
      <c r="H33" s="26"/>
      <c r="I33" s="62"/>
      <c r="J33" s="26"/>
      <c r="K33" s="26"/>
      <c r="L33" s="26"/>
      <c r="M33" s="26"/>
      <c r="N33" s="26"/>
      <c r="O33" s="26"/>
      <c r="P33" s="26"/>
      <c r="Q33" s="26"/>
      <c r="R33" s="249"/>
      <c r="S33" s="249"/>
      <c r="T33" s="249"/>
      <c r="U33" s="249"/>
      <c r="V33" s="249"/>
      <c r="W33" s="249"/>
      <c r="X33" s="249"/>
      <c r="Y33" s="294" t="s">
        <v>254</v>
      </c>
      <c r="Z33" s="288">
        <f>AVERAGE(U32:Z32)</f>
        <v>1.0289958156414181</v>
      </c>
      <c r="AA33" s="254"/>
      <c r="AB33" s="254"/>
      <c r="AC33" s="254"/>
      <c r="AD33" s="254"/>
      <c r="AE33" s="254"/>
      <c r="AF33" s="254"/>
      <c r="AG33" s="254"/>
      <c r="AH33" s="254"/>
      <c r="AI33" s="254"/>
      <c r="AJ33" s="254"/>
      <c r="AK33" s="254"/>
      <c r="AL33" s="254"/>
      <c r="AM33" s="254"/>
      <c r="AN33" s="254"/>
      <c r="AO33" s="254"/>
      <c r="AP33" s="254"/>
      <c r="AQ33" s="254"/>
      <c r="AR33" s="301"/>
    </row>
    <row r="34" spans="1:44" s="1" customFormat="1">
      <c r="A34" s="13"/>
      <c r="G34" s="35"/>
      <c r="H34" s="26"/>
      <c r="I34" s="62"/>
      <c r="J34" s="26"/>
      <c r="K34" s="26"/>
      <c r="L34" s="26"/>
      <c r="M34" s="26"/>
      <c r="N34" s="26"/>
      <c r="O34" s="26"/>
      <c r="P34" s="26"/>
      <c r="Q34" s="26"/>
      <c r="R34" s="249"/>
      <c r="S34" s="249"/>
      <c r="T34" s="249"/>
      <c r="U34" s="249"/>
      <c r="V34" s="249"/>
      <c r="W34" s="249"/>
      <c r="X34" s="249"/>
      <c r="Y34" s="249"/>
      <c r="Z34" s="249"/>
      <c r="AA34" s="254"/>
      <c r="AB34" s="254"/>
      <c r="AC34" s="254"/>
      <c r="AD34" s="254"/>
      <c r="AE34" s="254"/>
      <c r="AF34" s="254"/>
      <c r="AG34" s="254"/>
      <c r="AH34" s="254"/>
      <c r="AI34" s="254"/>
      <c r="AJ34" s="254"/>
      <c r="AK34" s="254"/>
      <c r="AL34" s="254"/>
      <c r="AM34" s="254"/>
      <c r="AN34" s="254"/>
      <c r="AO34" s="254"/>
      <c r="AP34" s="254"/>
      <c r="AQ34" s="254"/>
      <c r="AR34" s="301"/>
    </row>
    <row r="35" spans="1:44" s="1" customFormat="1">
      <c r="A35" s="16" t="str">
        <f>IF($E$18="Enron",+A36,IF(+$E$18="Pace",+A37,"Error"))</f>
        <v>Market Price - ERCOT 7x24 w/Wheeling (Pace)</v>
      </c>
      <c r="G35" s="35" t="s">
        <v>14</v>
      </c>
      <c r="H35" s="225">
        <f t="shared" ref="H35:AA35" si="12">IF($E$18="Brazos",+H36,IF(+$E$18="Pace",+H37,"Error"))</f>
        <v>37.242367045424324</v>
      </c>
      <c r="I35" s="225">
        <f t="shared" si="12"/>
        <v>31.113730703956207</v>
      </c>
      <c r="J35" s="225">
        <f t="shared" si="12"/>
        <v>29.951771706852913</v>
      </c>
      <c r="K35" s="225">
        <f t="shared" si="12"/>
        <v>31.523412257672124</v>
      </c>
      <c r="L35" s="225">
        <f t="shared" si="12"/>
        <v>33.935229099445905</v>
      </c>
      <c r="M35" s="225">
        <f t="shared" si="12"/>
        <v>35.092072014523161</v>
      </c>
      <c r="N35" s="225">
        <f t="shared" si="12"/>
        <v>36.91360485180823</v>
      </c>
      <c r="O35" s="225">
        <f t="shared" si="12"/>
        <v>39.73241117254733</v>
      </c>
      <c r="P35" s="225">
        <f t="shared" si="12"/>
        <v>40.612389068550648</v>
      </c>
      <c r="Q35" s="225">
        <f t="shared" si="12"/>
        <v>41.659400526072069</v>
      </c>
      <c r="R35" s="225">
        <f t="shared" si="12"/>
        <v>42.886850640474215</v>
      </c>
      <c r="S35" s="225">
        <f t="shared" si="12"/>
        <v>43.641232880530993</v>
      </c>
      <c r="T35" s="225">
        <f t="shared" si="12"/>
        <v>44.600722026511448</v>
      </c>
      <c r="U35" s="225">
        <f t="shared" si="12"/>
        <v>46.437335059612842</v>
      </c>
      <c r="V35" s="225">
        <f t="shared" si="12"/>
        <v>45.134710212582107</v>
      </c>
      <c r="W35" s="225">
        <f t="shared" si="12"/>
        <v>45.980703480541258</v>
      </c>
      <c r="X35" s="225">
        <f t="shared" si="12"/>
        <v>46.719347296062317</v>
      </c>
      <c r="Y35" s="225">
        <f t="shared" si="12"/>
        <v>47.291516630540663</v>
      </c>
      <c r="Z35" s="225">
        <f t="shared" si="12"/>
        <v>48.916753587034229</v>
      </c>
      <c r="AA35" s="225">
        <f t="shared" si="12"/>
        <v>49.912469419476565</v>
      </c>
      <c r="AB35" s="225">
        <f t="shared" ref="AB35:AQ35" si="13">IF($E$18="Brazos",+AB36,IF(+$E$18="Pace",+AB37,"Error"))</f>
        <v>50.928453359392805</v>
      </c>
      <c r="AC35" s="225">
        <f t="shared" si="13"/>
        <v>51.965117970455417</v>
      </c>
      <c r="AD35" s="225">
        <f t="shared" si="13"/>
        <v>53.022884214199586</v>
      </c>
      <c r="AE35" s="225">
        <f t="shared" si="13"/>
        <v>54.102181620964316</v>
      </c>
      <c r="AF35" s="225">
        <f t="shared" si="13"/>
        <v>55.203448464313134</v>
      </c>
      <c r="AG35" s="225">
        <f t="shared" si="13"/>
        <v>56.327131939005142</v>
      </c>
      <c r="AH35" s="225">
        <f t="shared" si="13"/>
        <v>57.473688342588758</v>
      </c>
      <c r="AI35" s="225">
        <f t="shared" si="13"/>
        <v>58.643583260691848</v>
      </c>
      <c r="AJ35" s="225">
        <f t="shared" si="13"/>
        <v>59.837291756083474</v>
      </c>
      <c r="AK35" s="225">
        <f t="shared" si="13"/>
        <v>61.055298561584074</v>
      </c>
      <c r="AL35" s="225">
        <f t="shared" si="13"/>
        <v>62.298098276902408</v>
      </c>
      <c r="AM35" s="225">
        <f t="shared" si="13"/>
        <v>63.566195569479127</v>
      </c>
      <c r="AN35" s="225">
        <f t="shared" si="13"/>
        <v>64.860105379418613</v>
      </c>
      <c r="AO35" s="225">
        <f t="shared" si="13"/>
        <v>66.180353128592301</v>
      </c>
      <c r="AP35" s="225">
        <f t="shared" si="13"/>
        <v>67.527474933998263</v>
      </c>
      <c r="AQ35" s="225">
        <f t="shared" si="13"/>
        <v>68.902017825463929</v>
      </c>
      <c r="AR35" s="301"/>
    </row>
    <row r="36" spans="1:44" s="1" customFormat="1">
      <c r="A36" s="33" t="s">
        <v>147</v>
      </c>
      <c r="B36" s="35"/>
      <c r="G36" s="35" t="s">
        <v>14</v>
      </c>
      <c r="H36" s="103">
        <v>37.242367045424324</v>
      </c>
      <c r="I36" s="103">
        <v>31.113730703956207</v>
      </c>
      <c r="J36" s="103">
        <v>29.951771706852913</v>
      </c>
      <c r="K36" s="103">
        <v>31.523412257672124</v>
      </c>
      <c r="L36" s="103">
        <v>33.935229099445905</v>
      </c>
      <c r="M36" s="103">
        <v>35.092072014523161</v>
      </c>
      <c r="N36" s="103">
        <v>36.91360485180823</v>
      </c>
      <c r="O36" s="103">
        <v>39.73241117254733</v>
      </c>
      <c r="P36" s="103">
        <v>40.612389068550648</v>
      </c>
      <c r="Q36" s="103">
        <v>41.659400526072069</v>
      </c>
      <c r="R36" s="103">
        <v>42.886850640474215</v>
      </c>
      <c r="S36" s="103">
        <v>43.641232880530993</v>
      </c>
      <c r="T36" s="103">
        <v>44.600722026511448</v>
      </c>
      <c r="U36" s="103">
        <v>46.437335059612842</v>
      </c>
      <c r="V36" s="103">
        <v>45.134710212582107</v>
      </c>
      <c r="W36" s="103">
        <v>45.980703480541258</v>
      </c>
      <c r="X36" s="103">
        <v>46.719347296062317</v>
      </c>
      <c r="Y36" s="103">
        <v>47.291516630540663</v>
      </c>
      <c r="Z36" s="103">
        <v>48.916753587034229</v>
      </c>
      <c r="AA36" s="260">
        <f>+AA37</f>
        <v>49.912469419476565</v>
      </c>
      <c r="AB36" s="260">
        <f t="shared" ref="AB36:AQ36" si="14">+AB37</f>
        <v>50.928453359392805</v>
      </c>
      <c r="AC36" s="260">
        <f t="shared" si="14"/>
        <v>51.965117970455417</v>
      </c>
      <c r="AD36" s="260">
        <f t="shared" si="14"/>
        <v>53.022884214199586</v>
      </c>
      <c r="AE36" s="260">
        <f t="shared" si="14"/>
        <v>54.102181620964316</v>
      </c>
      <c r="AF36" s="260">
        <f t="shared" si="14"/>
        <v>55.203448464313134</v>
      </c>
      <c r="AG36" s="260">
        <f t="shared" si="14"/>
        <v>56.327131939005142</v>
      </c>
      <c r="AH36" s="260">
        <f t="shared" si="14"/>
        <v>57.473688342588758</v>
      </c>
      <c r="AI36" s="260">
        <f t="shared" si="14"/>
        <v>58.643583260691848</v>
      </c>
      <c r="AJ36" s="260">
        <f t="shared" si="14"/>
        <v>59.837291756083474</v>
      </c>
      <c r="AK36" s="260">
        <f t="shared" si="14"/>
        <v>61.055298561584074</v>
      </c>
      <c r="AL36" s="260">
        <f t="shared" si="14"/>
        <v>62.298098276902408</v>
      </c>
      <c r="AM36" s="260">
        <f t="shared" si="14"/>
        <v>63.566195569479127</v>
      </c>
      <c r="AN36" s="260">
        <f t="shared" si="14"/>
        <v>64.860105379418613</v>
      </c>
      <c r="AO36" s="260">
        <f t="shared" si="14"/>
        <v>66.180353128592301</v>
      </c>
      <c r="AP36" s="260">
        <f t="shared" si="14"/>
        <v>67.527474933998263</v>
      </c>
      <c r="AQ36" s="260">
        <f t="shared" si="14"/>
        <v>68.902017825463929</v>
      </c>
      <c r="AR36" s="301"/>
    </row>
    <row r="37" spans="1:44" s="1" customFormat="1" ht="13.8" thickBot="1">
      <c r="A37" s="33" t="s">
        <v>253</v>
      </c>
      <c r="B37" s="35"/>
      <c r="G37" s="35" t="s">
        <v>14</v>
      </c>
      <c r="H37" s="60">
        <f>++'PACE ERCOT Power Pricing'!$I$12</f>
        <v>37.242367045424324</v>
      </c>
      <c r="I37" s="60">
        <f>++'PACE ERCOT Power Pricing'!$I$13</f>
        <v>31.113730703956207</v>
      </c>
      <c r="J37" s="60">
        <f>++'PACE ERCOT Power Pricing'!$I$14</f>
        <v>29.951771706852913</v>
      </c>
      <c r="K37" s="60">
        <f>++'PACE ERCOT Power Pricing'!$I$15</f>
        <v>31.523412257672124</v>
      </c>
      <c r="L37" s="60">
        <f>++'PACE ERCOT Power Pricing'!$I$16</f>
        <v>33.935229099445905</v>
      </c>
      <c r="M37" s="60">
        <f>++'PACE ERCOT Power Pricing'!$I$17</f>
        <v>35.092072014523161</v>
      </c>
      <c r="N37" s="60">
        <f>++'PACE ERCOT Power Pricing'!$I$18</f>
        <v>36.91360485180823</v>
      </c>
      <c r="O37" s="60">
        <f>++'PACE ERCOT Power Pricing'!$I$19</f>
        <v>39.73241117254733</v>
      </c>
      <c r="P37" s="60">
        <f>++'PACE ERCOT Power Pricing'!$I$20</f>
        <v>40.612389068550648</v>
      </c>
      <c r="Q37" s="60">
        <f>++'PACE ERCOT Power Pricing'!$I$21</f>
        <v>41.659400526072069</v>
      </c>
      <c r="R37" s="60">
        <f>++'PACE ERCOT Power Pricing'!$I$22</f>
        <v>42.886850640474215</v>
      </c>
      <c r="S37" s="60">
        <f>++'PACE ERCOT Power Pricing'!$I$23</f>
        <v>43.641232880530993</v>
      </c>
      <c r="T37" s="60">
        <f>++'PACE ERCOT Power Pricing'!$I$24</f>
        <v>44.600722026511448</v>
      </c>
      <c r="U37" s="60">
        <f>++'PACE ERCOT Power Pricing'!$I$25</f>
        <v>46.437335059612842</v>
      </c>
      <c r="V37" s="60">
        <f>++'PACE ERCOT Power Pricing'!$I$26</f>
        <v>45.134710212582107</v>
      </c>
      <c r="W37" s="60">
        <f>++'PACE ERCOT Power Pricing'!$I$27</f>
        <v>45.980703480541258</v>
      </c>
      <c r="X37" s="60">
        <f>++'PACE ERCOT Power Pricing'!$I$28</f>
        <v>46.719347296062317</v>
      </c>
      <c r="Y37" s="60">
        <f>++'PACE ERCOT Power Pricing'!$I$29</f>
        <v>47.291516630540663</v>
      </c>
      <c r="Z37" s="60">
        <f>++'PACE ERCOT Power Pricing'!$I$30</f>
        <v>48.916753587034229</v>
      </c>
      <c r="AA37" s="260">
        <f t="shared" ref="AA37:AQ37" si="15">+Z37*$Z$39</f>
        <v>49.912469419476565</v>
      </c>
      <c r="AB37" s="260">
        <f t="shared" si="15"/>
        <v>50.928453359392805</v>
      </c>
      <c r="AC37" s="260">
        <f t="shared" si="15"/>
        <v>51.965117970455417</v>
      </c>
      <c r="AD37" s="260">
        <f t="shared" si="15"/>
        <v>53.022884214199586</v>
      </c>
      <c r="AE37" s="260">
        <f t="shared" si="15"/>
        <v>54.102181620964316</v>
      </c>
      <c r="AF37" s="260">
        <f t="shared" si="15"/>
        <v>55.203448464313134</v>
      </c>
      <c r="AG37" s="260">
        <f t="shared" si="15"/>
        <v>56.327131939005142</v>
      </c>
      <c r="AH37" s="260">
        <f t="shared" si="15"/>
        <v>57.473688342588758</v>
      </c>
      <c r="AI37" s="260">
        <f t="shared" si="15"/>
        <v>58.643583260691848</v>
      </c>
      <c r="AJ37" s="260">
        <f t="shared" si="15"/>
        <v>59.837291756083474</v>
      </c>
      <c r="AK37" s="260">
        <f t="shared" si="15"/>
        <v>61.055298561584074</v>
      </c>
      <c r="AL37" s="260">
        <f t="shared" si="15"/>
        <v>62.298098276902408</v>
      </c>
      <c r="AM37" s="260">
        <f t="shared" si="15"/>
        <v>63.566195569479127</v>
      </c>
      <c r="AN37" s="260">
        <f t="shared" si="15"/>
        <v>64.860105379418613</v>
      </c>
      <c r="AO37" s="260">
        <f t="shared" si="15"/>
        <v>66.180353128592301</v>
      </c>
      <c r="AP37" s="260">
        <f t="shared" si="15"/>
        <v>67.527474933998263</v>
      </c>
      <c r="AQ37" s="260">
        <f t="shared" si="15"/>
        <v>68.902017825463929</v>
      </c>
      <c r="AR37" s="301"/>
    </row>
    <row r="38" spans="1:44" s="1" customFormat="1" ht="13.8" thickBot="1">
      <c r="B38" s="21"/>
      <c r="C38" s="21"/>
      <c r="D38" s="21"/>
      <c r="E38" s="21"/>
      <c r="F38" s="21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86">
        <f>+W37/V37</f>
        <v>1.0187437398838846</v>
      </c>
      <c r="X38" s="287">
        <f>+X37/W37</f>
        <v>1.0160642130200042</v>
      </c>
      <c r="Y38" s="287">
        <f>+Y37/X37</f>
        <v>1.0122469462351964</v>
      </c>
      <c r="Z38" s="293">
        <f>+Z37/Y37</f>
        <v>1.0343663530436238</v>
      </c>
      <c r="AA38" s="254"/>
      <c r="AB38" s="254"/>
      <c r="AC38" s="254"/>
      <c r="AD38" s="254"/>
      <c r="AE38" s="254"/>
      <c r="AF38" s="254"/>
      <c r="AG38" s="254"/>
      <c r="AH38" s="254"/>
      <c r="AI38" s="254"/>
      <c r="AJ38" s="254"/>
      <c r="AK38" s="254"/>
      <c r="AL38" s="254"/>
      <c r="AM38" s="254"/>
      <c r="AN38" s="254"/>
      <c r="AO38" s="254"/>
      <c r="AP38" s="254"/>
      <c r="AQ38" s="254"/>
      <c r="AR38" s="301"/>
    </row>
    <row r="39" spans="1:44" s="1" customFormat="1" ht="13.8" thickBot="1">
      <c r="B39" s="21"/>
      <c r="C39" s="21"/>
      <c r="D39" s="21"/>
      <c r="E39" s="21"/>
      <c r="F39" s="21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85"/>
      <c r="Y39" s="294" t="s">
        <v>254</v>
      </c>
      <c r="Z39" s="288">
        <f>AVERAGE(U38:Z38)</f>
        <v>1.0203553130456773</v>
      </c>
      <c r="AA39" s="254"/>
      <c r="AB39" s="254"/>
      <c r="AC39" s="254"/>
      <c r="AD39" s="254"/>
      <c r="AE39" s="254"/>
      <c r="AF39" s="254"/>
      <c r="AG39" s="254"/>
      <c r="AH39" s="254"/>
      <c r="AI39" s="254"/>
      <c r="AJ39" s="254"/>
      <c r="AK39" s="254"/>
      <c r="AL39" s="254"/>
      <c r="AM39" s="254"/>
      <c r="AN39" s="254"/>
      <c r="AO39" s="254"/>
      <c r="AP39" s="254"/>
      <c r="AQ39" s="254"/>
      <c r="AR39" s="301"/>
    </row>
    <row r="40" spans="1:44" s="1" customFormat="1">
      <c r="B40" s="21"/>
      <c r="C40" s="21"/>
      <c r="D40" s="21"/>
      <c r="E40" s="21"/>
      <c r="F40" s="21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85"/>
      <c r="AA40" s="254"/>
      <c r="AB40" s="254"/>
      <c r="AC40" s="254"/>
      <c r="AD40" s="254"/>
      <c r="AE40" s="254"/>
      <c r="AF40" s="254"/>
      <c r="AG40" s="254"/>
      <c r="AH40" s="254"/>
      <c r="AI40" s="254"/>
      <c r="AJ40" s="254"/>
      <c r="AK40" s="254"/>
      <c r="AL40" s="254"/>
      <c r="AM40" s="254"/>
      <c r="AN40" s="254"/>
      <c r="AO40" s="254"/>
      <c r="AP40" s="254"/>
      <c r="AQ40" s="254"/>
      <c r="AR40" s="301"/>
    </row>
    <row r="41" spans="1:44" s="1" customFormat="1" ht="13.8" thickBot="1">
      <c r="A41" s="16" t="s">
        <v>261</v>
      </c>
      <c r="B41" s="21"/>
      <c r="C41" s="21"/>
      <c r="D41" s="21"/>
      <c r="E41" s="21"/>
      <c r="F41" s="21"/>
      <c r="G41" s="35" t="s">
        <v>14</v>
      </c>
      <c r="H41" s="103">
        <v>46.417554417891921</v>
      </c>
      <c r="I41" s="103">
        <v>40.821604026726071</v>
      </c>
      <c r="J41" s="103">
        <v>39.864591825462767</v>
      </c>
      <c r="K41" s="103">
        <v>38.946346757856972</v>
      </c>
      <c r="L41" s="103">
        <v>39.737616563069409</v>
      </c>
      <c r="M41" s="103">
        <v>40.85666795270209</v>
      </c>
      <c r="N41" s="103">
        <v>42.278921070344005</v>
      </c>
      <c r="O41" s="103">
        <v>43.749168288525453</v>
      </c>
      <c r="P41" s="103">
        <v>45.519523944011901</v>
      </c>
      <c r="Q41" s="103">
        <v>46.711794457396053</v>
      </c>
      <c r="R41" s="103">
        <v>48.137791294252203</v>
      </c>
      <c r="S41" s="103">
        <v>49.290676705846842</v>
      </c>
      <c r="T41" s="103">
        <v>50.201553783510498</v>
      </c>
      <c r="U41" s="103">
        <v>51.146403141386998</v>
      </c>
      <c r="V41" s="103">
        <v>51.707822075092302</v>
      </c>
      <c r="W41" s="103">
        <v>51.994616913152022</v>
      </c>
      <c r="X41" s="103">
        <v>52.212894911227437</v>
      </c>
      <c r="Y41" s="103">
        <v>52.320924870271774</v>
      </c>
      <c r="Z41" s="103">
        <v>51.715533156793896</v>
      </c>
      <c r="AA41" s="260">
        <f>+Z41*$Z$43</f>
        <v>51.718672658266108</v>
      </c>
      <c r="AB41" s="260">
        <f t="shared" ref="AB41:AQ41" si="16">+AA41*$Z$43</f>
        <v>51.721812350328442</v>
      </c>
      <c r="AC41" s="260">
        <f t="shared" si="16"/>
        <v>51.724952232992457</v>
      </c>
      <c r="AD41" s="260">
        <f t="shared" si="16"/>
        <v>51.72809230626973</v>
      </c>
      <c r="AE41" s="260">
        <f t="shared" si="16"/>
        <v>51.731232570171834</v>
      </c>
      <c r="AF41" s="260">
        <f t="shared" si="16"/>
        <v>51.734373024710337</v>
      </c>
      <c r="AG41" s="260">
        <f t="shared" si="16"/>
        <v>51.737513669896813</v>
      </c>
      <c r="AH41" s="260">
        <f t="shared" si="16"/>
        <v>51.740654505742839</v>
      </c>
      <c r="AI41" s="260">
        <f t="shared" si="16"/>
        <v>51.743795532259988</v>
      </c>
      <c r="AJ41" s="260">
        <f t="shared" si="16"/>
        <v>51.746936749459834</v>
      </c>
      <c r="AK41" s="260">
        <f t="shared" si="16"/>
        <v>51.750078157353954</v>
      </c>
      <c r="AL41" s="260">
        <f t="shared" si="16"/>
        <v>51.753219755953928</v>
      </c>
      <c r="AM41" s="260">
        <f t="shared" si="16"/>
        <v>51.756361545271325</v>
      </c>
      <c r="AN41" s="260">
        <f t="shared" si="16"/>
        <v>51.759503525317733</v>
      </c>
      <c r="AO41" s="260">
        <f t="shared" si="16"/>
        <v>51.76264569610472</v>
      </c>
      <c r="AP41" s="260">
        <f t="shared" si="16"/>
        <v>51.765788057643874</v>
      </c>
      <c r="AQ41" s="260">
        <f t="shared" si="16"/>
        <v>51.768930609946771</v>
      </c>
      <c r="AR41" s="301"/>
    </row>
    <row r="42" spans="1:44" s="1" customFormat="1" ht="13.8" thickBot="1">
      <c r="B42" s="21"/>
      <c r="C42" s="21"/>
      <c r="D42" s="21"/>
      <c r="E42" s="21"/>
      <c r="F42" s="21"/>
      <c r="H42" s="250"/>
      <c r="I42" s="250"/>
      <c r="J42" s="250"/>
      <c r="K42" s="250"/>
      <c r="L42" s="250"/>
      <c r="M42" s="250"/>
      <c r="N42" s="250"/>
      <c r="O42" s="250"/>
      <c r="P42" s="250"/>
      <c r="Q42" s="250"/>
      <c r="R42" s="250"/>
      <c r="S42" s="250"/>
      <c r="T42" s="250"/>
      <c r="U42" s="250"/>
      <c r="V42" s="250"/>
      <c r="W42" s="286">
        <f>+W41/V41</f>
        <v>1.0055464497739477</v>
      </c>
      <c r="X42" s="287">
        <f>+X41/W41</f>
        <v>1.0041980883990358</v>
      </c>
      <c r="Y42" s="287">
        <f>+Y41/X41</f>
        <v>1.002069028335395</v>
      </c>
      <c r="Z42" s="293">
        <f>+Z41/Y41</f>
        <v>0.98842926200217351</v>
      </c>
      <c r="AA42" s="254"/>
      <c r="AB42" s="254"/>
      <c r="AC42" s="254"/>
      <c r="AD42" s="254"/>
      <c r="AE42" s="254"/>
      <c r="AF42" s="254"/>
      <c r="AG42" s="254"/>
      <c r="AH42" s="254"/>
      <c r="AI42" s="254"/>
      <c r="AJ42" s="254"/>
      <c r="AK42" s="254"/>
      <c r="AL42" s="254"/>
      <c r="AM42" s="254"/>
      <c r="AN42" s="254"/>
      <c r="AO42" s="254"/>
      <c r="AP42" s="254"/>
      <c r="AQ42" s="254"/>
      <c r="AR42" s="301"/>
    </row>
    <row r="43" spans="1:44" s="1" customFormat="1" ht="13.8" thickBot="1">
      <c r="B43" s="21"/>
      <c r="C43" s="21"/>
      <c r="D43" s="21"/>
      <c r="E43" s="21"/>
      <c r="F43" s="21"/>
      <c r="H43" s="250"/>
      <c r="I43" s="250"/>
      <c r="J43" s="250"/>
      <c r="K43" s="250"/>
      <c r="L43" s="250"/>
      <c r="M43" s="250"/>
      <c r="N43" s="250"/>
      <c r="O43" s="250"/>
      <c r="P43" s="250"/>
      <c r="Q43" s="250"/>
      <c r="R43" s="250"/>
      <c r="S43" s="250"/>
      <c r="T43" s="250"/>
      <c r="U43" s="250"/>
      <c r="V43" s="250"/>
      <c r="W43" s="285"/>
      <c r="Y43" s="294" t="s">
        <v>254</v>
      </c>
      <c r="Z43" s="288">
        <f>AVERAGE(U42:Z42)</f>
        <v>1.0000607071276379</v>
      </c>
      <c r="AA43" s="254"/>
      <c r="AB43" s="254"/>
      <c r="AC43" s="254"/>
      <c r="AD43" s="254"/>
      <c r="AE43" s="254"/>
      <c r="AF43" s="254"/>
      <c r="AG43" s="254"/>
      <c r="AH43" s="254"/>
      <c r="AI43" s="254"/>
      <c r="AJ43" s="254"/>
      <c r="AK43" s="254"/>
      <c r="AL43" s="254"/>
      <c r="AM43" s="254"/>
      <c r="AN43" s="254"/>
      <c r="AO43" s="254"/>
      <c r="AP43" s="254"/>
      <c r="AQ43" s="254"/>
      <c r="AR43" s="301"/>
    </row>
    <row r="44" spans="1:44" s="1" customFormat="1">
      <c r="B44" s="21"/>
      <c r="C44" s="21"/>
      <c r="D44" s="21"/>
      <c r="E44" s="21"/>
      <c r="F44" s="21"/>
      <c r="H44" s="250"/>
      <c r="I44" s="250"/>
      <c r="J44" s="250"/>
      <c r="K44" s="250"/>
      <c r="L44" s="250"/>
      <c r="M44" s="250"/>
      <c r="N44" s="250"/>
      <c r="O44" s="250"/>
      <c r="P44" s="250"/>
      <c r="Q44" s="250"/>
      <c r="R44" s="250"/>
      <c r="S44" s="250"/>
      <c r="T44" s="250"/>
      <c r="U44" s="250"/>
      <c r="V44" s="250"/>
      <c r="W44" s="285"/>
      <c r="Y44" s="294"/>
      <c r="Z44" s="294"/>
      <c r="AA44" s="254"/>
      <c r="AB44" s="254"/>
      <c r="AC44" s="254"/>
      <c r="AD44" s="254"/>
      <c r="AE44" s="254"/>
      <c r="AF44" s="254"/>
      <c r="AG44" s="254"/>
      <c r="AH44" s="254"/>
      <c r="AI44" s="254"/>
      <c r="AJ44" s="254"/>
      <c r="AK44" s="254"/>
      <c r="AL44" s="254"/>
      <c r="AM44" s="254"/>
      <c r="AN44" s="254"/>
      <c r="AO44" s="254"/>
      <c r="AP44" s="254"/>
      <c r="AQ44" s="254"/>
      <c r="AR44" s="301"/>
    </row>
    <row r="45" spans="1:44" s="1" customFormat="1" ht="13.8" thickBot="1">
      <c r="A45" s="16" t="s">
        <v>262</v>
      </c>
      <c r="B45" s="21"/>
      <c r="C45" s="21"/>
      <c r="D45" s="21"/>
      <c r="E45" s="21"/>
      <c r="F45" s="21"/>
      <c r="G45" s="35" t="s">
        <v>14</v>
      </c>
      <c r="I45" s="105">
        <v>37.877634194131794</v>
      </c>
      <c r="J45" s="105">
        <v>33.984890272664948</v>
      </c>
      <c r="K45" s="105">
        <v>35.974739165223554</v>
      </c>
      <c r="L45" s="105">
        <v>37.496910027797107</v>
      </c>
      <c r="M45" s="105">
        <v>39.274361711479742</v>
      </c>
      <c r="N45" s="105">
        <v>40.57474006350477</v>
      </c>
      <c r="O45" s="105">
        <v>42.272849524665197</v>
      </c>
      <c r="P45" s="105">
        <v>44.24365916539525</v>
      </c>
      <c r="Q45" s="105">
        <v>45.253997186203684</v>
      </c>
      <c r="R45" s="105">
        <v>46.41997596975272</v>
      </c>
      <c r="S45" s="105">
        <v>47.913584796225976</v>
      </c>
      <c r="T45" s="105">
        <v>49.311204470710891</v>
      </c>
      <c r="U45" s="105">
        <v>50.649196528570172</v>
      </c>
      <c r="V45" s="105">
        <v>51.847651781751864</v>
      </c>
      <c r="W45" s="105">
        <v>53.263008091281826</v>
      </c>
      <c r="X45" s="105">
        <v>54.914566488021649</v>
      </c>
      <c r="Y45" s="105">
        <v>55.511833197922712</v>
      </c>
      <c r="Z45" s="105">
        <v>56.981802095469305</v>
      </c>
      <c r="AA45" s="105">
        <v>59.39969820106954</v>
      </c>
      <c r="AB45" s="260">
        <f>+AA45*$Z$47</f>
        <v>60.820279770412938</v>
      </c>
      <c r="AC45" s="260">
        <f t="shared" ref="AC45:AQ45" si="17">+AB45*$Z$47</f>
        <v>62.274835451684098</v>
      </c>
      <c r="AD45" s="260">
        <f t="shared" si="17"/>
        <v>63.764177757382249</v>
      </c>
      <c r="AE45" s="260">
        <f t="shared" si="17"/>
        <v>65.28913863175994</v>
      </c>
      <c r="AF45" s="260">
        <f t="shared" si="17"/>
        <v>66.850569915545734</v>
      </c>
      <c r="AG45" s="260">
        <f t="shared" si="17"/>
        <v>68.449343821781113</v>
      </c>
      <c r="AH45" s="260">
        <f t="shared" si="17"/>
        <v>70.086353423037323</v>
      </c>
      <c r="AI45" s="260">
        <f t="shared" si="17"/>
        <v>71.762513150284249</v>
      </c>
      <c r="AJ45" s="260">
        <f t="shared" si="17"/>
        <v>73.478759303690154</v>
      </c>
      <c r="AK45" s="260">
        <f t="shared" si="17"/>
        <v>75.236050575637435</v>
      </c>
      <c r="AL45" s="260">
        <f t="shared" si="17"/>
        <v>77.03536858624669</v>
      </c>
      <c r="AM45" s="260">
        <f t="shared" si="17"/>
        <v>78.877718431708146</v>
      </c>
      <c r="AN45" s="260">
        <f t="shared" si="17"/>
        <v>80.764129245726821</v>
      </c>
      <c r="AO45" s="260">
        <f t="shared" si="17"/>
        <v>82.695654774394939</v>
      </c>
      <c r="AP45" s="260">
        <f t="shared" si="17"/>
        <v>84.673373964812896</v>
      </c>
      <c r="AQ45" s="260">
        <f t="shared" si="17"/>
        <v>86.698391567787326</v>
      </c>
      <c r="AR45" s="301"/>
    </row>
    <row r="46" spans="1:44" s="1" customFormat="1" ht="13.8" thickBot="1">
      <c r="A46" s="16"/>
      <c r="B46" s="21"/>
      <c r="C46" s="21"/>
      <c r="D46" s="21"/>
      <c r="E46" s="21"/>
      <c r="F46" s="21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286">
        <f>+W45/V45</f>
        <v>1.0272983686028401</v>
      </c>
      <c r="X46" s="287">
        <f>+X45/W45</f>
        <v>1.0310076065157527</v>
      </c>
      <c r="Y46" s="287">
        <f>+Y45/X45</f>
        <v>1.0108762892634571</v>
      </c>
      <c r="Z46" s="293">
        <f>+Z45/Y45</f>
        <v>1.0264802802008997</v>
      </c>
      <c r="AA46" s="367"/>
      <c r="AB46" s="254"/>
      <c r="AC46" s="254"/>
      <c r="AD46" s="254"/>
      <c r="AE46" s="254"/>
      <c r="AF46" s="254"/>
      <c r="AG46" s="254"/>
      <c r="AH46" s="254"/>
      <c r="AI46" s="254"/>
      <c r="AJ46" s="254"/>
      <c r="AK46" s="254"/>
      <c r="AL46" s="254"/>
      <c r="AM46" s="254"/>
      <c r="AN46" s="254"/>
      <c r="AO46" s="254"/>
      <c r="AP46" s="254"/>
      <c r="AQ46" s="254"/>
      <c r="AR46" s="301"/>
    </row>
    <row r="47" spans="1:44" s="1" customFormat="1" ht="13.8" thickBot="1">
      <c r="A47" s="16"/>
      <c r="B47" s="21"/>
      <c r="C47" s="21"/>
      <c r="D47" s="21"/>
      <c r="E47" s="21"/>
      <c r="F47" s="21"/>
      <c r="I47" s="366"/>
      <c r="J47" s="366"/>
      <c r="K47" s="366"/>
      <c r="L47" s="366"/>
      <c r="M47" s="366"/>
      <c r="N47" s="366"/>
      <c r="O47" s="366"/>
      <c r="P47" s="366"/>
      <c r="Q47" s="366"/>
      <c r="R47" s="366"/>
      <c r="S47" s="366"/>
      <c r="T47" s="366"/>
      <c r="U47" s="366"/>
      <c r="V47" s="366"/>
      <c r="W47" s="285"/>
      <c r="Y47" s="294" t="s">
        <v>254</v>
      </c>
      <c r="Z47" s="288">
        <f>AVERAGE(U46:Z46)</f>
        <v>1.0239156361457376</v>
      </c>
      <c r="AA47" s="367"/>
      <c r="AB47" s="254"/>
      <c r="AC47" s="254"/>
      <c r="AD47" s="254"/>
      <c r="AE47" s="254"/>
      <c r="AF47" s="254"/>
      <c r="AG47" s="254"/>
      <c r="AH47" s="254"/>
      <c r="AI47" s="254"/>
      <c r="AJ47" s="254"/>
      <c r="AK47" s="254"/>
      <c r="AL47" s="254"/>
      <c r="AM47" s="254"/>
      <c r="AN47" s="254"/>
      <c r="AO47" s="254"/>
      <c r="AP47" s="254"/>
      <c r="AQ47" s="254"/>
      <c r="AR47" s="301"/>
    </row>
    <row r="48" spans="1:44" s="1" customFormat="1">
      <c r="A48" s="16"/>
      <c r="B48" s="21"/>
      <c r="C48" s="21"/>
      <c r="D48" s="21"/>
      <c r="E48" s="21"/>
      <c r="F48" s="21"/>
      <c r="I48" s="366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  <c r="U48" s="366"/>
      <c r="V48" s="366"/>
      <c r="W48" s="285"/>
      <c r="Y48" s="294"/>
      <c r="Z48" s="294"/>
      <c r="AA48" s="367"/>
      <c r="AB48" s="254"/>
      <c r="AC48" s="254"/>
      <c r="AD48" s="254"/>
      <c r="AE48" s="254"/>
      <c r="AF48" s="254"/>
      <c r="AG48" s="254"/>
      <c r="AH48" s="254"/>
      <c r="AI48" s="254"/>
      <c r="AJ48" s="254"/>
      <c r="AK48" s="254"/>
      <c r="AL48" s="254"/>
      <c r="AM48" s="254"/>
      <c r="AN48" s="254"/>
      <c r="AO48" s="254"/>
      <c r="AP48" s="254"/>
      <c r="AQ48" s="254"/>
      <c r="AR48" s="301"/>
    </row>
    <row r="49" spans="1:44" s="1" customFormat="1" ht="13.8" thickBot="1">
      <c r="A49" s="16" t="s">
        <v>263</v>
      </c>
      <c r="B49" s="21"/>
      <c r="C49" s="21"/>
      <c r="D49" s="21"/>
      <c r="E49" s="21"/>
      <c r="F49" s="21"/>
      <c r="G49" s="35" t="s">
        <v>14</v>
      </c>
      <c r="H49" s="105">
        <v>27.719204807568584</v>
      </c>
      <c r="I49" s="105">
        <v>33.169803604055666</v>
      </c>
      <c r="J49" s="105">
        <v>33.958948918589641</v>
      </c>
      <c r="K49" s="105">
        <v>35.954989872154513</v>
      </c>
      <c r="L49" s="105">
        <v>37.504958299222416</v>
      </c>
      <c r="M49" s="105">
        <v>39.253241032656646</v>
      </c>
      <c r="N49" s="105">
        <v>40.586096886459138</v>
      </c>
      <c r="O49" s="105">
        <v>42.282228625393721</v>
      </c>
      <c r="P49" s="105">
        <v>44.221372011079772</v>
      </c>
      <c r="Q49" s="105">
        <v>45.265392344612387</v>
      </c>
      <c r="R49" s="105">
        <v>46.394394311723921</v>
      </c>
      <c r="S49" s="105">
        <v>47.888679983706247</v>
      </c>
      <c r="T49" s="105">
        <v>49.322413359011676</v>
      </c>
      <c r="U49" s="105">
        <v>50.622778086791804</v>
      </c>
      <c r="V49" s="105">
        <v>51.860925697468254</v>
      </c>
      <c r="W49" s="105">
        <v>53.275105557318504</v>
      </c>
      <c r="X49" s="105">
        <v>54.883363046579312</v>
      </c>
      <c r="Y49" s="105">
        <v>55.526090482286264</v>
      </c>
      <c r="Z49" s="105">
        <v>56.995551976234516</v>
      </c>
      <c r="AA49" s="105">
        <v>59.366020831127031</v>
      </c>
      <c r="AB49" s="260">
        <f t="shared" ref="AB49:AQ49" si="18">+AA49*$Z$47</f>
        <v>60.785796984744543</v>
      </c>
      <c r="AC49" s="260">
        <f t="shared" si="18"/>
        <v>62.239527988260363</v>
      </c>
      <c r="AD49" s="260">
        <f t="shared" si="18"/>
        <v>63.728025893510043</v>
      </c>
      <c r="AE49" s="260">
        <f t="shared" si="18"/>
        <v>65.252122173065374</v>
      </c>
      <c r="AF49" s="260">
        <f t="shared" si="18"/>
        <v>66.812668184693621</v>
      </c>
      <c r="AG49" s="260">
        <f t="shared" si="18"/>
        <v>68.410535646924643</v>
      </c>
      <c r="AH49" s="260">
        <f t="shared" si="18"/>
        <v>70.046617125991503</v>
      </c>
      <c r="AI49" s="260">
        <f t="shared" si="18"/>
        <v>71.721826534416508</v>
      </c>
      <c r="AJ49" s="260">
        <f t="shared" si="18"/>
        <v>73.437099641521314</v>
      </c>
      <c r="AK49" s="260">
        <f t="shared" si="18"/>
        <v>75.193394596146206</v>
      </c>
      <c r="AL49" s="260">
        <f t="shared" si="18"/>
        <v>76.9916924618705</v>
      </c>
      <c r="AM49" s="260">
        <f t="shared" si="18"/>
        <v>78.832997765033113</v>
      </c>
      <c r="AN49" s="260">
        <f t="shared" si="18"/>
        <v>80.718339055859389</v>
      </c>
      <c r="AO49" s="260">
        <f t="shared" si="18"/>
        <v>82.648769483007598</v>
      </c>
      <c r="AP49" s="260">
        <f t="shared" si="18"/>
        <v>84.625367381856151</v>
      </c>
      <c r="AQ49" s="260">
        <f t="shared" si="18"/>
        <v>86.649236876859987</v>
      </c>
      <c r="AR49" s="301"/>
    </row>
    <row r="50" spans="1:44" s="1" customFormat="1" ht="13.8" thickBot="1">
      <c r="B50" s="21"/>
      <c r="C50" s="21"/>
      <c r="D50" s="21"/>
      <c r="E50" s="21"/>
      <c r="F50" s="21"/>
      <c r="I50" s="366"/>
      <c r="J50" s="366"/>
      <c r="K50" s="366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286">
        <f>+W49/V49</f>
        <v>1.0272686968238842</v>
      </c>
      <c r="X50" s="287">
        <f>+X49/W49</f>
        <v>1.0301877860669932</v>
      </c>
      <c r="Y50" s="287">
        <f>+Y49/X49</f>
        <v>1.0117107881155438</v>
      </c>
      <c r="Z50" s="293">
        <f>+Z49/Y49</f>
        <v>1.0264643428194722</v>
      </c>
      <c r="AA50" s="367"/>
      <c r="AB50" s="367"/>
      <c r="AC50" s="367"/>
      <c r="AD50" s="367"/>
      <c r="AE50" s="367"/>
      <c r="AF50" s="367"/>
      <c r="AG50" s="367"/>
      <c r="AH50" s="367"/>
      <c r="AI50" s="367"/>
      <c r="AJ50" s="367"/>
      <c r="AK50" s="367"/>
      <c r="AL50" s="367"/>
      <c r="AM50" s="367"/>
      <c r="AN50" s="367"/>
      <c r="AO50" s="367"/>
      <c r="AP50" s="367"/>
      <c r="AQ50" s="367"/>
      <c r="AR50" s="301"/>
    </row>
    <row r="51" spans="1:44" s="1" customFormat="1" ht="13.8" thickBot="1">
      <c r="B51" s="21"/>
      <c r="C51" s="21"/>
      <c r="D51" s="21"/>
      <c r="E51" s="21"/>
      <c r="F51" s="21"/>
      <c r="I51" s="366"/>
      <c r="J51" s="366"/>
      <c r="K51" s="366"/>
      <c r="L51" s="366"/>
      <c r="M51" s="366"/>
      <c r="N51" s="366"/>
      <c r="O51" s="366"/>
      <c r="P51" s="366"/>
      <c r="Q51" s="366"/>
      <c r="R51" s="366"/>
      <c r="S51" s="366"/>
      <c r="T51" s="366"/>
      <c r="U51" s="366"/>
      <c r="V51" s="366"/>
      <c r="W51" s="285"/>
      <c r="Y51" s="294" t="s">
        <v>254</v>
      </c>
      <c r="Z51" s="288">
        <f>AVERAGE(U50:Z50)</f>
        <v>1.0239079034564735</v>
      </c>
      <c r="AA51" s="367"/>
      <c r="AB51" s="367"/>
      <c r="AC51" s="367"/>
      <c r="AD51" s="367"/>
      <c r="AE51" s="367"/>
      <c r="AF51" s="367"/>
      <c r="AG51" s="367"/>
      <c r="AH51" s="367"/>
      <c r="AI51" s="367"/>
      <c r="AJ51" s="367"/>
      <c r="AK51" s="367"/>
      <c r="AL51" s="367"/>
      <c r="AM51" s="367"/>
      <c r="AN51" s="367"/>
      <c r="AO51" s="367"/>
      <c r="AP51" s="367"/>
      <c r="AQ51" s="367"/>
      <c r="AR51" s="301"/>
    </row>
    <row r="52" spans="1:44" s="1" customFormat="1">
      <c r="B52" s="21"/>
      <c r="C52" s="21"/>
      <c r="D52" s="21"/>
      <c r="E52" s="21"/>
      <c r="F52" s="21"/>
      <c r="I52" s="366"/>
      <c r="J52" s="366"/>
      <c r="K52" s="366"/>
      <c r="L52" s="366"/>
      <c r="M52" s="366"/>
      <c r="N52" s="366"/>
      <c r="O52" s="366"/>
      <c r="P52" s="366"/>
      <c r="Q52" s="366"/>
      <c r="R52" s="366"/>
      <c r="S52" s="366"/>
      <c r="T52" s="366"/>
      <c r="U52" s="366"/>
      <c r="V52" s="366"/>
      <c r="W52" s="366"/>
      <c r="X52" s="366"/>
      <c r="Y52" s="366"/>
      <c r="Z52" s="366"/>
      <c r="AA52" s="367"/>
      <c r="AB52" s="367"/>
      <c r="AC52" s="367"/>
      <c r="AD52" s="367"/>
      <c r="AE52" s="367"/>
      <c r="AF52" s="367"/>
      <c r="AG52" s="367"/>
      <c r="AH52" s="367"/>
      <c r="AI52" s="367"/>
      <c r="AJ52" s="367"/>
      <c r="AK52" s="367"/>
      <c r="AL52" s="367"/>
      <c r="AM52" s="367"/>
      <c r="AN52" s="367"/>
      <c r="AO52" s="367"/>
      <c r="AP52" s="367"/>
      <c r="AQ52" s="367"/>
      <c r="AR52" s="301"/>
    </row>
    <row r="53" spans="1:44" s="1" customFormat="1">
      <c r="B53" s="21"/>
      <c r="C53" s="21"/>
      <c r="D53" s="21"/>
      <c r="E53" s="21"/>
      <c r="F53" s="21"/>
      <c r="I53" s="366"/>
      <c r="J53" s="366"/>
      <c r="K53" s="366"/>
      <c r="L53" s="366"/>
      <c r="M53" s="366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X53" s="366"/>
      <c r="Y53" s="366"/>
      <c r="Z53" s="366"/>
      <c r="AA53" s="367"/>
      <c r="AB53" s="367"/>
      <c r="AC53" s="367"/>
      <c r="AD53" s="367"/>
      <c r="AE53" s="367"/>
      <c r="AF53" s="367"/>
      <c r="AG53" s="367"/>
      <c r="AH53" s="367"/>
      <c r="AI53" s="367"/>
      <c r="AJ53" s="367"/>
      <c r="AK53" s="367"/>
      <c r="AL53" s="367"/>
      <c r="AM53" s="367"/>
      <c r="AN53" s="367"/>
      <c r="AO53" s="367"/>
      <c r="AP53" s="367"/>
      <c r="AQ53" s="367"/>
      <c r="AR53" s="301"/>
    </row>
    <row r="54" spans="1:44" s="1" customFormat="1">
      <c r="A54" s="16" t="s">
        <v>260</v>
      </c>
      <c r="B54" s="21"/>
      <c r="C54" s="21"/>
      <c r="D54" s="21"/>
      <c r="E54" s="21"/>
      <c r="F54" s="21"/>
      <c r="H54" s="252">
        <f>+'PACE CPI (1998=100)'!$C$6</f>
        <v>2.7257971990086505E-2</v>
      </c>
      <c r="I54" s="250">
        <f>+'PACE CPI (1998=100)'!$C$6</f>
        <v>2.7257971990086505E-2</v>
      </c>
      <c r="J54" s="250">
        <f>+'PACE CPI (1998=100)'!$C$6</f>
        <v>2.7257971990086505E-2</v>
      </c>
      <c r="K54" s="250">
        <f>+'PACE CPI (1998=100)'!$C$6</f>
        <v>2.7257971990086505E-2</v>
      </c>
      <c r="L54" s="250">
        <f>+'PACE CPI (1998=100)'!$C$6</f>
        <v>2.7257971990086505E-2</v>
      </c>
      <c r="M54" s="250">
        <f>+'PACE CPI (1998=100)'!$C$6</f>
        <v>2.7257971990086505E-2</v>
      </c>
      <c r="N54" s="250">
        <f>+'PACE CPI (1998=100)'!$C$6</f>
        <v>2.7257971990086505E-2</v>
      </c>
      <c r="O54" s="250">
        <f>+'PACE CPI (1998=100)'!$C$6</f>
        <v>2.7257971990086505E-2</v>
      </c>
      <c r="P54" s="250">
        <f>+'PACE CPI (1998=100)'!$C$6</f>
        <v>2.7257971990086505E-2</v>
      </c>
      <c r="Q54" s="250">
        <f>+'PACE CPI (1998=100)'!$C$6</f>
        <v>2.7257971990086505E-2</v>
      </c>
      <c r="R54" s="250">
        <f>+'PACE CPI (1998=100)'!$C$6</f>
        <v>2.7257971990086505E-2</v>
      </c>
      <c r="S54" s="250">
        <f>+'PACE CPI (1998=100)'!$C$6</f>
        <v>2.7257971990086505E-2</v>
      </c>
      <c r="T54" s="250">
        <f>+'PACE CPI (1998=100)'!$C$6</f>
        <v>2.7257971990086505E-2</v>
      </c>
      <c r="U54" s="250">
        <f>+'PACE CPI (1998=100)'!$C$6</f>
        <v>2.7257971990086505E-2</v>
      </c>
      <c r="V54" s="250">
        <f>+'PACE CPI (1998=100)'!$C$6</f>
        <v>2.7257971990086505E-2</v>
      </c>
      <c r="W54" s="250">
        <f>+'PACE CPI (1998=100)'!$C$6</f>
        <v>2.7257971990086505E-2</v>
      </c>
      <c r="X54" s="250">
        <f>+'PACE CPI (1998=100)'!$C$6</f>
        <v>2.7257971990086505E-2</v>
      </c>
      <c r="Y54" s="250">
        <f>+'PACE CPI (1998=100)'!$C$6</f>
        <v>2.7257971990086505E-2</v>
      </c>
      <c r="Z54" s="250">
        <f>+'PACE CPI (1998=100)'!$C$6</f>
        <v>2.7257971990086505E-2</v>
      </c>
      <c r="AA54" s="358">
        <f>+'PACE CPI (1998=100)'!$C$6</f>
        <v>2.7257971990086505E-2</v>
      </c>
      <c r="AB54" s="358">
        <f>+'PACE CPI (1998=100)'!$C$6</f>
        <v>2.7257971990086505E-2</v>
      </c>
      <c r="AC54" s="358">
        <f>+'PACE CPI (1998=100)'!$C$6</f>
        <v>2.7257971990086505E-2</v>
      </c>
      <c r="AD54" s="358">
        <f>+'PACE CPI (1998=100)'!$C$6</f>
        <v>2.7257971990086505E-2</v>
      </c>
      <c r="AE54" s="358">
        <f>+'PACE CPI (1998=100)'!$C$6</f>
        <v>2.7257971990086505E-2</v>
      </c>
      <c r="AF54" s="358">
        <f>+'PACE CPI (1998=100)'!$C$6</f>
        <v>2.7257971990086505E-2</v>
      </c>
      <c r="AG54" s="358">
        <f>+'PACE CPI (1998=100)'!$C$6</f>
        <v>2.7257971990086505E-2</v>
      </c>
      <c r="AH54" s="358">
        <f>+'PACE CPI (1998=100)'!$C$6</f>
        <v>2.7257971990086505E-2</v>
      </c>
      <c r="AI54" s="358">
        <f>+'PACE CPI (1998=100)'!$C$6</f>
        <v>2.7257971990086505E-2</v>
      </c>
      <c r="AJ54" s="358">
        <f>+'PACE CPI (1998=100)'!$C$6</f>
        <v>2.7257971990086505E-2</v>
      </c>
      <c r="AK54" s="358">
        <f>+'PACE CPI (1998=100)'!$C$6</f>
        <v>2.7257971990086505E-2</v>
      </c>
      <c r="AL54" s="358">
        <f>+'PACE CPI (1998=100)'!$C$6</f>
        <v>2.7257971990086505E-2</v>
      </c>
      <c r="AM54" s="358">
        <f>+'PACE CPI (1998=100)'!$C$6</f>
        <v>2.7257971990086505E-2</v>
      </c>
      <c r="AN54" s="358">
        <f>+'PACE CPI (1998=100)'!$C$6</f>
        <v>2.7257971990086505E-2</v>
      </c>
      <c r="AO54" s="358">
        <f>+'PACE CPI (1998=100)'!$C$6</f>
        <v>2.7257971990086505E-2</v>
      </c>
      <c r="AP54" s="358">
        <f>+'PACE CPI (1998=100)'!$C$6</f>
        <v>2.7257971990086505E-2</v>
      </c>
      <c r="AQ54" s="358">
        <f>+'PACE CPI (1998=100)'!$C$6</f>
        <v>2.7257971990086505E-2</v>
      </c>
      <c r="AR54" s="301"/>
    </row>
    <row r="55" spans="1:44" s="1" customFormat="1">
      <c r="B55" s="21"/>
      <c r="C55" s="21"/>
      <c r="D55" s="21"/>
      <c r="E55" s="21"/>
      <c r="F55" s="21"/>
      <c r="H55" s="250"/>
      <c r="I55" s="250"/>
      <c r="J55" s="250"/>
      <c r="K55" s="250"/>
      <c r="L55" s="250"/>
      <c r="M55" s="250"/>
      <c r="N55" s="250"/>
      <c r="O55" s="250"/>
      <c r="P55" s="250"/>
      <c r="Q55" s="250"/>
      <c r="R55" s="250"/>
      <c r="S55" s="250"/>
      <c r="T55" s="250"/>
      <c r="U55" s="250"/>
      <c r="V55" s="250"/>
      <c r="W55" s="285"/>
      <c r="AA55" s="254"/>
      <c r="AB55" s="254"/>
      <c r="AC55" s="254"/>
      <c r="AD55" s="254"/>
      <c r="AE55" s="254"/>
      <c r="AF55" s="254"/>
      <c r="AG55" s="254"/>
      <c r="AH55" s="254"/>
      <c r="AI55" s="254"/>
      <c r="AJ55" s="254"/>
      <c r="AK55" s="254"/>
      <c r="AL55" s="254"/>
      <c r="AM55" s="254"/>
      <c r="AN55" s="254"/>
      <c r="AO55" s="254"/>
      <c r="AP55" s="254"/>
      <c r="AQ55" s="254"/>
      <c r="AR55" s="301"/>
    </row>
    <row r="56" spans="1:44" s="1" customFormat="1">
      <c r="A56" s="1" t="s">
        <v>251</v>
      </c>
      <c r="B56" s="21"/>
      <c r="C56" s="21"/>
      <c r="D56" s="21"/>
      <c r="E56" s="21"/>
      <c r="F56" s="21"/>
      <c r="AA56" s="254"/>
      <c r="AB56" s="254"/>
      <c r="AC56" s="254"/>
      <c r="AD56" s="254"/>
      <c r="AE56" s="254"/>
      <c r="AF56" s="254"/>
      <c r="AG56" s="254"/>
      <c r="AH56" s="254"/>
      <c r="AI56" s="254"/>
      <c r="AJ56" s="254"/>
      <c r="AK56" s="254"/>
      <c r="AL56" s="254"/>
      <c r="AM56" s="254"/>
      <c r="AN56" s="254"/>
      <c r="AO56" s="254"/>
      <c r="AP56" s="254"/>
      <c r="AQ56" s="254"/>
      <c r="AR56" s="301"/>
    </row>
    <row r="57" spans="1:44" s="1" customFormat="1">
      <c r="A57" s="13"/>
      <c r="G57" s="35"/>
      <c r="AA57" s="254"/>
      <c r="AB57" s="254"/>
      <c r="AC57" s="254"/>
      <c r="AD57" s="254"/>
      <c r="AE57" s="254"/>
      <c r="AF57" s="254"/>
      <c r="AG57" s="254"/>
      <c r="AH57" s="254"/>
      <c r="AI57" s="254"/>
      <c r="AJ57" s="254"/>
      <c r="AK57" s="254"/>
      <c r="AL57" s="254"/>
      <c r="AM57" s="254"/>
      <c r="AN57" s="254"/>
      <c r="AO57" s="254"/>
      <c r="AP57" s="254"/>
      <c r="AQ57" s="254"/>
      <c r="AR57" s="301"/>
    </row>
    <row r="58" spans="1:44" s="1" customFormat="1" ht="16.2" thickBot="1">
      <c r="A58" s="29"/>
      <c r="B58" s="13"/>
      <c r="C58" s="13"/>
      <c r="D58" s="13"/>
      <c r="E58" s="13"/>
      <c r="G58" s="35"/>
      <c r="H58" s="11">
        <f>+H$9</f>
        <v>2001</v>
      </c>
      <c r="I58" s="11">
        <f t="shared" ref="I58:Z58" si="19">+I$9</f>
        <v>2002</v>
      </c>
      <c r="J58" s="11">
        <f t="shared" si="19"/>
        <v>2003</v>
      </c>
      <c r="K58" s="11">
        <f t="shared" si="19"/>
        <v>2004</v>
      </c>
      <c r="L58" s="11">
        <f t="shared" si="19"/>
        <v>2005</v>
      </c>
      <c r="M58" s="11">
        <f t="shared" si="19"/>
        <v>2006</v>
      </c>
      <c r="N58" s="11">
        <f t="shared" si="19"/>
        <v>2007</v>
      </c>
      <c r="O58" s="11">
        <f t="shared" si="19"/>
        <v>2008</v>
      </c>
      <c r="P58" s="11">
        <f t="shared" si="19"/>
        <v>2009</v>
      </c>
      <c r="Q58" s="11">
        <f t="shared" si="19"/>
        <v>2010</v>
      </c>
      <c r="R58" s="11">
        <f t="shared" si="19"/>
        <v>2011</v>
      </c>
      <c r="S58" s="11">
        <f t="shared" si="19"/>
        <v>2012</v>
      </c>
      <c r="T58" s="11">
        <f t="shared" si="19"/>
        <v>2013</v>
      </c>
      <c r="U58" s="11">
        <f t="shared" si="19"/>
        <v>2014</v>
      </c>
      <c r="V58" s="11">
        <f t="shared" si="19"/>
        <v>2015</v>
      </c>
      <c r="W58" s="11">
        <f t="shared" si="19"/>
        <v>2016</v>
      </c>
      <c r="X58" s="11">
        <f t="shared" si="19"/>
        <v>2017</v>
      </c>
      <c r="Y58" s="11">
        <f t="shared" si="19"/>
        <v>2018</v>
      </c>
      <c r="Z58" s="11">
        <f t="shared" si="19"/>
        <v>2019</v>
      </c>
      <c r="AA58" s="254"/>
      <c r="AB58" s="254"/>
      <c r="AC58" s="254"/>
      <c r="AD58" s="254"/>
      <c r="AE58" s="254"/>
      <c r="AF58" s="254"/>
      <c r="AG58" s="254"/>
      <c r="AH58" s="254"/>
      <c r="AI58" s="254"/>
      <c r="AJ58" s="254"/>
      <c r="AK58" s="254"/>
      <c r="AL58" s="254"/>
      <c r="AM58" s="254"/>
      <c r="AN58" s="254"/>
      <c r="AO58" s="254"/>
      <c r="AP58" s="254"/>
      <c r="AQ58" s="254"/>
      <c r="AR58" s="301"/>
    </row>
    <row r="59" spans="1:44" s="1" customFormat="1" ht="15.6">
      <c r="A59" s="29" t="s">
        <v>150</v>
      </c>
      <c r="B59" s="13"/>
      <c r="C59" s="13"/>
      <c r="D59" s="13"/>
      <c r="E59" s="13"/>
      <c r="G59" s="3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254"/>
      <c r="AB59" s="254"/>
      <c r="AC59" s="254"/>
      <c r="AD59" s="254"/>
      <c r="AE59" s="254"/>
      <c r="AF59" s="254"/>
      <c r="AG59" s="254"/>
      <c r="AH59" s="254"/>
      <c r="AI59" s="254"/>
      <c r="AJ59" s="254"/>
      <c r="AK59" s="254"/>
      <c r="AL59" s="254"/>
      <c r="AM59" s="254"/>
      <c r="AN59" s="254"/>
      <c r="AO59" s="254"/>
      <c r="AP59" s="254"/>
      <c r="AQ59" s="254"/>
      <c r="AR59" s="301"/>
    </row>
    <row r="60" spans="1:44" s="1" customFormat="1" ht="15.6">
      <c r="A60" s="29"/>
      <c r="B60" s="13"/>
      <c r="C60" s="13"/>
      <c r="D60" s="13"/>
      <c r="E60" s="13"/>
      <c r="G60" s="3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254"/>
      <c r="AB60" s="254"/>
      <c r="AC60" s="254"/>
      <c r="AD60" s="254"/>
      <c r="AE60" s="254"/>
      <c r="AF60" s="254"/>
      <c r="AG60" s="254"/>
      <c r="AH60" s="254"/>
      <c r="AI60" s="254"/>
      <c r="AJ60" s="254"/>
      <c r="AK60" s="254"/>
      <c r="AL60" s="254"/>
      <c r="AM60" s="254"/>
      <c r="AN60" s="254"/>
      <c r="AO60" s="254"/>
      <c r="AP60" s="254"/>
      <c r="AQ60" s="254"/>
      <c r="AR60" s="301"/>
    </row>
    <row r="61" spans="1:44" s="1" customFormat="1">
      <c r="A61" s="16"/>
      <c r="B61" s="16" t="s">
        <v>15</v>
      </c>
      <c r="C61" s="13"/>
      <c r="D61" s="13"/>
      <c r="E61" s="13"/>
      <c r="G61" s="3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254"/>
      <c r="AB61" s="254"/>
      <c r="AC61" s="254"/>
      <c r="AD61" s="254"/>
      <c r="AE61" s="254"/>
      <c r="AF61" s="254"/>
      <c r="AG61" s="254"/>
      <c r="AH61" s="254"/>
      <c r="AI61" s="254"/>
      <c r="AJ61" s="254"/>
      <c r="AK61" s="254"/>
      <c r="AL61" s="254"/>
      <c r="AM61" s="254"/>
      <c r="AN61" s="254"/>
      <c r="AO61" s="254"/>
      <c r="AP61" s="254"/>
      <c r="AQ61" s="254"/>
      <c r="AR61" s="301"/>
    </row>
    <row r="62" spans="1:44" s="1" customFormat="1">
      <c r="A62" s="16"/>
      <c r="B62" s="13" t="s">
        <v>31</v>
      </c>
      <c r="C62" s="13"/>
      <c r="D62" s="13"/>
      <c r="E62" s="13"/>
      <c r="G62" s="35" t="s">
        <v>66</v>
      </c>
      <c r="H62" s="31">
        <f>+H23</f>
        <v>258000</v>
      </c>
      <c r="I62" s="31">
        <f t="shared" ref="I62:Z62" si="20">+I23</f>
        <v>258000</v>
      </c>
      <c r="J62" s="31">
        <f t="shared" si="20"/>
        <v>258000</v>
      </c>
      <c r="K62" s="31">
        <f t="shared" si="20"/>
        <v>258000</v>
      </c>
      <c r="L62" s="31">
        <f t="shared" si="20"/>
        <v>258000</v>
      </c>
      <c r="M62" s="31">
        <f t="shared" si="20"/>
        <v>258000</v>
      </c>
      <c r="N62" s="31">
        <f t="shared" si="20"/>
        <v>258000</v>
      </c>
      <c r="O62" s="31">
        <f t="shared" si="20"/>
        <v>258000</v>
      </c>
      <c r="P62" s="31">
        <f t="shared" si="20"/>
        <v>258000</v>
      </c>
      <c r="Q62" s="31">
        <f t="shared" si="20"/>
        <v>258000</v>
      </c>
      <c r="R62" s="31">
        <f t="shared" si="20"/>
        <v>258000</v>
      </c>
      <c r="S62" s="31">
        <f t="shared" si="20"/>
        <v>258000</v>
      </c>
      <c r="T62" s="31">
        <f t="shared" si="20"/>
        <v>258000</v>
      </c>
      <c r="U62" s="31">
        <f t="shared" si="20"/>
        <v>258000</v>
      </c>
      <c r="V62" s="31">
        <f t="shared" si="20"/>
        <v>258000</v>
      </c>
      <c r="W62" s="31">
        <f t="shared" si="20"/>
        <v>258000</v>
      </c>
      <c r="X62" s="31">
        <f t="shared" si="20"/>
        <v>258000</v>
      </c>
      <c r="Y62" s="31">
        <f t="shared" si="20"/>
        <v>258000</v>
      </c>
      <c r="Z62" s="31">
        <f t="shared" si="20"/>
        <v>258000</v>
      </c>
      <c r="AA62" s="261">
        <f t="shared" ref="AA62:AQ62" si="21">+AA23</f>
        <v>258000</v>
      </c>
      <c r="AB62" s="261">
        <f t="shared" si="21"/>
        <v>258000</v>
      </c>
      <c r="AC62" s="261">
        <f t="shared" si="21"/>
        <v>258000</v>
      </c>
      <c r="AD62" s="261">
        <f t="shared" si="21"/>
        <v>258000</v>
      </c>
      <c r="AE62" s="261">
        <f t="shared" si="21"/>
        <v>258000</v>
      </c>
      <c r="AF62" s="261">
        <f t="shared" si="21"/>
        <v>258000</v>
      </c>
      <c r="AG62" s="261">
        <f t="shared" si="21"/>
        <v>258000</v>
      </c>
      <c r="AH62" s="261">
        <f t="shared" si="21"/>
        <v>258000</v>
      </c>
      <c r="AI62" s="261">
        <f t="shared" si="21"/>
        <v>258000</v>
      </c>
      <c r="AJ62" s="261">
        <f t="shared" si="21"/>
        <v>258000</v>
      </c>
      <c r="AK62" s="261">
        <f t="shared" si="21"/>
        <v>258000</v>
      </c>
      <c r="AL62" s="261">
        <f t="shared" si="21"/>
        <v>258000</v>
      </c>
      <c r="AM62" s="261">
        <f t="shared" si="21"/>
        <v>258000</v>
      </c>
      <c r="AN62" s="261">
        <f t="shared" si="21"/>
        <v>258000</v>
      </c>
      <c r="AO62" s="261">
        <f t="shared" si="21"/>
        <v>258000</v>
      </c>
      <c r="AP62" s="261">
        <f t="shared" si="21"/>
        <v>258000</v>
      </c>
      <c r="AQ62" s="261">
        <f t="shared" si="21"/>
        <v>258000</v>
      </c>
      <c r="AR62" s="301"/>
    </row>
    <row r="63" spans="1:44" s="1" customFormat="1" ht="13.8" thickBot="1">
      <c r="A63" s="16"/>
      <c r="B63" s="13" t="s">
        <v>64</v>
      </c>
      <c r="C63" s="13"/>
      <c r="D63" s="13"/>
      <c r="E63" s="13"/>
      <c r="G63" s="35" t="s">
        <v>65</v>
      </c>
      <c r="H63" s="104">
        <v>15.668217054263566</v>
      </c>
      <c r="I63" s="104">
        <v>16.151627906976746</v>
      </c>
      <c r="J63" s="104">
        <v>16.732680891472867</v>
      </c>
      <c r="K63" s="104">
        <v>17.319018100775192</v>
      </c>
      <c r="L63" s="104">
        <v>17.862997403100771</v>
      </c>
      <c r="M63" s="104">
        <v>18.464618875968995</v>
      </c>
      <c r="N63" s="104">
        <v>18.559999999999999</v>
      </c>
      <c r="O63" s="104">
        <v>19.03</v>
      </c>
      <c r="P63" s="104">
        <v>19.690000000000001</v>
      </c>
      <c r="Q63" s="104">
        <v>20.260000000000002</v>
      </c>
      <c r="R63" s="104">
        <v>20.86</v>
      </c>
      <c r="S63" s="104">
        <v>21.52</v>
      </c>
      <c r="T63" s="104">
        <v>21.96</v>
      </c>
      <c r="U63" s="104">
        <v>22.01</v>
      </c>
      <c r="V63" s="104">
        <v>22.21</v>
      </c>
      <c r="W63" s="104">
        <v>22.26</v>
      </c>
      <c r="X63" s="104">
        <v>23.13</v>
      </c>
      <c r="Y63" s="104">
        <v>23.58</v>
      </c>
      <c r="Z63" s="104">
        <v>24.07</v>
      </c>
      <c r="AA63" s="282">
        <f>+AA64*1000/(+AA62*12)</f>
        <v>4.6879191718557269</v>
      </c>
      <c r="AB63" s="282">
        <f t="shared" ref="AB63:AQ63" si="22">+AB64*1000/(+AB62*12)</f>
        <v>4.3459492552831858</v>
      </c>
      <c r="AC63" s="282">
        <f t="shared" si="22"/>
        <v>5.5004272833997296</v>
      </c>
      <c r="AD63" s="282">
        <f t="shared" si="22"/>
        <v>4.5385367553905587</v>
      </c>
      <c r="AE63" s="282">
        <f t="shared" si="22"/>
        <v>4.6171038446186072</v>
      </c>
      <c r="AF63" s="282">
        <f t="shared" si="22"/>
        <v>7.1394241118719437</v>
      </c>
      <c r="AG63" s="282">
        <f t="shared" si="22"/>
        <v>4.8020733553389157</v>
      </c>
      <c r="AH63" s="282">
        <f t="shared" si="22"/>
        <v>4.4507820323589886</v>
      </c>
      <c r="AI63" s="282">
        <f t="shared" si="22"/>
        <v>5.636728790229105</v>
      </c>
      <c r="AJ63" s="282">
        <f t="shared" si="22"/>
        <v>4.6486190771499292</v>
      </c>
      <c r="AK63" s="282">
        <f t="shared" si="22"/>
        <v>4.7293277458954988</v>
      </c>
      <c r="AL63" s="282">
        <f t="shared" si="22"/>
        <v>7.320401348343653</v>
      </c>
      <c r="AM63" s="282">
        <f t="shared" si="22"/>
        <v>4.9193391503580424</v>
      </c>
      <c r="AN63" s="282">
        <f t="shared" si="22"/>
        <v>4.5584723383359673</v>
      </c>
      <c r="AO63" s="282">
        <f t="shared" si="22"/>
        <v>5.7767455997138395</v>
      </c>
      <c r="AP63" s="282">
        <f t="shared" si="22"/>
        <v>4.7617020197524198</v>
      </c>
      <c r="AQ63" s="282">
        <f t="shared" si="22"/>
        <v>4.8446106431300144</v>
      </c>
      <c r="AR63" s="301"/>
    </row>
    <row r="64" spans="1:44" s="1" customFormat="1">
      <c r="A64" s="13"/>
      <c r="B64" s="13" t="s">
        <v>15</v>
      </c>
      <c r="C64" s="13"/>
      <c r="D64" s="13"/>
      <c r="E64" s="13"/>
      <c r="H64" s="22">
        <f>+H62*H63*0.012</f>
        <v>48508.800000000003</v>
      </c>
      <c r="I64" s="22">
        <f t="shared" ref="I64:Z64" si="23">+I62*I63*0.012</f>
        <v>50005.44000000001</v>
      </c>
      <c r="J64" s="22">
        <f t="shared" si="23"/>
        <v>51804.380040000004</v>
      </c>
      <c r="K64" s="22">
        <f t="shared" si="23"/>
        <v>53619.680039999999</v>
      </c>
      <c r="L64" s="22">
        <f t="shared" si="23"/>
        <v>55303.83995999999</v>
      </c>
      <c r="M64" s="22">
        <f t="shared" si="23"/>
        <v>57166.460040000013</v>
      </c>
      <c r="N64" s="22">
        <f t="shared" si="23"/>
        <v>57461.760000000002</v>
      </c>
      <c r="O64" s="22">
        <f t="shared" si="23"/>
        <v>58916.880000000005</v>
      </c>
      <c r="P64" s="22">
        <f t="shared" si="23"/>
        <v>60960.24</v>
      </c>
      <c r="Q64" s="22">
        <f t="shared" si="23"/>
        <v>62724.959999999999</v>
      </c>
      <c r="R64" s="22">
        <f t="shared" si="23"/>
        <v>64582.560000000005</v>
      </c>
      <c r="S64" s="22">
        <f t="shared" si="23"/>
        <v>66625.919999999998</v>
      </c>
      <c r="T64" s="22">
        <f t="shared" si="23"/>
        <v>67988.160000000003</v>
      </c>
      <c r="U64" s="22">
        <f t="shared" si="23"/>
        <v>68142.960000000006</v>
      </c>
      <c r="V64" s="22">
        <f t="shared" si="23"/>
        <v>68762.16</v>
      </c>
      <c r="W64" s="22">
        <f t="shared" si="23"/>
        <v>68916.960000000006</v>
      </c>
      <c r="X64" s="22">
        <f t="shared" si="23"/>
        <v>71610.48</v>
      </c>
      <c r="Y64" s="22">
        <f t="shared" si="23"/>
        <v>73003.680000000008</v>
      </c>
      <c r="Z64" s="22">
        <f t="shared" si="23"/>
        <v>74520.72</v>
      </c>
      <c r="AA64" s="262">
        <f t="shared" ref="AA64:AQ64" si="24">AA167+(0.5*AA62*12/1000)</f>
        <v>14513.797756065329</v>
      </c>
      <c r="AB64" s="262">
        <f t="shared" si="24"/>
        <v>13455.058894356742</v>
      </c>
      <c r="AC64" s="262">
        <f t="shared" si="24"/>
        <v>17029.322869405565</v>
      </c>
      <c r="AD64" s="262">
        <f t="shared" si="24"/>
        <v>14051.309794689168</v>
      </c>
      <c r="AE64" s="262">
        <f t="shared" si="24"/>
        <v>14294.553502939209</v>
      </c>
      <c r="AF64" s="262">
        <f t="shared" si="24"/>
        <v>22103.657050355538</v>
      </c>
      <c r="AG64" s="262">
        <f t="shared" si="24"/>
        <v>14867.219108129284</v>
      </c>
      <c r="AH64" s="262">
        <f t="shared" si="24"/>
        <v>13779.621172183428</v>
      </c>
      <c r="AI64" s="262">
        <f t="shared" si="24"/>
        <v>17451.312334549308</v>
      </c>
      <c r="AJ64" s="262">
        <f t="shared" si="24"/>
        <v>14392.12466285618</v>
      </c>
      <c r="AK64" s="262">
        <f t="shared" si="24"/>
        <v>14641.998701292465</v>
      </c>
      <c r="AL64" s="262">
        <f t="shared" si="24"/>
        <v>22663.962574471952</v>
      </c>
      <c r="AM64" s="262">
        <f t="shared" si="24"/>
        <v>15230.274009508497</v>
      </c>
      <c r="AN64" s="262">
        <f t="shared" si="24"/>
        <v>14113.030359488153</v>
      </c>
      <c r="AO64" s="262">
        <f t="shared" si="24"/>
        <v>17884.804376714048</v>
      </c>
      <c r="AP64" s="262">
        <f t="shared" si="24"/>
        <v>14742.229453153494</v>
      </c>
      <c r="AQ64" s="262">
        <f t="shared" si="24"/>
        <v>14998.914551130523</v>
      </c>
      <c r="AR64" s="301"/>
    </row>
    <row r="65" spans="1:44" s="1" customFormat="1">
      <c r="A65" s="13"/>
      <c r="B65" s="13"/>
      <c r="C65" s="13"/>
      <c r="D65" s="13"/>
      <c r="E65" s="13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254"/>
      <c r="AB65" s="254"/>
      <c r="AC65" s="254"/>
      <c r="AD65" s="254"/>
      <c r="AE65" s="254"/>
      <c r="AF65" s="254"/>
      <c r="AG65" s="254"/>
      <c r="AH65" s="254"/>
      <c r="AI65" s="254"/>
      <c r="AJ65" s="254"/>
      <c r="AK65" s="254"/>
      <c r="AL65" s="254"/>
      <c r="AM65" s="254"/>
      <c r="AN65" s="254"/>
      <c r="AO65" s="254"/>
      <c r="AP65" s="254"/>
      <c r="AQ65" s="254"/>
      <c r="AR65" s="301"/>
    </row>
    <row r="66" spans="1:44" s="1" customFormat="1">
      <c r="A66" s="13"/>
      <c r="B66" s="16" t="s">
        <v>16</v>
      </c>
      <c r="C66" s="13"/>
      <c r="D66" s="13"/>
      <c r="E66" s="13"/>
      <c r="H66" s="451" t="s">
        <v>139</v>
      </c>
      <c r="I66" s="452"/>
      <c r="J66" s="452"/>
      <c r="K66" s="452"/>
      <c r="L66" s="452"/>
      <c r="M66" s="453"/>
      <c r="N66" s="454" t="s">
        <v>140</v>
      </c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6"/>
      <c r="AA66" s="254"/>
      <c r="AB66" s="254"/>
      <c r="AC66" s="254"/>
      <c r="AD66" s="254"/>
      <c r="AE66" s="254"/>
      <c r="AF66" s="254"/>
      <c r="AG66" s="254"/>
      <c r="AH66" s="254"/>
      <c r="AI66" s="254"/>
      <c r="AJ66" s="254"/>
      <c r="AK66" s="254"/>
      <c r="AL66" s="254"/>
      <c r="AM66" s="254"/>
      <c r="AN66" s="254"/>
      <c r="AO66" s="254"/>
      <c r="AP66" s="254"/>
      <c r="AQ66" s="254"/>
      <c r="AR66" s="301"/>
    </row>
    <row r="67" spans="1:44" s="1" customFormat="1">
      <c r="A67" s="13"/>
      <c r="B67" s="13" t="s">
        <v>138</v>
      </c>
      <c r="C67" s="13"/>
      <c r="D67" s="13"/>
      <c r="E67" s="13"/>
      <c r="G67" s="35" t="s">
        <v>14</v>
      </c>
      <c r="H67" s="105">
        <v>18.48</v>
      </c>
      <c r="I67" s="105">
        <v>18.95</v>
      </c>
      <c r="J67" s="105">
        <v>20.18</v>
      </c>
      <c r="K67" s="105">
        <v>21.37</v>
      </c>
      <c r="L67" s="105">
        <v>22.27</v>
      </c>
      <c r="M67" s="105">
        <v>23.59</v>
      </c>
      <c r="N67" s="71">
        <f>+N83</f>
        <v>22.272363655429324</v>
      </c>
      <c r="O67" s="71">
        <f t="shared" ref="O67:Z67" si="25">+O83</f>
        <v>22.945822913412403</v>
      </c>
      <c r="P67" s="71">
        <f t="shared" si="25"/>
        <v>23.233406263791448</v>
      </c>
      <c r="Q67" s="71">
        <f t="shared" si="25"/>
        <v>23.833315880208843</v>
      </c>
      <c r="R67" s="71">
        <f t="shared" si="25"/>
        <v>24.550928817654736</v>
      </c>
      <c r="S67" s="71">
        <f t="shared" si="25"/>
        <v>25.281938652436864</v>
      </c>
      <c r="T67" s="71">
        <f t="shared" si="25"/>
        <v>26.145775027044834</v>
      </c>
      <c r="U67" s="71">
        <f t="shared" si="25"/>
        <v>26.924036235433242</v>
      </c>
      <c r="V67" s="71">
        <f t="shared" si="25"/>
        <v>27.365760401182104</v>
      </c>
      <c r="W67" s="71">
        <f t="shared" si="25"/>
        <v>28.233086447570024</v>
      </c>
      <c r="X67" s="71">
        <f t="shared" si="25"/>
        <v>29.238105495143973</v>
      </c>
      <c r="Y67" s="71">
        <f t="shared" si="25"/>
        <v>30.157180437524467</v>
      </c>
      <c r="Z67" s="71">
        <f t="shared" si="25"/>
        <v>31.103691178047509</v>
      </c>
      <c r="AA67" s="263">
        <f t="shared" ref="AA67:AQ67" si="26">+AA83</f>
        <v>30.641286568794264</v>
      </c>
      <c r="AB67" s="263">
        <f t="shared" si="26"/>
        <v>31.544104296832483</v>
      </c>
      <c r="AC67" s="263">
        <f t="shared" si="26"/>
        <v>32.472987040658346</v>
      </c>
      <c r="AD67" s="263">
        <f t="shared" si="26"/>
        <v>33.428738544167679</v>
      </c>
      <c r="AE67" s="263">
        <f t="shared" si="26"/>
        <v>34.412188254841361</v>
      </c>
      <c r="AF67" s="263">
        <f t="shared" si="26"/>
        <v>35.424192188960404</v>
      </c>
      <c r="AG67" s="263">
        <f t="shared" si="26"/>
        <v>36.465633827904711</v>
      </c>
      <c r="AH67" s="263">
        <f t="shared" si="26"/>
        <v>37.537425046736452</v>
      </c>
      <c r="AI67" s="263">
        <f t="shared" si="26"/>
        <v>38.640507076319025</v>
      </c>
      <c r="AJ67" s="263">
        <f t="shared" si="26"/>
        <v>39.775851500274385</v>
      </c>
      <c r="AK67" s="263">
        <f t="shared" si="26"/>
        <v>40.944461288136232</v>
      </c>
      <c r="AL67" s="263">
        <f t="shared" si="26"/>
        <v>42.147371866112628</v>
      </c>
      <c r="AM67" s="263">
        <f t="shared" si="26"/>
        <v>43.385652226931541</v>
      </c>
      <c r="AN67" s="263">
        <f t="shared" si="26"/>
        <v>44.660406080304078</v>
      </c>
      <c r="AO67" s="263">
        <f t="shared" si="26"/>
        <v>45.972773045605052</v>
      </c>
      <c r="AP67" s="263">
        <f t="shared" si="26"/>
        <v>47.323929888438059</v>
      </c>
      <c r="AQ67" s="263">
        <f t="shared" si="26"/>
        <v>48.715091802822393</v>
      </c>
      <c r="AR67" s="301"/>
    </row>
    <row r="68" spans="1:44" s="1" customFormat="1" ht="13.8" thickBot="1">
      <c r="A68" s="13"/>
      <c r="B68" s="13" t="s">
        <v>68</v>
      </c>
      <c r="C68" s="13"/>
      <c r="D68" s="13"/>
      <c r="E68" s="13"/>
      <c r="G68" s="77" t="s">
        <v>67</v>
      </c>
      <c r="H68" s="66">
        <f t="shared" ref="H68:M68" si="27">+H25</f>
        <v>1943668.8</v>
      </c>
      <c r="I68" s="66">
        <f t="shared" si="27"/>
        <v>1943668.8</v>
      </c>
      <c r="J68" s="66">
        <f t="shared" si="27"/>
        <v>1943668.8</v>
      </c>
      <c r="K68" s="66">
        <f t="shared" si="27"/>
        <v>1948993.92</v>
      </c>
      <c r="L68" s="66">
        <f t="shared" si="27"/>
        <v>1943668.8</v>
      </c>
      <c r="M68" s="66">
        <f t="shared" si="27"/>
        <v>1943668.8</v>
      </c>
      <c r="N68" s="66">
        <f t="shared" ref="N68:Z68" si="28">+N25</f>
        <v>1943668.8</v>
      </c>
      <c r="O68" s="66">
        <f t="shared" si="28"/>
        <v>1948993.92</v>
      </c>
      <c r="P68" s="66">
        <f t="shared" si="28"/>
        <v>1943668.8</v>
      </c>
      <c r="Q68" s="66">
        <f t="shared" si="28"/>
        <v>1943668.8</v>
      </c>
      <c r="R68" s="66">
        <f t="shared" si="28"/>
        <v>1943668.8</v>
      </c>
      <c r="S68" s="66">
        <f t="shared" si="28"/>
        <v>1948993.92</v>
      </c>
      <c r="T68" s="66">
        <f t="shared" si="28"/>
        <v>1943668.8</v>
      </c>
      <c r="U68" s="66">
        <f t="shared" si="28"/>
        <v>1943668.8</v>
      </c>
      <c r="V68" s="66">
        <f t="shared" si="28"/>
        <v>1943668.8</v>
      </c>
      <c r="W68" s="66">
        <f t="shared" si="28"/>
        <v>1948993.92</v>
      </c>
      <c r="X68" s="66">
        <f t="shared" si="28"/>
        <v>1943668.8</v>
      </c>
      <c r="Y68" s="66">
        <f t="shared" si="28"/>
        <v>1943668.8</v>
      </c>
      <c r="Z68" s="66">
        <f t="shared" si="28"/>
        <v>1943668.8</v>
      </c>
      <c r="AA68" s="264">
        <f t="shared" ref="AA68:AQ68" si="29">+AA25</f>
        <v>1948993.92</v>
      </c>
      <c r="AB68" s="264">
        <f t="shared" si="29"/>
        <v>1943668.8</v>
      </c>
      <c r="AC68" s="264">
        <f t="shared" si="29"/>
        <v>1943668.8</v>
      </c>
      <c r="AD68" s="264">
        <f t="shared" si="29"/>
        <v>1943668.8</v>
      </c>
      <c r="AE68" s="264">
        <f t="shared" si="29"/>
        <v>1948993.92</v>
      </c>
      <c r="AF68" s="264">
        <f t="shared" si="29"/>
        <v>1943668.8</v>
      </c>
      <c r="AG68" s="264">
        <f t="shared" si="29"/>
        <v>1943668.8</v>
      </c>
      <c r="AH68" s="264">
        <f t="shared" si="29"/>
        <v>1943668.8</v>
      </c>
      <c r="AI68" s="264">
        <f t="shared" si="29"/>
        <v>1948993.92</v>
      </c>
      <c r="AJ68" s="264">
        <f t="shared" si="29"/>
        <v>1943668.8</v>
      </c>
      <c r="AK68" s="264">
        <f t="shared" si="29"/>
        <v>1943668.8</v>
      </c>
      <c r="AL68" s="264">
        <f t="shared" si="29"/>
        <v>1943668.8</v>
      </c>
      <c r="AM68" s="264">
        <f t="shared" si="29"/>
        <v>1948993.92</v>
      </c>
      <c r="AN68" s="264">
        <f t="shared" si="29"/>
        <v>1943668.8</v>
      </c>
      <c r="AO68" s="264">
        <f t="shared" si="29"/>
        <v>1943668.8</v>
      </c>
      <c r="AP68" s="264">
        <f t="shared" si="29"/>
        <v>1943668.8</v>
      </c>
      <c r="AQ68" s="264">
        <f t="shared" si="29"/>
        <v>1948993.92</v>
      </c>
      <c r="AR68" s="301"/>
    </row>
    <row r="69" spans="1:44" s="1" customFormat="1">
      <c r="A69" s="13"/>
      <c r="B69" s="13" t="s">
        <v>16</v>
      </c>
      <c r="C69" s="13"/>
      <c r="D69" s="13"/>
      <c r="E69" s="13"/>
      <c r="H69" s="28">
        <f t="shared" ref="H69:AA69" si="30">+H67*H68/1000</f>
        <v>35918.999424000001</v>
      </c>
      <c r="I69" s="28">
        <f t="shared" si="30"/>
        <v>36832.523759999996</v>
      </c>
      <c r="J69" s="28">
        <f t="shared" si="30"/>
        <v>39223.236384000003</v>
      </c>
      <c r="K69" s="28">
        <f t="shared" si="30"/>
        <v>41650.000070399998</v>
      </c>
      <c r="L69" s="28">
        <f t="shared" si="30"/>
        <v>43285.504176000002</v>
      </c>
      <c r="M69" s="28">
        <f t="shared" si="30"/>
        <v>45851.146992000002</v>
      </c>
      <c r="N69" s="28">
        <f t="shared" si="30"/>
        <v>43290.098339311924</v>
      </c>
      <c r="O69" s="28">
        <f t="shared" si="30"/>
        <v>44721.269347637462</v>
      </c>
      <c r="P69" s="28">
        <f t="shared" si="30"/>
        <v>45158.046872656007</v>
      </c>
      <c r="Q69" s="28">
        <f t="shared" si="30"/>
        <v>46324.072476906469</v>
      </c>
      <c r="R69" s="28">
        <f t="shared" si="30"/>
        <v>47718.874353896405</v>
      </c>
      <c r="S69" s="28">
        <f t="shared" si="30"/>
        <v>49274.344719412438</v>
      </c>
      <c r="T69" s="28">
        <f t="shared" si="30"/>
        <v>50818.727171886203</v>
      </c>
      <c r="U69" s="28">
        <f t="shared" si="30"/>
        <v>52331.409200881048</v>
      </c>
      <c r="V69" s="28">
        <f t="shared" si="30"/>
        <v>53189.974680053136</v>
      </c>
      <c r="W69" s="28">
        <f t="shared" si="30"/>
        <v>55026.113829148373</v>
      </c>
      <c r="X69" s="28">
        <f t="shared" si="30"/>
        <v>56829.193422019889</v>
      </c>
      <c r="Y69" s="28">
        <f t="shared" si="30"/>
        <v>58615.57071238666</v>
      </c>
      <c r="Z69" s="28">
        <f t="shared" si="30"/>
        <v>60455.274107606187</v>
      </c>
      <c r="AA69" s="265">
        <f t="shared" si="30"/>
        <v>59719.68122355768</v>
      </c>
      <c r="AB69" s="265">
        <f t="shared" ref="AB69:AQ69" si="31">+AB67*AB68/1000</f>
        <v>61311.291345699239</v>
      </c>
      <c r="AC69" s="265">
        <f t="shared" si="31"/>
        <v>63116.731753731961</v>
      </c>
      <c r="AD69" s="265">
        <f t="shared" si="31"/>
        <v>64974.39613165614</v>
      </c>
      <c r="AE69" s="265">
        <f t="shared" si="31"/>
        <v>67069.14568258122</v>
      </c>
      <c r="AF69" s="265">
        <f t="shared" si="31"/>
        <v>68852.897122886046</v>
      </c>
      <c r="AG69" s="265">
        <f t="shared" si="31"/>
        <v>70877.11474352295</v>
      </c>
      <c r="AH69" s="265">
        <f t="shared" si="31"/>
        <v>72960.321895680187</v>
      </c>
      <c r="AI69" s="265">
        <f t="shared" si="31"/>
        <v>75310.113357462746</v>
      </c>
      <c r="AJ69" s="265">
        <f t="shared" si="31"/>
        <v>77311.08155451651</v>
      </c>
      <c r="AK69" s="265">
        <f t="shared" si="31"/>
        <v>79582.471938558199</v>
      </c>
      <c r="AL69" s="265">
        <f t="shared" si="31"/>
        <v>81920.531698160907</v>
      </c>
      <c r="AM69" s="265">
        <f t="shared" si="31"/>
        <v>84558.372405524031</v>
      </c>
      <c r="AN69" s="265">
        <f t="shared" si="31"/>
        <v>86805.037893617337</v>
      </c>
      <c r="AO69" s="265">
        <f t="shared" si="31"/>
        <v>89355.84461822352</v>
      </c>
      <c r="AP69" s="265">
        <f t="shared" si="31"/>
        <v>91982.046017544533</v>
      </c>
      <c r="AQ69" s="265">
        <f t="shared" si="31"/>
        <v>94945.417735942683</v>
      </c>
      <c r="AR69" s="301"/>
    </row>
    <row r="70" spans="1:44" s="1" customFormat="1">
      <c r="A70" s="13"/>
      <c r="B70" s="13"/>
      <c r="C70" s="13"/>
      <c r="D70" s="13"/>
      <c r="E70" s="13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266"/>
      <c r="AB70" s="266"/>
      <c r="AC70" s="266"/>
      <c r="AD70" s="266"/>
      <c r="AE70" s="266"/>
      <c r="AF70" s="266"/>
      <c r="AG70" s="266"/>
      <c r="AH70" s="266"/>
      <c r="AI70" s="266"/>
      <c r="AJ70" s="266"/>
      <c r="AK70" s="266"/>
      <c r="AL70" s="266"/>
      <c r="AM70" s="266"/>
      <c r="AN70" s="266"/>
      <c r="AO70" s="266"/>
      <c r="AP70" s="266"/>
      <c r="AQ70" s="266"/>
      <c r="AR70" s="301"/>
    </row>
    <row r="71" spans="1:44" s="1" customFormat="1">
      <c r="A71" s="13"/>
      <c r="B71" s="16" t="s">
        <v>259</v>
      </c>
      <c r="C71" s="13"/>
      <c r="D71" s="13"/>
      <c r="E71" s="13"/>
      <c r="H71" s="162">
        <v>0</v>
      </c>
      <c r="I71" s="162">
        <v>0</v>
      </c>
      <c r="J71" s="162">
        <v>0</v>
      </c>
      <c r="K71" s="162">
        <v>0</v>
      </c>
      <c r="L71" s="162">
        <v>0</v>
      </c>
      <c r="M71" s="162">
        <v>0</v>
      </c>
      <c r="N71" s="162">
        <v>0</v>
      </c>
      <c r="O71" s="162">
        <v>0</v>
      </c>
      <c r="P71" s="162">
        <v>0</v>
      </c>
      <c r="Q71" s="162">
        <v>0</v>
      </c>
      <c r="R71" s="162">
        <v>0</v>
      </c>
      <c r="S71" s="162">
        <v>0</v>
      </c>
      <c r="T71" s="162">
        <v>0</v>
      </c>
      <c r="U71" s="162">
        <v>0</v>
      </c>
      <c r="V71" s="162">
        <v>0</v>
      </c>
      <c r="W71" s="162">
        <v>0</v>
      </c>
      <c r="X71" s="162">
        <v>0</v>
      </c>
      <c r="Y71" s="162">
        <v>0</v>
      </c>
      <c r="Z71" s="162">
        <v>0</v>
      </c>
      <c r="AA71" s="265">
        <f>+AA167</f>
        <v>12965.797756065329</v>
      </c>
      <c r="AB71" s="265">
        <f t="shared" ref="AB71:AQ71" si="32">+AB167</f>
        <v>11907.058894356742</v>
      </c>
      <c r="AC71" s="265">
        <f t="shared" si="32"/>
        <v>15481.322869405563</v>
      </c>
      <c r="AD71" s="265">
        <f t="shared" si="32"/>
        <v>12503.309794689168</v>
      </c>
      <c r="AE71" s="265">
        <f t="shared" si="32"/>
        <v>12746.553502939209</v>
      </c>
      <c r="AF71" s="265">
        <f t="shared" si="32"/>
        <v>20555.657050355538</v>
      </c>
      <c r="AG71" s="265">
        <f t="shared" si="32"/>
        <v>13319.219108129284</v>
      </c>
      <c r="AH71" s="265">
        <f t="shared" si="32"/>
        <v>12231.621172183428</v>
      </c>
      <c r="AI71" s="265">
        <f t="shared" si="32"/>
        <v>15903.312334549306</v>
      </c>
      <c r="AJ71" s="265">
        <f t="shared" si="32"/>
        <v>12844.12466285618</v>
      </c>
      <c r="AK71" s="265">
        <f t="shared" si="32"/>
        <v>13093.998701292465</v>
      </c>
      <c r="AL71" s="265">
        <f t="shared" si="32"/>
        <v>21115.962574471952</v>
      </c>
      <c r="AM71" s="265">
        <f t="shared" si="32"/>
        <v>13682.274009508497</v>
      </c>
      <c r="AN71" s="265">
        <f t="shared" si="32"/>
        <v>12565.030359488153</v>
      </c>
      <c r="AO71" s="265">
        <f t="shared" si="32"/>
        <v>16336.804376714048</v>
      </c>
      <c r="AP71" s="265">
        <f t="shared" si="32"/>
        <v>13194.229453153494</v>
      </c>
      <c r="AQ71" s="265">
        <f t="shared" si="32"/>
        <v>13450.914551130523</v>
      </c>
      <c r="AR71" s="301"/>
    </row>
    <row r="72" spans="1:44" s="1" customFormat="1" ht="13.8" thickBot="1">
      <c r="A72" s="13"/>
      <c r="B72" s="13"/>
      <c r="C72" s="13"/>
      <c r="D72" s="13"/>
      <c r="E72" s="13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266"/>
      <c r="AB72" s="266"/>
      <c r="AC72" s="266"/>
      <c r="AD72" s="266"/>
      <c r="AE72" s="266"/>
      <c r="AF72" s="266"/>
      <c r="AG72" s="266"/>
      <c r="AH72" s="266"/>
      <c r="AI72" s="266"/>
      <c r="AJ72" s="266"/>
      <c r="AK72" s="266"/>
      <c r="AL72" s="266"/>
      <c r="AM72" s="266"/>
      <c r="AN72" s="266"/>
      <c r="AO72" s="266"/>
      <c r="AP72" s="266"/>
      <c r="AQ72" s="266"/>
      <c r="AR72" s="301"/>
    </row>
    <row r="73" spans="1:44" s="1" customFormat="1" ht="13.8" thickBot="1">
      <c r="A73" s="13"/>
      <c r="B73" s="33" t="s">
        <v>235</v>
      </c>
      <c r="C73" s="13"/>
      <c r="D73" s="13"/>
      <c r="E73" s="13"/>
      <c r="G73" s="21"/>
      <c r="H73" s="157">
        <f>+H64+H69+H71</f>
        <v>84427.799423999997</v>
      </c>
      <c r="I73" s="158">
        <f t="shared" ref="I73:AQ73" si="33">+I64+I69+I71</f>
        <v>86837.963760000013</v>
      </c>
      <c r="J73" s="158">
        <f t="shared" si="33"/>
        <v>91027.616424000007</v>
      </c>
      <c r="K73" s="158">
        <f t="shared" si="33"/>
        <v>95269.68011039999</v>
      </c>
      <c r="L73" s="158">
        <f t="shared" si="33"/>
        <v>98589.344136</v>
      </c>
      <c r="M73" s="158">
        <f t="shared" si="33"/>
        <v>103017.60703200001</v>
      </c>
      <c r="N73" s="158">
        <f t="shared" si="33"/>
        <v>100751.85833931193</v>
      </c>
      <c r="O73" s="158">
        <f t="shared" si="33"/>
        <v>103638.14934763746</v>
      </c>
      <c r="P73" s="158">
        <f t="shared" si="33"/>
        <v>106118.286872656</v>
      </c>
      <c r="Q73" s="158">
        <f t="shared" si="33"/>
        <v>109049.03247690646</v>
      </c>
      <c r="R73" s="158">
        <f t="shared" si="33"/>
        <v>112301.43435389642</v>
      </c>
      <c r="S73" s="158">
        <f t="shared" si="33"/>
        <v>115900.26471941243</v>
      </c>
      <c r="T73" s="158">
        <f t="shared" si="33"/>
        <v>118806.88717188621</v>
      </c>
      <c r="U73" s="158">
        <f t="shared" si="33"/>
        <v>120474.36920088105</v>
      </c>
      <c r="V73" s="158">
        <f t="shared" si="33"/>
        <v>121952.13468005313</v>
      </c>
      <c r="W73" s="158">
        <f t="shared" si="33"/>
        <v>123943.07382914837</v>
      </c>
      <c r="X73" s="158">
        <f t="shared" si="33"/>
        <v>128439.67342201989</v>
      </c>
      <c r="Y73" s="158">
        <f t="shared" si="33"/>
        <v>131619.25071238668</v>
      </c>
      <c r="Z73" s="159">
        <f t="shared" si="33"/>
        <v>134975.99410760618</v>
      </c>
      <c r="AA73" s="267">
        <f t="shared" si="33"/>
        <v>87199.276735688327</v>
      </c>
      <c r="AB73" s="267">
        <f t="shared" si="33"/>
        <v>86673.409134412723</v>
      </c>
      <c r="AC73" s="267">
        <f t="shared" si="33"/>
        <v>95627.377492543077</v>
      </c>
      <c r="AD73" s="267">
        <f t="shared" si="33"/>
        <v>91529.015721034477</v>
      </c>
      <c r="AE73" s="267">
        <f t="shared" si="33"/>
        <v>94110.25268845963</v>
      </c>
      <c r="AF73" s="267">
        <f t="shared" si="33"/>
        <v>111512.21122359713</v>
      </c>
      <c r="AG73" s="267">
        <f t="shared" si="33"/>
        <v>99063.552959781518</v>
      </c>
      <c r="AH73" s="267">
        <f t="shared" si="33"/>
        <v>98971.564240047039</v>
      </c>
      <c r="AI73" s="267">
        <f t="shared" si="33"/>
        <v>108664.73802656136</v>
      </c>
      <c r="AJ73" s="267">
        <f t="shared" si="33"/>
        <v>104547.33088022887</v>
      </c>
      <c r="AK73" s="267">
        <f t="shared" si="33"/>
        <v>107318.46934114314</v>
      </c>
      <c r="AL73" s="267">
        <f t="shared" si="33"/>
        <v>125700.45684710481</v>
      </c>
      <c r="AM73" s="267">
        <f t="shared" si="33"/>
        <v>113470.92042454104</v>
      </c>
      <c r="AN73" s="267">
        <f t="shared" si="33"/>
        <v>113483.09861259365</v>
      </c>
      <c r="AO73" s="267">
        <f t="shared" si="33"/>
        <v>123577.45337165162</v>
      </c>
      <c r="AP73" s="267">
        <f t="shared" si="33"/>
        <v>119918.50492385152</v>
      </c>
      <c r="AQ73" s="267">
        <f t="shared" si="33"/>
        <v>123395.24683820373</v>
      </c>
      <c r="AR73" s="301"/>
    </row>
    <row r="74" spans="1:44" s="1" customFormat="1" ht="13.8" thickBot="1">
      <c r="A74" s="13"/>
      <c r="B74" s="350" t="str">
        <f>CONCATENATE("NPV ",+$E$16*100," of Cf to Term (2036)")</f>
        <v>NPV 6.25 of Cf to Term (2036)</v>
      </c>
      <c r="C74" s="13"/>
      <c r="G74" s="36">
        <f>SUMPRODUCT(Valuation!$H$73:$AQ$73,Valuation!$H$16:$AQ$16)</f>
        <v>1484626.6976245791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254"/>
      <c r="AB74" s="254"/>
      <c r="AC74" s="254"/>
      <c r="AD74" s="254"/>
      <c r="AE74" s="254"/>
      <c r="AF74" s="254"/>
      <c r="AG74" s="254"/>
      <c r="AH74" s="254"/>
      <c r="AI74" s="254"/>
      <c r="AJ74" s="254"/>
      <c r="AK74" s="254"/>
      <c r="AL74" s="254"/>
      <c r="AM74" s="254"/>
      <c r="AN74" s="254"/>
      <c r="AO74" s="254"/>
      <c r="AP74" s="254"/>
      <c r="AQ74" s="254"/>
      <c r="AR74" s="301"/>
    </row>
    <row r="75" spans="1:44" s="1" customFormat="1">
      <c r="A75" s="13"/>
      <c r="B75" s="13"/>
      <c r="C75" s="13"/>
      <c r="D75" s="13"/>
      <c r="E75" s="13"/>
      <c r="F75" s="24"/>
      <c r="G75" s="35"/>
      <c r="H75" s="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254"/>
      <c r="AB75" s="254"/>
      <c r="AC75" s="254"/>
      <c r="AD75" s="254"/>
      <c r="AE75" s="254"/>
      <c r="AF75" s="254"/>
      <c r="AG75" s="254"/>
      <c r="AH75" s="254"/>
      <c r="AI75" s="254"/>
      <c r="AJ75" s="254"/>
      <c r="AK75" s="254"/>
      <c r="AL75" s="254"/>
      <c r="AM75" s="254"/>
      <c r="AN75" s="254"/>
      <c r="AO75" s="254"/>
      <c r="AP75" s="254"/>
      <c r="AQ75" s="254"/>
      <c r="AR75" s="301"/>
    </row>
    <row r="76" spans="1:44" s="1" customFormat="1">
      <c r="A76" s="13"/>
      <c r="B76" s="72"/>
      <c r="C76" s="72" t="s">
        <v>77</v>
      </c>
      <c r="E76" s="13"/>
      <c r="F76" s="13"/>
      <c r="G76" s="3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54"/>
      <c r="AB76" s="254"/>
      <c r="AC76" s="254"/>
      <c r="AD76" s="254"/>
      <c r="AE76" s="254"/>
      <c r="AF76" s="254"/>
      <c r="AG76" s="254"/>
      <c r="AH76" s="254"/>
      <c r="AI76" s="254"/>
      <c r="AJ76" s="254"/>
      <c r="AK76" s="254"/>
      <c r="AL76" s="254"/>
      <c r="AM76" s="254"/>
      <c r="AN76" s="254"/>
      <c r="AO76" s="254"/>
      <c r="AP76" s="254"/>
      <c r="AQ76" s="254"/>
      <c r="AR76" s="301"/>
    </row>
    <row r="77" spans="1:44" s="1" customFormat="1" ht="13.8" thickBot="1">
      <c r="A77" s="13"/>
      <c r="C77" s="33" t="s">
        <v>70</v>
      </c>
      <c r="E77" s="13"/>
      <c r="F77" s="13"/>
      <c r="G77" s="73" t="s">
        <v>71</v>
      </c>
      <c r="H77" s="2"/>
      <c r="I77" s="2"/>
      <c r="J77" s="2"/>
      <c r="K77" s="2"/>
      <c r="L77" s="2"/>
      <c r="M77" s="2"/>
      <c r="N77" s="65">
        <f>+N31</f>
        <v>2.6838711580157941</v>
      </c>
      <c r="O77" s="65">
        <f t="shared" ref="O77:Z77" si="34">+O31</f>
        <v>2.7541982977265165</v>
      </c>
      <c r="P77" s="65">
        <f t="shared" si="34"/>
        <v>2.8135802951053019</v>
      </c>
      <c r="Q77" s="65">
        <f t="shared" si="34"/>
        <v>2.8741853170869223</v>
      </c>
      <c r="R77" s="65">
        <f t="shared" si="34"/>
        <v>2.9490291027438662</v>
      </c>
      <c r="S77" s="65">
        <f t="shared" si="34"/>
        <v>3.0257625790212348</v>
      </c>
      <c r="T77" s="65">
        <f t="shared" si="34"/>
        <v>3.1180483376813832</v>
      </c>
      <c r="U77" s="65">
        <f t="shared" si="34"/>
        <v>3.1989950510766483</v>
      </c>
      <c r="V77" s="65">
        <f t="shared" si="34"/>
        <v>3.2819811553038178</v>
      </c>
      <c r="W77" s="65">
        <f t="shared" si="34"/>
        <v>3.3736493042822597</v>
      </c>
      <c r="X77" s="65">
        <f t="shared" si="34"/>
        <v>3.4826967014064518</v>
      </c>
      <c r="Y77" s="65">
        <f t="shared" si="34"/>
        <v>3.5797731511283479</v>
      </c>
      <c r="Z77" s="65">
        <f t="shared" si="34"/>
        <v>3.679488874733821</v>
      </c>
      <c r="AA77" s="268">
        <f t="shared" ref="AA77:AQ77" si="35">+AA31</f>
        <v>3.7861786558002519</v>
      </c>
      <c r="AB77" s="268">
        <f t="shared" si="35"/>
        <v>3.895961994089308</v>
      </c>
      <c r="AC77" s="268">
        <f t="shared" si="35"/>
        <v>4.0089285898158931</v>
      </c>
      <c r="AD77" s="268">
        <f t="shared" si="35"/>
        <v>4.1251707441258052</v>
      </c>
      <c r="AE77" s="268">
        <f t="shared" si="35"/>
        <v>4.2447834345118487</v>
      </c>
      <c r="AF77" s="268">
        <f t="shared" si="35"/>
        <v>4.3678643924167</v>
      </c>
      <c r="AG77" s="268">
        <f t="shared" si="35"/>
        <v>4.4945141830859292</v>
      </c>
      <c r="AH77" s="268">
        <f t="shared" si="35"/>
        <v>4.6248362877364277</v>
      </c>
      <c r="AI77" s="268">
        <f t="shared" si="35"/>
        <v>4.7589371881073737</v>
      </c>
      <c r="AJ77" s="268">
        <f t="shared" si="35"/>
        <v>4.8969264534628234</v>
      </c>
      <c r="AK77" s="268">
        <f t="shared" si="35"/>
        <v>5.0389168301170146</v>
      </c>
      <c r="AL77" s="268">
        <f t="shared" si="35"/>
        <v>5.1850243335555266</v>
      </c>
      <c r="AM77" s="268">
        <f t="shared" si="35"/>
        <v>5.3353683432275689</v>
      </c>
      <c r="AN77" s="268">
        <f t="shared" si="35"/>
        <v>5.4900717000868537</v>
      </c>
      <c r="AO77" s="268">
        <f t="shared" si="35"/>
        <v>5.6492608069607391</v>
      </c>
      <c r="AP77" s="268">
        <f t="shared" si="35"/>
        <v>5.8130657318296617</v>
      </c>
      <c r="AQ77" s="268">
        <f t="shared" si="35"/>
        <v>5.9816203141012396</v>
      </c>
      <c r="AR77" s="301"/>
    </row>
    <row r="78" spans="1:44" s="1" customFormat="1" ht="13.8" thickBot="1">
      <c r="A78" s="13"/>
      <c r="C78" s="33" t="s">
        <v>74</v>
      </c>
      <c r="E78" s="109">
        <v>0.01</v>
      </c>
      <c r="G78" s="73" t="s">
        <v>71</v>
      </c>
      <c r="H78" s="2"/>
      <c r="I78" s="2"/>
      <c r="J78" s="2"/>
      <c r="K78" s="2"/>
      <c r="L78" s="2"/>
      <c r="M78" s="69"/>
      <c r="N78" s="65">
        <f t="shared" ref="N78:Z78" si="36">(+N77/(1-$E$78))-N77</f>
        <v>2.710980967692711E-2</v>
      </c>
      <c r="O78" s="65">
        <f t="shared" si="36"/>
        <v>2.78201848255204E-2</v>
      </c>
      <c r="P78" s="65">
        <f t="shared" si="36"/>
        <v>2.8420002980861447E-2</v>
      </c>
      <c r="Q78" s="65">
        <f t="shared" si="36"/>
        <v>2.9032174920069931E-2</v>
      </c>
      <c r="R78" s="65">
        <f t="shared" si="36"/>
        <v>2.9788172754988462E-2</v>
      </c>
      <c r="S78" s="65">
        <f t="shared" si="36"/>
        <v>3.0563258373951907E-2</v>
      </c>
      <c r="T78" s="65">
        <f t="shared" si="36"/>
        <v>3.1495437754357258E-2</v>
      </c>
      <c r="U78" s="65">
        <f t="shared" si="36"/>
        <v>3.2313081324006454E-2</v>
      </c>
      <c r="V78" s="65">
        <f t="shared" si="36"/>
        <v>3.3151324801048876E-2</v>
      </c>
      <c r="W78" s="65">
        <f t="shared" si="36"/>
        <v>3.4077265699820725E-2</v>
      </c>
      <c r="X78" s="65">
        <f t="shared" si="36"/>
        <v>3.517875455966113E-2</v>
      </c>
      <c r="Y78" s="65">
        <f t="shared" si="36"/>
        <v>3.6159324758872291E-2</v>
      </c>
      <c r="Z78" s="65">
        <f t="shared" si="36"/>
        <v>3.716655429024085E-2</v>
      </c>
      <c r="AA78" s="268">
        <f t="shared" ref="AA78:AQ78" si="37">(+AA77/(1-$E$78))-AA77</f>
        <v>3.8244228846467276E-2</v>
      </c>
      <c r="AB78" s="268">
        <f t="shared" si="37"/>
        <v>3.9353151455447488E-2</v>
      </c>
      <c r="AC78" s="268">
        <f t="shared" si="37"/>
        <v>4.0494228179958291E-2</v>
      </c>
      <c r="AD78" s="268">
        <f t="shared" si="37"/>
        <v>4.1668391354805934E-2</v>
      </c>
      <c r="AE78" s="268">
        <f t="shared" si="37"/>
        <v>4.2876600348604299E-2</v>
      </c>
      <c r="AF78" s="268">
        <f t="shared" si="37"/>
        <v>4.4119842347643434E-2</v>
      </c>
      <c r="AG78" s="268">
        <f t="shared" si="37"/>
        <v>4.539913316248434E-2</v>
      </c>
      <c r="AH78" s="268">
        <f t="shared" si="37"/>
        <v>4.6715518057943939E-2</v>
      </c>
      <c r="AI78" s="268">
        <f t="shared" si="37"/>
        <v>4.8070072607145242E-2</v>
      </c>
      <c r="AJ78" s="268">
        <f t="shared" si="37"/>
        <v>4.9463903570331702E-2</v>
      </c>
      <c r="AK78" s="268">
        <f t="shared" si="37"/>
        <v>5.0898149799161629E-2</v>
      </c>
      <c r="AL78" s="268">
        <f t="shared" si="37"/>
        <v>5.2373983167227856E-2</v>
      </c>
      <c r="AM78" s="268">
        <f t="shared" si="37"/>
        <v>5.3892609527551372E-2</v>
      </c>
      <c r="AN78" s="268">
        <f t="shared" si="37"/>
        <v>5.545526969784742E-2</v>
      </c>
      <c r="AO78" s="268">
        <f t="shared" si="37"/>
        <v>5.7063240474350962E-2</v>
      </c>
      <c r="AP78" s="268">
        <f t="shared" si="37"/>
        <v>5.871783567504707E-2</v>
      </c>
      <c r="AQ78" s="268">
        <f t="shared" si="37"/>
        <v>6.042040721314379E-2</v>
      </c>
      <c r="AR78" s="301"/>
    </row>
    <row r="79" spans="1:44" s="1" customFormat="1">
      <c r="A79" s="13"/>
      <c r="C79" s="33" t="s">
        <v>72</v>
      </c>
      <c r="E79" s="13"/>
      <c r="F79" s="13"/>
      <c r="G79" s="73" t="s">
        <v>71</v>
      </c>
      <c r="H79" s="2"/>
      <c r="I79" s="2"/>
      <c r="J79" s="2"/>
      <c r="K79" s="2"/>
      <c r="L79" s="2"/>
      <c r="M79" s="2"/>
      <c r="N79" s="242">
        <f>+N114</f>
        <v>0.13000000000000003</v>
      </c>
      <c r="O79" s="242">
        <f>+O114</f>
        <v>0.13500000000000004</v>
      </c>
      <c r="P79" s="70">
        <f t="shared" ref="P79:AQ79" si="38">+P114</f>
        <v>0.14000000000000004</v>
      </c>
      <c r="Q79" s="70">
        <f t="shared" si="38"/>
        <v>0.14500000000000005</v>
      </c>
      <c r="R79" s="70">
        <f t="shared" si="38"/>
        <v>0.15000000000000005</v>
      </c>
      <c r="S79" s="70">
        <f t="shared" si="38"/>
        <v>0.15500000000000005</v>
      </c>
      <c r="T79" s="70">
        <f t="shared" si="38"/>
        <v>0.16000000000000006</v>
      </c>
      <c r="U79" s="70">
        <f t="shared" si="38"/>
        <v>0.16500000000000006</v>
      </c>
      <c r="V79" s="70">
        <f t="shared" si="38"/>
        <v>0.17000000000000007</v>
      </c>
      <c r="W79" s="70">
        <f t="shared" si="38"/>
        <v>0.17500000000000007</v>
      </c>
      <c r="X79" s="70">
        <f t="shared" si="38"/>
        <v>0.18000000000000008</v>
      </c>
      <c r="Y79" s="70">
        <f t="shared" si="38"/>
        <v>0.18500000000000008</v>
      </c>
      <c r="Z79" s="70">
        <f t="shared" si="38"/>
        <v>0.19000000000000009</v>
      </c>
      <c r="AA79" s="268">
        <f t="shared" si="38"/>
        <v>0.19500000000000009</v>
      </c>
      <c r="AB79" s="268">
        <f t="shared" si="38"/>
        <v>0.20000000000000009</v>
      </c>
      <c r="AC79" s="268">
        <f t="shared" si="38"/>
        <v>0.2050000000000001</v>
      </c>
      <c r="AD79" s="268">
        <f t="shared" si="38"/>
        <v>0.2100000000000001</v>
      </c>
      <c r="AE79" s="268">
        <f t="shared" si="38"/>
        <v>0.21500000000000011</v>
      </c>
      <c r="AF79" s="268">
        <f t="shared" si="38"/>
        <v>0.22000000000000011</v>
      </c>
      <c r="AG79" s="268">
        <f t="shared" si="38"/>
        <v>0.22500000000000012</v>
      </c>
      <c r="AH79" s="268">
        <f t="shared" si="38"/>
        <v>0.23000000000000012</v>
      </c>
      <c r="AI79" s="268">
        <f t="shared" si="38"/>
        <v>0.23500000000000013</v>
      </c>
      <c r="AJ79" s="268">
        <f t="shared" si="38"/>
        <v>0.24000000000000013</v>
      </c>
      <c r="AK79" s="268">
        <f t="shared" si="38"/>
        <v>0.24500000000000013</v>
      </c>
      <c r="AL79" s="268">
        <f t="shared" si="38"/>
        <v>0.25000000000000011</v>
      </c>
      <c r="AM79" s="268">
        <f t="shared" si="38"/>
        <v>0.25500000000000012</v>
      </c>
      <c r="AN79" s="268">
        <f t="shared" si="38"/>
        <v>0.26000000000000012</v>
      </c>
      <c r="AO79" s="268">
        <f t="shared" si="38"/>
        <v>0.26500000000000012</v>
      </c>
      <c r="AP79" s="268">
        <f t="shared" si="38"/>
        <v>0.27000000000000013</v>
      </c>
      <c r="AQ79" s="268">
        <f t="shared" si="38"/>
        <v>0.27500000000000013</v>
      </c>
      <c r="AR79" s="301"/>
    </row>
    <row r="80" spans="1:44" s="1" customFormat="1" ht="13.8" thickBot="1">
      <c r="A80" s="13"/>
      <c r="C80" s="33" t="s">
        <v>75</v>
      </c>
      <c r="E80" s="13"/>
      <c r="F80" s="13"/>
      <c r="G80" s="73" t="s">
        <v>71</v>
      </c>
      <c r="H80" s="64"/>
      <c r="I80" s="64"/>
      <c r="J80" s="64"/>
      <c r="K80" s="64"/>
      <c r="L80" s="64"/>
      <c r="M80" s="64"/>
      <c r="N80" s="97">
        <v>6.5500000000000003E-2</v>
      </c>
      <c r="O80" s="79">
        <f>+N80*(1+0.05)</f>
        <v>6.8775000000000003E-2</v>
      </c>
      <c r="P80" s="79">
        <f t="shared" ref="P80:Z80" si="39">+O80*(1+0.05)</f>
        <v>7.2213750000000007E-2</v>
      </c>
      <c r="Q80" s="79">
        <f t="shared" si="39"/>
        <v>7.5824437500000008E-2</v>
      </c>
      <c r="R80" s="79">
        <f t="shared" si="39"/>
        <v>7.9615659375000009E-2</v>
      </c>
      <c r="S80" s="79">
        <f t="shared" si="39"/>
        <v>8.3596442343750008E-2</v>
      </c>
      <c r="T80" s="79">
        <f t="shared" si="39"/>
        <v>8.7776264460937517E-2</v>
      </c>
      <c r="U80" s="79">
        <f t="shared" si="39"/>
        <v>9.2165077683984395E-2</v>
      </c>
      <c r="V80" s="79">
        <f t="shared" si="39"/>
        <v>9.6773331568183615E-2</v>
      </c>
      <c r="W80" s="79">
        <f t="shared" si="39"/>
        <v>0.1016119981465928</v>
      </c>
      <c r="X80" s="79">
        <f t="shared" si="39"/>
        <v>0.10669259805392245</v>
      </c>
      <c r="Y80" s="79">
        <f t="shared" si="39"/>
        <v>0.11202722795661858</v>
      </c>
      <c r="Z80" s="79">
        <f t="shared" si="39"/>
        <v>0.11762858935444952</v>
      </c>
      <c r="AA80" s="269">
        <f t="shared" ref="AA80:AQ80" si="40">+Z80*(1+0.05)</f>
        <v>0.123510018822172</v>
      </c>
      <c r="AB80" s="269">
        <f t="shared" si="40"/>
        <v>0.1296855197632806</v>
      </c>
      <c r="AC80" s="269">
        <f t="shared" si="40"/>
        <v>0.13616979575144464</v>
      </c>
      <c r="AD80" s="269">
        <f t="shared" si="40"/>
        <v>0.14297828553901687</v>
      </c>
      <c r="AE80" s="269">
        <f t="shared" si="40"/>
        <v>0.15012719981596773</v>
      </c>
      <c r="AF80" s="269">
        <f t="shared" si="40"/>
        <v>0.15763355980676613</v>
      </c>
      <c r="AG80" s="269">
        <f t="shared" si="40"/>
        <v>0.16551523779710445</v>
      </c>
      <c r="AH80" s="269">
        <f t="shared" si="40"/>
        <v>0.17379099968695969</v>
      </c>
      <c r="AI80" s="269">
        <f t="shared" si="40"/>
        <v>0.18248054967130767</v>
      </c>
      <c r="AJ80" s="269">
        <f t="shared" si="40"/>
        <v>0.19160457715487306</v>
      </c>
      <c r="AK80" s="269">
        <f t="shared" si="40"/>
        <v>0.20118480601261671</v>
      </c>
      <c r="AL80" s="269">
        <f t="shared" si="40"/>
        <v>0.21124404631324756</v>
      </c>
      <c r="AM80" s="269">
        <f t="shared" si="40"/>
        <v>0.22180624862890994</v>
      </c>
      <c r="AN80" s="269">
        <f t="shared" si="40"/>
        <v>0.23289656106035544</v>
      </c>
      <c r="AO80" s="269">
        <f t="shared" si="40"/>
        <v>0.24454138911337323</v>
      </c>
      <c r="AP80" s="269">
        <f t="shared" si="40"/>
        <v>0.2567684585690419</v>
      </c>
      <c r="AQ80" s="269">
        <f t="shared" si="40"/>
        <v>0.26960688149749401</v>
      </c>
      <c r="AR80" s="301"/>
    </row>
    <row r="81" spans="1:44" s="1" customFormat="1">
      <c r="A81" s="13"/>
      <c r="C81" s="33" t="s">
        <v>73</v>
      </c>
      <c r="E81" s="13"/>
      <c r="F81" s="13"/>
      <c r="G81" s="73" t="s">
        <v>71</v>
      </c>
      <c r="H81" s="2"/>
      <c r="I81" s="2"/>
      <c r="J81" s="2"/>
      <c r="K81" s="2"/>
      <c r="L81" s="2"/>
      <c r="M81" s="2"/>
      <c r="N81" s="68">
        <f>SUM(N77:N80)</f>
        <v>2.9064809676927212</v>
      </c>
      <c r="O81" s="68">
        <f t="shared" ref="O81:Z81" si="41">SUM(O77:O80)</f>
        <v>2.9857934825520371</v>
      </c>
      <c r="P81" s="68">
        <f t="shared" si="41"/>
        <v>3.0542140480861635</v>
      </c>
      <c r="Q81" s="68">
        <f t="shared" si="41"/>
        <v>3.1240419295069923</v>
      </c>
      <c r="R81" s="68">
        <f t="shared" si="41"/>
        <v>3.2084329348738545</v>
      </c>
      <c r="S81" s="68">
        <f t="shared" si="41"/>
        <v>3.294922279738937</v>
      </c>
      <c r="T81" s="68">
        <f t="shared" si="41"/>
        <v>3.3973200398966781</v>
      </c>
      <c r="U81" s="68">
        <f t="shared" si="41"/>
        <v>3.488473210084639</v>
      </c>
      <c r="V81" s="68">
        <f t="shared" si="41"/>
        <v>3.5819058116730504</v>
      </c>
      <c r="W81" s="68">
        <f t="shared" si="41"/>
        <v>3.6843385681286733</v>
      </c>
      <c r="X81" s="68">
        <f t="shared" si="41"/>
        <v>3.8045680540200357</v>
      </c>
      <c r="Y81" s="68">
        <f t="shared" si="41"/>
        <v>3.9129597038438391</v>
      </c>
      <c r="Z81" s="68">
        <f t="shared" si="41"/>
        <v>4.0242840183785109</v>
      </c>
      <c r="AA81" s="270">
        <f t="shared" ref="AA81:AQ81" si="42">SUM(AA77:AA80)</f>
        <v>4.1429329034688909</v>
      </c>
      <c r="AB81" s="270">
        <f t="shared" si="42"/>
        <v>4.2650006653080359</v>
      </c>
      <c r="AC81" s="270">
        <f t="shared" si="42"/>
        <v>4.3905926137472964</v>
      </c>
      <c r="AD81" s="270">
        <f t="shared" si="42"/>
        <v>4.5198174210196278</v>
      </c>
      <c r="AE81" s="270">
        <f t="shared" si="42"/>
        <v>4.6527872346764205</v>
      </c>
      <c r="AF81" s="270">
        <f t="shared" si="42"/>
        <v>4.7896177945711091</v>
      </c>
      <c r="AG81" s="270">
        <f t="shared" si="42"/>
        <v>4.9304285540455188</v>
      </c>
      <c r="AH81" s="270">
        <f t="shared" si="42"/>
        <v>5.0753428054813314</v>
      </c>
      <c r="AI81" s="270">
        <f t="shared" si="42"/>
        <v>5.2244878103858268</v>
      </c>
      <c r="AJ81" s="270">
        <f t="shared" si="42"/>
        <v>5.3779949341880284</v>
      </c>
      <c r="AK81" s="270">
        <f t="shared" si="42"/>
        <v>5.5359997859287935</v>
      </c>
      <c r="AL81" s="270">
        <f t="shared" si="42"/>
        <v>5.6986423630360017</v>
      </c>
      <c r="AM81" s="270">
        <f t="shared" si="42"/>
        <v>5.8660672013840305</v>
      </c>
      <c r="AN81" s="270">
        <f t="shared" si="42"/>
        <v>6.0384235308450567</v>
      </c>
      <c r="AO81" s="270">
        <f t="shared" si="42"/>
        <v>6.2158654365484631</v>
      </c>
      <c r="AP81" s="270">
        <f t="shared" si="42"/>
        <v>6.3985520260737507</v>
      </c>
      <c r="AQ81" s="270">
        <f t="shared" si="42"/>
        <v>6.5866476028118779</v>
      </c>
      <c r="AR81" s="301"/>
    </row>
    <row r="82" spans="1:44" s="1" customFormat="1" ht="13.8" thickBot="1">
      <c r="A82" s="13"/>
      <c r="C82" s="13" t="s">
        <v>112</v>
      </c>
      <c r="E82" s="13"/>
      <c r="F82" s="13"/>
      <c r="G82" s="73" t="s">
        <v>76</v>
      </c>
      <c r="H82" s="2"/>
      <c r="I82" s="2"/>
      <c r="J82" s="2"/>
      <c r="K82" s="2"/>
      <c r="L82" s="2"/>
      <c r="M82" s="2"/>
      <c r="N82" s="98">
        <v>7663</v>
      </c>
      <c r="O82" s="98">
        <v>7685</v>
      </c>
      <c r="P82" s="98">
        <v>7607</v>
      </c>
      <c r="Q82" s="98">
        <v>7629</v>
      </c>
      <c r="R82" s="98">
        <v>7652</v>
      </c>
      <c r="S82" s="98">
        <v>7673</v>
      </c>
      <c r="T82" s="98">
        <v>7696</v>
      </c>
      <c r="U82" s="98">
        <v>7718</v>
      </c>
      <c r="V82" s="98">
        <v>7640</v>
      </c>
      <c r="W82" s="98">
        <v>7663</v>
      </c>
      <c r="X82" s="98">
        <v>7685</v>
      </c>
      <c r="Y82" s="98">
        <v>7707</v>
      </c>
      <c r="Z82" s="98">
        <v>7729</v>
      </c>
      <c r="AA82" s="264">
        <f>+AA118</f>
        <v>7396.0373683914158</v>
      </c>
      <c r="AB82" s="264">
        <f t="shared" ref="AB82:AQ82" si="43">+AB118</f>
        <v>7396.0373683914158</v>
      </c>
      <c r="AC82" s="264">
        <f t="shared" si="43"/>
        <v>7396.0373683914158</v>
      </c>
      <c r="AD82" s="264">
        <f t="shared" si="43"/>
        <v>7396.0373683914158</v>
      </c>
      <c r="AE82" s="264">
        <f t="shared" si="43"/>
        <v>7396.0373683914158</v>
      </c>
      <c r="AF82" s="264">
        <f t="shared" si="43"/>
        <v>7396.0373683914158</v>
      </c>
      <c r="AG82" s="264">
        <f t="shared" si="43"/>
        <v>7396.0373683914158</v>
      </c>
      <c r="AH82" s="264">
        <f t="shared" si="43"/>
        <v>7396.0373683914158</v>
      </c>
      <c r="AI82" s="264">
        <f t="shared" si="43"/>
        <v>7396.0373683914158</v>
      </c>
      <c r="AJ82" s="264">
        <f t="shared" si="43"/>
        <v>7396.0373683914158</v>
      </c>
      <c r="AK82" s="264">
        <f t="shared" si="43"/>
        <v>7396.0373683914158</v>
      </c>
      <c r="AL82" s="264">
        <f t="shared" si="43"/>
        <v>7396.0373683914158</v>
      </c>
      <c r="AM82" s="264">
        <f t="shared" si="43"/>
        <v>7396.0373683914158</v>
      </c>
      <c r="AN82" s="264">
        <f t="shared" si="43"/>
        <v>7396.0373683914158</v>
      </c>
      <c r="AO82" s="264">
        <f t="shared" si="43"/>
        <v>7396.0373683914158</v>
      </c>
      <c r="AP82" s="264">
        <f t="shared" si="43"/>
        <v>7396.0373683914158</v>
      </c>
      <c r="AQ82" s="264">
        <f t="shared" si="43"/>
        <v>7396.0373683914158</v>
      </c>
      <c r="AR82" s="301"/>
    </row>
    <row r="83" spans="1:44" s="1" customFormat="1">
      <c r="A83" s="13"/>
      <c r="C83" s="13" t="s">
        <v>69</v>
      </c>
      <c r="E83" s="13"/>
      <c r="F83" s="13"/>
      <c r="G83" s="73" t="s">
        <v>14</v>
      </c>
      <c r="H83" s="2"/>
      <c r="I83" s="2"/>
      <c r="J83" s="2"/>
      <c r="K83" s="2"/>
      <c r="L83" s="2"/>
      <c r="M83" s="2"/>
      <c r="N83" s="2">
        <f>+N81*N82/1000</f>
        <v>22.272363655429324</v>
      </c>
      <c r="O83" s="2">
        <f t="shared" ref="O83:Z83" si="44">+O81*O82/1000</f>
        <v>22.945822913412403</v>
      </c>
      <c r="P83" s="2">
        <f t="shared" si="44"/>
        <v>23.233406263791448</v>
      </c>
      <c r="Q83" s="2">
        <f t="shared" si="44"/>
        <v>23.833315880208843</v>
      </c>
      <c r="R83" s="2">
        <f t="shared" si="44"/>
        <v>24.550928817654736</v>
      </c>
      <c r="S83" s="2">
        <f t="shared" si="44"/>
        <v>25.281938652436864</v>
      </c>
      <c r="T83" s="2">
        <f t="shared" si="44"/>
        <v>26.145775027044834</v>
      </c>
      <c r="U83" s="2">
        <f t="shared" si="44"/>
        <v>26.924036235433242</v>
      </c>
      <c r="V83" s="2">
        <f t="shared" si="44"/>
        <v>27.365760401182104</v>
      </c>
      <c r="W83" s="2">
        <f t="shared" si="44"/>
        <v>28.233086447570024</v>
      </c>
      <c r="X83" s="2">
        <f t="shared" si="44"/>
        <v>29.238105495143973</v>
      </c>
      <c r="Y83" s="2">
        <f t="shared" si="44"/>
        <v>30.157180437524467</v>
      </c>
      <c r="Z83" s="2">
        <f t="shared" si="44"/>
        <v>31.103691178047509</v>
      </c>
      <c r="AA83" s="271">
        <f t="shared" ref="AA83:AQ83" si="45">+AA81*AA82/1000</f>
        <v>30.641286568794264</v>
      </c>
      <c r="AB83" s="271">
        <f t="shared" si="45"/>
        <v>31.544104296832483</v>
      </c>
      <c r="AC83" s="271">
        <f t="shared" si="45"/>
        <v>32.472987040658346</v>
      </c>
      <c r="AD83" s="271">
        <f t="shared" si="45"/>
        <v>33.428738544167679</v>
      </c>
      <c r="AE83" s="271">
        <f t="shared" si="45"/>
        <v>34.412188254841361</v>
      </c>
      <c r="AF83" s="271">
        <f t="shared" si="45"/>
        <v>35.424192188960404</v>
      </c>
      <c r="AG83" s="271">
        <f t="shared" si="45"/>
        <v>36.465633827904711</v>
      </c>
      <c r="AH83" s="271">
        <f t="shared" si="45"/>
        <v>37.537425046736452</v>
      </c>
      <c r="AI83" s="271">
        <f t="shared" si="45"/>
        <v>38.640507076319025</v>
      </c>
      <c r="AJ83" s="271">
        <f t="shared" si="45"/>
        <v>39.775851500274385</v>
      </c>
      <c r="AK83" s="271">
        <f t="shared" si="45"/>
        <v>40.944461288136232</v>
      </c>
      <c r="AL83" s="271">
        <f t="shared" si="45"/>
        <v>42.147371866112628</v>
      </c>
      <c r="AM83" s="271">
        <f t="shared" si="45"/>
        <v>43.385652226931541</v>
      </c>
      <c r="AN83" s="271">
        <f t="shared" si="45"/>
        <v>44.660406080304078</v>
      </c>
      <c r="AO83" s="271">
        <f t="shared" si="45"/>
        <v>45.972773045605052</v>
      </c>
      <c r="AP83" s="271">
        <f t="shared" si="45"/>
        <v>47.323929888438059</v>
      </c>
      <c r="AQ83" s="271">
        <f t="shared" si="45"/>
        <v>48.715091802822393</v>
      </c>
      <c r="AR83" s="301"/>
    </row>
    <row r="84" spans="1:44" s="1" customFormat="1">
      <c r="A84" s="13"/>
      <c r="B84" s="13"/>
      <c r="C84" s="13"/>
      <c r="D84" s="13"/>
      <c r="E84" s="13"/>
      <c r="F84" s="24"/>
      <c r="G84" s="3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54"/>
      <c r="AB84" s="254"/>
      <c r="AC84" s="254"/>
      <c r="AD84" s="254"/>
      <c r="AE84" s="254"/>
      <c r="AF84" s="254"/>
      <c r="AG84" s="254"/>
      <c r="AH84" s="254"/>
      <c r="AI84" s="254"/>
      <c r="AJ84" s="254"/>
      <c r="AK84" s="254"/>
      <c r="AL84" s="254"/>
      <c r="AM84" s="254"/>
      <c r="AN84" s="254"/>
      <c r="AO84" s="254"/>
      <c r="AP84" s="254"/>
      <c r="AQ84" s="254"/>
      <c r="AR84" s="301"/>
    </row>
    <row r="85" spans="1:44" s="1" customFormat="1">
      <c r="A85" s="16"/>
      <c r="B85" s="16" t="s">
        <v>179</v>
      </c>
      <c r="G85" s="35" t="s">
        <v>14</v>
      </c>
      <c r="H85" s="225">
        <f t="shared" ref="H85:AQ85" si="46">+H73/H25*1000</f>
        <v>43.437338410741582</v>
      </c>
      <c r="I85" s="225">
        <f t="shared" si="46"/>
        <v>44.677346140453565</v>
      </c>
      <c r="J85" s="225">
        <f t="shared" si="46"/>
        <v>46.83288450377966</v>
      </c>
      <c r="K85" s="225">
        <f t="shared" si="46"/>
        <v>48.881466038847364</v>
      </c>
      <c r="L85" s="225">
        <f t="shared" si="46"/>
        <v>50.723324949188871</v>
      </c>
      <c r="M85" s="225">
        <f t="shared" si="46"/>
        <v>53.001626116548259</v>
      </c>
      <c r="N85" s="225">
        <f t="shared" si="46"/>
        <v>51.835918927809068</v>
      </c>
      <c r="O85" s="225">
        <f t="shared" si="46"/>
        <v>53.175204029183149</v>
      </c>
      <c r="P85" s="225">
        <f t="shared" si="46"/>
        <v>54.596897821612401</v>
      </c>
      <c r="Q85" s="225">
        <f t="shared" si="46"/>
        <v>56.104739900597501</v>
      </c>
      <c r="R85" s="225">
        <f t="shared" si="46"/>
        <v>57.778071219693608</v>
      </c>
      <c r="S85" s="225">
        <f t="shared" si="46"/>
        <v>59.466714354559116</v>
      </c>
      <c r="T85" s="225">
        <f t="shared" si="46"/>
        <v>61.125067795442412</v>
      </c>
      <c r="U85" s="225">
        <f t="shared" si="46"/>
        <v>61.982972202301674</v>
      </c>
      <c r="V85" s="225">
        <f t="shared" si="46"/>
        <v>62.743269161933931</v>
      </c>
      <c r="W85" s="225">
        <f t="shared" si="46"/>
        <v>63.593360942423253</v>
      </c>
      <c r="X85" s="225">
        <f t="shared" si="46"/>
        <v>66.081049107759455</v>
      </c>
      <c r="Y85" s="225">
        <f t="shared" si="46"/>
        <v>67.716912836377617</v>
      </c>
      <c r="Z85" s="225">
        <f t="shared" si="46"/>
        <v>69.443926921914979</v>
      </c>
      <c r="AA85" s="227">
        <f t="shared" si="46"/>
        <v>44.740661241102451</v>
      </c>
      <c r="AB85" s="225">
        <f t="shared" si="46"/>
        <v>44.592684275434536</v>
      </c>
      <c r="AC85" s="225">
        <f t="shared" si="46"/>
        <v>49.19941992820128</v>
      </c>
      <c r="AD85" s="225">
        <f t="shared" si="46"/>
        <v>47.090849902531993</v>
      </c>
      <c r="AE85" s="225">
        <f t="shared" si="46"/>
        <v>48.286580949652034</v>
      </c>
      <c r="AF85" s="225">
        <f t="shared" si="46"/>
        <v>57.372023064627641</v>
      </c>
      <c r="AG85" s="225">
        <f t="shared" si="46"/>
        <v>50.967301095629828</v>
      </c>
      <c r="AH85" s="225">
        <f t="shared" si="46"/>
        <v>50.919973732174455</v>
      </c>
      <c r="AI85" s="225">
        <f t="shared" si="46"/>
        <v>55.754272453841907</v>
      </c>
      <c r="AJ85" s="225">
        <f t="shared" si="46"/>
        <v>53.78865518663924</v>
      </c>
      <c r="AK85" s="225">
        <f t="shared" si="46"/>
        <v>55.214380835429957</v>
      </c>
      <c r="AL85" s="225">
        <f t="shared" si="46"/>
        <v>64.671746980300753</v>
      </c>
      <c r="AM85" s="225">
        <f t="shared" si="46"/>
        <v>58.220253670437842</v>
      </c>
      <c r="AN85" s="225">
        <f t="shared" si="46"/>
        <v>58.386026782234531</v>
      </c>
      <c r="AO85" s="225">
        <f t="shared" si="46"/>
        <v>63.579480913441429</v>
      </c>
      <c r="AP85" s="225">
        <f t="shared" si="46"/>
        <v>61.696985064457238</v>
      </c>
      <c r="AQ85" s="225">
        <f t="shared" si="46"/>
        <v>63.312279003006708</v>
      </c>
      <c r="AR85" s="301"/>
    </row>
    <row r="86" spans="1:44" s="1" customFormat="1">
      <c r="A86" s="13"/>
      <c r="B86" s="13"/>
      <c r="C86" s="13"/>
      <c r="D86" s="13"/>
      <c r="E86" s="13"/>
      <c r="F86" s="24"/>
      <c r="G86" s="3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54"/>
      <c r="AB86" s="254"/>
      <c r="AC86" s="254"/>
      <c r="AD86" s="254"/>
      <c r="AE86" s="254"/>
      <c r="AF86" s="254"/>
      <c r="AG86" s="254"/>
      <c r="AH86" s="254"/>
      <c r="AI86" s="254"/>
      <c r="AJ86" s="254"/>
      <c r="AK86" s="254"/>
      <c r="AL86" s="254"/>
      <c r="AM86" s="254"/>
      <c r="AN86" s="254"/>
      <c r="AO86" s="254"/>
      <c r="AP86" s="254"/>
      <c r="AQ86" s="254"/>
      <c r="AR86" s="301"/>
    </row>
    <row r="87" spans="1:44" s="1" customFormat="1">
      <c r="A87" s="13"/>
      <c r="B87" s="16" t="s">
        <v>18</v>
      </c>
      <c r="C87" s="13"/>
      <c r="D87" s="13"/>
      <c r="E87" s="13"/>
      <c r="F87" s="24"/>
      <c r="G87" s="3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54"/>
      <c r="AB87" s="254"/>
      <c r="AC87" s="254"/>
      <c r="AD87" s="254"/>
      <c r="AE87" s="254"/>
      <c r="AF87" s="254"/>
      <c r="AG87" s="254"/>
      <c r="AH87" s="254"/>
      <c r="AI87" s="254"/>
      <c r="AJ87" s="254"/>
      <c r="AK87" s="254"/>
      <c r="AL87" s="254"/>
      <c r="AM87" s="254"/>
      <c r="AN87" s="254"/>
      <c r="AO87" s="254"/>
      <c r="AP87" s="254"/>
      <c r="AQ87" s="254"/>
      <c r="AR87" s="301"/>
    </row>
    <row r="88" spans="1:44" s="1" customFormat="1">
      <c r="A88" s="13"/>
      <c r="B88" s="13" t="s">
        <v>110</v>
      </c>
      <c r="C88" s="13"/>
      <c r="D88" s="13"/>
      <c r="E88" s="13"/>
      <c r="F88" s="24"/>
      <c r="G88" s="35" t="s">
        <v>67</v>
      </c>
      <c r="H88" s="25">
        <f t="shared" ref="H88:AQ88" si="47">+H25</f>
        <v>1943668.8</v>
      </c>
      <c r="I88" s="25">
        <f t="shared" si="47"/>
        <v>1943668.8</v>
      </c>
      <c r="J88" s="25">
        <f t="shared" si="47"/>
        <v>1943668.8</v>
      </c>
      <c r="K88" s="25">
        <f t="shared" si="47"/>
        <v>1948993.92</v>
      </c>
      <c r="L88" s="25">
        <f t="shared" si="47"/>
        <v>1943668.8</v>
      </c>
      <c r="M88" s="25">
        <f t="shared" si="47"/>
        <v>1943668.8</v>
      </c>
      <c r="N88" s="25">
        <f t="shared" si="47"/>
        <v>1943668.8</v>
      </c>
      <c r="O88" s="25">
        <f t="shared" si="47"/>
        <v>1948993.92</v>
      </c>
      <c r="P88" s="25">
        <f t="shared" si="47"/>
        <v>1943668.8</v>
      </c>
      <c r="Q88" s="25">
        <f t="shared" si="47"/>
        <v>1943668.8</v>
      </c>
      <c r="R88" s="25">
        <f t="shared" si="47"/>
        <v>1943668.8</v>
      </c>
      <c r="S88" s="25">
        <f t="shared" si="47"/>
        <v>1948993.92</v>
      </c>
      <c r="T88" s="25">
        <f t="shared" si="47"/>
        <v>1943668.8</v>
      </c>
      <c r="U88" s="25">
        <f t="shared" si="47"/>
        <v>1943668.8</v>
      </c>
      <c r="V88" s="25">
        <f t="shared" si="47"/>
        <v>1943668.8</v>
      </c>
      <c r="W88" s="25">
        <f t="shared" si="47"/>
        <v>1948993.92</v>
      </c>
      <c r="X88" s="25">
        <f t="shared" si="47"/>
        <v>1943668.8</v>
      </c>
      <c r="Y88" s="25">
        <f t="shared" si="47"/>
        <v>1943668.8</v>
      </c>
      <c r="Z88" s="25">
        <f t="shared" si="47"/>
        <v>1943668.8</v>
      </c>
      <c r="AA88" s="278">
        <f t="shared" si="47"/>
        <v>1948993.92</v>
      </c>
      <c r="AB88" s="278">
        <f t="shared" si="47"/>
        <v>1943668.8</v>
      </c>
      <c r="AC88" s="278">
        <f t="shared" si="47"/>
        <v>1943668.8</v>
      </c>
      <c r="AD88" s="278">
        <f t="shared" si="47"/>
        <v>1943668.8</v>
      </c>
      <c r="AE88" s="278">
        <f t="shared" si="47"/>
        <v>1948993.92</v>
      </c>
      <c r="AF88" s="278">
        <f t="shared" si="47"/>
        <v>1943668.8</v>
      </c>
      <c r="AG88" s="278">
        <f t="shared" si="47"/>
        <v>1943668.8</v>
      </c>
      <c r="AH88" s="278">
        <f t="shared" si="47"/>
        <v>1943668.8</v>
      </c>
      <c r="AI88" s="278">
        <f t="shared" si="47"/>
        <v>1948993.92</v>
      </c>
      <c r="AJ88" s="278">
        <f t="shared" si="47"/>
        <v>1943668.8</v>
      </c>
      <c r="AK88" s="278">
        <f t="shared" si="47"/>
        <v>1943668.8</v>
      </c>
      <c r="AL88" s="278">
        <f t="shared" si="47"/>
        <v>1943668.8</v>
      </c>
      <c r="AM88" s="278">
        <f t="shared" si="47"/>
        <v>1948993.92</v>
      </c>
      <c r="AN88" s="278">
        <f t="shared" si="47"/>
        <v>1943668.8</v>
      </c>
      <c r="AO88" s="278">
        <f t="shared" si="47"/>
        <v>1943668.8</v>
      </c>
      <c r="AP88" s="278">
        <f t="shared" si="47"/>
        <v>1943668.8</v>
      </c>
      <c r="AQ88" s="278">
        <f t="shared" si="47"/>
        <v>1948993.92</v>
      </c>
      <c r="AR88" s="301"/>
    </row>
    <row r="89" spans="1:44" s="1" customFormat="1" ht="13.8" thickBot="1">
      <c r="A89" s="13"/>
      <c r="B89" s="13" t="s">
        <v>131</v>
      </c>
      <c r="C89" s="13"/>
      <c r="D89" s="13"/>
      <c r="E89" s="13"/>
      <c r="F89" s="24"/>
      <c r="G89" s="73" t="s">
        <v>14</v>
      </c>
      <c r="H89" s="30">
        <f t="shared" ref="H89:AQ89" si="48">+H85-H35</f>
        <v>6.194971365317258</v>
      </c>
      <c r="I89" s="30">
        <f t="shared" si="48"/>
        <v>13.563615436497358</v>
      </c>
      <c r="J89" s="30">
        <f t="shared" si="48"/>
        <v>16.881112796926747</v>
      </c>
      <c r="K89" s="30">
        <f t="shared" si="48"/>
        <v>17.35805378117524</v>
      </c>
      <c r="L89" s="30">
        <f t="shared" si="48"/>
        <v>16.788095849742966</v>
      </c>
      <c r="M89" s="30">
        <f t="shared" si="48"/>
        <v>17.909554102025098</v>
      </c>
      <c r="N89" s="30">
        <f t="shared" si="48"/>
        <v>14.922314076000838</v>
      </c>
      <c r="O89" s="30">
        <f t="shared" si="48"/>
        <v>13.442792856635819</v>
      </c>
      <c r="P89" s="30">
        <f t="shared" si="48"/>
        <v>13.984508753061753</v>
      </c>
      <c r="Q89" s="30">
        <f t="shared" si="48"/>
        <v>14.445339374525432</v>
      </c>
      <c r="R89" s="30">
        <f t="shared" si="48"/>
        <v>14.891220579219393</v>
      </c>
      <c r="S89" s="30">
        <f t="shared" si="48"/>
        <v>15.825481474028123</v>
      </c>
      <c r="T89" s="30">
        <f t="shared" si="48"/>
        <v>16.524345768930964</v>
      </c>
      <c r="U89" s="30">
        <f t="shared" si="48"/>
        <v>15.545637142688832</v>
      </c>
      <c r="V89" s="30">
        <f t="shared" si="48"/>
        <v>17.608558949351824</v>
      </c>
      <c r="W89" s="30">
        <f t="shared" si="48"/>
        <v>17.612657461881994</v>
      </c>
      <c r="X89" s="30">
        <f t="shared" si="48"/>
        <v>19.361701811697138</v>
      </c>
      <c r="Y89" s="30">
        <f t="shared" si="48"/>
        <v>20.425396205836954</v>
      </c>
      <c r="Z89" s="30">
        <f t="shared" si="48"/>
        <v>20.52717333488075</v>
      </c>
      <c r="AA89" s="325">
        <f t="shared" si="48"/>
        <v>-5.1718081783741141</v>
      </c>
      <c r="AB89" s="325">
        <f t="shared" si="48"/>
        <v>-6.3357690839582688</v>
      </c>
      <c r="AC89" s="325">
        <f t="shared" si="48"/>
        <v>-2.7656980422541366</v>
      </c>
      <c r="AD89" s="325">
        <f t="shared" si="48"/>
        <v>-5.9320343116675929</v>
      </c>
      <c r="AE89" s="325">
        <f t="shared" si="48"/>
        <v>-5.8156006713122821</v>
      </c>
      <c r="AF89" s="325">
        <f t="shared" si="48"/>
        <v>2.168574600314507</v>
      </c>
      <c r="AG89" s="325">
        <f t="shared" si="48"/>
        <v>-5.3598308433753132</v>
      </c>
      <c r="AH89" s="325">
        <f t="shared" si="48"/>
        <v>-6.5537146104143034</v>
      </c>
      <c r="AI89" s="325">
        <f t="shared" si="48"/>
        <v>-2.8893108068499416</v>
      </c>
      <c r="AJ89" s="325">
        <f t="shared" si="48"/>
        <v>-6.0486365694442341</v>
      </c>
      <c r="AK89" s="325">
        <f t="shared" si="48"/>
        <v>-5.8409177261541174</v>
      </c>
      <c r="AL89" s="325">
        <f t="shared" si="48"/>
        <v>2.3736487033983451</v>
      </c>
      <c r="AM89" s="325">
        <f t="shared" si="48"/>
        <v>-5.3459418990412857</v>
      </c>
      <c r="AN89" s="325">
        <f t="shared" si="48"/>
        <v>-6.4740785971840822</v>
      </c>
      <c r="AO89" s="325">
        <f t="shared" si="48"/>
        <v>-2.6008722151508721</v>
      </c>
      <c r="AP89" s="325">
        <f t="shared" si="48"/>
        <v>-5.8304898695410259</v>
      </c>
      <c r="AQ89" s="325">
        <f t="shared" si="48"/>
        <v>-5.5897388224572211</v>
      </c>
      <c r="AR89" s="301"/>
    </row>
    <row r="90" spans="1:44" s="1" customFormat="1" ht="13.8" thickBot="1">
      <c r="B90" s="33" t="s">
        <v>18</v>
      </c>
      <c r="C90" s="16"/>
      <c r="D90" s="16"/>
      <c r="E90" s="21"/>
      <c r="F90" s="21"/>
      <c r="G90" s="21"/>
      <c r="H90" s="157">
        <f>+H88*H89/1000</f>
        <v>12040.972559660559</v>
      </c>
      <c r="I90" s="158">
        <f t="shared" ref="I90:AA90" si="49">+I88*I89/1000</f>
        <v>26363.176139118295</v>
      </c>
      <c r="J90" s="158">
        <f t="shared" si="49"/>
        <v>32811.292252667256</v>
      </c>
      <c r="K90" s="158">
        <f t="shared" si="49"/>
        <v>33830.741282543553</v>
      </c>
      <c r="L90" s="158">
        <f t="shared" si="49"/>
        <v>32630.498114554892</v>
      </c>
      <c r="M90" s="158">
        <f t="shared" si="49"/>
        <v>34810.241530018204</v>
      </c>
      <c r="N90" s="158">
        <f t="shared" si="49"/>
        <v>29004.036293323657</v>
      </c>
      <c r="O90" s="158">
        <f t="shared" si="49"/>
        <v>26199.921545402642</v>
      </c>
      <c r="P90" s="158">
        <f t="shared" si="49"/>
        <v>27181.253346653037</v>
      </c>
      <c r="Q90" s="158">
        <f t="shared" si="49"/>
        <v>28076.955447676595</v>
      </c>
      <c r="R90" s="158">
        <f t="shared" si="49"/>
        <v>28943.600833746663</v>
      </c>
      <c r="S90" s="158">
        <f t="shared" si="49"/>
        <v>30843.767173953449</v>
      </c>
      <c r="T90" s="158">
        <f t="shared" si="49"/>
        <v>32117.855311483123</v>
      </c>
      <c r="U90" s="158">
        <f t="shared" si="49"/>
        <v>30215.569890365434</v>
      </c>
      <c r="V90" s="158">
        <f t="shared" si="49"/>
        <v>34225.206642815923</v>
      </c>
      <c r="W90" s="158">
        <f t="shared" si="49"/>
        <v>34326.962308250637</v>
      </c>
      <c r="X90" s="158">
        <f t="shared" si="49"/>
        <v>37632.735726299201</v>
      </c>
      <c r="Y90" s="158">
        <f t="shared" si="49"/>
        <v>39700.205332923666</v>
      </c>
      <c r="Z90" s="159">
        <f t="shared" si="49"/>
        <v>39898.026363199664</v>
      </c>
      <c r="AA90" s="272">
        <f t="shared" si="49"/>
        <v>-10079.822695057424</v>
      </c>
      <c r="AB90" s="272">
        <f t="shared" ref="AB90:AQ90" si="50">+AB88*AB89/1000</f>
        <v>-12314.636692494267</v>
      </c>
      <c r="AC90" s="272">
        <f t="shared" si="50"/>
        <v>-5375.6009949504469</v>
      </c>
      <c r="AD90" s="272">
        <f t="shared" si="50"/>
        <v>-11529.910012117776</v>
      </c>
      <c r="AE90" s="272">
        <f t="shared" si="50"/>
        <v>-11334.570349535557</v>
      </c>
      <c r="AF90" s="272">
        <f t="shared" si="50"/>
        <v>4214.9907911037772</v>
      </c>
      <c r="AG90" s="272">
        <f t="shared" si="50"/>
        <v>-10417.735983546283</v>
      </c>
      <c r="AH90" s="272">
        <f t="shared" si="50"/>
        <v>-12738.250612366435</v>
      </c>
      <c r="AI90" s="272">
        <f t="shared" si="50"/>
        <v>-5631.2491955408304</v>
      </c>
      <c r="AJ90" s="272">
        <f t="shared" si="50"/>
        <v>-11756.546182567792</v>
      </c>
      <c r="AK90" s="272">
        <f t="shared" si="50"/>
        <v>-11352.809547692703</v>
      </c>
      <c r="AL90" s="272">
        <f t="shared" si="50"/>
        <v>4613.586926955817</v>
      </c>
      <c r="AM90" s="272">
        <f t="shared" si="50"/>
        <v>-10419.20825790472</v>
      </c>
      <c r="AN90" s="272">
        <f t="shared" si="50"/>
        <v>-12583.46457809447</v>
      </c>
      <c r="AO90" s="272">
        <f t="shared" si="50"/>
        <v>-5055.234177375638</v>
      </c>
      <c r="AP90" s="272">
        <f t="shared" si="50"/>
        <v>-11332.541248142963</v>
      </c>
      <c r="AQ90" s="272">
        <f t="shared" si="50"/>
        <v>-10894.366979357083</v>
      </c>
      <c r="AR90" s="301"/>
    </row>
    <row r="91" spans="1:44" s="1" customFormat="1" ht="13.8" thickBot="1">
      <c r="B91" s="350" t="str">
        <f>CONCATENATE("NPV ",+$E$16*100," of Cf to Term (2036)")</f>
        <v>NPV 6.25 of Cf to Term (2036)</v>
      </c>
      <c r="C91" s="13"/>
      <c r="G91" s="36">
        <f>SUMPRODUCT(H90:AQ90,H16:AQ16)</f>
        <v>298809.72001336963</v>
      </c>
      <c r="AA91" s="254"/>
      <c r="AB91" s="254"/>
      <c r="AC91" s="254"/>
      <c r="AD91" s="254"/>
      <c r="AE91" s="254"/>
      <c r="AF91" s="254"/>
      <c r="AG91" s="254"/>
      <c r="AH91" s="254"/>
      <c r="AI91" s="254"/>
      <c r="AJ91" s="254"/>
      <c r="AK91" s="254"/>
      <c r="AL91" s="254"/>
      <c r="AM91" s="254"/>
      <c r="AN91" s="254"/>
      <c r="AO91" s="254"/>
      <c r="AP91" s="254"/>
      <c r="AQ91" s="254"/>
      <c r="AR91" s="301"/>
    </row>
    <row r="92" spans="1:44" s="1" customFormat="1">
      <c r="B92" s="13"/>
      <c r="C92" s="13"/>
      <c r="D92" s="13"/>
      <c r="AA92" s="254"/>
      <c r="AB92" s="254"/>
      <c r="AC92" s="254"/>
      <c r="AD92" s="254"/>
      <c r="AE92" s="254"/>
      <c r="AF92" s="254"/>
      <c r="AG92" s="254"/>
      <c r="AH92" s="254"/>
      <c r="AI92" s="254"/>
      <c r="AJ92" s="254"/>
      <c r="AK92" s="254"/>
      <c r="AL92" s="254"/>
      <c r="AM92" s="254"/>
      <c r="AN92" s="254"/>
      <c r="AO92" s="254"/>
      <c r="AP92" s="254"/>
      <c r="AQ92" s="254"/>
      <c r="AR92" s="301"/>
    </row>
    <row r="93" spans="1:44" s="1" customFormat="1">
      <c r="B93" s="13"/>
      <c r="C93" s="13"/>
      <c r="D93" s="13"/>
      <c r="AA93" s="254"/>
      <c r="AB93" s="254"/>
      <c r="AC93" s="254"/>
      <c r="AD93" s="254"/>
      <c r="AE93" s="254"/>
      <c r="AF93" s="254"/>
      <c r="AG93" s="254"/>
      <c r="AH93" s="254"/>
      <c r="AI93" s="254"/>
      <c r="AJ93" s="254"/>
      <c r="AK93" s="254"/>
      <c r="AL93" s="254"/>
      <c r="AM93" s="254"/>
      <c r="AN93" s="254"/>
      <c r="AO93" s="254"/>
      <c r="AP93" s="254"/>
      <c r="AQ93" s="254"/>
      <c r="AR93" s="301"/>
    </row>
    <row r="94" spans="1:44" s="1" customFormat="1">
      <c r="B94" s="13"/>
      <c r="C94" s="13"/>
      <c r="D94" s="13"/>
      <c r="AA94" s="254"/>
      <c r="AB94" s="254"/>
      <c r="AC94" s="254"/>
      <c r="AD94" s="254"/>
      <c r="AE94" s="254"/>
      <c r="AF94" s="254"/>
      <c r="AG94" s="254"/>
      <c r="AH94" s="254"/>
      <c r="AI94" s="254"/>
      <c r="AJ94" s="254"/>
      <c r="AK94" s="254"/>
      <c r="AL94" s="254"/>
      <c r="AM94" s="254"/>
      <c r="AN94" s="254"/>
      <c r="AO94" s="254"/>
      <c r="AP94" s="254"/>
      <c r="AQ94" s="254"/>
      <c r="AR94" s="301"/>
    </row>
    <row r="95" spans="1:44" s="1" customFormat="1" ht="16.2" thickBot="1">
      <c r="A95" s="29"/>
      <c r="B95" s="13"/>
      <c r="C95" s="13"/>
      <c r="D95" s="13"/>
      <c r="E95" s="13"/>
      <c r="H95" s="11">
        <f>+H$9</f>
        <v>2001</v>
      </c>
      <c r="I95" s="11">
        <f t="shared" ref="I95:Z95" si="51">+I$9</f>
        <v>2002</v>
      </c>
      <c r="J95" s="11">
        <f t="shared" si="51"/>
        <v>2003</v>
      </c>
      <c r="K95" s="11">
        <f t="shared" si="51"/>
        <v>2004</v>
      </c>
      <c r="L95" s="11">
        <f t="shared" si="51"/>
        <v>2005</v>
      </c>
      <c r="M95" s="11">
        <f t="shared" si="51"/>
        <v>2006</v>
      </c>
      <c r="N95" s="11">
        <f t="shared" si="51"/>
        <v>2007</v>
      </c>
      <c r="O95" s="11">
        <f t="shared" si="51"/>
        <v>2008</v>
      </c>
      <c r="P95" s="11">
        <f t="shared" si="51"/>
        <v>2009</v>
      </c>
      <c r="Q95" s="11">
        <f t="shared" si="51"/>
        <v>2010</v>
      </c>
      <c r="R95" s="11">
        <f t="shared" si="51"/>
        <v>2011</v>
      </c>
      <c r="S95" s="11">
        <f t="shared" si="51"/>
        <v>2012</v>
      </c>
      <c r="T95" s="11">
        <f t="shared" si="51"/>
        <v>2013</v>
      </c>
      <c r="U95" s="11">
        <f t="shared" si="51"/>
        <v>2014</v>
      </c>
      <c r="V95" s="11">
        <f t="shared" si="51"/>
        <v>2015</v>
      </c>
      <c r="W95" s="11">
        <f t="shared" si="51"/>
        <v>2016</v>
      </c>
      <c r="X95" s="11">
        <f t="shared" si="51"/>
        <v>2017</v>
      </c>
      <c r="Y95" s="11">
        <f t="shared" si="51"/>
        <v>2018</v>
      </c>
      <c r="Z95" s="11">
        <f t="shared" si="51"/>
        <v>2019</v>
      </c>
      <c r="AA95" s="254"/>
      <c r="AB95" s="254"/>
      <c r="AC95" s="254"/>
      <c r="AD95" s="254"/>
      <c r="AE95" s="254"/>
      <c r="AF95" s="254"/>
      <c r="AG95" s="254"/>
      <c r="AH95" s="254"/>
      <c r="AI95" s="254"/>
      <c r="AJ95" s="254"/>
      <c r="AK95" s="254"/>
      <c r="AL95" s="254"/>
      <c r="AM95" s="254"/>
      <c r="AN95" s="254"/>
      <c r="AO95" s="254"/>
      <c r="AP95" s="254"/>
      <c r="AQ95" s="254"/>
      <c r="AR95" s="301"/>
    </row>
    <row r="96" spans="1:44" s="1" customFormat="1" ht="15.6">
      <c r="A96" s="29" t="s">
        <v>21</v>
      </c>
      <c r="B96" s="13"/>
      <c r="C96" s="13"/>
      <c r="D96" s="13"/>
      <c r="E96" s="13"/>
      <c r="AA96" s="254"/>
      <c r="AB96" s="254"/>
      <c r="AC96" s="254"/>
      <c r="AD96" s="254"/>
      <c r="AE96" s="254"/>
      <c r="AF96" s="254"/>
      <c r="AG96" s="254"/>
      <c r="AH96" s="254"/>
      <c r="AI96" s="254"/>
      <c r="AJ96" s="254"/>
      <c r="AK96" s="254"/>
      <c r="AL96" s="254"/>
      <c r="AM96" s="254"/>
      <c r="AN96" s="254"/>
      <c r="AO96" s="254"/>
      <c r="AP96" s="254"/>
      <c r="AQ96" s="254"/>
      <c r="AR96" s="301"/>
    </row>
    <row r="97" spans="1:60" s="1" customFormat="1" ht="15.6">
      <c r="A97" s="29"/>
      <c r="B97" s="13"/>
      <c r="C97" s="13"/>
      <c r="D97" s="13"/>
      <c r="E97" s="13"/>
      <c r="AA97" s="275"/>
      <c r="AB97" s="254"/>
      <c r="AC97" s="254"/>
      <c r="AD97" s="254"/>
      <c r="AE97" s="254"/>
      <c r="AF97" s="254"/>
      <c r="AG97" s="254"/>
      <c r="AH97" s="254"/>
      <c r="AI97" s="254"/>
      <c r="AJ97" s="254"/>
      <c r="AK97" s="254"/>
      <c r="AL97" s="254"/>
      <c r="AM97" s="254"/>
      <c r="AN97" s="254"/>
      <c r="AO97" s="254"/>
      <c r="AP97" s="254"/>
      <c r="AQ97" s="254"/>
      <c r="AR97" s="301"/>
    </row>
    <row r="98" spans="1:60" s="1" customFormat="1">
      <c r="A98" s="16" t="s">
        <v>20</v>
      </c>
      <c r="C98" s="13"/>
      <c r="D98" s="13"/>
      <c r="E98" s="13"/>
      <c r="AA98" s="275"/>
      <c r="AB98" s="254"/>
      <c r="AC98" s="254"/>
      <c r="AD98" s="254"/>
      <c r="AE98" s="254"/>
      <c r="AF98" s="254"/>
      <c r="AG98" s="254"/>
      <c r="AH98" s="254"/>
      <c r="AI98" s="254"/>
      <c r="AJ98" s="254"/>
      <c r="AK98" s="254"/>
      <c r="AL98" s="254"/>
      <c r="AM98" s="254"/>
      <c r="AN98" s="254"/>
      <c r="AO98" s="254"/>
      <c r="AP98" s="254"/>
      <c r="AQ98" s="254"/>
      <c r="AR98" s="301"/>
    </row>
    <row r="99" spans="1:60" s="1" customFormat="1">
      <c r="A99" s="33" t="s">
        <v>239</v>
      </c>
      <c r="C99" s="33"/>
      <c r="D99" s="33"/>
      <c r="E99" s="33"/>
      <c r="G99" s="82">
        <f>+G102-G101-G100</f>
        <v>129618</v>
      </c>
      <c r="H99" s="161">
        <f>+G99/$G$102</f>
        <v>0.31996544063194271</v>
      </c>
      <c r="AA99" s="275"/>
      <c r="AB99" s="254"/>
      <c r="AC99" s="254"/>
      <c r="AD99" s="254"/>
      <c r="AE99" s="254"/>
      <c r="AF99" s="254"/>
      <c r="AG99" s="254"/>
      <c r="AH99" s="254"/>
      <c r="AI99" s="254"/>
      <c r="AJ99" s="254"/>
      <c r="AK99" s="254"/>
      <c r="AL99" s="254"/>
      <c r="AM99" s="254"/>
      <c r="AN99" s="254"/>
      <c r="AO99" s="254"/>
      <c r="AP99" s="254"/>
      <c r="AQ99" s="254"/>
      <c r="AR99" s="301"/>
    </row>
    <row r="100" spans="1:60" s="1" customFormat="1">
      <c r="A100" s="33" t="s">
        <v>238</v>
      </c>
      <c r="C100" s="33"/>
      <c r="D100" s="33"/>
      <c r="E100" s="33"/>
      <c r="G100" s="162">
        <v>130000</v>
      </c>
      <c r="H100" s="161">
        <f>+G100/$G$102</f>
        <v>0.32090841767464823</v>
      </c>
      <c r="J100" s="9"/>
      <c r="AA100" s="275"/>
      <c r="AB100" s="254"/>
      <c r="AC100" s="254"/>
      <c r="AD100" s="254"/>
      <c r="AE100" s="254"/>
      <c r="AF100" s="254"/>
      <c r="AG100" s="254"/>
      <c r="AH100" s="254"/>
      <c r="AI100" s="254"/>
      <c r="AJ100" s="254"/>
      <c r="AK100" s="254"/>
      <c r="AL100" s="254"/>
      <c r="AM100" s="254"/>
      <c r="AN100" s="254"/>
      <c r="AO100" s="254"/>
      <c r="AP100" s="254"/>
      <c r="AQ100" s="254"/>
      <c r="AR100" s="301"/>
    </row>
    <row r="101" spans="1:60" s="1" customFormat="1" ht="13.8" thickBot="1">
      <c r="A101" s="33" t="s">
        <v>2</v>
      </c>
      <c r="C101" s="33"/>
      <c r="D101" s="33"/>
      <c r="E101" s="33"/>
      <c r="G101" s="162">
        <v>145482</v>
      </c>
      <c r="H101" s="161">
        <f>+G101/$G$102</f>
        <v>0.35912614169340906</v>
      </c>
      <c r="AA101" s="275"/>
      <c r="AB101" s="254"/>
      <c r="AC101" s="254"/>
      <c r="AD101" s="254"/>
      <c r="AE101" s="254"/>
      <c r="AF101" s="254"/>
      <c r="AG101" s="254"/>
      <c r="AH101" s="254"/>
      <c r="AI101" s="254"/>
      <c r="AJ101" s="254"/>
      <c r="AK101" s="254"/>
      <c r="AL101" s="254"/>
      <c r="AM101" s="254"/>
      <c r="AN101" s="254"/>
      <c r="AO101" s="254"/>
      <c r="AP101" s="254"/>
      <c r="AQ101" s="254"/>
      <c r="AR101" s="301"/>
    </row>
    <row r="102" spans="1:60" s="6" customFormat="1" ht="13.8" thickBot="1">
      <c r="A102" s="16" t="s">
        <v>3</v>
      </c>
      <c r="C102" s="16"/>
      <c r="D102" s="16"/>
      <c r="E102" s="16"/>
      <c r="F102" s="21"/>
      <c r="G102" s="108">
        <v>405100</v>
      </c>
      <c r="AA102" s="272"/>
      <c r="AB102" s="272"/>
      <c r="AC102" s="272"/>
      <c r="AD102" s="272"/>
      <c r="AE102" s="272"/>
      <c r="AF102" s="272"/>
      <c r="AG102" s="272"/>
      <c r="AH102" s="272"/>
      <c r="AI102" s="272"/>
      <c r="AJ102" s="272"/>
      <c r="AK102" s="272"/>
      <c r="AL102" s="272"/>
      <c r="AM102" s="272"/>
      <c r="AN102" s="272"/>
      <c r="AO102" s="272"/>
      <c r="AP102" s="272"/>
      <c r="AQ102" s="272"/>
      <c r="AR102" s="302"/>
    </row>
    <row r="103" spans="1:60" s="6" customFormat="1">
      <c r="A103" s="33" t="s">
        <v>169</v>
      </c>
      <c r="C103" s="16"/>
      <c r="D103" s="16"/>
      <c r="E103" s="16"/>
      <c r="F103" s="21"/>
      <c r="G103" s="22">
        <f>-(+SUM(G99:G100)+SUM(G104:G107))</f>
        <v>-231240.14451573358</v>
      </c>
      <c r="AA103" s="272"/>
      <c r="AB103" s="272"/>
      <c r="AC103" s="272"/>
      <c r="AD103" s="272"/>
      <c r="AE103" s="272"/>
      <c r="AF103" s="272"/>
      <c r="AG103" s="272"/>
      <c r="AH103" s="272"/>
      <c r="AI103" s="272"/>
      <c r="AJ103" s="272"/>
      <c r="AK103" s="272"/>
      <c r="AL103" s="272"/>
      <c r="AM103" s="272"/>
      <c r="AN103" s="272"/>
      <c r="AO103" s="272"/>
      <c r="AP103" s="272"/>
      <c r="AQ103" s="272"/>
      <c r="AR103" s="302"/>
    </row>
    <row r="104" spans="1:60" s="6" customFormat="1">
      <c r="A104" s="33" t="s">
        <v>27</v>
      </c>
      <c r="C104" s="33"/>
      <c r="D104" s="33"/>
      <c r="E104" s="33"/>
      <c r="F104" s="35"/>
      <c r="G104" s="106">
        <v>-7723.8554842664298</v>
      </c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72"/>
      <c r="AB104" s="272"/>
      <c r="AC104" s="272"/>
      <c r="AD104" s="272"/>
      <c r="AE104" s="272"/>
      <c r="AF104" s="272"/>
      <c r="AG104" s="272"/>
      <c r="AH104" s="272"/>
      <c r="AI104" s="272"/>
      <c r="AJ104" s="272"/>
      <c r="AK104" s="272"/>
      <c r="AL104" s="272"/>
      <c r="AM104" s="272"/>
      <c r="AN104" s="272"/>
      <c r="AO104" s="272"/>
      <c r="AP104" s="272"/>
      <c r="AQ104" s="272"/>
      <c r="AR104" s="302"/>
      <c r="BD104" s="25"/>
      <c r="BE104" s="25"/>
      <c r="BF104" s="25"/>
      <c r="BG104" s="25"/>
      <c r="BH104" s="25"/>
    </row>
    <row r="105" spans="1:60" s="6" customFormat="1">
      <c r="A105" s="33" t="s">
        <v>28</v>
      </c>
      <c r="C105" s="33"/>
      <c r="D105" s="33"/>
      <c r="E105" s="33"/>
      <c r="F105" s="35"/>
      <c r="G105" s="106">
        <v>-4110</v>
      </c>
      <c r="I105" s="457">
        <f>-SUM(G104:G107)</f>
        <v>28377.855484266431</v>
      </c>
      <c r="J105" s="458" t="s">
        <v>170</v>
      </c>
      <c r="K105" s="458"/>
      <c r="L105" s="458"/>
      <c r="M105" s="458"/>
      <c r="N105" s="458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72"/>
      <c r="AB105" s="272"/>
      <c r="AC105" s="272"/>
      <c r="AD105" s="272"/>
      <c r="AE105" s="272"/>
      <c r="AF105" s="272"/>
      <c r="AG105" s="272"/>
      <c r="AH105" s="272"/>
      <c r="AI105" s="272"/>
      <c r="AJ105" s="272"/>
      <c r="AK105" s="272"/>
      <c r="AL105" s="272"/>
      <c r="AM105" s="272"/>
      <c r="AN105" s="272"/>
      <c r="AO105" s="272"/>
      <c r="AP105" s="272"/>
      <c r="AQ105" s="272"/>
      <c r="AR105" s="302"/>
      <c r="BD105" s="25"/>
      <c r="BE105" s="25"/>
      <c r="BF105" s="25"/>
      <c r="BG105" s="25"/>
      <c r="BH105" s="25"/>
    </row>
    <row r="106" spans="1:60" s="6" customFormat="1">
      <c r="A106" s="33" t="s">
        <v>160</v>
      </c>
      <c r="C106" s="33"/>
      <c r="D106" s="33"/>
      <c r="E106" s="33"/>
      <c r="F106" s="35"/>
      <c r="G106" s="106">
        <f>-1194-350</f>
        <v>-1544</v>
      </c>
      <c r="I106" s="457"/>
      <c r="J106" s="458"/>
      <c r="K106" s="458"/>
      <c r="L106" s="458"/>
      <c r="M106" s="458"/>
      <c r="N106" s="458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72"/>
      <c r="AB106" s="272"/>
      <c r="AC106" s="272"/>
      <c r="AD106" s="272"/>
      <c r="AE106" s="272"/>
      <c r="AF106" s="272"/>
      <c r="AG106" s="272"/>
      <c r="AH106" s="272"/>
      <c r="AI106" s="272"/>
      <c r="AJ106" s="272"/>
      <c r="AK106" s="272"/>
      <c r="AL106" s="272"/>
      <c r="AM106" s="272"/>
      <c r="AN106" s="272"/>
      <c r="AO106" s="272"/>
      <c r="AP106" s="272"/>
      <c r="AQ106" s="272"/>
      <c r="AR106" s="302"/>
      <c r="BD106" s="25"/>
      <c r="BE106" s="25"/>
      <c r="BF106" s="25"/>
      <c r="BG106" s="25"/>
      <c r="BH106" s="25"/>
    </row>
    <row r="107" spans="1:60" s="6" customFormat="1">
      <c r="A107" s="33" t="s">
        <v>161</v>
      </c>
      <c r="C107" s="33"/>
      <c r="D107" s="33"/>
      <c r="E107" s="33"/>
      <c r="F107" s="35"/>
      <c r="G107" s="106">
        <v>-15000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72"/>
      <c r="AB107" s="272"/>
      <c r="AC107" s="272"/>
      <c r="AD107" s="272"/>
      <c r="AE107" s="272"/>
      <c r="AF107" s="272"/>
      <c r="AG107" s="272"/>
      <c r="AH107" s="272"/>
      <c r="AI107" s="272"/>
      <c r="AJ107" s="272"/>
      <c r="AK107" s="272"/>
      <c r="AL107" s="272"/>
      <c r="AM107" s="272"/>
      <c r="AN107" s="272"/>
      <c r="AO107" s="272"/>
      <c r="AP107" s="272"/>
      <c r="AQ107" s="272"/>
      <c r="AR107" s="306" t="s">
        <v>188</v>
      </c>
      <c r="BD107" s="25"/>
      <c r="BE107" s="25"/>
      <c r="BF107" s="25"/>
      <c r="BG107" s="25"/>
      <c r="BH107" s="25"/>
    </row>
    <row r="108" spans="1:60" s="6" customFormat="1">
      <c r="A108" s="16"/>
      <c r="C108" s="13"/>
      <c r="D108" s="13"/>
      <c r="E108" s="13"/>
      <c r="F108" s="1"/>
      <c r="G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72"/>
      <c r="AB108" s="272"/>
      <c r="AC108" s="272"/>
      <c r="AD108" s="272"/>
      <c r="AE108" s="272"/>
      <c r="AF108" s="272"/>
      <c r="AG108" s="272"/>
      <c r="AH108" s="272"/>
      <c r="AI108" s="272"/>
      <c r="AJ108" s="272"/>
      <c r="AK108" s="272"/>
      <c r="AL108" s="272"/>
      <c r="AM108" s="272"/>
      <c r="AN108" s="272"/>
      <c r="AO108" s="272"/>
      <c r="AP108" s="272"/>
      <c r="AQ108" s="272"/>
      <c r="AR108" s="302"/>
      <c r="BD108" s="25"/>
      <c r="BE108" s="25"/>
      <c r="BF108" s="25"/>
      <c r="BG108" s="25"/>
      <c r="BH108" s="25"/>
    </row>
    <row r="109" spans="1:60" s="6" customFormat="1">
      <c r="A109" s="16" t="s">
        <v>115</v>
      </c>
      <c r="C109" s="13"/>
      <c r="D109" s="13"/>
      <c r="E109" s="13"/>
      <c r="F109" s="1"/>
      <c r="G109" s="12"/>
      <c r="AA109" s="272"/>
      <c r="AB109" s="272"/>
      <c r="AC109" s="272"/>
      <c r="AD109" s="272"/>
      <c r="AE109" s="272"/>
      <c r="AF109" s="272"/>
      <c r="AG109" s="272"/>
      <c r="AH109" s="272"/>
      <c r="AI109" s="272"/>
      <c r="AJ109" s="272"/>
      <c r="AK109" s="272"/>
      <c r="AL109" s="272"/>
      <c r="AM109" s="272"/>
      <c r="AN109" s="272"/>
      <c r="AO109" s="272"/>
      <c r="AP109" s="272"/>
      <c r="AQ109" s="272"/>
      <c r="AR109" s="302"/>
    </row>
    <row r="110" spans="1:60" s="6" customFormat="1">
      <c r="A110" s="16"/>
      <c r="C110" s="13"/>
      <c r="D110" s="13"/>
      <c r="E110" s="13"/>
      <c r="F110" s="1"/>
      <c r="G110" s="12"/>
      <c r="AA110" s="272"/>
      <c r="AB110" s="272"/>
      <c r="AC110" s="272"/>
      <c r="AD110" s="272"/>
      <c r="AE110" s="272"/>
      <c r="AF110" s="272"/>
      <c r="AG110" s="272"/>
      <c r="AH110" s="272"/>
      <c r="AI110" s="272"/>
      <c r="AJ110" s="272"/>
      <c r="AK110" s="272"/>
      <c r="AL110" s="272"/>
      <c r="AM110" s="272"/>
      <c r="AN110" s="272"/>
      <c r="AO110" s="272"/>
      <c r="AP110" s="272"/>
      <c r="AQ110" s="272"/>
      <c r="AR110" s="302"/>
    </row>
    <row r="111" spans="1:60" s="6" customFormat="1">
      <c r="A111" s="16"/>
      <c r="B111" s="16" t="s">
        <v>79</v>
      </c>
      <c r="C111" s="13"/>
      <c r="D111" s="13"/>
      <c r="E111" s="13"/>
      <c r="F111" s="1"/>
      <c r="G111" s="12"/>
      <c r="H111" s="451" t="s">
        <v>132</v>
      </c>
      <c r="I111" s="452"/>
      <c r="J111" s="452"/>
      <c r="K111" s="452"/>
      <c r="L111" s="452"/>
      <c r="M111" s="453"/>
      <c r="N111" s="454" t="s">
        <v>133</v>
      </c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6"/>
      <c r="AA111" s="272"/>
      <c r="AB111" s="272"/>
      <c r="AC111" s="272"/>
      <c r="AD111" s="272"/>
      <c r="AE111" s="272"/>
      <c r="AF111" s="272"/>
      <c r="AG111" s="272"/>
      <c r="AH111" s="272"/>
      <c r="AI111" s="272"/>
      <c r="AJ111" s="272"/>
      <c r="AK111" s="272"/>
      <c r="AL111" s="272"/>
      <c r="AM111" s="272"/>
      <c r="AN111" s="272"/>
      <c r="AO111" s="272"/>
      <c r="AP111" s="272"/>
      <c r="AQ111" s="272"/>
      <c r="AR111" s="302"/>
    </row>
    <row r="112" spans="1:60" s="6" customFormat="1">
      <c r="A112" s="16"/>
      <c r="B112" s="33" t="s">
        <v>70</v>
      </c>
      <c r="C112" s="1"/>
      <c r="D112" s="13"/>
      <c r="E112" s="13"/>
      <c r="F112" s="1"/>
      <c r="G112" s="73" t="s">
        <v>71</v>
      </c>
      <c r="H112" s="110">
        <v>2.3929399999999994</v>
      </c>
      <c r="I112" s="110">
        <v>2.5126200000000001</v>
      </c>
      <c r="J112" s="110">
        <v>2.64</v>
      </c>
      <c r="K112" s="110">
        <v>2.7704600000000004</v>
      </c>
      <c r="L112" s="110">
        <v>2.9089001990110286</v>
      </c>
      <c r="M112" s="110">
        <v>2.978762166057646</v>
      </c>
      <c r="N112" s="65">
        <f>+N31</f>
        <v>2.6838711580157941</v>
      </c>
      <c r="O112" s="65">
        <f t="shared" ref="O112:Z112" si="52">+O31</f>
        <v>2.7541982977265165</v>
      </c>
      <c r="P112" s="65">
        <f t="shared" si="52"/>
        <v>2.8135802951053019</v>
      </c>
      <c r="Q112" s="65">
        <f t="shared" si="52"/>
        <v>2.8741853170869223</v>
      </c>
      <c r="R112" s="65">
        <f t="shared" si="52"/>
        <v>2.9490291027438662</v>
      </c>
      <c r="S112" s="65">
        <f t="shared" si="52"/>
        <v>3.0257625790212348</v>
      </c>
      <c r="T112" s="65">
        <f t="shared" si="52"/>
        <v>3.1180483376813832</v>
      </c>
      <c r="U112" s="65">
        <f t="shared" si="52"/>
        <v>3.1989950510766483</v>
      </c>
      <c r="V112" s="65">
        <f t="shared" si="52"/>
        <v>3.2819811553038178</v>
      </c>
      <c r="W112" s="65">
        <f t="shared" si="52"/>
        <v>3.3736493042822597</v>
      </c>
      <c r="X112" s="65">
        <f t="shared" si="52"/>
        <v>3.4826967014064518</v>
      </c>
      <c r="Y112" s="65">
        <f t="shared" si="52"/>
        <v>3.5797731511283479</v>
      </c>
      <c r="Z112" s="65">
        <f t="shared" si="52"/>
        <v>3.679488874733821</v>
      </c>
      <c r="AA112" s="268">
        <f t="shared" ref="AA112:AQ112" si="53">+AA31</f>
        <v>3.7861786558002519</v>
      </c>
      <c r="AB112" s="268">
        <f t="shared" si="53"/>
        <v>3.895961994089308</v>
      </c>
      <c r="AC112" s="268">
        <f t="shared" si="53"/>
        <v>4.0089285898158931</v>
      </c>
      <c r="AD112" s="268">
        <f t="shared" si="53"/>
        <v>4.1251707441258052</v>
      </c>
      <c r="AE112" s="268">
        <f t="shared" si="53"/>
        <v>4.2447834345118487</v>
      </c>
      <c r="AF112" s="268">
        <f t="shared" si="53"/>
        <v>4.3678643924167</v>
      </c>
      <c r="AG112" s="268">
        <f t="shared" si="53"/>
        <v>4.4945141830859292</v>
      </c>
      <c r="AH112" s="268">
        <f t="shared" si="53"/>
        <v>4.6248362877364277</v>
      </c>
      <c r="AI112" s="268">
        <f t="shared" si="53"/>
        <v>4.7589371881073737</v>
      </c>
      <c r="AJ112" s="268">
        <f t="shared" si="53"/>
        <v>4.8969264534628234</v>
      </c>
      <c r="AK112" s="268">
        <f t="shared" si="53"/>
        <v>5.0389168301170146</v>
      </c>
      <c r="AL112" s="268">
        <f t="shared" si="53"/>
        <v>5.1850243335555266</v>
      </c>
      <c r="AM112" s="268">
        <f t="shared" si="53"/>
        <v>5.3353683432275689</v>
      </c>
      <c r="AN112" s="268">
        <f t="shared" si="53"/>
        <v>5.4900717000868537</v>
      </c>
      <c r="AO112" s="268">
        <f t="shared" si="53"/>
        <v>5.6492608069607391</v>
      </c>
      <c r="AP112" s="268">
        <f t="shared" si="53"/>
        <v>5.8130657318296617</v>
      </c>
      <c r="AQ112" s="268">
        <f t="shared" si="53"/>
        <v>5.9816203141012396</v>
      </c>
      <c r="AR112" s="302"/>
    </row>
    <row r="113" spans="1:60" s="6" customFormat="1">
      <c r="A113" s="16"/>
      <c r="B113" s="33" t="s">
        <v>74</v>
      </c>
      <c r="C113" s="1"/>
      <c r="E113" s="18">
        <f>+E78</f>
        <v>0.01</v>
      </c>
      <c r="F113" s="1"/>
      <c r="G113" s="73" t="s">
        <v>71</v>
      </c>
      <c r="H113" s="65">
        <f t="shared" ref="H113:AA113" si="54">(+H112/(1-$E$78))-H112</f>
        <v>2.4171111111110921E-2</v>
      </c>
      <c r="I113" s="65">
        <f t="shared" si="54"/>
        <v>2.538000000000018E-2</v>
      </c>
      <c r="J113" s="65">
        <f t="shared" si="54"/>
        <v>2.6666666666666838E-2</v>
      </c>
      <c r="K113" s="65">
        <f t="shared" si="54"/>
        <v>2.7984444444444367E-2</v>
      </c>
      <c r="L113" s="65">
        <f t="shared" si="54"/>
        <v>2.9382830293040563E-2</v>
      </c>
      <c r="M113" s="65">
        <f t="shared" si="54"/>
        <v>3.0088506727854902E-2</v>
      </c>
      <c r="N113" s="65">
        <f t="shared" si="54"/>
        <v>2.710980967692711E-2</v>
      </c>
      <c r="O113" s="65">
        <f t="shared" si="54"/>
        <v>2.78201848255204E-2</v>
      </c>
      <c r="P113" s="65">
        <f t="shared" si="54"/>
        <v>2.8420002980861447E-2</v>
      </c>
      <c r="Q113" s="65">
        <f t="shared" si="54"/>
        <v>2.9032174920069931E-2</v>
      </c>
      <c r="R113" s="65">
        <f t="shared" si="54"/>
        <v>2.9788172754988462E-2</v>
      </c>
      <c r="S113" s="65">
        <f t="shared" si="54"/>
        <v>3.0563258373951907E-2</v>
      </c>
      <c r="T113" s="65">
        <f t="shared" si="54"/>
        <v>3.1495437754357258E-2</v>
      </c>
      <c r="U113" s="65">
        <f t="shared" si="54"/>
        <v>3.2313081324006454E-2</v>
      </c>
      <c r="V113" s="65">
        <f t="shared" si="54"/>
        <v>3.3151324801048876E-2</v>
      </c>
      <c r="W113" s="65">
        <f t="shared" si="54"/>
        <v>3.4077265699820725E-2</v>
      </c>
      <c r="X113" s="65">
        <f t="shared" si="54"/>
        <v>3.517875455966113E-2</v>
      </c>
      <c r="Y113" s="65">
        <f t="shared" si="54"/>
        <v>3.6159324758872291E-2</v>
      </c>
      <c r="Z113" s="65">
        <f t="shared" si="54"/>
        <v>3.716655429024085E-2</v>
      </c>
      <c r="AA113" s="268">
        <f t="shared" si="54"/>
        <v>3.8244228846467276E-2</v>
      </c>
      <c r="AB113" s="268">
        <f t="shared" ref="AB113:AQ113" si="55">(+AB112/(1-$E$78))-AB112</f>
        <v>3.9353151455447488E-2</v>
      </c>
      <c r="AC113" s="268">
        <f t="shared" si="55"/>
        <v>4.0494228179958291E-2</v>
      </c>
      <c r="AD113" s="268">
        <f t="shared" si="55"/>
        <v>4.1668391354805934E-2</v>
      </c>
      <c r="AE113" s="268">
        <f t="shared" si="55"/>
        <v>4.2876600348604299E-2</v>
      </c>
      <c r="AF113" s="268">
        <f t="shared" si="55"/>
        <v>4.4119842347643434E-2</v>
      </c>
      <c r="AG113" s="268">
        <f t="shared" si="55"/>
        <v>4.539913316248434E-2</v>
      </c>
      <c r="AH113" s="268">
        <f t="shared" si="55"/>
        <v>4.6715518057943939E-2</v>
      </c>
      <c r="AI113" s="268">
        <f t="shared" si="55"/>
        <v>4.8070072607145242E-2</v>
      </c>
      <c r="AJ113" s="268">
        <f t="shared" si="55"/>
        <v>4.9463903570331702E-2</v>
      </c>
      <c r="AK113" s="268">
        <f t="shared" si="55"/>
        <v>5.0898149799161629E-2</v>
      </c>
      <c r="AL113" s="268">
        <f t="shared" si="55"/>
        <v>5.2373983167227856E-2</v>
      </c>
      <c r="AM113" s="268">
        <f t="shared" si="55"/>
        <v>5.3892609527551372E-2</v>
      </c>
      <c r="AN113" s="268">
        <f t="shared" si="55"/>
        <v>5.545526969784742E-2</v>
      </c>
      <c r="AO113" s="268">
        <f t="shared" si="55"/>
        <v>5.7063240474350962E-2</v>
      </c>
      <c r="AP113" s="268">
        <f t="shared" si="55"/>
        <v>5.871783567504707E-2</v>
      </c>
      <c r="AQ113" s="268">
        <f t="shared" si="55"/>
        <v>6.042040721314379E-2</v>
      </c>
      <c r="AR113" s="302"/>
    </row>
    <row r="114" spans="1:60" s="6" customFormat="1">
      <c r="A114" s="16"/>
      <c r="B114" s="33" t="s">
        <v>72</v>
      </c>
      <c r="C114" s="1"/>
      <c r="D114" s="13"/>
      <c r="E114" s="13"/>
      <c r="F114" s="1"/>
      <c r="G114" s="73" t="s">
        <v>71</v>
      </c>
      <c r="H114" s="111">
        <v>0.1</v>
      </c>
      <c r="I114" s="242">
        <f>+H114+0.005</f>
        <v>0.10500000000000001</v>
      </c>
      <c r="J114" s="242">
        <f t="shared" ref="J114:AQ114" si="56">+I114+0.005</f>
        <v>0.11000000000000001</v>
      </c>
      <c r="K114" s="242">
        <f t="shared" si="56"/>
        <v>0.11500000000000002</v>
      </c>
      <c r="L114" s="242">
        <f t="shared" si="56"/>
        <v>0.12000000000000002</v>
      </c>
      <c r="M114" s="242">
        <f t="shared" si="56"/>
        <v>0.12500000000000003</v>
      </c>
      <c r="N114" s="242">
        <f t="shared" si="56"/>
        <v>0.13000000000000003</v>
      </c>
      <c r="O114" s="242">
        <f t="shared" si="56"/>
        <v>0.13500000000000004</v>
      </c>
      <c r="P114" s="242">
        <f t="shared" si="56"/>
        <v>0.14000000000000004</v>
      </c>
      <c r="Q114" s="242">
        <f t="shared" si="56"/>
        <v>0.14500000000000005</v>
      </c>
      <c r="R114" s="242">
        <f t="shared" si="56"/>
        <v>0.15000000000000005</v>
      </c>
      <c r="S114" s="242">
        <f t="shared" si="56"/>
        <v>0.15500000000000005</v>
      </c>
      <c r="T114" s="242">
        <f t="shared" si="56"/>
        <v>0.16000000000000006</v>
      </c>
      <c r="U114" s="242">
        <f t="shared" si="56"/>
        <v>0.16500000000000006</v>
      </c>
      <c r="V114" s="242">
        <f t="shared" si="56"/>
        <v>0.17000000000000007</v>
      </c>
      <c r="W114" s="242">
        <f t="shared" si="56"/>
        <v>0.17500000000000007</v>
      </c>
      <c r="X114" s="242">
        <f t="shared" si="56"/>
        <v>0.18000000000000008</v>
      </c>
      <c r="Y114" s="242">
        <f t="shared" si="56"/>
        <v>0.18500000000000008</v>
      </c>
      <c r="Z114" s="242">
        <f t="shared" si="56"/>
        <v>0.19000000000000009</v>
      </c>
      <c r="AA114" s="268">
        <f t="shared" si="56"/>
        <v>0.19500000000000009</v>
      </c>
      <c r="AB114" s="268">
        <f t="shared" si="56"/>
        <v>0.20000000000000009</v>
      </c>
      <c r="AC114" s="268">
        <f t="shared" si="56"/>
        <v>0.2050000000000001</v>
      </c>
      <c r="AD114" s="268">
        <f t="shared" si="56"/>
        <v>0.2100000000000001</v>
      </c>
      <c r="AE114" s="268">
        <f t="shared" si="56"/>
        <v>0.21500000000000011</v>
      </c>
      <c r="AF114" s="268">
        <f t="shared" si="56"/>
        <v>0.22000000000000011</v>
      </c>
      <c r="AG114" s="268">
        <f t="shared" si="56"/>
        <v>0.22500000000000012</v>
      </c>
      <c r="AH114" s="268">
        <f t="shared" si="56"/>
        <v>0.23000000000000012</v>
      </c>
      <c r="AI114" s="268">
        <f t="shared" si="56"/>
        <v>0.23500000000000013</v>
      </c>
      <c r="AJ114" s="268">
        <f t="shared" si="56"/>
        <v>0.24000000000000013</v>
      </c>
      <c r="AK114" s="268">
        <f t="shared" si="56"/>
        <v>0.24500000000000013</v>
      </c>
      <c r="AL114" s="268">
        <f t="shared" si="56"/>
        <v>0.25000000000000011</v>
      </c>
      <c r="AM114" s="268">
        <f t="shared" si="56"/>
        <v>0.25500000000000012</v>
      </c>
      <c r="AN114" s="268">
        <f t="shared" si="56"/>
        <v>0.26000000000000012</v>
      </c>
      <c r="AO114" s="268">
        <f t="shared" si="56"/>
        <v>0.26500000000000012</v>
      </c>
      <c r="AP114" s="268">
        <f t="shared" si="56"/>
        <v>0.27000000000000013</v>
      </c>
      <c r="AQ114" s="268">
        <f t="shared" si="56"/>
        <v>0.27500000000000013</v>
      </c>
      <c r="AR114" s="302"/>
    </row>
    <row r="115" spans="1:60" s="6" customFormat="1" ht="13.8" thickBot="1">
      <c r="A115" s="16"/>
      <c r="B115" s="33" t="s">
        <v>165</v>
      </c>
      <c r="C115" s="1"/>
      <c r="D115" s="13"/>
      <c r="E115" s="13"/>
      <c r="F115" s="1"/>
      <c r="G115" s="73" t="s">
        <v>71</v>
      </c>
      <c r="H115" s="97">
        <v>0.04</v>
      </c>
      <c r="I115" s="361">
        <f>+H115*(1+I54)</f>
        <v>4.109031887960346E-2</v>
      </c>
      <c r="J115" s="361">
        <f t="shared" ref="J115:AQ115" si="57">+I115*(1+J54)</f>
        <v>4.2210357640687417E-2</v>
      </c>
      <c r="K115" s="361">
        <f t="shared" si="57"/>
        <v>4.3360926386948807E-2</v>
      </c>
      <c r="L115" s="361">
        <f t="shared" si="57"/>
        <v>4.4542857303868463E-2</v>
      </c>
      <c r="M115" s="361">
        <f t="shared" si="57"/>
        <v>4.5757005260615727E-2</v>
      </c>
      <c r="N115" s="361">
        <f t="shared" si="57"/>
        <v>4.7004248428359832E-2</v>
      </c>
      <c r="O115" s="361">
        <f t="shared" si="57"/>
        <v>4.8285488915435132E-2</v>
      </c>
      <c r="P115" s="361">
        <f t="shared" si="57"/>
        <v>4.9601653419819695E-2</v>
      </c>
      <c r="Q115" s="361">
        <f t="shared" si="57"/>
        <v>5.0953693899399119E-2</v>
      </c>
      <c r="R115" s="361">
        <f t="shared" si="57"/>
        <v>5.2342588260500381E-2</v>
      </c>
      <c r="S115" s="361">
        <f t="shared" si="57"/>
        <v>5.3769341065193731E-2</v>
      </c>
      <c r="T115" s="361">
        <f t="shared" si="57"/>
        <v>5.5234984257874188E-2</v>
      </c>
      <c r="U115" s="361">
        <f t="shared" si="57"/>
        <v>5.6740577911648195E-2</v>
      </c>
      <c r="V115" s="361">
        <f t="shared" si="57"/>
        <v>5.8287210995065224E-2</v>
      </c>
      <c r="W115" s="361">
        <f t="shared" si="57"/>
        <v>5.9876002159748976E-2</v>
      </c>
      <c r="X115" s="361">
        <f t="shared" si="57"/>
        <v>6.150810054949777E-2</v>
      </c>
      <c r="Y115" s="361">
        <f t="shared" si="57"/>
        <v>6.3184686631439405E-2</v>
      </c>
      <c r="Z115" s="361">
        <f t="shared" si="57"/>
        <v>6.4906973049841568E-2</v>
      </c>
      <c r="AA115" s="283">
        <f t="shared" si="57"/>
        <v>6.6676205503195446E-2</v>
      </c>
      <c r="AB115" s="283">
        <f t="shared" si="57"/>
        <v>6.8493663645206801E-2</v>
      </c>
      <c r="AC115" s="283">
        <f t="shared" si="57"/>
        <v>7.0360662010346256E-2</v>
      </c>
      <c r="AD115" s="283">
        <f t="shared" si="57"/>
        <v>7.2278550964628221E-2</v>
      </c>
      <c r="AE115" s="283">
        <f t="shared" si="57"/>
        <v>7.4248717682306092E-2</v>
      </c>
      <c r="AF115" s="283">
        <f t="shared" si="57"/>
        <v>7.6272587149190232E-2</v>
      </c>
      <c r="AG115" s="283">
        <f t="shared" si="57"/>
        <v>7.835162319331429E-2</v>
      </c>
      <c r="AH115" s="283">
        <f t="shared" si="57"/>
        <v>8.048732954369546E-2</v>
      </c>
      <c r="AI115" s="283">
        <f t="shared" si="57"/>
        <v>8.2681250917954377E-2</v>
      </c>
      <c r="AJ115" s="283">
        <f t="shared" si="57"/>
        <v>8.4934974139581287E-2</v>
      </c>
      <c r="AK115" s="283">
        <f t="shared" si="57"/>
        <v>8.7250129285656716E-2</v>
      </c>
      <c r="AL115" s="283">
        <f t="shared" si="57"/>
        <v>8.9628390865856569E-2</v>
      </c>
      <c r="AM115" s="283">
        <f t="shared" si="57"/>
        <v>9.2071479033594611E-2</v>
      </c>
      <c r="AN115" s="283">
        <f t="shared" si="57"/>
        <v>9.4581160830178174E-2</v>
      </c>
      <c r="AO115" s="283">
        <f t="shared" si="57"/>
        <v>9.715925146287703E-2</v>
      </c>
      <c r="AP115" s="283">
        <f t="shared" si="57"/>
        <v>9.9807615617829901E-2</v>
      </c>
      <c r="AQ115" s="283">
        <f t="shared" si="57"/>
        <v>0.10252816880873802</v>
      </c>
      <c r="AR115" s="302"/>
    </row>
    <row r="116" spans="1:60" s="6" customFormat="1">
      <c r="A116" s="16"/>
      <c r="B116" s="33" t="s">
        <v>73</v>
      </c>
      <c r="C116" s="1"/>
      <c r="D116" s="13"/>
      <c r="E116" s="13"/>
      <c r="F116" s="1"/>
      <c r="G116" s="73" t="s">
        <v>71</v>
      </c>
      <c r="H116" s="68">
        <f>SUM(H112:H115)</f>
        <v>2.5571111111111104</v>
      </c>
      <c r="I116" s="68">
        <f t="shared" ref="I116:AA116" si="58">SUM(I112:I115)</f>
        <v>2.6840903188796039</v>
      </c>
      <c r="J116" s="68">
        <f t="shared" si="58"/>
        <v>2.8188770243073544</v>
      </c>
      <c r="K116" s="68">
        <f t="shared" si="58"/>
        <v>2.9568053708313937</v>
      </c>
      <c r="L116" s="68">
        <f t="shared" si="58"/>
        <v>3.1028258866079379</v>
      </c>
      <c r="M116" s="68">
        <f t="shared" si="58"/>
        <v>3.1796076780461164</v>
      </c>
      <c r="N116" s="68">
        <f t="shared" si="58"/>
        <v>2.8879852161210811</v>
      </c>
      <c r="O116" s="68">
        <f t="shared" si="58"/>
        <v>2.9653039714674723</v>
      </c>
      <c r="P116" s="68">
        <f t="shared" si="58"/>
        <v>3.0316019515059831</v>
      </c>
      <c r="Q116" s="68">
        <f t="shared" si="58"/>
        <v>3.0991711859063913</v>
      </c>
      <c r="R116" s="68">
        <f t="shared" si="58"/>
        <v>3.1811598637593548</v>
      </c>
      <c r="S116" s="68">
        <f t="shared" si="58"/>
        <v>3.2650951784603808</v>
      </c>
      <c r="T116" s="68">
        <f t="shared" si="58"/>
        <v>3.364778759693615</v>
      </c>
      <c r="U116" s="68">
        <f t="shared" si="58"/>
        <v>3.4530487103123031</v>
      </c>
      <c r="V116" s="68">
        <f t="shared" si="58"/>
        <v>3.543419691099932</v>
      </c>
      <c r="W116" s="68">
        <f t="shared" si="58"/>
        <v>3.6426025721418296</v>
      </c>
      <c r="X116" s="68">
        <f t="shared" si="58"/>
        <v>3.7593835565156111</v>
      </c>
      <c r="Y116" s="68">
        <f t="shared" si="58"/>
        <v>3.8641171625186597</v>
      </c>
      <c r="Z116" s="68">
        <f t="shared" si="58"/>
        <v>3.9715624020739035</v>
      </c>
      <c r="AA116" s="268">
        <f t="shared" si="58"/>
        <v>4.0860990901499141</v>
      </c>
      <c r="AB116" s="268">
        <f t="shared" ref="AB116:AQ116" si="59">SUM(AB112:AB115)</f>
        <v>4.2038088091899617</v>
      </c>
      <c r="AC116" s="268">
        <f t="shared" si="59"/>
        <v>4.3247834800061975</v>
      </c>
      <c r="AD116" s="268">
        <f t="shared" si="59"/>
        <v>4.4491176864452395</v>
      </c>
      <c r="AE116" s="268">
        <f t="shared" si="59"/>
        <v>4.5769087525427592</v>
      </c>
      <c r="AF116" s="268">
        <f t="shared" si="59"/>
        <v>4.7082568219135332</v>
      </c>
      <c r="AG116" s="268">
        <f t="shared" si="59"/>
        <v>4.8432649394417284</v>
      </c>
      <c r="AH116" s="268">
        <f t="shared" si="59"/>
        <v>4.9820391353380673</v>
      </c>
      <c r="AI116" s="268">
        <f t="shared" si="59"/>
        <v>5.1246885116324732</v>
      </c>
      <c r="AJ116" s="268">
        <f t="shared" si="59"/>
        <v>5.2713253311727364</v>
      </c>
      <c r="AK116" s="268">
        <f t="shared" si="59"/>
        <v>5.4220651092018333</v>
      </c>
      <c r="AL116" s="268">
        <f t="shared" si="59"/>
        <v>5.5770267075886109</v>
      </c>
      <c r="AM116" s="268">
        <f t="shared" si="59"/>
        <v>5.736332431788715</v>
      </c>
      <c r="AN116" s="268">
        <f t="shared" si="59"/>
        <v>5.9001081306148793</v>
      </c>
      <c r="AO116" s="268">
        <f t="shared" si="59"/>
        <v>6.0684832988979664</v>
      </c>
      <c r="AP116" s="268">
        <f t="shared" si="59"/>
        <v>6.241591183122539</v>
      </c>
      <c r="AQ116" s="268">
        <f t="shared" si="59"/>
        <v>6.4195688901231218</v>
      </c>
      <c r="AR116" s="302"/>
    </row>
    <row r="117" spans="1:60" s="6" customFormat="1">
      <c r="A117" s="16"/>
      <c r="B117" s="33"/>
      <c r="C117" s="1"/>
      <c r="D117" s="13"/>
      <c r="E117" s="13"/>
      <c r="F117" s="1"/>
      <c r="G117" s="73"/>
      <c r="H117" s="68"/>
      <c r="I117" s="68"/>
      <c r="J117" s="68"/>
      <c r="K117" s="68"/>
      <c r="L117" s="68"/>
      <c r="M117" s="68"/>
      <c r="AA117" s="272"/>
      <c r="AB117" s="272"/>
      <c r="AC117" s="272"/>
      <c r="AD117" s="272"/>
      <c r="AE117" s="272"/>
      <c r="AF117" s="272"/>
      <c r="AG117" s="272"/>
      <c r="AH117" s="272"/>
      <c r="AI117" s="272"/>
      <c r="AJ117" s="272"/>
      <c r="AK117" s="272"/>
      <c r="AL117" s="272"/>
      <c r="AM117" s="272"/>
      <c r="AN117" s="272"/>
      <c r="AO117" s="272"/>
      <c r="AP117" s="272"/>
      <c r="AQ117" s="272"/>
      <c r="AR117" s="302"/>
    </row>
    <row r="118" spans="1:60" s="6" customFormat="1">
      <c r="A118" s="16"/>
      <c r="B118" s="33" t="s">
        <v>111</v>
      </c>
      <c r="C118" s="1"/>
      <c r="D118" s="13"/>
      <c r="E118" s="13"/>
      <c r="F118" s="1"/>
      <c r="G118" s="74" t="s">
        <v>76</v>
      </c>
      <c r="H118" s="101">
        <v>7612.1012810345646</v>
      </c>
      <c r="I118" s="101">
        <v>7627.515397247902</v>
      </c>
      <c r="J118" s="101">
        <v>7581.3186953189706</v>
      </c>
      <c r="K118" s="101">
        <v>7616.7646064901073</v>
      </c>
      <c r="L118" s="101">
        <v>7631.1290522936779</v>
      </c>
      <c r="M118" s="101">
        <v>7597.356603454884</v>
      </c>
      <c r="N118" s="101">
        <v>7625.4262865272512</v>
      </c>
      <c r="O118" s="101">
        <v>7637.2511136685334</v>
      </c>
      <c r="P118" s="101">
        <v>7582.0222823957474</v>
      </c>
      <c r="Q118" s="101">
        <v>7616.8503376627241</v>
      </c>
      <c r="R118" s="101">
        <v>7631.1290522936779</v>
      </c>
      <c r="S118" s="101">
        <v>7597.880579937806</v>
      </c>
      <c r="T118" s="101">
        <v>7625.0024668633459</v>
      </c>
      <c r="U118" s="101">
        <v>7637.4335545467338</v>
      </c>
      <c r="V118" s="101">
        <v>7582.0222823957465</v>
      </c>
      <c r="W118" s="101">
        <v>7616.1009771200988</v>
      </c>
      <c r="X118" s="101">
        <v>7630.9775545269467</v>
      </c>
      <c r="Y118" s="101">
        <v>7597.3566034548849</v>
      </c>
      <c r="Z118" s="101">
        <v>7624.7807921560989</v>
      </c>
      <c r="AA118" s="259">
        <f>+Z118*(1-$G$171)</f>
        <v>7396.0373683914158</v>
      </c>
      <c r="AB118" s="259">
        <f t="shared" ref="AB118:AQ118" si="60">+AA118</f>
        <v>7396.0373683914158</v>
      </c>
      <c r="AC118" s="259">
        <f t="shared" si="60"/>
        <v>7396.0373683914158</v>
      </c>
      <c r="AD118" s="259">
        <f t="shared" si="60"/>
        <v>7396.0373683914158</v>
      </c>
      <c r="AE118" s="259">
        <f t="shared" si="60"/>
        <v>7396.0373683914158</v>
      </c>
      <c r="AF118" s="259">
        <f t="shared" si="60"/>
        <v>7396.0373683914158</v>
      </c>
      <c r="AG118" s="259">
        <f t="shared" si="60"/>
        <v>7396.0373683914158</v>
      </c>
      <c r="AH118" s="259">
        <f t="shared" si="60"/>
        <v>7396.0373683914158</v>
      </c>
      <c r="AI118" s="259">
        <f t="shared" si="60"/>
        <v>7396.0373683914158</v>
      </c>
      <c r="AJ118" s="259">
        <f t="shared" si="60"/>
        <v>7396.0373683914158</v>
      </c>
      <c r="AK118" s="259">
        <f t="shared" si="60"/>
        <v>7396.0373683914158</v>
      </c>
      <c r="AL118" s="259">
        <f t="shared" si="60"/>
        <v>7396.0373683914158</v>
      </c>
      <c r="AM118" s="259">
        <f t="shared" si="60"/>
        <v>7396.0373683914158</v>
      </c>
      <c r="AN118" s="259">
        <f t="shared" si="60"/>
        <v>7396.0373683914158</v>
      </c>
      <c r="AO118" s="259">
        <f t="shared" si="60"/>
        <v>7396.0373683914158</v>
      </c>
      <c r="AP118" s="259">
        <f t="shared" si="60"/>
        <v>7396.0373683914158</v>
      </c>
      <c r="AQ118" s="259">
        <f t="shared" si="60"/>
        <v>7396.0373683914158</v>
      </c>
      <c r="AR118" s="302"/>
    </row>
    <row r="119" spans="1:60" s="6" customFormat="1">
      <c r="A119" s="16"/>
      <c r="B119" s="33" t="s">
        <v>81</v>
      </c>
      <c r="C119" s="1"/>
      <c r="D119" s="13"/>
      <c r="E119" s="13"/>
      <c r="F119" s="1"/>
      <c r="G119" s="22" t="s">
        <v>67</v>
      </c>
      <c r="H119" s="25">
        <f>+H88</f>
        <v>1943668.8</v>
      </c>
      <c r="I119" s="25">
        <f t="shared" ref="I119:Z119" si="61">+I88</f>
        <v>1943668.8</v>
      </c>
      <c r="J119" s="25">
        <f t="shared" si="61"/>
        <v>1943668.8</v>
      </c>
      <c r="K119" s="25">
        <f t="shared" si="61"/>
        <v>1948993.92</v>
      </c>
      <c r="L119" s="25">
        <f t="shared" si="61"/>
        <v>1943668.8</v>
      </c>
      <c r="M119" s="25">
        <f t="shared" si="61"/>
        <v>1943668.8</v>
      </c>
      <c r="N119" s="25">
        <f t="shared" si="61"/>
        <v>1943668.8</v>
      </c>
      <c r="O119" s="25">
        <f t="shared" si="61"/>
        <v>1948993.92</v>
      </c>
      <c r="P119" s="25">
        <f t="shared" si="61"/>
        <v>1943668.8</v>
      </c>
      <c r="Q119" s="25">
        <f t="shared" si="61"/>
        <v>1943668.8</v>
      </c>
      <c r="R119" s="25">
        <f t="shared" si="61"/>
        <v>1943668.8</v>
      </c>
      <c r="S119" s="25">
        <f t="shared" si="61"/>
        <v>1948993.92</v>
      </c>
      <c r="T119" s="25">
        <f t="shared" si="61"/>
        <v>1943668.8</v>
      </c>
      <c r="U119" s="25">
        <f t="shared" si="61"/>
        <v>1943668.8</v>
      </c>
      <c r="V119" s="25">
        <f t="shared" si="61"/>
        <v>1943668.8</v>
      </c>
      <c r="W119" s="25">
        <f t="shared" si="61"/>
        <v>1948993.92</v>
      </c>
      <c r="X119" s="25">
        <f t="shared" si="61"/>
        <v>1943668.8</v>
      </c>
      <c r="Y119" s="25">
        <f t="shared" si="61"/>
        <v>1943668.8</v>
      </c>
      <c r="Z119" s="25">
        <f t="shared" si="61"/>
        <v>1943668.8</v>
      </c>
      <c r="AA119" s="278">
        <f t="shared" ref="AA119:AQ119" si="62">+AA88</f>
        <v>1948993.92</v>
      </c>
      <c r="AB119" s="278">
        <f t="shared" si="62"/>
        <v>1943668.8</v>
      </c>
      <c r="AC119" s="278">
        <f t="shared" si="62"/>
        <v>1943668.8</v>
      </c>
      <c r="AD119" s="278">
        <f t="shared" si="62"/>
        <v>1943668.8</v>
      </c>
      <c r="AE119" s="278">
        <f t="shared" si="62"/>
        <v>1948993.92</v>
      </c>
      <c r="AF119" s="278">
        <f t="shared" si="62"/>
        <v>1943668.8</v>
      </c>
      <c r="AG119" s="278">
        <f t="shared" si="62"/>
        <v>1943668.8</v>
      </c>
      <c r="AH119" s="278">
        <f t="shared" si="62"/>
        <v>1943668.8</v>
      </c>
      <c r="AI119" s="278">
        <f t="shared" si="62"/>
        <v>1948993.92</v>
      </c>
      <c r="AJ119" s="278">
        <f t="shared" si="62"/>
        <v>1943668.8</v>
      </c>
      <c r="AK119" s="278">
        <f t="shared" si="62"/>
        <v>1943668.8</v>
      </c>
      <c r="AL119" s="278">
        <f t="shared" si="62"/>
        <v>1943668.8</v>
      </c>
      <c r="AM119" s="278">
        <f t="shared" si="62"/>
        <v>1948993.92</v>
      </c>
      <c r="AN119" s="278">
        <f t="shared" si="62"/>
        <v>1943668.8</v>
      </c>
      <c r="AO119" s="278">
        <f t="shared" si="62"/>
        <v>1943668.8</v>
      </c>
      <c r="AP119" s="278">
        <f t="shared" si="62"/>
        <v>1943668.8</v>
      </c>
      <c r="AQ119" s="278">
        <f t="shared" si="62"/>
        <v>1948993.92</v>
      </c>
      <c r="AR119" s="302"/>
    </row>
    <row r="120" spans="1:60" s="6" customFormat="1">
      <c r="A120" s="16"/>
      <c r="B120" s="33" t="s">
        <v>163</v>
      </c>
      <c r="C120" s="1"/>
      <c r="D120" s="13"/>
      <c r="E120" s="13"/>
      <c r="F120" s="1"/>
      <c r="G120" s="74" t="s">
        <v>164</v>
      </c>
      <c r="H120" s="25">
        <f>H118*H119*1000/1000000</f>
        <v>14795403.762386916</v>
      </c>
      <c r="I120" s="25">
        <f t="shared" ref="I120:AA120" si="63">I118*I119*1000/1000000</f>
        <v>14825363.699150352</v>
      </c>
      <c r="J120" s="25">
        <f t="shared" si="63"/>
        <v>14735572.61094819</v>
      </c>
      <c r="K120" s="25">
        <f t="shared" si="63"/>
        <v>14845027.908120411</v>
      </c>
      <c r="L120" s="25">
        <f t="shared" si="63"/>
        <v>14832387.447716791</v>
      </c>
      <c r="M120" s="25">
        <f t="shared" si="63"/>
        <v>14766744.992609231</v>
      </c>
      <c r="N120" s="25">
        <f t="shared" si="63"/>
        <v>14821303.159822879</v>
      </c>
      <c r="O120" s="25">
        <f t="shared" si="63"/>
        <v>14884955.986053199</v>
      </c>
      <c r="P120" s="25">
        <f t="shared" si="63"/>
        <v>14736940.151197402</v>
      </c>
      <c r="Q120" s="25">
        <f t="shared" si="63"/>
        <v>14804634.355584502</v>
      </c>
      <c r="R120" s="25">
        <f t="shared" si="63"/>
        <v>14832387.447716791</v>
      </c>
      <c r="S120" s="25">
        <f t="shared" si="63"/>
        <v>14808223.055184858</v>
      </c>
      <c r="T120" s="25">
        <f t="shared" si="63"/>
        <v>14820479.394765321</v>
      </c>
      <c r="U120" s="25">
        <f t="shared" si="63"/>
        <v>14844641.312045585</v>
      </c>
      <c r="V120" s="25">
        <f t="shared" si="63"/>
        <v>14736940.151197402</v>
      </c>
      <c r="W120" s="25">
        <f t="shared" si="63"/>
        <v>14843734.498513132</v>
      </c>
      <c r="X120" s="25">
        <f t="shared" si="63"/>
        <v>14832092.986234326</v>
      </c>
      <c r="Y120" s="25">
        <f t="shared" si="63"/>
        <v>14766744.992609233</v>
      </c>
      <c r="Z120" s="25">
        <f t="shared" si="63"/>
        <v>14820048.532553095</v>
      </c>
      <c r="AA120" s="278">
        <f t="shared" si="63"/>
        <v>14414831.863087669</v>
      </c>
      <c r="AB120" s="278">
        <f t="shared" ref="AB120:AQ120" si="64">AB118*AB119*1000/1000000</f>
        <v>14375447.076576501</v>
      </c>
      <c r="AC120" s="278">
        <f t="shared" si="64"/>
        <v>14375447.076576501</v>
      </c>
      <c r="AD120" s="278">
        <f t="shared" si="64"/>
        <v>14375447.076576501</v>
      </c>
      <c r="AE120" s="278">
        <f t="shared" si="64"/>
        <v>14414831.863087669</v>
      </c>
      <c r="AF120" s="278">
        <f t="shared" si="64"/>
        <v>14375447.076576501</v>
      </c>
      <c r="AG120" s="278">
        <f t="shared" si="64"/>
        <v>14375447.076576501</v>
      </c>
      <c r="AH120" s="278">
        <f t="shared" si="64"/>
        <v>14375447.076576501</v>
      </c>
      <c r="AI120" s="278">
        <f t="shared" si="64"/>
        <v>14414831.863087669</v>
      </c>
      <c r="AJ120" s="278">
        <f t="shared" si="64"/>
        <v>14375447.076576501</v>
      </c>
      <c r="AK120" s="278">
        <f t="shared" si="64"/>
        <v>14375447.076576501</v>
      </c>
      <c r="AL120" s="278">
        <f t="shared" si="64"/>
        <v>14375447.076576501</v>
      </c>
      <c r="AM120" s="278">
        <f t="shared" si="64"/>
        <v>14414831.863087669</v>
      </c>
      <c r="AN120" s="278">
        <f t="shared" si="64"/>
        <v>14375447.076576501</v>
      </c>
      <c r="AO120" s="278">
        <f t="shared" si="64"/>
        <v>14375447.076576501</v>
      </c>
      <c r="AP120" s="278">
        <f t="shared" si="64"/>
        <v>14375447.076576501</v>
      </c>
      <c r="AQ120" s="278">
        <f t="shared" si="64"/>
        <v>14414831.863087669</v>
      </c>
      <c r="AR120" s="302"/>
    </row>
    <row r="121" spans="1:60" s="6" customFormat="1">
      <c r="A121" s="16"/>
      <c r="B121" s="33"/>
      <c r="C121" s="1"/>
      <c r="D121" s="13"/>
      <c r="E121" s="13"/>
      <c r="F121" s="1"/>
      <c r="G121" s="22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78"/>
      <c r="AB121" s="278"/>
      <c r="AC121" s="278"/>
      <c r="AD121" s="278"/>
      <c r="AE121" s="278"/>
      <c r="AF121" s="278"/>
      <c r="AG121" s="278"/>
      <c r="AH121" s="278"/>
      <c r="AI121" s="278"/>
      <c r="AJ121" s="278"/>
      <c r="AK121" s="278"/>
      <c r="AL121" s="278"/>
      <c r="AM121" s="278"/>
      <c r="AN121" s="278"/>
      <c r="AO121" s="278"/>
      <c r="AP121" s="278"/>
      <c r="AQ121" s="278"/>
      <c r="AR121" s="302"/>
    </row>
    <row r="122" spans="1:60" s="37" customFormat="1">
      <c r="B122" s="33" t="s">
        <v>30</v>
      </c>
      <c r="C122" s="33"/>
      <c r="D122" s="33"/>
      <c r="E122" s="33"/>
      <c r="F122" s="35"/>
      <c r="G122" s="42"/>
      <c r="H122" s="6">
        <f>+H116*H120/1000</f>
        <v>37833.491354174708</v>
      </c>
      <c r="I122" s="6">
        <f t="shared" ref="I122:Z122" si="65">+I116*I120/1000</f>
        <v>39792.61517875857</v>
      </c>
      <c r="J122" s="6">
        <f t="shared" si="65"/>
        <v>41537.767073014584</v>
      </c>
      <c r="K122" s="6">
        <f t="shared" si="65"/>
        <v>43893.858248872362</v>
      </c>
      <c r="L122" s="6">
        <f t="shared" si="65"/>
        <v>46022.315732974297</v>
      </c>
      <c r="M122" s="6">
        <f t="shared" si="65"/>
        <v>46952.455758249351</v>
      </c>
      <c r="N122" s="6">
        <f t="shared" si="65"/>
        <v>42803.704409217142</v>
      </c>
      <c r="O122" s="6">
        <f t="shared" si="65"/>
        <v>44138.419100562074</v>
      </c>
      <c r="P122" s="6">
        <f t="shared" si="65"/>
        <v>44676.536521596921</v>
      </c>
      <c r="Q122" s="6">
        <f t="shared" si="65"/>
        <v>45882.096212707329</v>
      </c>
      <c r="R122" s="6">
        <f t="shared" si="65"/>
        <v>47184.195632404713</v>
      </c>
      <c r="S122" s="6">
        <f t="shared" si="65"/>
        <v>48350.257699049929</v>
      </c>
      <c r="T122" s="6">
        <f t="shared" si="65"/>
        <v>49867.634275983233</v>
      </c>
      <c r="U122" s="6">
        <f t="shared" si="65"/>
        <v>51259.269537607746</v>
      </c>
      <c r="V122" s="6">
        <f t="shared" si="65"/>
        <v>52219.163918314087</v>
      </c>
      <c r="W122" s="6">
        <f t="shared" si="65"/>
        <v>54069.82546447435</v>
      </c>
      <c r="X122" s="6">
        <f t="shared" si="65"/>
        <v>55759.526481159854</v>
      </c>
      <c r="Y122" s="6">
        <f t="shared" si="65"/>
        <v>57060.432760477808</v>
      </c>
      <c r="Z122" s="6">
        <f t="shared" si="65"/>
        <v>58858.747548798397</v>
      </c>
      <c r="AA122" s="272">
        <f t="shared" ref="AA122:AQ122" si="66">+AA116*AA120/1000</f>
        <v>58900.431360426519</v>
      </c>
      <c r="AB122" s="272">
        <f t="shared" si="66"/>
        <v>60431.631056556376</v>
      </c>
      <c r="AC122" s="272">
        <f t="shared" si="66"/>
        <v>62170.696034481436</v>
      </c>
      <c r="AD122" s="272">
        <f t="shared" si="66"/>
        <v>63958.055838954024</v>
      </c>
      <c r="AE122" s="272">
        <f t="shared" si="66"/>
        <v>65975.370120598192</v>
      </c>
      <c r="AF122" s="272">
        <f t="shared" si="66"/>
        <v>67683.29676634827</v>
      </c>
      <c r="AG122" s="272">
        <f t="shared" si="66"/>
        <v>69624.098814783065</v>
      </c>
      <c r="AH122" s="272">
        <f t="shared" si="66"/>
        <v>71619.039923485339</v>
      </c>
      <c r="AI122" s="272">
        <f t="shared" si="66"/>
        <v>73871.5232458791</v>
      </c>
      <c r="AJ122" s="272">
        <f t="shared" si="66"/>
        <v>75777.658321690775</v>
      </c>
      <c r="AK122" s="272">
        <f t="shared" si="66"/>
        <v>77944.610023082947</v>
      </c>
      <c r="AL122" s="272">
        <f t="shared" si="66"/>
        <v>80172.252279593769</v>
      </c>
      <c r="AM122" s="272">
        <f t="shared" si="66"/>
        <v>82688.267515011146</v>
      </c>
      <c r="AN122" s="272">
        <f t="shared" si="66"/>
        <v>84816.692177732912</v>
      </c>
      <c r="AO122" s="272">
        <f t="shared" si="66"/>
        <v>87237.160498396101</v>
      </c>
      <c r="AP122" s="272">
        <f t="shared" si="66"/>
        <v>89725.663726604573</v>
      </c>
      <c r="AQ122" s="272">
        <f t="shared" si="66"/>
        <v>92537.006184633123</v>
      </c>
      <c r="AR122" s="302"/>
      <c r="BD122" s="42"/>
      <c r="BE122" s="42"/>
      <c r="BF122" s="42"/>
      <c r="BG122" s="42"/>
      <c r="BH122" s="42"/>
    </row>
    <row r="123" spans="1:60" s="6" customFormat="1" ht="13.8" thickBot="1">
      <c r="B123" s="6" t="s">
        <v>29</v>
      </c>
      <c r="C123" s="13"/>
      <c r="D123" s="13"/>
      <c r="E123" s="13"/>
      <c r="F123" s="1"/>
      <c r="G123" s="12"/>
      <c r="H123" s="107">
        <v>4380</v>
      </c>
      <c r="I123" s="107">
        <v>4599</v>
      </c>
      <c r="J123" s="107">
        <v>4827.125</v>
      </c>
      <c r="K123" s="107">
        <v>5073.5</v>
      </c>
      <c r="L123" s="107">
        <v>5329</v>
      </c>
      <c r="M123" s="107">
        <v>5593.625</v>
      </c>
      <c r="N123" s="107">
        <v>0</v>
      </c>
      <c r="O123" s="107">
        <v>0</v>
      </c>
      <c r="P123" s="107">
        <v>0</v>
      </c>
      <c r="Q123" s="107">
        <v>0</v>
      </c>
      <c r="R123" s="107">
        <v>0</v>
      </c>
      <c r="S123" s="107">
        <v>0</v>
      </c>
      <c r="T123" s="107">
        <v>0</v>
      </c>
      <c r="U123" s="107">
        <v>0</v>
      </c>
      <c r="V123" s="107">
        <v>0</v>
      </c>
      <c r="W123" s="107">
        <v>0</v>
      </c>
      <c r="X123" s="107">
        <v>0</v>
      </c>
      <c r="Y123" s="107">
        <v>0</v>
      </c>
      <c r="Z123" s="107">
        <v>0</v>
      </c>
      <c r="AA123" s="284">
        <v>0</v>
      </c>
      <c r="AB123" s="284">
        <v>0</v>
      </c>
      <c r="AC123" s="284">
        <v>0</v>
      </c>
      <c r="AD123" s="284">
        <v>0</v>
      </c>
      <c r="AE123" s="284">
        <v>0</v>
      </c>
      <c r="AF123" s="284">
        <v>0</v>
      </c>
      <c r="AG123" s="284">
        <v>0</v>
      </c>
      <c r="AH123" s="284">
        <v>0</v>
      </c>
      <c r="AI123" s="284">
        <v>0</v>
      </c>
      <c r="AJ123" s="284">
        <v>0</v>
      </c>
      <c r="AK123" s="284">
        <v>0</v>
      </c>
      <c r="AL123" s="284">
        <v>0</v>
      </c>
      <c r="AM123" s="284">
        <v>0</v>
      </c>
      <c r="AN123" s="284">
        <v>0</v>
      </c>
      <c r="AO123" s="284">
        <v>0</v>
      </c>
      <c r="AP123" s="284">
        <v>0</v>
      </c>
      <c r="AQ123" s="284">
        <v>0</v>
      </c>
      <c r="AR123" s="302"/>
      <c r="BD123" s="25"/>
      <c r="BE123" s="25"/>
      <c r="BF123" s="25"/>
      <c r="BG123" s="25"/>
      <c r="BH123" s="25"/>
    </row>
    <row r="124" spans="1:60" s="6" customFormat="1">
      <c r="A124" s="13"/>
      <c r="B124" s="13" t="s">
        <v>82</v>
      </c>
      <c r="C124" s="13"/>
      <c r="D124" s="13"/>
      <c r="E124" s="13"/>
      <c r="F124" s="1"/>
      <c r="G124" s="12"/>
      <c r="H124" s="6">
        <f t="shared" ref="H124:AA124" si="67">SUM(H122:H123)</f>
        <v>42213.491354174708</v>
      </c>
      <c r="I124" s="6">
        <f t="shared" si="67"/>
        <v>44391.61517875857</v>
      </c>
      <c r="J124" s="6">
        <f t="shared" si="67"/>
        <v>46364.892073014584</v>
      </c>
      <c r="K124" s="6">
        <f t="shared" si="67"/>
        <v>48967.358248872362</v>
      </c>
      <c r="L124" s="6">
        <f t="shared" si="67"/>
        <v>51351.315732974297</v>
      </c>
      <c r="M124" s="6">
        <f t="shared" si="67"/>
        <v>52546.080758249351</v>
      </c>
      <c r="N124" s="6">
        <f t="shared" si="67"/>
        <v>42803.704409217142</v>
      </c>
      <c r="O124" s="6">
        <f t="shared" si="67"/>
        <v>44138.419100562074</v>
      </c>
      <c r="P124" s="6">
        <f t="shared" si="67"/>
        <v>44676.536521596921</v>
      </c>
      <c r="Q124" s="6">
        <f t="shared" si="67"/>
        <v>45882.096212707329</v>
      </c>
      <c r="R124" s="6">
        <f t="shared" si="67"/>
        <v>47184.195632404713</v>
      </c>
      <c r="S124" s="6">
        <f t="shared" si="67"/>
        <v>48350.257699049929</v>
      </c>
      <c r="T124" s="6">
        <f t="shared" si="67"/>
        <v>49867.634275983233</v>
      </c>
      <c r="U124" s="6">
        <f t="shared" si="67"/>
        <v>51259.269537607746</v>
      </c>
      <c r="V124" s="6">
        <f t="shared" si="67"/>
        <v>52219.163918314087</v>
      </c>
      <c r="W124" s="6">
        <f t="shared" si="67"/>
        <v>54069.82546447435</v>
      </c>
      <c r="X124" s="6">
        <f t="shared" si="67"/>
        <v>55759.526481159854</v>
      </c>
      <c r="Y124" s="6">
        <f t="shared" si="67"/>
        <v>57060.432760477808</v>
      </c>
      <c r="Z124" s="6">
        <f t="shared" si="67"/>
        <v>58858.747548798397</v>
      </c>
      <c r="AA124" s="272">
        <f t="shared" si="67"/>
        <v>58900.431360426519</v>
      </c>
      <c r="AB124" s="272">
        <f t="shared" ref="AB124:AQ124" si="68">SUM(AB122:AB123)</f>
        <v>60431.631056556376</v>
      </c>
      <c r="AC124" s="272">
        <f t="shared" si="68"/>
        <v>62170.696034481436</v>
      </c>
      <c r="AD124" s="272">
        <f t="shared" si="68"/>
        <v>63958.055838954024</v>
      </c>
      <c r="AE124" s="272">
        <f t="shared" si="68"/>
        <v>65975.370120598192</v>
      </c>
      <c r="AF124" s="272">
        <f t="shared" si="68"/>
        <v>67683.29676634827</v>
      </c>
      <c r="AG124" s="272">
        <f t="shared" si="68"/>
        <v>69624.098814783065</v>
      </c>
      <c r="AH124" s="272">
        <f t="shared" si="68"/>
        <v>71619.039923485339</v>
      </c>
      <c r="AI124" s="272">
        <f t="shared" si="68"/>
        <v>73871.5232458791</v>
      </c>
      <c r="AJ124" s="272">
        <f t="shared" si="68"/>
        <v>75777.658321690775</v>
      </c>
      <c r="AK124" s="272">
        <f t="shared" si="68"/>
        <v>77944.610023082947</v>
      </c>
      <c r="AL124" s="272">
        <f t="shared" si="68"/>
        <v>80172.252279593769</v>
      </c>
      <c r="AM124" s="272">
        <f t="shared" si="68"/>
        <v>82688.267515011146</v>
      </c>
      <c r="AN124" s="272">
        <f t="shared" si="68"/>
        <v>84816.692177732912</v>
      </c>
      <c r="AO124" s="272">
        <f t="shared" si="68"/>
        <v>87237.160498396101</v>
      </c>
      <c r="AP124" s="272">
        <f t="shared" si="68"/>
        <v>89725.663726604573</v>
      </c>
      <c r="AQ124" s="272">
        <f t="shared" si="68"/>
        <v>92537.006184633123</v>
      </c>
      <c r="AR124" s="302"/>
    </row>
    <row r="125" spans="1:60" s="6" customFormat="1">
      <c r="A125" s="13"/>
      <c r="B125" s="16"/>
      <c r="C125" s="13"/>
      <c r="D125" s="13"/>
      <c r="E125" s="13"/>
      <c r="F125" s="1"/>
      <c r="G125" s="12"/>
      <c r="AA125" s="272"/>
      <c r="AB125" s="272"/>
      <c r="AC125" s="272"/>
      <c r="AD125" s="272"/>
      <c r="AE125" s="272"/>
      <c r="AF125" s="272"/>
      <c r="AG125" s="272"/>
      <c r="AH125" s="272"/>
      <c r="AI125" s="272"/>
      <c r="AJ125" s="272"/>
      <c r="AK125" s="272"/>
      <c r="AL125" s="272"/>
      <c r="AM125" s="272"/>
      <c r="AN125" s="272"/>
      <c r="AO125" s="272"/>
      <c r="AP125" s="272"/>
      <c r="AQ125" s="272"/>
      <c r="AR125" s="302"/>
    </row>
    <row r="126" spans="1:60" s="6" customFormat="1">
      <c r="A126" s="13"/>
      <c r="B126" s="16" t="s">
        <v>78</v>
      </c>
      <c r="C126" s="13"/>
      <c r="D126" s="13"/>
      <c r="E126" s="13"/>
      <c r="F126" s="1"/>
      <c r="G126" s="12"/>
      <c r="AA126" s="272"/>
      <c r="AB126" s="272"/>
      <c r="AC126" s="272"/>
      <c r="AD126" s="272"/>
      <c r="AE126" s="272"/>
      <c r="AF126" s="272"/>
      <c r="AG126" s="272"/>
      <c r="AH126" s="272"/>
      <c r="AI126" s="272"/>
      <c r="AJ126" s="272"/>
      <c r="AK126" s="272"/>
      <c r="AL126" s="272"/>
      <c r="AM126" s="272"/>
      <c r="AN126" s="272"/>
      <c r="AO126" s="272"/>
      <c r="AP126" s="272"/>
      <c r="AQ126" s="272"/>
      <c r="AR126" s="306" t="s">
        <v>186</v>
      </c>
    </row>
    <row r="127" spans="1:60" s="6" customFormat="1">
      <c r="B127" s="13" t="s">
        <v>83</v>
      </c>
      <c r="C127" s="13"/>
      <c r="D127" s="13"/>
      <c r="E127" s="13"/>
      <c r="F127" s="1"/>
      <c r="G127" s="25"/>
      <c r="H127" s="106">
        <v>1564.16</v>
      </c>
      <c r="I127" s="106">
        <v>1626.7264000000002</v>
      </c>
      <c r="J127" s="106">
        <v>1691.7954560000003</v>
      </c>
      <c r="K127" s="106">
        <v>1759.4672742400003</v>
      </c>
      <c r="L127" s="106">
        <v>1829.8459652096003</v>
      </c>
      <c r="M127" s="106">
        <v>1903.0398038179844</v>
      </c>
      <c r="N127" s="106">
        <v>1979.1613959707038</v>
      </c>
      <c r="O127" s="106">
        <v>2058.3278518095321</v>
      </c>
      <c r="P127" s="106">
        <v>2140.6609658819134</v>
      </c>
      <c r="Q127" s="106">
        <v>2226.2874045171902</v>
      </c>
      <c r="R127" s="106">
        <v>2315.3389006978778</v>
      </c>
      <c r="S127" s="106">
        <v>2407.9524567257931</v>
      </c>
      <c r="T127" s="106">
        <v>2504.270554994825</v>
      </c>
      <c r="U127" s="106">
        <v>2604.4413771946183</v>
      </c>
      <c r="V127" s="106">
        <v>2708.6190322824032</v>
      </c>
      <c r="W127" s="106">
        <v>2816.9637935736996</v>
      </c>
      <c r="X127" s="106">
        <v>2929.6423453166476</v>
      </c>
      <c r="Y127" s="106">
        <v>3046.8280391293138</v>
      </c>
      <c r="Z127" s="106">
        <v>3168.7011606944866</v>
      </c>
      <c r="AA127" s="272"/>
      <c r="AB127" s="272"/>
      <c r="AC127" s="272"/>
      <c r="AD127" s="272"/>
      <c r="AE127" s="272"/>
      <c r="AF127" s="272"/>
      <c r="AG127" s="272"/>
      <c r="AH127" s="272"/>
      <c r="AI127" s="272"/>
      <c r="AJ127" s="272"/>
      <c r="AK127" s="272"/>
      <c r="AL127" s="272"/>
      <c r="AM127" s="272"/>
      <c r="AN127" s="272"/>
      <c r="AO127" s="272"/>
      <c r="AP127" s="272"/>
      <c r="AQ127" s="272"/>
      <c r="AR127" s="306" t="s">
        <v>186</v>
      </c>
      <c r="BD127" s="25"/>
      <c r="BE127" s="25"/>
      <c r="BF127" s="25"/>
      <c r="BG127" s="25"/>
      <c r="BH127" s="25"/>
    </row>
    <row r="128" spans="1:60" s="6" customFormat="1">
      <c r="B128" s="13" t="s">
        <v>84</v>
      </c>
      <c r="C128" s="13"/>
      <c r="D128" s="13"/>
      <c r="E128" s="13"/>
      <c r="F128" s="1"/>
      <c r="G128" s="25"/>
      <c r="H128" s="106">
        <v>72.298333333333332</v>
      </c>
      <c r="I128" s="106">
        <v>74.500420069444445</v>
      </c>
      <c r="J128" s="106">
        <v>76.695078277323503</v>
      </c>
      <c r="K128" s="106">
        <v>78.898463963665762</v>
      </c>
      <c r="L128" s="106">
        <v>81.125701852640091</v>
      </c>
      <c r="M128" s="106">
        <v>83.362067033711199</v>
      </c>
      <c r="N128" s="106">
        <v>85.606938030539865</v>
      </c>
      <c r="O128" s="106">
        <v>87.869458063571997</v>
      </c>
      <c r="P128" s="106">
        <v>90.152599482257145</v>
      </c>
      <c r="Q128" s="106">
        <v>92.45900348567821</v>
      </c>
      <c r="R128" s="106">
        <v>94.797445782170158</v>
      </c>
      <c r="S128" s="106">
        <v>97.176071692587769</v>
      </c>
      <c r="T128" s="106">
        <v>99.621264596552521</v>
      </c>
      <c r="U128" s="106">
        <v>102.16326719817455</v>
      </c>
      <c r="V128" s="106">
        <v>104.81099853972724</v>
      </c>
      <c r="W128" s="106">
        <v>107.58062917613952</v>
      </c>
      <c r="X128" s="106">
        <v>110.47634111146395</v>
      </c>
      <c r="Y128" s="106">
        <v>113.48820236101523</v>
      </c>
      <c r="Z128" s="106">
        <v>116.64695732673017</v>
      </c>
      <c r="AA128" s="272"/>
      <c r="AB128" s="272"/>
      <c r="AC128" s="272"/>
      <c r="AD128" s="272"/>
      <c r="AE128" s="272"/>
      <c r="AF128" s="272"/>
      <c r="AG128" s="272"/>
      <c r="AH128" s="272"/>
      <c r="AI128" s="272"/>
      <c r="AJ128" s="272"/>
      <c r="AK128" s="272"/>
      <c r="AL128" s="272"/>
      <c r="AM128" s="272"/>
      <c r="AN128" s="272"/>
      <c r="AO128" s="272"/>
      <c r="AP128" s="272"/>
      <c r="AQ128" s="272"/>
      <c r="AR128" s="306" t="s">
        <v>186</v>
      </c>
      <c r="BD128" s="25"/>
      <c r="BE128" s="25"/>
      <c r="BF128" s="25"/>
      <c r="BG128" s="25"/>
      <c r="BH128" s="25"/>
    </row>
    <row r="129" spans="2:60" s="6" customFormat="1">
      <c r="B129" s="13" t="s">
        <v>85</v>
      </c>
      <c r="C129" s="13"/>
      <c r="D129" s="13"/>
      <c r="E129" s="13"/>
      <c r="F129" s="1"/>
      <c r="G129" s="25"/>
      <c r="H129" s="106">
        <v>1534.7903333333331</v>
      </c>
      <c r="I129" s="106">
        <v>1581.5374889027778</v>
      </c>
      <c r="J129" s="106">
        <v>1628.1269474300389</v>
      </c>
      <c r="K129" s="106">
        <v>1674.9016778572475</v>
      </c>
      <c r="L129" s="106">
        <v>1722.1827564717598</v>
      </c>
      <c r="M129" s="106">
        <v>1769.6575944584979</v>
      </c>
      <c r="N129" s="106">
        <v>1817.3129987626032</v>
      </c>
      <c r="O129" s="106">
        <v>1865.3430668924</v>
      </c>
      <c r="P129" s="106">
        <v>1913.8108975804873</v>
      </c>
      <c r="Q129" s="106">
        <v>1962.7725597102544</v>
      </c>
      <c r="R129" s="106">
        <v>2012.4143490329266</v>
      </c>
      <c r="S129" s="106">
        <v>2062.9091790740777</v>
      </c>
      <c r="T129" s="106">
        <v>2114.8171312925292</v>
      </c>
      <c r="U129" s="106">
        <v>2168.7802150926768</v>
      </c>
      <c r="V129" s="106">
        <v>2224.9877690004955</v>
      </c>
      <c r="W129" s="106">
        <v>2283.783070796333</v>
      </c>
      <c r="X129" s="106">
        <v>2345.2548984519349</v>
      </c>
      <c r="Y129" s="106">
        <v>2409.1924101209806</v>
      </c>
      <c r="Z129" s="106">
        <v>2476.248265536015</v>
      </c>
      <c r="AA129" s="272"/>
      <c r="AB129" s="272"/>
      <c r="AC129" s="272"/>
      <c r="AD129" s="272"/>
      <c r="AE129" s="272"/>
      <c r="AF129" s="272"/>
      <c r="AG129" s="272"/>
      <c r="AH129" s="272"/>
      <c r="AI129" s="272"/>
      <c r="AJ129" s="272"/>
      <c r="AK129" s="272"/>
      <c r="AL129" s="272"/>
      <c r="AM129" s="272"/>
      <c r="AN129" s="272"/>
      <c r="AO129" s="272"/>
      <c r="AP129" s="272"/>
      <c r="AQ129" s="272"/>
      <c r="AR129" s="306" t="s">
        <v>186</v>
      </c>
      <c r="BD129" s="25"/>
      <c r="BE129" s="25"/>
      <c r="BF129" s="25"/>
      <c r="BG129" s="25"/>
      <c r="BH129" s="25"/>
    </row>
    <row r="130" spans="2:60" s="6" customFormat="1">
      <c r="B130" s="13" t="s">
        <v>86</v>
      </c>
      <c r="C130" s="13"/>
      <c r="D130" s="13"/>
      <c r="E130" s="13"/>
      <c r="F130" s="1"/>
      <c r="G130" s="25"/>
      <c r="H130" s="106">
        <v>16.525333333333332</v>
      </c>
      <c r="I130" s="106">
        <v>17.028667444444444</v>
      </c>
      <c r="J130" s="106">
        <v>17.530303606245372</v>
      </c>
      <c r="K130" s="106">
        <v>18.033934620266461</v>
      </c>
      <c r="L130" s="106">
        <v>18.543017566317737</v>
      </c>
      <c r="M130" s="106">
        <v>19.054186750562561</v>
      </c>
      <c r="N130" s="106">
        <v>19.567300121266253</v>
      </c>
      <c r="O130" s="106">
        <v>20.084447557387886</v>
      </c>
      <c r="P130" s="106">
        <v>20.606308453087347</v>
      </c>
      <c r="Q130" s="106">
        <v>21.133486511012162</v>
      </c>
      <c r="R130" s="106">
        <v>21.667987607353179</v>
      </c>
      <c r="S130" s="106">
        <v>22.211673529734348</v>
      </c>
      <c r="T130" s="106">
        <v>22.770574764926291</v>
      </c>
      <c r="U130" s="106">
        <v>23.351603931011326</v>
      </c>
      <c r="V130" s="106">
        <v>23.956799666223368</v>
      </c>
      <c r="W130" s="106">
        <v>24.589858097403319</v>
      </c>
      <c r="X130" s="106">
        <v>25.25173511119176</v>
      </c>
      <c r="Y130" s="106">
        <v>25.940160539660624</v>
      </c>
      <c r="Z130" s="106">
        <v>26.662161674681183</v>
      </c>
      <c r="AA130" s="272"/>
      <c r="AB130" s="272"/>
      <c r="AC130" s="272"/>
      <c r="AD130" s="272"/>
      <c r="AE130" s="272"/>
      <c r="AF130" s="272"/>
      <c r="AG130" s="272"/>
      <c r="AH130" s="272"/>
      <c r="AI130" s="272"/>
      <c r="AJ130" s="272"/>
      <c r="AK130" s="272"/>
      <c r="AL130" s="272"/>
      <c r="AM130" s="272"/>
      <c r="AN130" s="272"/>
      <c r="AO130" s="272"/>
      <c r="AP130" s="272"/>
      <c r="AQ130" s="272"/>
      <c r="AR130" s="306" t="s">
        <v>186</v>
      </c>
      <c r="BD130" s="25"/>
      <c r="BE130" s="25"/>
      <c r="BF130" s="25"/>
      <c r="BG130" s="25"/>
      <c r="BH130" s="25"/>
    </row>
    <row r="131" spans="2:60" s="6" customFormat="1">
      <c r="B131" s="13" t="s">
        <v>87</v>
      </c>
      <c r="C131" s="13"/>
      <c r="D131" s="13"/>
      <c r="E131" s="13"/>
      <c r="F131" s="1"/>
      <c r="G131" s="25"/>
      <c r="H131" s="106">
        <v>139.05000000000001</v>
      </c>
      <c r="I131" s="106">
        <v>143.22150000000002</v>
      </c>
      <c r="J131" s="106">
        <v>147.51814500000003</v>
      </c>
      <c r="K131" s="106">
        <v>151.94368935000003</v>
      </c>
      <c r="L131" s="106">
        <v>156.50200003050003</v>
      </c>
      <c r="M131" s="106">
        <v>161.19706003141502</v>
      </c>
      <c r="N131" s="106">
        <v>166.03297183235748</v>
      </c>
      <c r="O131" s="106">
        <v>171.0139609873282</v>
      </c>
      <c r="P131" s="106">
        <v>176.14437981694806</v>
      </c>
      <c r="Q131" s="106">
        <v>181.42871121145652</v>
      </c>
      <c r="R131" s="106">
        <v>186.87157254780021</v>
      </c>
      <c r="S131" s="106">
        <v>192.47771972423422</v>
      </c>
      <c r="T131" s="106">
        <v>198.25205131596124</v>
      </c>
      <c r="U131" s="106">
        <v>204.19961285544008</v>
      </c>
      <c r="V131" s="106">
        <v>210.3256012411033</v>
      </c>
      <c r="W131" s="106">
        <v>216.63536927833641</v>
      </c>
      <c r="X131" s="106">
        <v>223.13443035668652</v>
      </c>
      <c r="Y131" s="106">
        <v>229.82846326738712</v>
      </c>
      <c r="Z131" s="106">
        <v>236.72331716540873</v>
      </c>
      <c r="AA131" s="272"/>
      <c r="AB131" s="272"/>
      <c r="AC131" s="272"/>
      <c r="AD131" s="272"/>
      <c r="AE131" s="272"/>
      <c r="AF131" s="272"/>
      <c r="AG131" s="272"/>
      <c r="AH131" s="272"/>
      <c r="AI131" s="272"/>
      <c r="AJ131" s="272"/>
      <c r="AK131" s="272"/>
      <c r="AL131" s="272"/>
      <c r="AM131" s="272"/>
      <c r="AN131" s="272"/>
      <c r="AO131" s="272"/>
      <c r="AP131" s="272"/>
      <c r="AQ131" s="272"/>
      <c r="AR131" s="306" t="s">
        <v>186</v>
      </c>
      <c r="BD131" s="25"/>
      <c r="BE131" s="25"/>
      <c r="BF131" s="25"/>
      <c r="BG131" s="25"/>
      <c r="BH131" s="25"/>
    </row>
    <row r="132" spans="2:60" s="6" customFormat="1">
      <c r="B132" s="13" t="s">
        <v>88</v>
      </c>
      <c r="C132" s="13"/>
      <c r="D132" s="13"/>
      <c r="E132" s="13"/>
      <c r="F132" s="1"/>
      <c r="G132" s="25"/>
      <c r="H132" s="106">
        <v>141.11000000000001</v>
      </c>
      <c r="I132" s="106">
        <v>145.34330000000003</v>
      </c>
      <c r="J132" s="106">
        <v>149.70359900000003</v>
      </c>
      <c r="K132" s="106">
        <v>154.19470697000003</v>
      </c>
      <c r="L132" s="106">
        <v>158.82054817910003</v>
      </c>
      <c r="M132" s="106">
        <v>163.58516462447304</v>
      </c>
      <c r="N132" s="106">
        <v>168.49271956320723</v>
      </c>
      <c r="O132" s="106">
        <v>173.54750115010344</v>
      </c>
      <c r="P132" s="106">
        <v>178.75392618460654</v>
      </c>
      <c r="Q132" s="106">
        <v>184.11654397014473</v>
      </c>
      <c r="R132" s="106">
        <v>189.64004028924907</v>
      </c>
      <c r="S132" s="106">
        <v>195.32924149792655</v>
      </c>
      <c r="T132" s="106">
        <v>201.18911874286434</v>
      </c>
      <c r="U132" s="106">
        <v>207.22479230515026</v>
      </c>
      <c r="V132" s="106">
        <v>213.44153607430476</v>
      </c>
      <c r="W132" s="106">
        <v>219.84478215653391</v>
      </c>
      <c r="X132" s="106">
        <v>226.44012562122992</v>
      </c>
      <c r="Y132" s="106">
        <v>233.23332938986684</v>
      </c>
      <c r="Z132" s="106">
        <v>240.23032927156285</v>
      </c>
      <c r="AA132" s="272"/>
      <c r="AB132" s="272"/>
      <c r="AC132" s="272"/>
      <c r="AD132" s="272"/>
      <c r="AE132" s="272"/>
      <c r="AF132" s="272"/>
      <c r="AG132" s="272"/>
      <c r="AH132" s="272"/>
      <c r="AI132" s="272"/>
      <c r="AJ132" s="272"/>
      <c r="AK132" s="272"/>
      <c r="AL132" s="272"/>
      <c r="AM132" s="272"/>
      <c r="AN132" s="272"/>
      <c r="AO132" s="272"/>
      <c r="AP132" s="272"/>
      <c r="AQ132" s="272"/>
      <c r="AR132" s="306" t="s">
        <v>186</v>
      </c>
      <c r="BD132" s="25"/>
      <c r="BE132" s="25"/>
      <c r="BF132" s="25"/>
      <c r="BG132" s="25"/>
      <c r="BH132" s="25"/>
    </row>
    <row r="133" spans="2:60" s="6" customFormat="1">
      <c r="B133" s="13" t="s">
        <v>89</v>
      </c>
      <c r="C133" s="13"/>
      <c r="D133" s="13"/>
      <c r="E133" s="13"/>
      <c r="F133" s="1"/>
      <c r="G133" s="25"/>
      <c r="H133" s="106">
        <v>123.97624406994009</v>
      </c>
      <c r="I133" s="106">
        <v>127.75013365253632</v>
      </c>
      <c r="J133" s="106">
        <v>131.51115411516895</v>
      </c>
      <c r="K133" s="106">
        <v>135.2870127607261</v>
      </c>
      <c r="L133" s="106">
        <v>139.10363895273943</v>
      </c>
      <c r="M133" s="106">
        <v>142.93578048709932</v>
      </c>
      <c r="N133" s="106">
        <v>146.7823752742101</v>
      </c>
      <c r="O133" s="106">
        <v>150.65909720339681</v>
      </c>
      <c r="P133" s="106">
        <v>154.57104148847515</v>
      </c>
      <c r="Q133" s="106">
        <v>158.52273416072208</v>
      </c>
      <c r="R133" s="106">
        <v>162.5292197752006</v>
      </c>
      <c r="S133" s="106">
        <v>166.60445957260069</v>
      </c>
      <c r="T133" s="106">
        <v>170.79368209327214</v>
      </c>
      <c r="U133" s="106">
        <v>175.14872934013721</v>
      </c>
      <c r="V133" s="106">
        <v>179.68488368238209</v>
      </c>
      <c r="W133" s="106">
        <v>184.4298560846085</v>
      </c>
      <c r="X133" s="106">
        <v>189.3908077901489</v>
      </c>
      <c r="Y133" s="106">
        <v>194.55070046256731</v>
      </c>
      <c r="Z133" s="106">
        <v>199.96222257129702</v>
      </c>
      <c r="AA133" s="272"/>
      <c r="AB133" s="272"/>
      <c r="AC133" s="272"/>
      <c r="AD133" s="272"/>
      <c r="AE133" s="272"/>
      <c r="AF133" s="272"/>
      <c r="AG133" s="272"/>
      <c r="AH133" s="272"/>
      <c r="AI133" s="272"/>
      <c r="AJ133" s="272"/>
      <c r="AK133" s="272"/>
      <c r="AL133" s="272"/>
      <c r="AM133" s="272"/>
      <c r="AN133" s="272"/>
      <c r="AO133" s="272"/>
      <c r="AP133" s="272"/>
      <c r="AQ133" s="272"/>
      <c r="AR133" s="306" t="s">
        <v>186</v>
      </c>
      <c r="BD133" s="25"/>
      <c r="BE133" s="25"/>
      <c r="BF133" s="25"/>
      <c r="BG133" s="25"/>
      <c r="BH133" s="25"/>
    </row>
    <row r="134" spans="2:60" s="6" customFormat="1">
      <c r="B134" s="13" t="s">
        <v>90</v>
      </c>
      <c r="C134" s="13"/>
      <c r="D134" s="13"/>
      <c r="E134" s="13"/>
      <c r="F134" s="1"/>
      <c r="G134" s="25"/>
      <c r="H134" s="106">
        <v>56.805833333333332</v>
      </c>
      <c r="I134" s="106">
        <v>58.536044340277776</v>
      </c>
      <c r="J134" s="106">
        <v>60.260418646468466</v>
      </c>
      <c r="K134" s="106">
        <v>61.991650257165958</v>
      </c>
      <c r="L134" s="106">
        <v>63.741622884217222</v>
      </c>
      <c r="M134" s="106">
        <v>65.498766955058798</v>
      </c>
      <c r="N134" s="106">
        <v>67.26259416685275</v>
      </c>
      <c r="O134" s="106">
        <v>69.040288478520864</v>
      </c>
      <c r="P134" s="106">
        <v>70.834185307487758</v>
      </c>
      <c r="Q134" s="106">
        <v>72.646359881604312</v>
      </c>
      <c r="R134" s="106">
        <v>74.483707400276558</v>
      </c>
      <c r="S134" s="106">
        <v>76.352627758461821</v>
      </c>
      <c r="T134" s="106">
        <v>78.273850754434122</v>
      </c>
      <c r="U134" s="106">
        <v>80.271138512851437</v>
      </c>
      <c r="V134" s="106">
        <v>82.351498852642834</v>
      </c>
      <c r="W134" s="106">
        <v>84.527637209823908</v>
      </c>
      <c r="X134" s="106">
        <v>86.80283944472167</v>
      </c>
      <c r="Y134" s="106">
        <v>89.16930185508339</v>
      </c>
      <c r="Z134" s="106">
        <v>91.65118075671657</v>
      </c>
      <c r="AA134" s="272"/>
      <c r="AB134" s="272"/>
      <c r="AC134" s="272"/>
      <c r="AD134" s="272"/>
      <c r="AE134" s="272"/>
      <c r="AF134" s="272"/>
      <c r="AG134" s="272"/>
      <c r="AH134" s="272"/>
      <c r="AI134" s="272"/>
      <c r="AJ134" s="272"/>
      <c r="AK134" s="272"/>
      <c r="AL134" s="272"/>
      <c r="AM134" s="272"/>
      <c r="AN134" s="272"/>
      <c r="AO134" s="272"/>
      <c r="AP134" s="272"/>
      <c r="AQ134" s="272"/>
      <c r="AR134" s="306" t="s">
        <v>186</v>
      </c>
      <c r="BD134" s="25"/>
      <c r="BE134" s="25"/>
      <c r="BF134" s="25"/>
      <c r="BG134" s="25"/>
      <c r="BH134" s="25"/>
    </row>
    <row r="135" spans="2:60" s="6" customFormat="1">
      <c r="B135" s="13" t="s">
        <v>91</v>
      </c>
      <c r="C135" s="13"/>
      <c r="D135" s="13"/>
      <c r="E135" s="13"/>
      <c r="F135" s="1"/>
      <c r="G135" s="25"/>
      <c r="H135" s="106">
        <v>7.2298333333333327</v>
      </c>
      <c r="I135" s="106">
        <v>7.4500420069444449</v>
      </c>
      <c r="J135" s="106">
        <v>7.6695078277323505</v>
      </c>
      <c r="K135" s="106">
        <v>7.8898463963665764</v>
      </c>
      <c r="L135" s="106">
        <v>8.1125701852640102</v>
      </c>
      <c r="M135" s="106">
        <v>8.3362067033711202</v>
      </c>
      <c r="N135" s="106">
        <v>8.5606938030539865</v>
      </c>
      <c r="O135" s="106">
        <v>8.7869458063572008</v>
      </c>
      <c r="P135" s="106">
        <v>9.0152599482257152</v>
      </c>
      <c r="Q135" s="106">
        <v>9.2459003485678206</v>
      </c>
      <c r="R135" s="106">
        <v>9.4797445782170158</v>
      </c>
      <c r="S135" s="106">
        <v>9.7176071692587769</v>
      </c>
      <c r="T135" s="106">
        <v>9.9621264596552521</v>
      </c>
      <c r="U135" s="106">
        <v>10.216326719817456</v>
      </c>
      <c r="V135" s="106">
        <v>10.481099853972724</v>
      </c>
      <c r="W135" s="106">
        <v>10.758062917613952</v>
      </c>
      <c r="X135" s="106">
        <v>11.047634111146396</v>
      </c>
      <c r="Y135" s="106">
        <v>11.348820236101524</v>
      </c>
      <c r="Z135" s="106">
        <v>11.664695732673017</v>
      </c>
      <c r="AA135" s="272"/>
      <c r="AB135" s="272"/>
      <c r="AC135" s="272"/>
      <c r="AD135" s="272"/>
      <c r="AE135" s="272"/>
      <c r="AF135" s="272"/>
      <c r="AG135" s="272"/>
      <c r="AH135" s="272"/>
      <c r="AI135" s="272"/>
      <c r="AJ135" s="272"/>
      <c r="AK135" s="272"/>
      <c r="AL135" s="272"/>
      <c r="AM135" s="272"/>
      <c r="AN135" s="272"/>
      <c r="AO135" s="272"/>
      <c r="AP135" s="272"/>
      <c r="AQ135" s="272"/>
      <c r="AR135" s="306" t="s">
        <v>186</v>
      </c>
      <c r="BD135" s="25"/>
      <c r="BE135" s="25"/>
      <c r="BF135" s="25"/>
      <c r="BG135" s="25"/>
      <c r="BH135" s="25"/>
    </row>
    <row r="136" spans="2:60" s="6" customFormat="1">
      <c r="B136" s="13" t="s">
        <v>92</v>
      </c>
      <c r="C136" s="13"/>
      <c r="D136" s="13"/>
      <c r="E136" s="13"/>
      <c r="F136" s="13"/>
      <c r="G136" s="25"/>
      <c r="H136" s="106">
        <v>449.28250000000003</v>
      </c>
      <c r="I136" s="106">
        <v>462.96689614583335</v>
      </c>
      <c r="J136" s="106">
        <v>476.60512929479603</v>
      </c>
      <c r="K136" s="106">
        <v>490.29759748849438</v>
      </c>
      <c r="L136" s="106">
        <v>504.13829008426347</v>
      </c>
      <c r="M136" s="106">
        <v>518.03570228091962</v>
      </c>
      <c r="N136" s="106">
        <v>531.98597204692624</v>
      </c>
      <c r="O136" s="106">
        <v>546.0459179664831</v>
      </c>
      <c r="P136" s="106">
        <v>560.23401106831227</v>
      </c>
      <c r="Q136" s="106">
        <v>574.56666451814317</v>
      </c>
      <c r="R136" s="106">
        <v>589.09841307491456</v>
      </c>
      <c r="S136" s="106">
        <v>603.87987408965262</v>
      </c>
      <c r="T136" s="106">
        <v>619.07500142143351</v>
      </c>
      <c r="U136" s="106">
        <v>634.87173187437043</v>
      </c>
      <c r="V136" s="106">
        <v>651.32549092544787</v>
      </c>
      <c r="W136" s="106">
        <v>668.53676702315272</v>
      </c>
      <c r="X136" s="106">
        <v>686.53154833552594</v>
      </c>
      <c r="Y136" s="106">
        <v>705.24811467202323</v>
      </c>
      <c r="Z136" s="106">
        <v>724.87752053039469</v>
      </c>
      <c r="AA136" s="272"/>
      <c r="AB136" s="272"/>
      <c r="AC136" s="272"/>
      <c r="AD136" s="272"/>
      <c r="AE136" s="272"/>
      <c r="AF136" s="272"/>
      <c r="AG136" s="272"/>
      <c r="AH136" s="272"/>
      <c r="AI136" s="272"/>
      <c r="AJ136" s="272"/>
      <c r="AK136" s="272"/>
      <c r="AL136" s="272"/>
      <c r="AM136" s="272"/>
      <c r="AN136" s="272"/>
      <c r="AO136" s="272"/>
      <c r="AP136" s="272"/>
      <c r="AQ136" s="272"/>
      <c r="AR136" s="306" t="s">
        <v>186</v>
      </c>
      <c r="BD136" s="25"/>
      <c r="BE136" s="25"/>
      <c r="BF136" s="25"/>
      <c r="BG136" s="25"/>
      <c r="BH136" s="25"/>
    </row>
    <row r="137" spans="2:60" s="6" customFormat="1">
      <c r="B137" s="13" t="s">
        <v>93</v>
      </c>
      <c r="C137" s="13"/>
      <c r="D137" s="13"/>
      <c r="F137" s="1"/>
      <c r="G137" s="25"/>
      <c r="H137" s="106">
        <v>40.280499999999996</v>
      </c>
      <c r="I137" s="106">
        <v>41.507376895833332</v>
      </c>
      <c r="J137" s="106">
        <v>42.730115040223097</v>
      </c>
      <c r="K137" s="106">
        <v>43.957715636899501</v>
      </c>
      <c r="L137" s="106">
        <v>45.198605317899485</v>
      </c>
      <c r="M137" s="106">
        <v>46.444580204496241</v>
      </c>
      <c r="N137" s="106">
        <v>47.695294045586493</v>
      </c>
      <c r="O137" s="106">
        <v>48.955840921132975</v>
      </c>
      <c r="P137" s="106">
        <v>50.227876854400407</v>
      </c>
      <c r="Q137" s="106">
        <v>51.512873370592146</v>
      </c>
      <c r="R137" s="106">
        <v>52.815719792923375</v>
      </c>
      <c r="S137" s="106">
        <v>54.140954228727473</v>
      </c>
      <c r="T137" s="106">
        <v>55.503275989507834</v>
      </c>
      <c r="U137" s="106">
        <v>56.919534581840104</v>
      </c>
      <c r="V137" s="106">
        <v>58.394699186419459</v>
      </c>
      <c r="W137" s="106">
        <v>59.937779112420593</v>
      </c>
      <c r="X137" s="106">
        <v>61.551104333529914</v>
      </c>
      <c r="Y137" s="106">
        <v>63.229141315422773</v>
      </c>
      <c r="Z137" s="106">
        <v>64.989019082035384</v>
      </c>
      <c r="AA137" s="272"/>
      <c r="AB137" s="272"/>
      <c r="AC137" s="272"/>
      <c r="AD137" s="272"/>
      <c r="AE137" s="272"/>
      <c r="AF137" s="272"/>
      <c r="AG137" s="272"/>
      <c r="AH137" s="272"/>
      <c r="AI137" s="272"/>
      <c r="AJ137" s="272"/>
      <c r="AK137" s="272"/>
      <c r="AL137" s="272"/>
      <c r="AM137" s="272"/>
      <c r="AN137" s="272"/>
      <c r="AO137" s="272"/>
      <c r="AP137" s="272"/>
      <c r="AQ137" s="272"/>
      <c r="AR137" s="306" t="s">
        <v>186</v>
      </c>
      <c r="BD137" s="25"/>
      <c r="BE137" s="25"/>
      <c r="BF137" s="25"/>
      <c r="BG137" s="25"/>
      <c r="BH137" s="25"/>
    </row>
    <row r="138" spans="2:60" s="6" customFormat="1">
      <c r="B138" s="13" t="s">
        <v>94</v>
      </c>
      <c r="C138" s="13"/>
      <c r="D138" s="13"/>
      <c r="E138" s="13"/>
      <c r="F138" s="1"/>
      <c r="G138" s="25"/>
      <c r="H138" s="106">
        <v>7.2298333333333327</v>
      </c>
      <c r="I138" s="106">
        <v>7.4500420069444449</v>
      </c>
      <c r="J138" s="106">
        <v>7.6695078277323505</v>
      </c>
      <c r="K138" s="106">
        <v>7.8898463963665764</v>
      </c>
      <c r="L138" s="106">
        <v>8.1125701852640102</v>
      </c>
      <c r="M138" s="106">
        <v>8.3362067033711202</v>
      </c>
      <c r="N138" s="106">
        <v>8.5606938030539865</v>
      </c>
      <c r="O138" s="106">
        <v>8.7869458063572008</v>
      </c>
      <c r="P138" s="106">
        <v>9.0152599482257152</v>
      </c>
      <c r="Q138" s="106">
        <v>9.2459003485678206</v>
      </c>
      <c r="R138" s="106">
        <v>9.4797445782170158</v>
      </c>
      <c r="S138" s="106">
        <v>9.7176071692587769</v>
      </c>
      <c r="T138" s="106">
        <v>9.9621264596552521</v>
      </c>
      <c r="U138" s="106">
        <v>10.216326719817456</v>
      </c>
      <c r="V138" s="106">
        <v>10.481099853972724</v>
      </c>
      <c r="W138" s="106">
        <v>10.758062917613952</v>
      </c>
      <c r="X138" s="106">
        <v>11.047634111146396</v>
      </c>
      <c r="Y138" s="106">
        <v>11.348820236101524</v>
      </c>
      <c r="Z138" s="106">
        <v>11.664695732673017</v>
      </c>
      <c r="AA138" s="272"/>
      <c r="AB138" s="272"/>
      <c r="AC138" s="272"/>
      <c r="AD138" s="272"/>
      <c r="AE138" s="272"/>
      <c r="AF138" s="272"/>
      <c r="AG138" s="272"/>
      <c r="AH138" s="272"/>
      <c r="AI138" s="272"/>
      <c r="AJ138" s="272"/>
      <c r="AK138" s="272"/>
      <c r="AL138" s="272"/>
      <c r="AM138" s="272"/>
      <c r="AN138" s="272"/>
      <c r="AO138" s="272"/>
      <c r="AP138" s="272"/>
      <c r="AQ138" s="272"/>
      <c r="AR138" s="306" t="s">
        <v>186</v>
      </c>
      <c r="BD138" s="25"/>
      <c r="BE138" s="25"/>
      <c r="BF138" s="25"/>
      <c r="BG138" s="25"/>
      <c r="BH138" s="25"/>
    </row>
    <row r="139" spans="2:60" s="6" customFormat="1">
      <c r="B139" s="13" t="s">
        <v>95</v>
      </c>
      <c r="C139" s="13"/>
      <c r="D139" s="13"/>
      <c r="E139" s="13"/>
      <c r="F139" s="1"/>
      <c r="G139" s="25"/>
      <c r="H139" s="106">
        <v>18.590999999999998</v>
      </c>
      <c r="I139" s="106">
        <v>19.157250874999999</v>
      </c>
      <c r="J139" s="106">
        <v>19.721591557026045</v>
      </c>
      <c r="K139" s="106">
        <v>20.288176447799767</v>
      </c>
      <c r="L139" s="106">
        <v>20.860894762107453</v>
      </c>
      <c r="M139" s="106">
        <v>21.435960094382882</v>
      </c>
      <c r="N139" s="106">
        <v>22.013212636424534</v>
      </c>
      <c r="O139" s="106">
        <v>22.59500350206137</v>
      </c>
      <c r="P139" s="106">
        <v>23.182097009723265</v>
      </c>
      <c r="Q139" s="106">
        <v>23.775172324888683</v>
      </c>
      <c r="R139" s="106">
        <v>24.376486058272327</v>
      </c>
      <c r="S139" s="106">
        <v>24.988132720951143</v>
      </c>
      <c r="T139" s="106">
        <v>25.616896610542078</v>
      </c>
      <c r="U139" s="106">
        <v>26.27055442238774</v>
      </c>
      <c r="V139" s="106">
        <v>26.951399624501288</v>
      </c>
      <c r="W139" s="106">
        <v>27.663590359578734</v>
      </c>
      <c r="X139" s="106">
        <v>28.408202000090728</v>
      </c>
      <c r="Y139" s="106">
        <v>29.182680607118201</v>
      </c>
      <c r="Z139" s="106">
        <v>29.994931884016331</v>
      </c>
      <c r="AA139" s="272"/>
      <c r="AB139" s="272"/>
      <c r="AC139" s="272"/>
      <c r="AD139" s="272"/>
      <c r="AE139" s="272"/>
      <c r="AF139" s="272"/>
      <c r="AG139" s="272"/>
      <c r="AH139" s="272"/>
      <c r="AI139" s="272"/>
      <c r="AJ139" s="272"/>
      <c r="AK139" s="272"/>
      <c r="AL139" s="272"/>
      <c r="AM139" s="272"/>
      <c r="AN139" s="272"/>
      <c r="AO139" s="272"/>
      <c r="AP139" s="272"/>
      <c r="AQ139" s="272"/>
      <c r="AR139" s="306" t="s">
        <v>186</v>
      </c>
      <c r="BD139" s="25"/>
      <c r="BE139" s="25"/>
      <c r="BF139" s="25"/>
      <c r="BG139" s="25"/>
      <c r="BH139" s="25"/>
    </row>
    <row r="140" spans="2:60" s="6" customFormat="1">
      <c r="B140" s="13" t="s">
        <v>96</v>
      </c>
      <c r="C140" s="13"/>
      <c r="D140" s="13"/>
      <c r="E140" s="13"/>
      <c r="F140" s="1"/>
      <c r="G140" s="25"/>
      <c r="H140" s="106">
        <v>61.97</v>
      </c>
      <c r="I140" s="106">
        <v>63.857502916666668</v>
      </c>
      <c r="J140" s="106">
        <v>65.73863852342015</v>
      </c>
      <c r="K140" s="106">
        <v>67.627254825999231</v>
      </c>
      <c r="L140" s="106">
        <v>69.536315873691507</v>
      </c>
      <c r="M140" s="106">
        <v>71.453200314609603</v>
      </c>
      <c r="N140" s="106">
        <v>73.377375454748446</v>
      </c>
      <c r="O140" s="106">
        <v>75.316678340204575</v>
      </c>
      <c r="P140" s="106">
        <v>77.273656699077549</v>
      </c>
      <c r="Q140" s="106">
        <v>79.250574416295606</v>
      </c>
      <c r="R140" s="106">
        <v>81.254953527574429</v>
      </c>
      <c r="S140" s="106">
        <v>83.293775736503804</v>
      </c>
      <c r="T140" s="106">
        <v>85.389655368473598</v>
      </c>
      <c r="U140" s="106">
        <v>87.568514741292475</v>
      </c>
      <c r="V140" s="106">
        <v>89.837998748337625</v>
      </c>
      <c r="W140" s="106">
        <v>92.211967865262451</v>
      </c>
      <c r="X140" s="106">
        <v>94.694006666969102</v>
      </c>
      <c r="Y140" s="106">
        <v>97.275602023727345</v>
      </c>
      <c r="Z140" s="106">
        <v>99.983106280054443</v>
      </c>
      <c r="AA140" s="272"/>
      <c r="AB140" s="272"/>
      <c r="AC140" s="272"/>
      <c r="AD140" s="272"/>
      <c r="AE140" s="272"/>
      <c r="AF140" s="272"/>
      <c r="AG140" s="272"/>
      <c r="AH140" s="272"/>
      <c r="AI140" s="272"/>
      <c r="AJ140" s="272"/>
      <c r="AK140" s="272"/>
      <c r="AL140" s="272"/>
      <c r="AM140" s="272"/>
      <c r="AN140" s="272"/>
      <c r="AO140" s="272"/>
      <c r="AP140" s="272"/>
      <c r="AQ140" s="272"/>
      <c r="AR140" s="306" t="s">
        <v>186</v>
      </c>
      <c r="BD140" s="25"/>
      <c r="BE140" s="25"/>
      <c r="BF140" s="25"/>
      <c r="BG140" s="25"/>
      <c r="BH140" s="25"/>
    </row>
    <row r="141" spans="2:60" s="6" customFormat="1">
      <c r="B141" s="13" t="s">
        <v>97</v>
      </c>
      <c r="C141" s="13"/>
      <c r="D141" s="13"/>
      <c r="E141" s="13"/>
      <c r="F141" s="1"/>
      <c r="G141" s="25"/>
      <c r="H141" s="106">
        <v>-1127.9603453182799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272"/>
      <c r="AB141" s="272"/>
      <c r="AC141" s="272"/>
      <c r="AD141" s="272"/>
      <c r="AE141" s="272"/>
      <c r="AF141" s="272"/>
      <c r="AG141" s="272"/>
      <c r="AH141" s="272"/>
      <c r="AI141" s="272"/>
      <c r="AJ141" s="272"/>
      <c r="AK141" s="272"/>
      <c r="AL141" s="272"/>
      <c r="AM141" s="272"/>
      <c r="AN141" s="272"/>
      <c r="AO141" s="272"/>
      <c r="AP141" s="272"/>
      <c r="AQ141" s="272"/>
      <c r="AR141" s="306" t="s">
        <v>186</v>
      </c>
      <c r="BD141" s="25"/>
      <c r="BE141" s="25"/>
      <c r="BF141" s="25"/>
      <c r="BG141" s="25"/>
      <c r="BH141" s="25"/>
    </row>
    <row r="142" spans="2:60" s="6" customFormat="1">
      <c r="B142" s="13" t="s">
        <v>98</v>
      </c>
      <c r="C142" s="13"/>
      <c r="D142" s="13"/>
      <c r="E142" s="13"/>
      <c r="F142" s="1"/>
      <c r="G142" s="25"/>
      <c r="H142" s="106">
        <v>6908.1120000000001</v>
      </c>
      <c r="I142" s="106">
        <v>660.57399999999996</v>
      </c>
      <c r="J142" s="106">
        <v>617.56200000000001</v>
      </c>
      <c r="K142" s="106">
        <v>4009</v>
      </c>
      <c r="L142" s="106">
        <v>709.07100000000003</v>
      </c>
      <c r="M142" s="106">
        <v>698.601</v>
      </c>
      <c r="N142" s="106">
        <v>10662</v>
      </c>
      <c r="O142" s="106">
        <v>923.89400000000001</v>
      </c>
      <c r="P142" s="106">
        <v>860.22</v>
      </c>
      <c r="Q142" s="106">
        <v>9210</v>
      </c>
      <c r="R142" s="106">
        <v>709</v>
      </c>
      <c r="S142" s="106">
        <v>2227.7460000000001</v>
      </c>
      <c r="T142" s="106">
        <v>8987</v>
      </c>
      <c r="U142" s="106">
        <v>964</v>
      </c>
      <c r="V142" s="106">
        <v>870.80399999999997</v>
      </c>
      <c r="W142" s="106">
        <v>2811</v>
      </c>
      <c r="X142" s="106">
        <v>1017</v>
      </c>
      <c r="Y142" s="106">
        <v>818.53599999999994</v>
      </c>
      <c r="Z142" s="106">
        <v>8524</v>
      </c>
      <c r="AA142" s="272"/>
      <c r="AB142" s="272"/>
      <c r="AC142" s="272"/>
      <c r="AD142" s="272"/>
      <c r="AE142" s="272"/>
      <c r="AF142" s="272"/>
      <c r="AG142" s="272"/>
      <c r="AH142" s="272"/>
      <c r="AI142" s="272"/>
      <c r="AJ142" s="272"/>
      <c r="AK142" s="272"/>
      <c r="AL142" s="272"/>
      <c r="AM142" s="272"/>
      <c r="AN142" s="272"/>
      <c r="AO142" s="272"/>
      <c r="AP142" s="272"/>
      <c r="AQ142" s="272"/>
      <c r="AR142" s="306" t="s">
        <v>186</v>
      </c>
      <c r="BD142" s="25"/>
      <c r="BE142" s="25"/>
      <c r="BF142" s="25"/>
      <c r="BG142" s="25"/>
      <c r="BH142" s="25"/>
    </row>
    <row r="143" spans="2:60" s="6" customFormat="1">
      <c r="B143" s="13" t="s">
        <v>99</v>
      </c>
      <c r="C143" s="13"/>
      <c r="D143" s="13"/>
      <c r="E143" s="13"/>
      <c r="F143" s="1"/>
      <c r="G143" s="25"/>
      <c r="H143" s="106">
        <v>51.548999999999999</v>
      </c>
      <c r="I143" s="106">
        <v>987.40899999999999</v>
      </c>
      <c r="J143" s="106">
        <v>55.192999999999998</v>
      </c>
      <c r="K143" s="106">
        <v>66.954999999999998</v>
      </c>
      <c r="L143" s="106">
        <v>231.38399999999999</v>
      </c>
      <c r="M143" s="106">
        <v>71.619</v>
      </c>
      <c r="N143" s="106">
        <v>63.326999999999998</v>
      </c>
      <c r="O143" s="106">
        <v>1141.9929999999999</v>
      </c>
      <c r="P143" s="106">
        <v>67.86</v>
      </c>
      <c r="Q143" s="106">
        <v>82.003</v>
      </c>
      <c r="R143" s="106">
        <v>282.327</v>
      </c>
      <c r="S143" s="106">
        <v>87.783000000000001</v>
      </c>
      <c r="T143" s="106">
        <v>77.995000000000005</v>
      </c>
      <c r="U143" s="106">
        <v>1363.5989999999999</v>
      </c>
      <c r="V143" s="106">
        <v>83.65</v>
      </c>
      <c r="W143" s="106">
        <v>100.672</v>
      </c>
      <c r="X143" s="106">
        <v>345.209</v>
      </c>
      <c r="Y143" s="106">
        <v>107.851</v>
      </c>
      <c r="Z143" s="106">
        <v>96.317999999999998</v>
      </c>
      <c r="AA143" s="272"/>
      <c r="AB143" s="272"/>
      <c r="AC143" s="272"/>
      <c r="AD143" s="272"/>
      <c r="AE143" s="272"/>
      <c r="AF143" s="272"/>
      <c r="AG143" s="272"/>
      <c r="AH143" s="272"/>
      <c r="AI143" s="272"/>
      <c r="AJ143" s="272"/>
      <c r="AK143" s="272"/>
      <c r="AL143" s="272"/>
      <c r="AM143" s="272"/>
      <c r="AN143" s="272"/>
      <c r="AO143" s="272"/>
      <c r="AP143" s="272"/>
      <c r="AQ143" s="272"/>
      <c r="AR143" s="306" t="s">
        <v>186</v>
      </c>
      <c r="BD143" s="25"/>
      <c r="BE143" s="25"/>
      <c r="BF143" s="25"/>
      <c r="BG143" s="25"/>
      <c r="BH143" s="25"/>
    </row>
    <row r="144" spans="2:60" s="6" customFormat="1">
      <c r="B144" s="13" t="s">
        <v>100</v>
      </c>
      <c r="C144" s="13"/>
      <c r="D144" s="13"/>
      <c r="E144" s="13"/>
      <c r="F144" s="1"/>
      <c r="G144" s="25"/>
      <c r="H144" s="106">
        <v>945.38800000000003</v>
      </c>
      <c r="I144" s="106">
        <v>11</v>
      </c>
      <c r="J144" s="106">
        <v>45.502000000000002</v>
      </c>
      <c r="K144" s="106">
        <v>12</v>
      </c>
      <c r="L144" s="106">
        <v>48.936</v>
      </c>
      <c r="M144" s="106">
        <v>1061</v>
      </c>
      <c r="N144" s="106">
        <v>53.722000000000001</v>
      </c>
      <c r="O144" s="106">
        <v>13</v>
      </c>
      <c r="P144" s="106">
        <v>58.896000000000001</v>
      </c>
      <c r="Q144" s="106">
        <v>14</v>
      </c>
      <c r="R144" s="106">
        <v>1279.498</v>
      </c>
      <c r="S144" s="106">
        <v>15</v>
      </c>
      <c r="T144" s="106">
        <v>70.572000000000003</v>
      </c>
      <c r="U144" s="106">
        <v>16</v>
      </c>
      <c r="V144" s="106">
        <v>77.165000000000006</v>
      </c>
      <c r="W144" s="106">
        <v>1426</v>
      </c>
      <c r="X144" s="106">
        <v>84.331999999999994</v>
      </c>
      <c r="Y144" s="106">
        <v>18</v>
      </c>
      <c r="Z144" s="106">
        <v>92.132000000000005</v>
      </c>
      <c r="AA144" s="272"/>
      <c r="AB144" s="272"/>
      <c r="AC144" s="272"/>
      <c r="AD144" s="272"/>
      <c r="AE144" s="272"/>
      <c r="AF144" s="272"/>
      <c r="AG144" s="272"/>
      <c r="AH144" s="272"/>
      <c r="AI144" s="272"/>
      <c r="AJ144" s="272"/>
      <c r="AK144" s="272"/>
      <c r="AL144" s="272"/>
      <c r="AM144" s="272"/>
      <c r="AN144" s="272"/>
      <c r="AO144" s="272"/>
      <c r="AP144" s="272"/>
      <c r="AQ144" s="272"/>
      <c r="AR144" s="306" t="s">
        <v>186</v>
      </c>
      <c r="BD144" s="25"/>
      <c r="BE144" s="25"/>
      <c r="BF144" s="25"/>
      <c r="BG144" s="25"/>
      <c r="BH144" s="25"/>
    </row>
    <row r="145" spans="1:60" s="6" customFormat="1">
      <c r="B145" s="13" t="s">
        <v>101</v>
      </c>
      <c r="C145" s="13"/>
      <c r="D145" s="13"/>
      <c r="E145" s="13"/>
      <c r="F145" s="1"/>
      <c r="G145" s="25"/>
      <c r="H145" s="106">
        <v>24.942</v>
      </c>
      <c r="I145" s="106">
        <v>43.127000000000002</v>
      </c>
      <c r="J145" s="106">
        <v>26.561</v>
      </c>
      <c r="K145" s="106">
        <v>27.411000000000001</v>
      </c>
      <c r="L145" s="106">
        <v>28.291</v>
      </c>
      <c r="M145" s="106">
        <v>29.199000000000002</v>
      </c>
      <c r="N145" s="106">
        <v>30.137</v>
      </c>
      <c r="O145" s="106">
        <v>51.869</v>
      </c>
      <c r="P145" s="106">
        <v>32.106999999999999</v>
      </c>
      <c r="Q145" s="106">
        <v>33.142000000000003</v>
      </c>
      <c r="R145" s="106">
        <v>34.212000000000003</v>
      </c>
      <c r="S145" s="106">
        <v>35.317999999999998</v>
      </c>
      <c r="T145" s="106">
        <v>36.460999999999999</v>
      </c>
      <c r="U145" s="106">
        <v>62.433</v>
      </c>
      <c r="V145" s="106">
        <v>38.860999999999997</v>
      </c>
      <c r="W145" s="106">
        <v>40.125</v>
      </c>
      <c r="X145" s="106">
        <v>41.43</v>
      </c>
      <c r="Y145" s="106">
        <v>42.777000000000001</v>
      </c>
      <c r="Z145" s="106">
        <v>44.173999999999999</v>
      </c>
      <c r="AA145" s="272"/>
      <c r="AB145" s="272"/>
      <c r="AC145" s="272"/>
      <c r="AD145" s="272"/>
      <c r="AE145" s="272"/>
      <c r="AF145" s="272"/>
      <c r="AG145" s="272"/>
      <c r="AH145" s="272"/>
      <c r="AI145" s="272"/>
      <c r="AJ145" s="272"/>
      <c r="AK145" s="272"/>
      <c r="AL145" s="272"/>
      <c r="AM145" s="272"/>
      <c r="AN145" s="272"/>
      <c r="AO145" s="272"/>
      <c r="AP145" s="272"/>
      <c r="AQ145" s="272"/>
      <c r="AR145" s="306" t="s">
        <v>186</v>
      </c>
      <c r="BD145" s="25"/>
      <c r="BE145" s="25"/>
      <c r="BF145" s="25"/>
      <c r="BG145" s="25"/>
      <c r="BH145" s="25"/>
    </row>
    <row r="146" spans="1:60" s="6" customFormat="1">
      <c r="B146" s="13" t="s">
        <v>102</v>
      </c>
      <c r="C146" s="13"/>
      <c r="D146" s="13"/>
      <c r="E146" s="13"/>
      <c r="F146" s="1"/>
      <c r="G146" s="25"/>
      <c r="H146" s="106">
        <v>63.679000000000002</v>
      </c>
      <c r="I146" s="106">
        <v>169.88800000000001</v>
      </c>
      <c r="J146" s="106">
        <v>202.483</v>
      </c>
      <c r="K146" s="106">
        <v>175.196</v>
      </c>
      <c r="L146" s="106">
        <v>85.567999999999998</v>
      </c>
      <c r="M146" s="106">
        <v>468.70800000000003</v>
      </c>
      <c r="N146" s="106">
        <v>46.902999999999999</v>
      </c>
      <c r="O146" s="106">
        <v>250.99</v>
      </c>
      <c r="P146" s="106">
        <v>225.34100000000001</v>
      </c>
      <c r="Q146" s="106">
        <v>31.28</v>
      </c>
      <c r="R146" s="106">
        <v>215.14500000000001</v>
      </c>
      <c r="S146" s="106">
        <v>471.65600000000001</v>
      </c>
      <c r="T146" s="106">
        <v>43.165999999999997</v>
      </c>
      <c r="U146" s="106">
        <v>270.399</v>
      </c>
      <c r="V146" s="106">
        <v>348.209</v>
      </c>
      <c r="W146" s="106">
        <v>282.935</v>
      </c>
      <c r="X146" s="106">
        <v>25.728000000000002</v>
      </c>
      <c r="Y146" s="106">
        <v>504.88</v>
      </c>
      <c r="Z146" s="106">
        <v>66.872</v>
      </c>
      <c r="AA146" s="272"/>
      <c r="AB146" s="272"/>
      <c r="AC146" s="272"/>
      <c r="AD146" s="272"/>
      <c r="AE146" s="272"/>
      <c r="AF146" s="272"/>
      <c r="AG146" s="272"/>
      <c r="AH146" s="272"/>
      <c r="AI146" s="272"/>
      <c r="AJ146" s="272"/>
      <c r="AK146" s="272"/>
      <c r="AL146" s="272"/>
      <c r="AM146" s="272"/>
      <c r="AN146" s="272"/>
      <c r="AO146" s="272"/>
      <c r="AP146" s="272"/>
      <c r="AQ146" s="272"/>
      <c r="AR146" s="306" t="s">
        <v>186</v>
      </c>
      <c r="BD146" s="25"/>
      <c r="BE146" s="25"/>
      <c r="BF146" s="25"/>
      <c r="BG146" s="25"/>
      <c r="BH146" s="25"/>
    </row>
    <row r="147" spans="1:60" s="6" customFormat="1" ht="13.8" thickBot="1">
      <c r="B147" s="13" t="s">
        <v>103</v>
      </c>
      <c r="C147" s="13"/>
      <c r="D147" s="13"/>
      <c r="E147" s="13"/>
      <c r="F147" s="1"/>
      <c r="G147" s="25"/>
      <c r="H147" s="107">
        <v>36</v>
      </c>
      <c r="I147" s="107">
        <v>37.095855306737796</v>
      </c>
      <c r="J147" s="107">
        <v>38.187973701439219</v>
      </c>
      <c r="K147" s="107">
        <v>39.284400781157593</v>
      </c>
      <c r="L147" s="107">
        <v>40.392665868096088</v>
      </c>
      <c r="M147" s="107">
        <v>41.50543627239329</v>
      </c>
      <c r="N147" s="107">
        <v>42.622403586372151</v>
      </c>
      <c r="O147" s="107">
        <v>43.748119165979396</v>
      </c>
      <c r="P147" s="107">
        <v>44.884062550289158</v>
      </c>
      <c r="Q147" s="107">
        <v>46.031548000168044</v>
      </c>
      <c r="R147" s="107">
        <v>47.194944126605449</v>
      </c>
      <c r="S147" s="107">
        <v>48.378304969700828</v>
      </c>
      <c r="T147" s="107">
        <v>49.594763912101861</v>
      </c>
      <c r="U147" s="107">
        <v>50.859374741888701</v>
      </c>
      <c r="V147" s="107">
        <v>52.176575126090455</v>
      </c>
      <c r="W147" s="107">
        <v>53.554411725042307</v>
      </c>
      <c r="X147" s="107">
        <v>54.994964007774009</v>
      </c>
      <c r="Y147" s="107">
        <v>56.493284412627297</v>
      </c>
      <c r="Z147" s="107">
        <v>58.064672523113742</v>
      </c>
      <c r="AA147" s="272"/>
      <c r="AB147" s="272"/>
      <c r="AC147" s="272"/>
      <c r="AD147" s="272"/>
      <c r="AE147" s="272"/>
      <c r="AF147" s="272"/>
      <c r="AG147" s="272"/>
      <c r="AH147" s="272"/>
      <c r="AI147" s="272"/>
      <c r="AJ147" s="272"/>
      <c r="AK147" s="272"/>
      <c r="AL147" s="272"/>
      <c r="AM147" s="272"/>
      <c r="AN147" s="272"/>
      <c r="AO147" s="272"/>
      <c r="AP147" s="272"/>
      <c r="AQ147" s="272"/>
      <c r="AR147" s="306" t="s">
        <v>186</v>
      </c>
      <c r="BD147" s="25"/>
      <c r="BE147" s="25"/>
      <c r="BF147" s="25"/>
      <c r="BG147" s="25"/>
      <c r="BH147" s="25"/>
    </row>
    <row r="148" spans="1:60" s="6" customFormat="1">
      <c r="A148" s="13"/>
      <c r="B148" s="13" t="s">
        <v>104</v>
      </c>
      <c r="C148" s="13"/>
      <c r="D148" s="13"/>
      <c r="E148" s="13"/>
      <c r="F148" s="1"/>
      <c r="G148" s="12"/>
      <c r="H148" s="6">
        <f>SUM(H127:H147)</f>
        <v>11135.009398751663</v>
      </c>
      <c r="I148" s="6">
        <f t="shared" ref="I148:Z148" si="69">SUM(I127:I147)</f>
        <v>6286.1269205634408</v>
      </c>
      <c r="J148" s="6">
        <f t="shared" si="69"/>
        <v>5508.7645658476158</v>
      </c>
      <c r="K148" s="6">
        <f t="shared" si="69"/>
        <v>9002.5152479921562</v>
      </c>
      <c r="L148" s="6">
        <f t="shared" si="69"/>
        <v>5969.4671634234628</v>
      </c>
      <c r="M148" s="6">
        <f t="shared" si="69"/>
        <v>7353.0047167323455</v>
      </c>
      <c r="N148" s="6">
        <f t="shared" si="69"/>
        <v>16041.123939097908</v>
      </c>
      <c r="O148" s="6">
        <f t="shared" si="69"/>
        <v>7731.8671236508153</v>
      </c>
      <c r="P148" s="6">
        <f t="shared" si="69"/>
        <v>6763.7905282735173</v>
      </c>
      <c r="Q148" s="6">
        <f t="shared" si="69"/>
        <v>15063.420436775286</v>
      </c>
      <c r="R148" s="6">
        <f t="shared" si="69"/>
        <v>8391.6252288695796</v>
      </c>
      <c r="S148" s="6">
        <f t="shared" si="69"/>
        <v>8892.6326856594678</v>
      </c>
      <c r="T148" s="6">
        <f t="shared" si="69"/>
        <v>15460.286074776735</v>
      </c>
      <c r="U148" s="6">
        <f t="shared" si="69"/>
        <v>9118.9341002314741</v>
      </c>
      <c r="V148" s="6">
        <f t="shared" si="69"/>
        <v>8066.5154826580228</v>
      </c>
      <c r="W148" s="6">
        <f t="shared" si="69"/>
        <v>11522.507638293564</v>
      </c>
      <c r="X148" s="6">
        <f t="shared" si="69"/>
        <v>8598.367616770207</v>
      </c>
      <c r="Y148" s="6">
        <f t="shared" si="69"/>
        <v>8808.4010706289937</v>
      </c>
      <c r="Z148" s="6">
        <f t="shared" si="69"/>
        <v>16381.560236761858</v>
      </c>
      <c r="AA148" s="272"/>
      <c r="AB148" s="272"/>
      <c r="AC148" s="272"/>
      <c r="AD148" s="272"/>
      <c r="AE148" s="272"/>
      <c r="AF148" s="272"/>
      <c r="AG148" s="272"/>
      <c r="AH148" s="272"/>
      <c r="AI148" s="272"/>
      <c r="AJ148" s="272"/>
      <c r="AK148" s="272"/>
      <c r="AL148" s="272"/>
      <c r="AM148" s="272"/>
      <c r="AN148" s="272"/>
      <c r="AO148" s="272"/>
      <c r="AP148" s="272"/>
      <c r="AQ148" s="272"/>
      <c r="AR148" s="306" t="s">
        <v>186</v>
      </c>
    </row>
    <row r="149" spans="1:60" s="6" customFormat="1">
      <c r="A149" s="13"/>
      <c r="B149" s="13"/>
      <c r="C149" s="13"/>
      <c r="D149" s="13"/>
      <c r="E149" s="13"/>
      <c r="F149" s="1"/>
      <c r="G149" s="12"/>
      <c r="AA149" s="272"/>
      <c r="AB149" s="272"/>
      <c r="AC149" s="272"/>
      <c r="AD149" s="272"/>
      <c r="AE149" s="272"/>
      <c r="AF149" s="272"/>
      <c r="AG149" s="272"/>
      <c r="AH149" s="272"/>
      <c r="AI149" s="272"/>
      <c r="AJ149" s="272"/>
      <c r="AK149" s="272"/>
      <c r="AL149" s="272"/>
      <c r="AM149" s="272"/>
      <c r="AN149" s="272"/>
      <c r="AO149" s="272"/>
      <c r="AP149" s="272"/>
      <c r="AQ149" s="272"/>
      <c r="AR149" s="306" t="s">
        <v>186</v>
      </c>
    </row>
    <row r="150" spans="1:60" s="6" customFormat="1">
      <c r="A150" s="13"/>
      <c r="B150" s="16" t="s">
        <v>116</v>
      </c>
      <c r="C150" s="13"/>
      <c r="D150" s="13"/>
      <c r="E150" s="13"/>
      <c r="F150" s="1"/>
      <c r="G150" s="12"/>
      <c r="H150" s="6">
        <f t="shared" ref="H150:Z150" si="70">+H148+H124</f>
        <v>53348.500752926368</v>
      </c>
      <c r="I150" s="6">
        <f t="shared" si="70"/>
        <v>50677.742099322008</v>
      </c>
      <c r="J150" s="6">
        <f t="shared" si="70"/>
        <v>51873.656638862201</v>
      </c>
      <c r="K150" s="6">
        <f t="shared" si="70"/>
        <v>57969.873496864515</v>
      </c>
      <c r="L150" s="6">
        <f t="shared" si="70"/>
        <v>57320.782896397759</v>
      </c>
      <c r="M150" s="6">
        <f t="shared" si="70"/>
        <v>59899.085474981694</v>
      </c>
      <c r="N150" s="6">
        <f t="shared" si="70"/>
        <v>58844.828348315052</v>
      </c>
      <c r="O150" s="6">
        <f t="shared" si="70"/>
        <v>51870.28622421289</v>
      </c>
      <c r="P150" s="6">
        <f t="shared" si="70"/>
        <v>51440.327049870437</v>
      </c>
      <c r="Q150" s="6">
        <f t="shared" si="70"/>
        <v>60945.516649482612</v>
      </c>
      <c r="R150" s="6">
        <f t="shared" si="70"/>
        <v>55575.820861274289</v>
      </c>
      <c r="S150" s="6">
        <f t="shared" si="70"/>
        <v>57242.890384709397</v>
      </c>
      <c r="T150" s="6">
        <f t="shared" si="70"/>
        <v>65327.920350759967</v>
      </c>
      <c r="U150" s="6">
        <f t="shared" si="70"/>
        <v>60378.203637839222</v>
      </c>
      <c r="V150" s="6">
        <f t="shared" si="70"/>
        <v>60285.679400972112</v>
      </c>
      <c r="W150" s="6">
        <f t="shared" si="70"/>
        <v>65592.333102767909</v>
      </c>
      <c r="X150" s="6">
        <f t="shared" si="70"/>
        <v>64357.894097930061</v>
      </c>
      <c r="Y150" s="6">
        <f t="shared" si="70"/>
        <v>65868.833831106807</v>
      </c>
      <c r="Z150" s="6">
        <f t="shared" si="70"/>
        <v>75240.307785560261</v>
      </c>
      <c r="AA150" s="272"/>
      <c r="AB150" s="272"/>
      <c r="AC150" s="272"/>
      <c r="AD150" s="272"/>
      <c r="AE150" s="272"/>
      <c r="AF150" s="272"/>
      <c r="AG150" s="272"/>
      <c r="AH150" s="272"/>
      <c r="AI150" s="272"/>
      <c r="AJ150" s="272"/>
      <c r="AK150" s="272"/>
      <c r="AL150" s="272"/>
      <c r="AM150" s="272"/>
      <c r="AN150" s="272"/>
      <c r="AO150" s="272"/>
      <c r="AP150" s="272"/>
      <c r="AQ150" s="272"/>
      <c r="AR150" s="306" t="s">
        <v>186</v>
      </c>
    </row>
    <row r="151" spans="1:60" s="6" customFormat="1">
      <c r="A151" s="13"/>
      <c r="B151" s="16"/>
      <c r="C151" s="13"/>
      <c r="D151" s="13"/>
      <c r="E151" s="13"/>
      <c r="F151" s="1"/>
      <c r="G151" s="12"/>
      <c r="AA151" s="272"/>
      <c r="AB151" s="272"/>
      <c r="AC151" s="272"/>
      <c r="AD151" s="272"/>
      <c r="AE151" s="272"/>
      <c r="AF151" s="272"/>
      <c r="AG151" s="272"/>
      <c r="AH151" s="272"/>
      <c r="AI151" s="272"/>
      <c r="AJ151" s="272"/>
      <c r="AK151" s="272"/>
      <c r="AL151" s="272"/>
      <c r="AM151" s="272"/>
      <c r="AN151" s="272"/>
      <c r="AO151" s="272"/>
      <c r="AP151" s="272"/>
      <c r="AQ151" s="272"/>
      <c r="AR151" s="306" t="s">
        <v>186</v>
      </c>
    </row>
    <row r="152" spans="1:60" s="6" customFormat="1">
      <c r="A152" s="13"/>
      <c r="B152" s="16"/>
      <c r="C152" s="13"/>
      <c r="D152" s="13"/>
      <c r="E152" s="13"/>
      <c r="F152" s="1"/>
      <c r="G152" s="12"/>
      <c r="AA152" s="272"/>
      <c r="AB152" s="272"/>
      <c r="AC152" s="272"/>
      <c r="AD152" s="272"/>
      <c r="AE152" s="272"/>
      <c r="AF152" s="272"/>
      <c r="AG152" s="272"/>
      <c r="AH152" s="272"/>
      <c r="AI152" s="272"/>
      <c r="AJ152" s="272"/>
      <c r="AK152" s="272"/>
      <c r="AL152" s="272"/>
      <c r="AM152" s="272"/>
      <c r="AN152" s="272"/>
      <c r="AO152" s="272"/>
      <c r="AP152" s="272"/>
      <c r="AQ152" s="272"/>
      <c r="AR152" s="306" t="s">
        <v>186</v>
      </c>
    </row>
    <row r="153" spans="1:60" s="6" customFormat="1" ht="16.2" thickBot="1">
      <c r="A153" s="29"/>
      <c r="B153" s="16"/>
      <c r="C153" s="13"/>
      <c r="D153" s="13"/>
      <c r="E153" s="13"/>
      <c r="F153" s="1"/>
      <c r="G153" s="12"/>
      <c r="H153" s="11">
        <f>+H$9</f>
        <v>2001</v>
      </c>
      <c r="I153" s="11">
        <f t="shared" ref="I153:Z153" si="71">+I$9</f>
        <v>2002</v>
      </c>
      <c r="J153" s="11">
        <f t="shared" si="71"/>
        <v>2003</v>
      </c>
      <c r="K153" s="11">
        <f t="shared" si="71"/>
        <v>2004</v>
      </c>
      <c r="L153" s="11">
        <f t="shared" si="71"/>
        <v>2005</v>
      </c>
      <c r="M153" s="11">
        <f t="shared" si="71"/>
        <v>2006</v>
      </c>
      <c r="N153" s="11">
        <f t="shared" si="71"/>
        <v>2007</v>
      </c>
      <c r="O153" s="11">
        <f t="shared" si="71"/>
        <v>2008</v>
      </c>
      <c r="P153" s="11">
        <f t="shared" si="71"/>
        <v>2009</v>
      </c>
      <c r="Q153" s="11">
        <f t="shared" si="71"/>
        <v>2010</v>
      </c>
      <c r="R153" s="11">
        <f t="shared" si="71"/>
        <v>2011</v>
      </c>
      <c r="S153" s="11">
        <f t="shared" si="71"/>
        <v>2012</v>
      </c>
      <c r="T153" s="11">
        <f t="shared" si="71"/>
        <v>2013</v>
      </c>
      <c r="U153" s="11">
        <f t="shared" si="71"/>
        <v>2014</v>
      </c>
      <c r="V153" s="11">
        <f t="shared" si="71"/>
        <v>2015</v>
      </c>
      <c r="W153" s="11">
        <f t="shared" si="71"/>
        <v>2016</v>
      </c>
      <c r="X153" s="11">
        <f t="shared" si="71"/>
        <v>2017</v>
      </c>
      <c r="Y153" s="11">
        <f t="shared" si="71"/>
        <v>2018</v>
      </c>
      <c r="Z153" s="11">
        <f t="shared" si="71"/>
        <v>2019</v>
      </c>
      <c r="AA153" s="272"/>
      <c r="AB153" s="272"/>
      <c r="AC153" s="272"/>
      <c r="AD153" s="272"/>
      <c r="AE153" s="272"/>
      <c r="AF153" s="272"/>
      <c r="AG153" s="272"/>
      <c r="AH153" s="272"/>
      <c r="AI153" s="272"/>
      <c r="AJ153" s="272"/>
      <c r="AK153" s="272"/>
      <c r="AL153" s="272"/>
      <c r="AM153" s="272"/>
      <c r="AN153" s="272"/>
      <c r="AO153" s="272"/>
      <c r="AP153" s="272"/>
      <c r="AQ153" s="272"/>
      <c r="AR153" s="302"/>
    </row>
    <row r="154" spans="1:60" s="6" customFormat="1" ht="15.6">
      <c r="A154" s="29" t="s">
        <v>117</v>
      </c>
      <c r="B154" s="16"/>
      <c r="C154" s="13"/>
      <c r="D154" s="13"/>
      <c r="E154" s="13"/>
      <c r="F154" s="1"/>
      <c r="G154" s="12"/>
      <c r="AA154" s="272"/>
      <c r="AB154" s="272"/>
      <c r="AC154" s="272"/>
      <c r="AD154" s="272"/>
      <c r="AE154" s="272"/>
      <c r="AF154" s="272"/>
      <c r="AG154" s="272"/>
      <c r="AH154" s="272"/>
      <c r="AI154" s="272"/>
      <c r="AJ154" s="272"/>
      <c r="AK154" s="272"/>
      <c r="AL154" s="272"/>
      <c r="AM154" s="272"/>
      <c r="AN154" s="272"/>
      <c r="AO154" s="272"/>
      <c r="AP154" s="272"/>
      <c r="AQ154" s="272"/>
      <c r="AR154" s="302"/>
    </row>
    <row r="155" spans="1:60" s="6" customFormat="1" ht="15.6">
      <c r="A155" s="29"/>
      <c r="B155" s="16"/>
      <c r="C155" s="13"/>
      <c r="D155" s="13"/>
      <c r="E155" s="13"/>
      <c r="F155" s="1"/>
      <c r="G155" s="12"/>
      <c r="AA155" s="272"/>
      <c r="AB155" s="272"/>
      <c r="AC155" s="272"/>
      <c r="AD155" s="272"/>
      <c r="AE155" s="272"/>
      <c r="AF155" s="272"/>
      <c r="AG155" s="272"/>
      <c r="AH155" s="272"/>
      <c r="AI155" s="272"/>
      <c r="AJ155" s="272"/>
      <c r="AK155" s="272"/>
      <c r="AL155" s="272"/>
      <c r="AM155" s="272"/>
      <c r="AN155" s="272"/>
      <c r="AO155" s="272"/>
      <c r="AP155" s="272"/>
      <c r="AQ155" s="272"/>
      <c r="AR155" s="302"/>
    </row>
    <row r="156" spans="1:60" s="6" customFormat="1">
      <c r="A156" s="13"/>
      <c r="B156" s="16" t="str">
        <f>+B150</f>
        <v>O&amp;M - Total</v>
      </c>
      <c r="C156" s="13"/>
      <c r="D156" s="13"/>
      <c r="E156" s="13"/>
      <c r="F156" s="1"/>
      <c r="G156" s="12"/>
      <c r="H156" s="6">
        <f>+H150</f>
        <v>53348.500752926368</v>
      </c>
      <c r="I156" s="6">
        <f t="shared" ref="I156:Z156" si="72">+I150</f>
        <v>50677.742099322008</v>
      </c>
      <c r="J156" s="6">
        <f t="shared" si="72"/>
        <v>51873.656638862201</v>
      </c>
      <c r="K156" s="6">
        <f t="shared" si="72"/>
        <v>57969.873496864515</v>
      </c>
      <c r="L156" s="6">
        <f t="shared" si="72"/>
        <v>57320.782896397759</v>
      </c>
      <c r="M156" s="6">
        <f t="shared" si="72"/>
        <v>59899.085474981694</v>
      </c>
      <c r="N156" s="6">
        <f t="shared" si="72"/>
        <v>58844.828348315052</v>
      </c>
      <c r="O156" s="6">
        <f t="shared" si="72"/>
        <v>51870.28622421289</v>
      </c>
      <c r="P156" s="6">
        <f t="shared" si="72"/>
        <v>51440.327049870437</v>
      </c>
      <c r="Q156" s="6">
        <f t="shared" si="72"/>
        <v>60945.516649482612</v>
      </c>
      <c r="R156" s="6">
        <f t="shared" si="72"/>
        <v>55575.820861274289</v>
      </c>
      <c r="S156" s="6">
        <f t="shared" si="72"/>
        <v>57242.890384709397</v>
      </c>
      <c r="T156" s="6">
        <f t="shared" si="72"/>
        <v>65327.920350759967</v>
      </c>
      <c r="U156" s="6">
        <f t="shared" si="72"/>
        <v>60378.203637839222</v>
      </c>
      <c r="V156" s="6">
        <f t="shared" si="72"/>
        <v>60285.679400972112</v>
      </c>
      <c r="W156" s="6">
        <f t="shared" si="72"/>
        <v>65592.333102767909</v>
      </c>
      <c r="X156" s="6">
        <f t="shared" si="72"/>
        <v>64357.894097930061</v>
      </c>
      <c r="Y156" s="6">
        <f t="shared" si="72"/>
        <v>65868.833831106807</v>
      </c>
      <c r="Z156" s="6">
        <f t="shared" si="72"/>
        <v>75240.307785560261</v>
      </c>
      <c r="AA156" s="272"/>
      <c r="AB156" s="272"/>
      <c r="AC156" s="272"/>
      <c r="AD156" s="272"/>
      <c r="AE156" s="272"/>
      <c r="AF156" s="272"/>
      <c r="AG156" s="272"/>
      <c r="AH156" s="272"/>
      <c r="AI156" s="272"/>
      <c r="AJ156" s="272"/>
      <c r="AK156" s="272"/>
      <c r="AL156" s="272"/>
      <c r="AM156" s="272"/>
      <c r="AN156" s="272"/>
      <c r="AO156" s="272"/>
      <c r="AP156" s="272"/>
      <c r="AQ156" s="272"/>
      <c r="AR156" s="306" t="s">
        <v>186</v>
      </c>
    </row>
    <row r="157" spans="1:60" s="6" customFormat="1">
      <c r="A157" s="13"/>
      <c r="B157" s="16"/>
      <c r="C157" s="13"/>
      <c r="D157" s="13"/>
      <c r="E157" s="13"/>
      <c r="F157" s="1"/>
      <c r="G157" s="12"/>
      <c r="AA157" s="272"/>
      <c r="AB157" s="272"/>
      <c r="AC157" s="272"/>
      <c r="AD157" s="272"/>
      <c r="AE157" s="272"/>
      <c r="AF157" s="272"/>
      <c r="AG157" s="272"/>
      <c r="AH157" s="272"/>
      <c r="AI157" s="272"/>
      <c r="AJ157" s="272"/>
      <c r="AK157" s="272"/>
      <c r="AL157" s="272"/>
      <c r="AM157" s="272"/>
      <c r="AN157" s="272"/>
      <c r="AO157" s="272"/>
      <c r="AP157" s="272"/>
      <c r="AQ157" s="272"/>
      <c r="AR157" s="306" t="s">
        <v>186</v>
      </c>
    </row>
    <row r="158" spans="1:60" s="6" customFormat="1">
      <c r="A158" s="13"/>
      <c r="B158" s="16" t="s">
        <v>108</v>
      </c>
      <c r="C158" s="13"/>
      <c r="D158" s="13"/>
      <c r="E158" s="13"/>
      <c r="F158" s="1"/>
      <c r="G158" s="12"/>
      <c r="AA158" s="272"/>
      <c r="AB158" s="272"/>
      <c r="AC158" s="272"/>
      <c r="AD158" s="272"/>
      <c r="AE158" s="272"/>
      <c r="AF158" s="272"/>
      <c r="AG158" s="272"/>
      <c r="AH158" s="272"/>
      <c r="AI158" s="272"/>
      <c r="AJ158" s="272"/>
      <c r="AK158" s="272"/>
      <c r="AL158" s="272"/>
      <c r="AM158" s="272"/>
      <c r="AN158" s="272"/>
      <c r="AO158" s="272"/>
      <c r="AP158" s="272"/>
      <c r="AQ158" s="272"/>
      <c r="AR158" s="306" t="s">
        <v>186</v>
      </c>
    </row>
    <row r="159" spans="1:60" s="6" customFormat="1">
      <c r="B159" s="13" t="s">
        <v>105</v>
      </c>
      <c r="C159" s="13"/>
      <c r="D159" s="13"/>
      <c r="E159" s="13"/>
      <c r="F159" s="1"/>
      <c r="G159" s="25"/>
      <c r="H159" s="106">
        <v>1811.1077315562291</v>
      </c>
      <c r="I159" s="106">
        <v>1803.6917483033719</v>
      </c>
      <c r="J159" s="106">
        <v>1796.4478167099201</v>
      </c>
      <c r="K159" s="106">
        <v>1789.373903168547</v>
      </c>
      <c r="L159" s="106">
        <v>1782.4769513097847</v>
      </c>
      <c r="M159" s="106">
        <v>1775.7472034788539</v>
      </c>
      <c r="N159" s="106">
        <v>2457.2577979213374</v>
      </c>
      <c r="O159" s="106">
        <v>2448.4307605956324</v>
      </c>
      <c r="P159" s="106">
        <v>2439.888956248009</v>
      </c>
      <c r="Q159" s="106">
        <v>2431.5979105114884</v>
      </c>
      <c r="R159" s="106">
        <v>2423.6185158068356</v>
      </c>
      <c r="S159" s="106">
        <v>2415.8974313075018</v>
      </c>
      <c r="T159" s="106">
        <v>2408.4956160462789</v>
      </c>
      <c r="U159" s="106">
        <v>2401.3926889142731</v>
      </c>
      <c r="V159" s="106">
        <v>2394.6166994627861</v>
      </c>
      <c r="W159" s="106">
        <v>2388.183077737815</v>
      </c>
      <c r="X159" s="106">
        <v>2382.1077271862341</v>
      </c>
      <c r="Y159" s="106">
        <v>2376.3882002665987</v>
      </c>
      <c r="Z159" s="106">
        <v>2371.0611397835078</v>
      </c>
      <c r="AA159" s="272"/>
      <c r="AB159" s="272"/>
      <c r="AC159" s="272"/>
      <c r="AD159" s="272"/>
      <c r="AE159" s="272"/>
      <c r="AF159" s="272"/>
      <c r="AG159" s="272"/>
      <c r="AH159" s="272"/>
      <c r="AI159" s="272"/>
      <c r="AJ159" s="272"/>
      <c r="AK159" s="272"/>
      <c r="AL159" s="272"/>
      <c r="AM159" s="272"/>
      <c r="AN159" s="272"/>
      <c r="AO159" s="272"/>
      <c r="AP159" s="272"/>
      <c r="AQ159" s="272"/>
      <c r="AR159" s="306" t="s">
        <v>186</v>
      </c>
      <c r="BD159" s="25"/>
      <c r="BE159" s="25"/>
      <c r="BF159" s="25"/>
      <c r="BG159" s="25"/>
      <c r="BH159" s="25"/>
    </row>
    <row r="160" spans="1:60" s="6" customFormat="1">
      <c r="B160" s="13" t="s">
        <v>106</v>
      </c>
      <c r="C160" s="13"/>
      <c r="D160" s="13"/>
      <c r="E160" s="13"/>
      <c r="F160" s="1"/>
      <c r="G160" s="25"/>
      <c r="H160" s="106">
        <v>320.17833333333334</v>
      </c>
      <c r="I160" s="106">
        <v>329.93043173611113</v>
      </c>
      <c r="J160" s="106">
        <v>339.64963237100409</v>
      </c>
      <c r="K160" s="106">
        <v>349.40748326766266</v>
      </c>
      <c r="L160" s="106">
        <v>359.27096534740616</v>
      </c>
      <c r="M160" s="106">
        <v>369.1748682921496</v>
      </c>
      <c r="N160" s="106">
        <v>379.11643984953366</v>
      </c>
      <c r="O160" s="106">
        <v>389.13617142439028</v>
      </c>
      <c r="P160" s="106">
        <v>399.24722627856738</v>
      </c>
      <c r="Q160" s="106">
        <v>409.46130115086066</v>
      </c>
      <c r="R160" s="106">
        <v>419.81725989246786</v>
      </c>
      <c r="S160" s="106">
        <v>430.35117463860297</v>
      </c>
      <c r="T160" s="106">
        <v>441.17988607044691</v>
      </c>
      <c r="U160" s="106">
        <v>452.43732616334444</v>
      </c>
      <c r="V160" s="106">
        <v>464.16299353307778</v>
      </c>
      <c r="W160" s="106">
        <v>476.4285006371893</v>
      </c>
      <c r="X160" s="106">
        <v>489.25236777934037</v>
      </c>
      <c r="Y160" s="106">
        <v>502.5906104559246</v>
      </c>
      <c r="Z160" s="106">
        <v>516.57938244694787</v>
      </c>
      <c r="AA160" s="272"/>
      <c r="AB160" s="272"/>
      <c r="AC160" s="272"/>
      <c r="AD160" s="272"/>
      <c r="AE160" s="272"/>
      <c r="AF160" s="272"/>
      <c r="AG160" s="272"/>
      <c r="AH160" s="272"/>
      <c r="AI160" s="272"/>
      <c r="AJ160" s="272"/>
      <c r="AK160" s="272"/>
      <c r="AL160" s="272"/>
      <c r="AM160" s="272"/>
      <c r="AN160" s="272"/>
      <c r="AO160" s="272"/>
      <c r="AP160" s="272"/>
      <c r="AQ160" s="272"/>
      <c r="AR160" s="306" t="s">
        <v>186</v>
      </c>
      <c r="BD160" s="25"/>
      <c r="BE160" s="25"/>
      <c r="BF160" s="25"/>
      <c r="BG160" s="25"/>
      <c r="BH160" s="25"/>
    </row>
    <row r="161" spans="1:60" s="6" customFormat="1" ht="13.8" thickBot="1">
      <c r="B161" s="13" t="s">
        <v>107</v>
      </c>
      <c r="C161" s="13"/>
      <c r="D161" s="13"/>
      <c r="E161" s="13"/>
      <c r="F161" s="1"/>
      <c r="G161" s="25"/>
      <c r="H161" s="107">
        <v>332</v>
      </c>
      <c r="I161" s="107">
        <v>350.80352858333322</v>
      </c>
      <c r="J161" s="107">
        <v>361.14253584531599</v>
      </c>
      <c r="K161" s="107">
        <v>371.52291266583961</v>
      </c>
      <c r="L161" s="107">
        <v>382.01589015249311</v>
      </c>
      <c r="M161" s="107">
        <v>392.55213795200433</v>
      </c>
      <c r="N161" s="107">
        <v>403.12872195927525</v>
      </c>
      <c r="O161" s="107">
        <v>413.78870499078636</v>
      </c>
      <c r="P161" s="107">
        <v>424.54608662274893</v>
      </c>
      <c r="Q161" s="107">
        <v>435.41331001318372</v>
      </c>
      <c r="R161" s="107">
        <v>446.43170560670899</v>
      </c>
      <c r="S161" s="107">
        <v>457.63964057856037</v>
      </c>
      <c r="T161" s="107">
        <v>469.16137456934956</v>
      </c>
      <c r="U161" s="107">
        <v>481.13934914379035</v>
      </c>
      <c r="V161" s="107">
        <v>493.61558682348067</v>
      </c>
      <c r="W161" s="107">
        <v>506.66626854933287</v>
      </c>
      <c r="X161" s="107">
        <v>520.31110757921419</v>
      </c>
      <c r="Y161" s="107">
        <v>534.50335263995134</v>
      </c>
      <c r="Z161" s="107">
        <v>549.38783742064834</v>
      </c>
      <c r="AA161" s="272"/>
      <c r="AB161" s="272"/>
      <c r="AC161" s="272"/>
      <c r="AD161" s="272"/>
      <c r="AE161" s="272"/>
      <c r="AF161" s="272"/>
      <c r="AG161" s="272"/>
      <c r="AH161" s="272"/>
      <c r="AI161" s="272"/>
      <c r="AJ161" s="272"/>
      <c r="AK161" s="272"/>
      <c r="AL161" s="272"/>
      <c r="AM161" s="272"/>
      <c r="AN161" s="272"/>
      <c r="AO161" s="272"/>
      <c r="AP161" s="272"/>
      <c r="AQ161" s="272"/>
      <c r="AR161" s="306" t="s">
        <v>186</v>
      </c>
      <c r="BD161" s="25"/>
      <c r="BE161" s="25"/>
      <c r="BF161" s="25"/>
      <c r="BG161" s="25"/>
      <c r="BH161" s="25"/>
    </row>
    <row r="162" spans="1:60" s="6" customFormat="1">
      <c r="A162" s="13"/>
      <c r="B162" s="13" t="s">
        <v>109</v>
      </c>
      <c r="C162" s="13"/>
      <c r="D162" s="13"/>
      <c r="E162" s="13"/>
      <c r="F162" s="1"/>
      <c r="G162" s="12"/>
      <c r="H162" s="6">
        <f>SUM(H159:H161)</f>
        <v>2463.2860648895626</v>
      </c>
      <c r="I162" s="6">
        <f>SUM(I159:I161)</f>
        <v>2484.4257086228163</v>
      </c>
      <c r="J162" s="6">
        <f t="shared" ref="J162:Z162" si="73">SUM(J159:J161)</f>
        <v>2497.2399849262401</v>
      </c>
      <c r="K162" s="6">
        <f t="shared" si="73"/>
        <v>2510.3042991020493</v>
      </c>
      <c r="L162" s="6">
        <f t="shared" si="73"/>
        <v>2523.763806809684</v>
      </c>
      <c r="M162" s="6">
        <f t="shared" si="73"/>
        <v>2537.4742097230078</v>
      </c>
      <c r="N162" s="6">
        <f t="shared" si="73"/>
        <v>3239.5029597301464</v>
      </c>
      <c r="O162" s="6">
        <f t="shared" si="73"/>
        <v>3251.355637010809</v>
      </c>
      <c r="P162" s="6">
        <f t="shared" si="73"/>
        <v>3263.6822691493253</v>
      </c>
      <c r="Q162" s="6">
        <f t="shared" si="73"/>
        <v>3276.4725216755332</v>
      </c>
      <c r="R162" s="6">
        <f t="shared" si="73"/>
        <v>3289.8674813060125</v>
      </c>
      <c r="S162" s="6">
        <f t="shared" si="73"/>
        <v>3303.8882465246652</v>
      </c>
      <c r="T162" s="6">
        <f t="shared" si="73"/>
        <v>3318.8368766860754</v>
      </c>
      <c r="U162" s="6">
        <f t="shared" si="73"/>
        <v>3334.9693642214079</v>
      </c>
      <c r="V162" s="6">
        <f t="shared" si="73"/>
        <v>3352.3952798193445</v>
      </c>
      <c r="W162" s="6">
        <f t="shared" si="73"/>
        <v>3371.2778469243372</v>
      </c>
      <c r="X162" s="6">
        <f t="shared" si="73"/>
        <v>3391.6712025447887</v>
      </c>
      <c r="Y162" s="6">
        <f t="shared" si="73"/>
        <v>3413.4821633624742</v>
      </c>
      <c r="Z162" s="6">
        <f t="shared" si="73"/>
        <v>3437.028359651104</v>
      </c>
      <c r="AA162" s="272"/>
      <c r="AB162" s="272"/>
      <c r="AC162" s="272"/>
      <c r="AD162" s="272"/>
      <c r="AE162" s="272"/>
      <c r="AF162" s="272"/>
      <c r="AG162" s="272"/>
      <c r="AH162" s="272"/>
      <c r="AI162" s="272"/>
      <c r="AJ162" s="272"/>
      <c r="AK162" s="272"/>
      <c r="AL162" s="272"/>
      <c r="AM162" s="272"/>
      <c r="AN162" s="272"/>
      <c r="AO162" s="272"/>
      <c r="AP162" s="272"/>
      <c r="AQ162" s="272"/>
      <c r="AR162" s="306" t="s">
        <v>186</v>
      </c>
    </row>
    <row r="163" spans="1:60" s="6" customFormat="1">
      <c r="A163" s="13"/>
      <c r="B163" s="16"/>
      <c r="C163" s="13"/>
      <c r="D163" s="13"/>
      <c r="E163" s="13"/>
      <c r="F163" s="1"/>
      <c r="G163" s="12"/>
      <c r="AA163" s="272"/>
      <c r="AB163" s="272"/>
      <c r="AC163" s="272"/>
      <c r="AD163" s="272"/>
      <c r="AE163" s="272"/>
      <c r="AF163" s="272"/>
      <c r="AG163" s="272"/>
      <c r="AH163" s="272"/>
      <c r="AI163" s="272"/>
      <c r="AJ163" s="272"/>
      <c r="AK163" s="272"/>
      <c r="AL163" s="272"/>
      <c r="AM163" s="272"/>
      <c r="AN163" s="272"/>
      <c r="AO163" s="272"/>
      <c r="AP163" s="272"/>
      <c r="AQ163" s="272"/>
      <c r="AR163" s="306" t="s">
        <v>186</v>
      </c>
    </row>
    <row r="164" spans="1:60" s="6" customFormat="1">
      <c r="A164" s="13"/>
      <c r="B164" s="16" t="s">
        <v>80</v>
      </c>
      <c r="C164" s="13"/>
      <c r="D164" s="13"/>
      <c r="E164" s="13"/>
      <c r="F164" s="1"/>
      <c r="G164" s="25"/>
      <c r="H164" s="106">
        <v>118.81056723369301</v>
      </c>
      <c r="I164" s="106">
        <v>122.42721141701399</v>
      </c>
      <c r="J164" s="106">
        <v>126.03152269370401</v>
      </c>
      <c r="K164" s="106">
        <v>129.650053895696</v>
      </c>
      <c r="L164" s="106">
        <v>133.307653996375</v>
      </c>
      <c r="M164" s="106">
        <v>136.98012296680301</v>
      </c>
      <c r="N164" s="106">
        <v>140.66644297111799</v>
      </c>
      <c r="O164" s="106">
        <v>144.381634819922</v>
      </c>
      <c r="P164" s="106">
        <v>148.130581426455</v>
      </c>
      <c r="Q164" s="106">
        <v>151.91762023735899</v>
      </c>
      <c r="R164" s="106">
        <v>155.75716895123401</v>
      </c>
      <c r="S164" s="106">
        <v>159.66260709040901</v>
      </c>
      <c r="T164" s="106">
        <v>163.67727867271901</v>
      </c>
      <c r="U164" s="106">
        <v>167.850865617632</v>
      </c>
      <c r="V164" s="106">
        <v>172.19801352895001</v>
      </c>
      <c r="W164" s="106">
        <v>176.74527874775001</v>
      </c>
      <c r="X164" s="106">
        <v>181.49952413222599</v>
      </c>
      <c r="Y164" s="106">
        <v>186.444421276627</v>
      </c>
      <c r="Z164" s="106">
        <v>191.63046329749301</v>
      </c>
      <c r="AA164" s="272"/>
      <c r="AB164" s="272"/>
      <c r="AC164" s="272"/>
      <c r="AD164" s="272"/>
      <c r="AE164" s="272"/>
      <c r="AF164" s="272"/>
      <c r="AG164" s="272"/>
      <c r="AH164" s="272"/>
      <c r="AI164" s="272"/>
      <c r="AJ164" s="272"/>
      <c r="AK164" s="272"/>
      <c r="AL164" s="272"/>
      <c r="AM164" s="272"/>
      <c r="AN164" s="272"/>
      <c r="AO164" s="272"/>
      <c r="AP164" s="272"/>
      <c r="AQ164" s="272"/>
      <c r="AR164" s="306" t="s">
        <v>186</v>
      </c>
      <c r="BD164" s="25"/>
      <c r="BE164" s="25"/>
      <c r="BF164" s="25"/>
      <c r="BG164" s="25"/>
      <c r="BH164" s="25"/>
    </row>
    <row r="165" spans="1:60" s="6" customFormat="1">
      <c r="A165" s="13"/>
      <c r="B165" s="33"/>
      <c r="C165" s="13"/>
      <c r="D165" s="13"/>
      <c r="E165" s="13"/>
      <c r="F165" s="1"/>
      <c r="G165" s="25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272"/>
      <c r="AB165" s="272"/>
      <c r="AC165" s="272"/>
      <c r="AD165" s="272"/>
      <c r="AE165" s="272"/>
      <c r="AF165" s="272"/>
      <c r="AG165" s="272"/>
      <c r="AH165" s="272"/>
      <c r="AI165" s="272"/>
      <c r="AJ165" s="272"/>
      <c r="AK165" s="272"/>
      <c r="AL165" s="272"/>
      <c r="AM165" s="272"/>
      <c r="AN165" s="272"/>
      <c r="AO165" s="272"/>
      <c r="AP165" s="272"/>
      <c r="AQ165" s="272"/>
      <c r="AR165" s="306" t="s">
        <v>186</v>
      </c>
      <c r="BD165" s="25"/>
      <c r="BE165" s="25"/>
      <c r="BF165" s="25"/>
      <c r="BG165" s="25"/>
      <c r="BH165" s="25"/>
    </row>
    <row r="166" spans="1:60" s="6" customFormat="1">
      <c r="A166" s="13"/>
      <c r="B166" s="16" t="s">
        <v>183</v>
      </c>
      <c r="C166" s="13"/>
      <c r="D166" s="13"/>
      <c r="E166" s="13"/>
      <c r="F166" s="1"/>
      <c r="G166" s="25"/>
      <c r="H166" s="22">
        <f>+H124</f>
        <v>42213.491354174708</v>
      </c>
      <c r="I166" s="22">
        <f t="shared" ref="I166:AQ166" si="74">+I124</f>
        <v>44391.61517875857</v>
      </c>
      <c r="J166" s="22">
        <f t="shared" si="74"/>
        <v>46364.892073014584</v>
      </c>
      <c r="K166" s="22">
        <f t="shared" si="74"/>
        <v>48967.358248872362</v>
      </c>
      <c r="L166" s="22">
        <f t="shared" si="74"/>
        <v>51351.315732974297</v>
      </c>
      <c r="M166" s="22">
        <f t="shared" si="74"/>
        <v>52546.080758249351</v>
      </c>
      <c r="N166" s="22">
        <f t="shared" si="74"/>
        <v>42803.704409217142</v>
      </c>
      <c r="O166" s="22">
        <f t="shared" si="74"/>
        <v>44138.419100562074</v>
      </c>
      <c r="P166" s="22">
        <f t="shared" si="74"/>
        <v>44676.536521596921</v>
      </c>
      <c r="Q166" s="22">
        <f t="shared" si="74"/>
        <v>45882.096212707329</v>
      </c>
      <c r="R166" s="22">
        <f t="shared" si="74"/>
        <v>47184.195632404713</v>
      </c>
      <c r="S166" s="22">
        <f t="shared" si="74"/>
        <v>48350.257699049929</v>
      </c>
      <c r="T166" s="22">
        <f t="shared" si="74"/>
        <v>49867.634275983233</v>
      </c>
      <c r="U166" s="22">
        <f t="shared" si="74"/>
        <v>51259.269537607746</v>
      </c>
      <c r="V166" s="22">
        <f t="shared" si="74"/>
        <v>52219.163918314087</v>
      </c>
      <c r="W166" s="22">
        <f t="shared" si="74"/>
        <v>54069.82546447435</v>
      </c>
      <c r="X166" s="22">
        <f t="shared" si="74"/>
        <v>55759.526481159854</v>
      </c>
      <c r="Y166" s="22">
        <f t="shared" si="74"/>
        <v>57060.432760477808</v>
      </c>
      <c r="Z166" s="22">
        <f t="shared" si="74"/>
        <v>58858.747548798397</v>
      </c>
      <c r="AA166" s="262">
        <f t="shared" si="74"/>
        <v>58900.431360426519</v>
      </c>
      <c r="AB166" s="262">
        <f t="shared" si="74"/>
        <v>60431.631056556376</v>
      </c>
      <c r="AC166" s="262">
        <f t="shared" si="74"/>
        <v>62170.696034481436</v>
      </c>
      <c r="AD166" s="262">
        <f t="shared" si="74"/>
        <v>63958.055838954024</v>
      </c>
      <c r="AE166" s="262">
        <f t="shared" si="74"/>
        <v>65975.370120598192</v>
      </c>
      <c r="AF166" s="262">
        <f t="shared" si="74"/>
        <v>67683.29676634827</v>
      </c>
      <c r="AG166" s="262">
        <f t="shared" si="74"/>
        <v>69624.098814783065</v>
      </c>
      <c r="AH166" s="262">
        <f t="shared" si="74"/>
        <v>71619.039923485339</v>
      </c>
      <c r="AI166" s="262">
        <f t="shared" si="74"/>
        <v>73871.5232458791</v>
      </c>
      <c r="AJ166" s="262">
        <f t="shared" si="74"/>
        <v>75777.658321690775</v>
      </c>
      <c r="AK166" s="262">
        <f t="shared" si="74"/>
        <v>77944.610023082947</v>
      </c>
      <c r="AL166" s="262">
        <f t="shared" si="74"/>
        <v>80172.252279593769</v>
      </c>
      <c r="AM166" s="262">
        <f t="shared" si="74"/>
        <v>82688.267515011146</v>
      </c>
      <c r="AN166" s="262">
        <f t="shared" si="74"/>
        <v>84816.692177732912</v>
      </c>
      <c r="AO166" s="262">
        <f t="shared" si="74"/>
        <v>87237.160498396101</v>
      </c>
      <c r="AP166" s="262">
        <f t="shared" si="74"/>
        <v>89725.663726604573</v>
      </c>
      <c r="AQ166" s="262">
        <f t="shared" si="74"/>
        <v>92537.006184633123</v>
      </c>
      <c r="AR166" s="302"/>
      <c r="BD166" s="25"/>
      <c r="BE166" s="25"/>
      <c r="BF166" s="25"/>
      <c r="BG166" s="25"/>
      <c r="BH166" s="25"/>
    </row>
    <row r="167" spans="1:60" s="6" customFormat="1" ht="13.8" thickBot="1">
      <c r="A167" s="13"/>
      <c r="B167" s="16" t="s">
        <v>182</v>
      </c>
      <c r="C167" s="13"/>
      <c r="D167" s="13"/>
      <c r="E167" s="13"/>
      <c r="F167" s="24" t="s">
        <v>184</v>
      </c>
      <c r="G167" s="252">
        <f>+'PACE CPI (1998=100)'!$C$6</f>
        <v>2.7257971990086505E-2</v>
      </c>
      <c r="H167" s="206">
        <f t="shared" ref="H167:Z167" si="75">+H164+H162+H148</f>
        <v>13717.106030874918</v>
      </c>
      <c r="I167" s="206">
        <f t="shared" si="75"/>
        <v>8892.9798406032714</v>
      </c>
      <c r="J167" s="206">
        <f t="shared" si="75"/>
        <v>8132.0360734675596</v>
      </c>
      <c r="K167" s="206">
        <f t="shared" si="75"/>
        <v>11642.469600989902</v>
      </c>
      <c r="L167" s="206">
        <f t="shared" si="75"/>
        <v>8626.5386242295208</v>
      </c>
      <c r="M167" s="206">
        <f t="shared" si="75"/>
        <v>10027.459049422156</v>
      </c>
      <c r="N167" s="206">
        <f t="shared" si="75"/>
        <v>19421.293341799174</v>
      </c>
      <c r="O167" s="206">
        <f t="shared" si="75"/>
        <v>11127.604395481547</v>
      </c>
      <c r="P167" s="206">
        <f t="shared" si="75"/>
        <v>10175.603378849297</v>
      </c>
      <c r="Q167" s="206">
        <f t="shared" si="75"/>
        <v>18491.810578688179</v>
      </c>
      <c r="R167" s="206">
        <f t="shared" si="75"/>
        <v>11837.249879126826</v>
      </c>
      <c r="S167" s="206">
        <f t="shared" si="75"/>
        <v>12356.183539274542</v>
      </c>
      <c r="T167" s="206">
        <f t="shared" si="75"/>
        <v>18942.80023013553</v>
      </c>
      <c r="U167" s="206">
        <f t="shared" si="75"/>
        <v>12621.754330070515</v>
      </c>
      <c r="V167" s="206">
        <f t="shared" si="75"/>
        <v>11591.108776006316</v>
      </c>
      <c r="W167" s="206">
        <f t="shared" si="75"/>
        <v>15070.530763965651</v>
      </c>
      <c r="X167" s="206">
        <f t="shared" si="75"/>
        <v>12171.538343447221</v>
      </c>
      <c r="Y167" s="206">
        <f t="shared" si="75"/>
        <v>12408.327655268095</v>
      </c>
      <c r="Z167" s="206">
        <f t="shared" si="75"/>
        <v>20010.219059710456</v>
      </c>
      <c r="AA167" s="296">
        <f t="shared" ref="AA167:AF167" si="76">U167*(1+$G$167)</f>
        <v>12965.797756065329</v>
      </c>
      <c r="AB167" s="296">
        <f t="shared" si="76"/>
        <v>11907.058894356742</v>
      </c>
      <c r="AC167" s="296">
        <f t="shared" si="76"/>
        <v>15481.322869405563</v>
      </c>
      <c r="AD167" s="296">
        <f t="shared" si="76"/>
        <v>12503.309794689168</v>
      </c>
      <c r="AE167" s="296">
        <f t="shared" si="76"/>
        <v>12746.553502939209</v>
      </c>
      <c r="AF167" s="296">
        <f t="shared" si="76"/>
        <v>20555.657050355538</v>
      </c>
      <c r="AG167" s="296">
        <f t="shared" ref="AG167:AQ167" si="77">+AA167*(1+$G$167)</f>
        <v>13319.219108129284</v>
      </c>
      <c r="AH167" s="296">
        <f t="shared" si="77"/>
        <v>12231.621172183428</v>
      </c>
      <c r="AI167" s="296">
        <f t="shared" si="77"/>
        <v>15903.312334549306</v>
      </c>
      <c r="AJ167" s="296">
        <f t="shared" si="77"/>
        <v>12844.12466285618</v>
      </c>
      <c r="AK167" s="296">
        <f t="shared" si="77"/>
        <v>13093.998701292465</v>
      </c>
      <c r="AL167" s="296">
        <f t="shared" si="77"/>
        <v>21115.962574471952</v>
      </c>
      <c r="AM167" s="296">
        <f t="shared" si="77"/>
        <v>13682.274009508497</v>
      </c>
      <c r="AN167" s="296">
        <f t="shared" si="77"/>
        <v>12565.030359488153</v>
      </c>
      <c r="AO167" s="296">
        <f t="shared" si="77"/>
        <v>16336.804376714048</v>
      </c>
      <c r="AP167" s="296">
        <f t="shared" si="77"/>
        <v>13194.229453153494</v>
      </c>
      <c r="AQ167" s="326">
        <f t="shared" si="77"/>
        <v>13450.914551130523</v>
      </c>
      <c r="AR167" s="306" t="s">
        <v>187</v>
      </c>
      <c r="BD167" s="25"/>
      <c r="BE167" s="25"/>
      <c r="BF167" s="25"/>
      <c r="BG167" s="25"/>
      <c r="BH167" s="25"/>
    </row>
    <row r="168" spans="1:60" s="6" customFormat="1">
      <c r="A168" s="13"/>
      <c r="B168" s="16" t="s">
        <v>119</v>
      </c>
      <c r="C168" s="13"/>
      <c r="D168" s="13"/>
      <c r="E168" s="13"/>
      <c r="F168" s="1"/>
      <c r="G168" s="12"/>
      <c r="H168" s="6">
        <f>+H166+H167</f>
        <v>55930.597385049623</v>
      </c>
      <c r="I168" s="6">
        <f>+I166+I167</f>
        <v>53284.595019361841</v>
      </c>
      <c r="J168" s="6">
        <f t="shared" ref="J168:AA168" si="78">+J166+J167</f>
        <v>54496.92814648214</v>
      </c>
      <c r="K168" s="6">
        <f t="shared" si="78"/>
        <v>60609.827849862268</v>
      </c>
      <c r="L168" s="6">
        <f t="shared" si="78"/>
        <v>59977.854357203818</v>
      </c>
      <c r="M168" s="6">
        <f t="shared" si="78"/>
        <v>62573.539807671506</v>
      </c>
      <c r="N168" s="6">
        <f t="shared" si="78"/>
        <v>62224.997751016315</v>
      </c>
      <c r="O168" s="6">
        <f t="shared" si="78"/>
        <v>55266.023496043621</v>
      </c>
      <c r="P168" s="6">
        <f t="shared" si="78"/>
        <v>54852.139900446215</v>
      </c>
      <c r="Q168" s="6">
        <f t="shared" si="78"/>
        <v>64373.906791395508</v>
      </c>
      <c r="R168" s="6">
        <f t="shared" si="78"/>
        <v>59021.445511531536</v>
      </c>
      <c r="S168" s="6">
        <f t="shared" si="78"/>
        <v>60706.441238324471</v>
      </c>
      <c r="T168" s="6">
        <f t="shared" si="78"/>
        <v>68810.434506118763</v>
      </c>
      <c r="U168" s="6">
        <f t="shared" si="78"/>
        <v>63881.023867678261</v>
      </c>
      <c r="V168" s="6">
        <f t="shared" si="78"/>
        <v>63810.272694320403</v>
      </c>
      <c r="W168" s="6">
        <f t="shared" si="78"/>
        <v>69140.356228439996</v>
      </c>
      <c r="X168" s="6">
        <f t="shared" si="78"/>
        <v>67931.064824607078</v>
      </c>
      <c r="Y168" s="6">
        <f t="shared" si="78"/>
        <v>69468.760415745899</v>
      </c>
      <c r="Z168" s="6">
        <f t="shared" si="78"/>
        <v>78868.966608508854</v>
      </c>
      <c r="AA168" s="272">
        <f t="shared" si="78"/>
        <v>71866.229116491842</v>
      </c>
      <c r="AB168" s="272">
        <f t="shared" ref="AB168:AQ168" si="79">+AB166+AB167</f>
        <v>72338.689950913118</v>
      </c>
      <c r="AC168" s="272">
        <f t="shared" si="79"/>
        <v>77652.018903887001</v>
      </c>
      <c r="AD168" s="272">
        <f t="shared" si="79"/>
        <v>76461.365633643189</v>
      </c>
      <c r="AE168" s="272">
        <f t="shared" si="79"/>
        <v>78721.923623537397</v>
      </c>
      <c r="AF168" s="272">
        <f t="shared" si="79"/>
        <v>88238.953816703812</v>
      </c>
      <c r="AG168" s="272">
        <f t="shared" si="79"/>
        <v>82943.317922912349</v>
      </c>
      <c r="AH168" s="272">
        <f t="shared" si="79"/>
        <v>83850.661095668765</v>
      </c>
      <c r="AI168" s="272">
        <f t="shared" si="79"/>
        <v>89774.835580428407</v>
      </c>
      <c r="AJ168" s="272">
        <f t="shared" si="79"/>
        <v>88621.782984546953</v>
      </c>
      <c r="AK168" s="272">
        <f t="shared" si="79"/>
        <v>91038.608724375415</v>
      </c>
      <c r="AL168" s="272">
        <f t="shared" si="79"/>
        <v>101288.21485406572</v>
      </c>
      <c r="AM168" s="272">
        <f t="shared" si="79"/>
        <v>96370.541524519649</v>
      </c>
      <c r="AN168" s="272">
        <f t="shared" si="79"/>
        <v>97381.722537221067</v>
      </c>
      <c r="AO168" s="272">
        <f t="shared" si="79"/>
        <v>103573.96487511015</v>
      </c>
      <c r="AP168" s="272">
        <f t="shared" si="79"/>
        <v>102919.89317975807</v>
      </c>
      <c r="AQ168" s="272">
        <f t="shared" si="79"/>
        <v>105987.92073576365</v>
      </c>
      <c r="AR168" s="302"/>
    </row>
    <row r="169" spans="1:60" s="6" customFormat="1">
      <c r="A169" s="13"/>
      <c r="B169" s="13"/>
      <c r="C169" s="13"/>
      <c r="D169" s="13"/>
      <c r="E169" s="13"/>
      <c r="F169" s="1"/>
      <c r="G169" s="12"/>
      <c r="AA169" s="272"/>
      <c r="AB169" s="272"/>
      <c r="AC169" s="272"/>
      <c r="AD169" s="272"/>
      <c r="AE169" s="272"/>
      <c r="AF169" s="272"/>
      <c r="AG169" s="272"/>
      <c r="AH169" s="272"/>
      <c r="AI169" s="272"/>
      <c r="AJ169" s="272"/>
      <c r="AK169" s="272"/>
      <c r="AL169" s="272"/>
      <c r="AM169" s="272"/>
      <c r="AN169" s="272"/>
      <c r="AO169" s="272"/>
      <c r="AP169" s="272"/>
      <c r="AQ169" s="272"/>
      <c r="AR169" s="302"/>
    </row>
    <row r="170" spans="1:60" s="6" customFormat="1" ht="13.8" thickBot="1">
      <c r="A170" s="13"/>
      <c r="B170" s="16" t="s">
        <v>118</v>
      </c>
      <c r="C170" s="13"/>
      <c r="D170" s="13"/>
      <c r="E170" s="13"/>
      <c r="F170" s="1"/>
      <c r="AA170" s="272"/>
      <c r="AB170" s="272"/>
      <c r="AC170" s="272"/>
      <c r="AD170" s="272"/>
      <c r="AE170" s="272"/>
      <c r="AF170" s="272"/>
      <c r="AG170" s="272"/>
      <c r="AH170" s="272"/>
      <c r="AI170" s="272"/>
      <c r="AJ170" s="272"/>
      <c r="AK170" s="272"/>
      <c r="AL170" s="272"/>
      <c r="AM170" s="272"/>
      <c r="AN170" s="272"/>
      <c r="AO170" s="272"/>
      <c r="AP170" s="272"/>
      <c r="AQ170" s="272"/>
      <c r="AR170" s="303"/>
    </row>
    <row r="171" spans="1:60" s="40" customFormat="1" ht="13.8" thickBot="1">
      <c r="A171" s="38"/>
      <c r="B171" s="33" t="s">
        <v>12</v>
      </c>
      <c r="D171" s="38"/>
      <c r="E171" s="38"/>
      <c r="F171" s="39"/>
      <c r="G171" s="112">
        <v>0.03</v>
      </c>
      <c r="H171" s="6">
        <f t="shared" ref="H171:Y171" si="80">(+H116/1000000*(H118*(1-$G$171))*H119)-H122</f>
        <v>-1135.0047406252343</v>
      </c>
      <c r="I171" s="6">
        <f t="shared" si="80"/>
        <v>-1193.7784553627571</v>
      </c>
      <c r="J171" s="6">
        <f t="shared" si="80"/>
        <v>-1246.1330121904393</v>
      </c>
      <c r="K171" s="6">
        <f t="shared" si="80"/>
        <v>-1316.8157474661712</v>
      </c>
      <c r="L171" s="6">
        <f t="shared" si="80"/>
        <v>-1380.669471989233</v>
      </c>
      <c r="M171" s="6">
        <f t="shared" si="80"/>
        <v>-1408.5736727474796</v>
      </c>
      <c r="N171" s="6">
        <f t="shared" si="80"/>
        <v>-1284.1111322765209</v>
      </c>
      <c r="O171" s="6">
        <f t="shared" si="80"/>
        <v>-1324.1525730168578</v>
      </c>
      <c r="P171" s="6">
        <f t="shared" si="80"/>
        <v>-1340.2960956479001</v>
      </c>
      <c r="Q171" s="6">
        <f t="shared" si="80"/>
        <v>-1376.462886381225</v>
      </c>
      <c r="R171" s="6">
        <f t="shared" si="80"/>
        <v>-1415.5258689721522</v>
      </c>
      <c r="S171" s="6">
        <f t="shared" si="80"/>
        <v>-1450.5077309715052</v>
      </c>
      <c r="T171" s="6">
        <f t="shared" si="80"/>
        <v>-1496.0290282795031</v>
      </c>
      <c r="U171" s="6">
        <f t="shared" si="80"/>
        <v>-1537.7780861282372</v>
      </c>
      <c r="V171" s="6">
        <f t="shared" si="80"/>
        <v>-1566.5749175494348</v>
      </c>
      <c r="W171" s="6">
        <f t="shared" si="80"/>
        <v>-1622.0947639342412</v>
      </c>
      <c r="X171" s="6">
        <f t="shared" si="80"/>
        <v>-1672.785794434807</v>
      </c>
      <c r="Y171" s="6">
        <f t="shared" si="80"/>
        <v>-1711.8129828143356</v>
      </c>
      <c r="Z171" s="6">
        <f>(+Z116/1000000*(Z118*(1-$G$171))*Z119)-Z122</f>
        <v>-1765.7624264639526</v>
      </c>
      <c r="AA171" s="430"/>
      <c r="AB171" s="272"/>
      <c r="AC171" s="272"/>
      <c r="AD171" s="272"/>
      <c r="AE171" s="272"/>
      <c r="AF171" s="272"/>
      <c r="AG171" s="272"/>
      <c r="AH171" s="272"/>
      <c r="AI171" s="272"/>
      <c r="AJ171" s="272"/>
      <c r="AK171" s="272"/>
      <c r="AL171" s="272"/>
      <c r="AM171" s="272"/>
      <c r="AN171" s="272"/>
      <c r="AO171" s="272"/>
      <c r="AP171" s="272"/>
      <c r="AQ171" s="272"/>
      <c r="AR171" s="303"/>
      <c r="AS171" s="80" t="s">
        <v>344</v>
      </c>
    </row>
    <row r="172" spans="1:60" s="40" customFormat="1" ht="13.8" thickBot="1">
      <c r="A172" s="38"/>
      <c r="B172" s="33" t="s">
        <v>0</v>
      </c>
      <c r="D172" s="38"/>
      <c r="E172" s="38"/>
      <c r="F172" s="39"/>
      <c r="H172" s="76">
        <f>-SUM(H131:H133)</f>
        <v>-404.13624406994012</v>
      </c>
      <c r="I172" s="76">
        <f t="shared" ref="I172:Z172" si="81">-SUM(I131:I133)</f>
        <v>-416.31493365253635</v>
      </c>
      <c r="J172" s="76">
        <f t="shared" si="81"/>
        <v>-428.73289811516901</v>
      </c>
      <c r="K172" s="76">
        <f t="shared" si="81"/>
        <v>-441.42540908072618</v>
      </c>
      <c r="L172" s="76">
        <f t="shared" si="81"/>
        <v>-454.42618716233949</v>
      </c>
      <c r="M172" s="76">
        <f t="shared" si="81"/>
        <v>-467.71800514298741</v>
      </c>
      <c r="N172" s="76">
        <f t="shared" si="81"/>
        <v>-481.3080666697748</v>
      </c>
      <c r="O172" s="76">
        <f t="shared" si="81"/>
        <v>-495.22055934082846</v>
      </c>
      <c r="P172" s="76">
        <f t="shared" si="81"/>
        <v>-509.46934749002975</v>
      </c>
      <c r="Q172" s="76">
        <f t="shared" si="81"/>
        <v>-524.06798934232336</v>
      </c>
      <c r="R172" s="76">
        <f t="shared" si="81"/>
        <v>-539.04083261224991</v>
      </c>
      <c r="S172" s="76">
        <f t="shared" si="81"/>
        <v>-554.41142079476151</v>
      </c>
      <c r="T172" s="76">
        <f t="shared" si="81"/>
        <v>-570.2348521520978</v>
      </c>
      <c r="U172" s="76">
        <f t="shared" si="81"/>
        <v>-586.57313450072752</v>
      </c>
      <c r="V172" s="76">
        <f t="shared" si="81"/>
        <v>-603.4520209977901</v>
      </c>
      <c r="W172" s="76">
        <f t="shared" si="81"/>
        <v>-620.91000751947877</v>
      </c>
      <c r="X172" s="76">
        <f t="shared" si="81"/>
        <v>-638.96536376806534</v>
      </c>
      <c r="Y172" s="76">
        <f t="shared" si="81"/>
        <v>-657.61249311982124</v>
      </c>
      <c r="Z172" s="76">
        <f t="shared" si="81"/>
        <v>-676.9158690082686</v>
      </c>
      <c r="AA172" s="430"/>
      <c r="AB172" s="272"/>
      <c r="AC172" s="272"/>
      <c r="AD172" s="272"/>
      <c r="AE172" s="272"/>
      <c r="AF172" s="272"/>
      <c r="AG172" s="272"/>
      <c r="AH172" s="272"/>
      <c r="AI172" s="272"/>
      <c r="AJ172" s="272"/>
      <c r="AK172" s="272"/>
      <c r="AL172" s="272"/>
      <c r="AM172" s="272"/>
      <c r="AN172" s="272"/>
      <c r="AO172" s="272"/>
      <c r="AP172" s="272"/>
      <c r="AQ172" s="272"/>
      <c r="AR172" s="306" t="s">
        <v>187</v>
      </c>
      <c r="AS172" s="80" t="s">
        <v>345</v>
      </c>
    </row>
    <row r="173" spans="1:60" s="83" customFormat="1" ht="13.8" thickBot="1">
      <c r="A173" s="38"/>
      <c r="B173" s="33" t="s">
        <v>148</v>
      </c>
      <c r="C173" s="40"/>
      <c r="D173" s="38"/>
      <c r="E173" s="38"/>
      <c r="F173" s="39"/>
      <c r="G173" s="112">
        <v>0</v>
      </c>
      <c r="H173" s="76">
        <f t="shared" ref="H173:Z173" si="82">(-H168+H124-H172)*$G$173</f>
        <v>0</v>
      </c>
      <c r="I173" s="76">
        <f t="shared" si="82"/>
        <v>0</v>
      </c>
      <c r="J173" s="76">
        <f t="shared" si="82"/>
        <v>0</v>
      </c>
      <c r="K173" s="76">
        <f t="shared" si="82"/>
        <v>0</v>
      </c>
      <c r="L173" s="76">
        <f t="shared" si="82"/>
        <v>0</v>
      </c>
      <c r="M173" s="76">
        <f t="shared" si="82"/>
        <v>0</v>
      </c>
      <c r="N173" s="76">
        <f t="shared" si="82"/>
        <v>0</v>
      </c>
      <c r="O173" s="76">
        <f t="shared" si="82"/>
        <v>0</v>
      </c>
      <c r="P173" s="76">
        <f t="shared" si="82"/>
        <v>0</v>
      </c>
      <c r="Q173" s="76">
        <f t="shared" si="82"/>
        <v>0</v>
      </c>
      <c r="R173" s="76">
        <f t="shared" si="82"/>
        <v>0</v>
      </c>
      <c r="S173" s="76">
        <f t="shared" si="82"/>
        <v>0</v>
      </c>
      <c r="T173" s="76">
        <f t="shared" si="82"/>
        <v>0</v>
      </c>
      <c r="U173" s="76">
        <f t="shared" si="82"/>
        <v>0</v>
      </c>
      <c r="V173" s="76">
        <f t="shared" si="82"/>
        <v>0</v>
      </c>
      <c r="W173" s="76">
        <f t="shared" si="82"/>
        <v>0</v>
      </c>
      <c r="X173" s="76">
        <f t="shared" si="82"/>
        <v>0</v>
      </c>
      <c r="Y173" s="76">
        <f t="shared" si="82"/>
        <v>0</v>
      </c>
      <c r="Z173" s="76">
        <f t="shared" si="82"/>
        <v>0</v>
      </c>
      <c r="AA173" s="272"/>
      <c r="AB173" s="272"/>
      <c r="AC173" s="272"/>
      <c r="AD173" s="272"/>
      <c r="AE173" s="272"/>
      <c r="AF173" s="272"/>
      <c r="AG173" s="272"/>
      <c r="AH173" s="272"/>
      <c r="AI173" s="272"/>
      <c r="AJ173" s="272"/>
      <c r="AK173" s="272"/>
      <c r="AL173" s="272"/>
      <c r="AM173" s="272"/>
      <c r="AN173" s="272"/>
      <c r="AO173" s="272"/>
      <c r="AP173" s="272"/>
      <c r="AQ173" s="272"/>
      <c r="AR173" s="303"/>
    </row>
    <row r="174" spans="1:60" s="40" customFormat="1">
      <c r="A174" s="38"/>
      <c r="B174" s="33"/>
      <c r="D174" s="38"/>
      <c r="E174" s="38"/>
      <c r="F174" s="39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273"/>
      <c r="AB174" s="273"/>
      <c r="AC174" s="273"/>
      <c r="AD174" s="273"/>
      <c r="AE174" s="273"/>
      <c r="AF174" s="273"/>
      <c r="AG174" s="273"/>
      <c r="AH174" s="273"/>
      <c r="AI174" s="273"/>
      <c r="AJ174" s="273"/>
      <c r="AK174" s="273"/>
      <c r="AL174" s="273"/>
      <c r="AM174" s="273"/>
      <c r="AN174" s="273"/>
      <c r="AO174" s="273"/>
      <c r="AP174" s="273"/>
      <c r="AQ174" s="273"/>
      <c r="AR174" s="303"/>
    </row>
    <row r="175" spans="1:60" s="83" customFormat="1">
      <c r="A175" s="38"/>
      <c r="B175" s="16" t="s">
        <v>221</v>
      </c>
      <c r="C175" s="40"/>
      <c r="D175" s="38"/>
      <c r="E175" s="38"/>
      <c r="F175" s="39"/>
      <c r="G175" s="40"/>
      <c r="H175" s="76">
        <f>+H227</f>
        <v>39397.682519793801</v>
      </c>
      <c r="I175" s="76">
        <f t="shared" ref="I175:AQ175" si="83">+I227</f>
        <v>39397.682519793794</v>
      </c>
      <c r="J175" s="76">
        <f t="shared" si="83"/>
        <v>39397.682519793801</v>
      </c>
      <c r="K175" s="76">
        <f t="shared" si="83"/>
        <v>39397.682519793801</v>
      </c>
      <c r="L175" s="76">
        <f t="shared" si="83"/>
        <v>39397.682519793801</v>
      </c>
      <c r="M175" s="76">
        <f t="shared" si="83"/>
        <v>39397.682519793801</v>
      </c>
      <c r="N175" s="76">
        <f t="shared" si="83"/>
        <v>39397.682519793794</v>
      </c>
      <c r="O175" s="76">
        <f t="shared" si="83"/>
        <v>39397.682519793801</v>
      </c>
      <c r="P175" s="76">
        <f t="shared" si="83"/>
        <v>39397.682519793794</v>
      </c>
      <c r="Q175" s="76">
        <f t="shared" si="83"/>
        <v>39397.682519793801</v>
      </c>
      <c r="R175" s="76">
        <f t="shared" si="83"/>
        <v>39397.682519793801</v>
      </c>
      <c r="S175" s="76">
        <f t="shared" si="83"/>
        <v>39397.682519793801</v>
      </c>
      <c r="T175" s="76">
        <f t="shared" si="83"/>
        <v>39397.682519793801</v>
      </c>
      <c r="U175" s="76">
        <f t="shared" si="83"/>
        <v>22034.029756495547</v>
      </c>
      <c r="V175" s="76">
        <f t="shared" si="83"/>
        <v>22034.029756495547</v>
      </c>
      <c r="W175" s="76">
        <f t="shared" si="83"/>
        <v>22034.029756495547</v>
      </c>
      <c r="X175" s="76">
        <f t="shared" si="83"/>
        <v>22034.029756495547</v>
      </c>
      <c r="Y175" s="76">
        <f t="shared" si="83"/>
        <v>22034.029756495547</v>
      </c>
      <c r="Z175" s="76">
        <f t="shared" si="83"/>
        <v>22034.029756495547</v>
      </c>
      <c r="AA175" s="267">
        <f t="shared" si="83"/>
        <v>22034.029756495547</v>
      </c>
      <c r="AB175" s="267">
        <f t="shared" si="83"/>
        <v>22034.029756495547</v>
      </c>
      <c r="AC175" s="267">
        <f t="shared" si="83"/>
        <v>22034.029756495547</v>
      </c>
      <c r="AD175" s="267">
        <f t="shared" si="83"/>
        <v>22034.029756495551</v>
      </c>
      <c r="AE175" s="267">
        <f t="shared" si="83"/>
        <v>22034.029756495547</v>
      </c>
      <c r="AF175" s="267">
        <f t="shared" si="83"/>
        <v>22034.029756495544</v>
      </c>
      <c r="AG175" s="267">
        <f t="shared" si="83"/>
        <v>0</v>
      </c>
      <c r="AH175" s="267">
        <f t="shared" si="83"/>
        <v>0</v>
      </c>
      <c r="AI175" s="267">
        <f t="shared" si="83"/>
        <v>0</v>
      </c>
      <c r="AJ175" s="267">
        <f t="shared" si="83"/>
        <v>0</v>
      </c>
      <c r="AK175" s="267">
        <f t="shared" si="83"/>
        <v>0</v>
      </c>
      <c r="AL175" s="267">
        <f t="shared" si="83"/>
        <v>0</v>
      </c>
      <c r="AM175" s="267">
        <f t="shared" si="83"/>
        <v>0</v>
      </c>
      <c r="AN175" s="267">
        <f t="shared" si="83"/>
        <v>0</v>
      </c>
      <c r="AO175" s="267">
        <f t="shared" si="83"/>
        <v>0</v>
      </c>
      <c r="AP175" s="267">
        <f t="shared" si="83"/>
        <v>0</v>
      </c>
      <c r="AQ175" s="267">
        <f t="shared" si="83"/>
        <v>0</v>
      </c>
      <c r="AR175" s="303"/>
    </row>
    <row r="176" spans="1:60" s="40" customFormat="1" ht="13.8" thickBot="1">
      <c r="A176" s="38"/>
      <c r="B176" s="33"/>
      <c r="D176" s="38"/>
      <c r="E176" s="38"/>
      <c r="F176" s="39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273"/>
      <c r="AB176" s="273"/>
      <c r="AC176" s="273"/>
      <c r="AD176" s="273"/>
      <c r="AE176" s="273"/>
      <c r="AF176" s="273"/>
      <c r="AG176" s="273"/>
      <c r="AH176" s="273"/>
      <c r="AI176" s="273"/>
      <c r="AJ176" s="273"/>
      <c r="AK176" s="273"/>
      <c r="AL176" s="273"/>
      <c r="AM176" s="273"/>
      <c r="AN176" s="273"/>
      <c r="AO176" s="273"/>
      <c r="AP176" s="273"/>
      <c r="AQ176" s="273"/>
      <c r="AR176" s="303"/>
    </row>
    <row r="177" spans="1:44" s="6" customFormat="1" ht="13.8" thickBot="1">
      <c r="A177" s="13"/>
      <c r="B177" s="16" t="s">
        <v>235</v>
      </c>
      <c r="C177" s="80"/>
      <c r="D177" s="16"/>
      <c r="E177" s="16"/>
      <c r="F177" s="21"/>
      <c r="G177" s="40"/>
      <c r="H177" s="157">
        <f>SUM(H168:H175)</f>
        <v>93789.138920148253</v>
      </c>
      <c r="I177" s="158">
        <f t="shared" ref="I177:AQ177" si="84">SUM(I168:I175)</f>
        <v>91072.18415014034</v>
      </c>
      <c r="J177" s="158">
        <f t="shared" si="84"/>
        <v>92219.744755970343</v>
      </c>
      <c r="K177" s="158">
        <f t="shared" si="84"/>
        <v>98249.269213109175</v>
      </c>
      <c r="L177" s="158">
        <f t="shared" si="84"/>
        <v>97540.441217846048</v>
      </c>
      <c r="M177" s="158">
        <f t="shared" si="84"/>
        <v>100094.93064957485</v>
      </c>
      <c r="N177" s="158">
        <f t="shared" si="84"/>
        <v>99857.261071863817</v>
      </c>
      <c r="O177" s="158">
        <f t="shared" si="84"/>
        <v>92844.332883479743</v>
      </c>
      <c r="P177" s="158">
        <f t="shared" si="84"/>
        <v>92400.056977102082</v>
      </c>
      <c r="Q177" s="158">
        <f t="shared" si="84"/>
        <v>101871.05843546576</v>
      </c>
      <c r="R177" s="158">
        <f t="shared" si="84"/>
        <v>96464.561329740944</v>
      </c>
      <c r="S177" s="158">
        <f t="shared" si="84"/>
        <v>98099.204606351996</v>
      </c>
      <c r="T177" s="158">
        <f t="shared" si="84"/>
        <v>106141.85314548097</v>
      </c>
      <c r="U177" s="158">
        <f t="shared" si="84"/>
        <v>83790.702403544841</v>
      </c>
      <c r="V177" s="158">
        <f t="shared" si="84"/>
        <v>83674.275512268723</v>
      </c>
      <c r="W177" s="158">
        <f t="shared" si="84"/>
        <v>88931.381213481829</v>
      </c>
      <c r="X177" s="158">
        <f t="shared" si="84"/>
        <v>87653.34342289975</v>
      </c>
      <c r="Y177" s="158">
        <f t="shared" si="84"/>
        <v>89133.364696307282</v>
      </c>
      <c r="Z177" s="159">
        <f t="shared" si="84"/>
        <v>98460.318069532164</v>
      </c>
      <c r="AA177" s="327">
        <f t="shared" si="84"/>
        <v>93900.258872987382</v>
      </c>
      <c r="AB177" s="327">
        <f t="shared" si="84"/>
        <v>94372.719707408658</v>
      </c>
      <c r="AC177" s="327">
        <f t="shared" si="84"/>
        <v>99686.048660382541</v>
      </c>
      <c r="AD177" s="327">
        <f t="shared" si="84"/>
        <v>98495.395390138743</v>
      </c>
      <c r="AE177" s="327">
        <f t="shared" si="84"/>
        <v>100755.95338003294</v>
      </c>
      <c r="AF177" s="327">
        <f t="shared" si="84"/>
        <v>110272.98357319935</v>
      </c>
      <c r="AG177" s="327">
        <f t="shared" si="84"/>
        <v>82943.317922912349</v>
      </c>
      <c r="AH177" s="327">
        <f t="shared" si="84"/>
        <v>83850.661095668765</v>
      </c>
      <c r="AI177" s="327">
        <f t="shared" si="84"/>
        <v>89774.835580428407</v>
      </c>
      <c r="AJ177" s="327">
        <f t="shared" si="84"/>
        <v>88621.782984546953</v>
      </c>
      <c r="AK177" s="327">
        <f t="shared" si="84"/>
        <v>91038.608724375415</v>
      </c>
      <c r="AL177" s="327">
        <f t="shared" si="84"/>
        <v>101288.21485406572</v>
      </c>
      <c r="AM177" s="327">
        <f t="shared" si="84"/>
        <v>96370.541524519649</v>
      </c>
      <c r="AN177" s="327">
        <f t="shared" si="84"/>
        <v>97381.722537221067</v>
      </c>
      <c r="AO177" s="327">
        <f t="shared" si="84"/>
        <v>103573.96487511015</v>
      </c>
      <c r="AP177" s="327">
        <f t="shared" si="84"/>
        <v>102919.89317975807</v>
      </c>
      <c r="AQ177" s="327">
        <f t="shared" si="84"/>
        <v>105987.92073576365</v>
      </c>
      <c r="AR177" s="302"/>
    </row>
    <row r="178" spans="1:44" s="1" customFormat="1" ht="13.8" thickBot="1">
      <c r="A178" s="13"/>
      <c r="B178" s="16" t="s">
        <v>1</v>
      </c>
      <c r="C178" s="16"/>
      <c r="D178" s="81">
        <f>+$D$74</f>
        <v>0</v>
      </c>
      <c r="E178" s="16"/>
      <c r="F178" s="21"/>
      <c r="G178" s="234">
        <f>SUMPRODUCT(H177:AQ177,H16:AQ16)+G177</f>
        <v>1349577.7568772342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54"/>
      <c r="AB178" s="254"/>
      <c r="AC178" s="254"/>
      <c r="AD178" s="254"/>
      <c r="AE178" s="254"/>
      <c r="AF178" s="254"/>
      <c r="AG178" s="254"/>
      <c r="AH178" s="254"/>
      <c r="AI178" s="254"/>
      <c r="AJ178" s="254"/>
      <c r="AK178" s="254"/>
      <c r="AL178" s="254"/>
      <c r="AM178" s="254"/>
      <c r="AN178" s="254"/>
      <c r="AO178" s="254"/>
      <c r="AP178" s="254"/>
      <c r="AQ178" s="254"/>
      <c r="AR178" s="301"/>
    </row>
    <row r="179" spans="1:44" s="1" customFormat="1" ht="13.8" thickBot="1">
      <c r="A179" s="13"/>
      <c r="B179" s="16"/>
      <c r="C179" s="16"/>
      <c r="D179" s="81"/>
      <c r="E179" s="1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54"/>
      <c r="AB179" s="254"/>
      <c r="AC179" s="254"/>
      <c r="AD179" s="254"/>
      <c r="AE179" s="254"/>
      <c r="AF179" s="254"/>
      <c r="AG179" s="254"/>
      <c r="AH179" s="254"/>
      <c r="AI179" s="254"/>
      <c r="AJ179" s="254"/>
      <c r="AK179" s="254"/>
      <c r="AL179" s="254"/>
      <c r="AM179" s="254"/>
      <c r="AN179" s="254"/>
      <c r="AO179" s="254"/>
      <c r="AP179" s="254"/>
      <c r="AQ179" s="254"/>
      <c r="AR179" s="301"/>
    </row>
    <row r="180" spans="1:44" s="1" customFormat="1">
      <c r="A180" s="13"/>
      <c r="B180" s="16" t="s">
        <v>217</v>
      </c>
      <c r="C180" s="13"/>
      <c r="D180" s="13"/>
      <c r="E180" s="13"/>
      <c r="G180" s="244">
        <f>+Valuation!G74-G178</f>
        <v>135048.94074734487</v>
      </c>
      <c r="AA180" s="254"/>
      <c r="AB180" s="254"/>
      <c r="AC180" s="254"/>
      <c r="AD180" s="254"/>
      <c r="AE180" s="254"/>
      <c r="AF180" s="254"/>
      <c r="AG180" s="254"/>
      <c r="AH180" s="254"/>
      <c r="AI180" s="254"/>
      <c r="AJ180" s="254"/>
      <c r="AK180" s="254"/>
      <c r="AL180" s="254"/>
      <c r="AM180" s="254"/>
      <c r="AN180" s="254"/>
      <c r="AO180" s="254"/>
      <c r="AP180" s="254"/>
      <c r="AQ180" s="254"/>
      <c r="AR180" s="301"/>
    </row>
    <row r="181" spans="1:44" s="1" customFormat="1" ht="17.399999999999999" thickBot="1">
      <c r="A181" s="13"/>
      <c r="B181" s="16" t="s">
        <v>162</v>
      </c>
      <c r="C181" s="33"/>
      <c r="D181" s="16"/>
      <c r="E181" s="16"/>
      <c r="F181" s="21"/>
      <c r="G181" s="357">
        <f>IF(+G206="Yes",-6888,0)</f>
        <v>-6888</v>
      </c>
      <c r="AA181" s="254"/>
      <c r="AB181" s="254"/>
      <c r="AC181" s="254"/>
      <c r="AD181" s="254"/>
      <c r="AE181" s="254"/>
      <c r="AF181" s="254"/>
      <c r="AG181" s="254"/>
      <c r="AH181" s="254"/>
      <c r="AI181" s="254"/>
      <c r="AJ181" s="254"/>
      <c r="AK181" s="254"/>
      <c r="AL181" s="254"/>
      <c r="AM181" s="254"/>
      <c r="AN181" s="254"/>
      <c r="AO181" s="254"/>
      <c r="AP181" s="254"/>
      <c r="AQ181" s="254"/>
      <c r="AR181" s="301"/>
    </row>
    <row r="182" spans="1:44" s="1" customFormat="1" ht="13.8" thickBot="1">
      <c r="A182" s="13"/>
      <c r="B182" s="16" t="s">
        <v>172</v>
      </c>
      <c r="C182" s="33"/>
      <c r="D182" s="33"/>
      <c r="E182" s="33"/>
      <c r="F182" s="35"/>
      <c r="G182" s="243">
        <f>SUM(G180:G181)</f>
        <v>128160.94074734487</v>
      </c>
      <c r="H182" s="84" t="s">
        <v>126</v>
      </c>
      <c r="I182" s="87">
        <f>+G182/$G$91</f>
        <v>0.42890485872283729</v>
      </c>
      <c r="J182" s="85" t="str">
        <f>IF(I182&gt;0,"Savings to Brazos","Cost to Brazos")</f>
        <v>Savings to Brazos</v>
      </c>
      <c r="K182" s="86"/>
      <c r="AA182" s="254"/>
      <c r="AB182" s="254"/>
      <c r="AC182" s="254"/>
      <c r="AD182" s="254"/>
      <c r="AE182" s="254"/>
      <c r="AF182" s="254"/>
      <c r="AG182" s="254"/>
      <c r="AH182" s="254"/>
      <c r="AI182" s="254"/>
      <c r="AJ182" s="254"/>
      <c r="AK182" s="254"/>
      <c r="AL182" s="254"/>
      <c r="AM182" s="254"/>
      <c r="AN182" s="254"/>
      <c r="AO182" s="254"/>
      <c r="AP182" s="254"/>
      <c r="AQ182" s="254"/>
      <c r="AR182" s="301"/>
    </row>
    <row r="183" spans="1:44" s="1" customFormat="1">
      <c r="A183" s="13"/>
      <c r="B183" s="16"/>
      <c r="C183" s="13"/>
      <c r="D183" s="13"/>
      <c r="E183" s="13"/>
      <c r="AA183" s="254"/>
      <c r="AB183" s="254"/>
      <c r="AC183" s="254"/>
      <c r="AD183" s="254"/>
      <c r="AE183" s="254"/>
      <c r="AF183" s="254"/>
      <c r="AG183" s="254"/>
      <c r="AH183" s="254"/>
      <c r="AI183" s="254"/>
      <c r="AJ183" s="254"/>
      <c r="AK183" s="254"/>
      <c r="AL183" s="254"/>
      <c r="AM183" s="254"/>
      <c r="AN183" s="254"/>
      <c r="AO183" s="254"/>
      <c r="AP183" s="254"/>
      <c r="AQ183" s="254"/>
      <c r="AR183" s="301"/>
    </row>
    <row r="184" spans="1:44" s="156" customFormat="1">
      <c r="A184" s="13"/>
      <c r="B184" s="16" t="s">
        <v>151</v>
      </c>
      <c r="C184" s="16"/>
      <c r="D184" s="16"/>
      <c r="E184" s="16"/>
      <c r="F184" s="21"/>
      <c r="G184" s="35" t="s">
        <v>14</v>
      </c>
      <c r="H184" s="225">
        <f t="shared" ref="H184:AQ184" si="85">+H177/H$25*1000</f>
        <v>48.253662825759335</v>
      </c>
      <c r="I184" s="225">
        <f t="shared" si="85"/>
        <v>46.855814195371316</v>
      </c>
      <c r="J184" s="225">
        <f t="shared" si="85"/>
        <v>47.446223737279901</v>
      </c>
      <c r="K184" s="225">
        <f t="shared" si="85"/>
        <v>50.410249208529692</v>
      </c>
      <c r="L184" s="225">
        <f t="shared" si="85"/>
        <v>50.183673894362066</v>
      </c>
      <c r="M184" s="225">
        <f t="shared" si="85"/>
        <v>51.49793557913511</v>
      </c>
      <c r="N184" s="225">
        <f t="shared" si="85"/>
        <v>51.375656733217006</v>
      </c>
      <c r="O184" s="225">
        <f t="shared" si="85"/>
        <v>47.637056191268023</v>
      </c>
      <c r="P184" s="225">
        <f t="shared" si="85"/>
        <v>47.538992742540337</v>
      </c>
      <c r="Q184" s="225">
        <f t="shared" si="85"/>
        <v>52.411737244259804</v>
      </c>
      <c r="R184" s="225">
        <f t="shared" si="85"/>
        <v>49.630143432739644</v>
      </c>
      <c r="S184" s="225">
        <f t="shared" si="85"/>
        <v>50.333253274772659</v>
      </c>
      <c r="T184" s="225">
        <f t="shared" si="85"/>
        <v>54.60902245561639</v>
      </c>
      <c r="U184" s="225">
        <f t="shared" si="85"/>
        <v>43.10955776187015</v>
      </c>
      <c r="V184" s="225">
        <f t="shared" si="85"/>
        <v>43.049657180415053</v>
      </c>
      <c r="W184" s="225">
        <f t="shared" si="85"/>
        <v>45.629378471063589</v>
      </c>
      <c r="X184" s="225">
        <f t="shared" si="85"/>
        <v>45.096851594726296</v>
      </c>
      <c r="Y184" s="225">
        <f t="shared" si="85"/>
        <v>45.858309140069174</v>
      </c>
      <c r="Z184" s="225">
        <f t="shared" si="85"/>
        <v>50.656942206168125</v>
      </c>
      <c r="AA184" s="225">
        <f t="shared" si="85"/>
        <v>48.178836223864351</v>
      </c>
      <c r="AB184" s="225">
        <f t="shared" si="85"/>
        <v>48.553909857177651</v>
      </c>
      <c r="AC184" s="225">
        <f t="shared" si="85"/>
        <v>51.287569497633818</v>
      </c>
      <c r="AD184" s="225">
        <f t="shared" si="85"/>
        <v>50.674989170036959</v>
      </c>
      <c r="AE184" s="225">
        <f t="shared" si="85"/>
        <v>51.696391838940649</v>
      </c>
      <c r="AF184" s="225">
        <f t="shared" si="85"/>
        <v>56.734451658224565</v>
      </c>
      <c r="AG184" s="225">
        <f t="shared" si="85"/>
        <v>42.673586118639321</v>
      </c>
      <c r="AH184" s="225">
        <f t="shared" si="85"/>
        <v>43.140405966113548</v>
      </c>
      <c r="AI184" s="225">
        <f t="shared" si="85"/>
        <v>46.062142451644185</v>
      </c>
      <c r="AJ184" s="225">
        <f t="shared" si="85"/>
        <v>45.595104981129985</v>
      </c>
      <c r="AK184" s="225">
        <f t="shared" si="85"/>
        <v>46.838539942800658</v>
      </c>
      <c r="AL184" s="225">
        <f t="shared" si="85"/>
        <v>52.111869498582124</v>
      </c>
      <c r="AM184" s="225">
        <f t="shared" si="85"/>
        <v>49.446301774260874</v>
      </c>
      <c r="AN184" s="225">
        <f t="shared" si="85"/>
        <v>50.102014570188636</v>
      </c>
      <c r="AO184" s="225">
        <f t="shared" si="85"/>
        <v>53.287867189672518</v>
      </c>
      <c r="AP184" s="225">
        <f t="shared" si="85"/>
        <v>52.951353224252024</v>
      </c>
      <c r="AQ184" s="225">
        <f t="shared" si="85"/>
        <v>54.380837029888561</v>
      </c>
      <c r="AR184" s="300"/>
    </row>
    <row r="185" spans="1:44" s="1" customFormat="1">
      <c r="A185" s="13"/>
      <c r="B185" s="13"/>
      <c r="C185" s="13"/>
      <c r="D185" s="13"/>
      <c r="E185" s="13"/>
      <c r="G185" s="7"/>
      <c r="AA185" s="254"/>
      <c r="AB185" s="254"/>
      <c r="AC185" s="254"/>
      <c r="AD185" s="254"/>
      <c r="AE185" s="254"/>
      <c r="AF185" s="254"/>
      <c r="AG185" s="254"/>
      <c r="AH185" s="254"/>
      <c r="AI185" s="254"/>
      <c r="AJ185" s="254"/>
      <c r="AK185" s="254"/>
      <c r="AL185" s="254"/>
      <c r="AM185" s="254"/>
      <c r="AN185" s="254"/>
      <c r="AO185" s="254"/>
      <c r="AP185" s="254"/>
      <c r="AQ185" s="254"/>
      <c r="AR185" s="301"/>
    </row>
    <row r="186" spans="1:44" s="1" customFormat="1">
      <c r="A186" s="13"/>
      <c r="B186" s="16" t="s">
        <v>18</v>
      </c>
      <c r="C186" s="13"/>
      <c r="D186" s="13"/>
      <c r="G186" s="7"/>
      <c r="AA186" s="254"/>
      <c r="AB186" s="254"/>
      <c r="AC186" s="254"/>
      <c r="AD186" s="254"/>
      <c r="AE186" s="254"/>
      <c r="AF186" s="254"/>
      <c r="AG186" s="254"/>
      <c r="AH186" s="254"/>
      <c r="AI186" s="254"/>
      <c r="AJ186" s="254"/>
      <c r="AK186" s="254"/>
      <c r="AL186" s="254"/>
      <c r="AM186" s="254"/>
      <c r="AN186" s="254"/>
      <c r="AO186" s="254"/>
      <c r="AP186" s="254"/>
      <c r="AQ186" s="254"/>
      <c r="AR186" s="301"/>
    </row>
    <row r="187" spans="1:44" s="1" customFormat="1">
      <c r="A187" s="13"/>
      <c r="B187" s="13" t="s">
        <v>33</v>
      </c>
      <c r="C187" s="13"/>
      <c r="D187" s="13"/>
      <c r="G187" s="78" t="s">
        <v>67</v>
      </c>
      <c r="H187" s="31">
        <f t="shared" ref="H187:Z187" si="86">+H25</f>
        <v>1943668.8</v>
      </c>
      <c r="I187" s="31">
        <f t="shared" si="86"/>
        <v>1943668.8</v>
      </c>
      <c r="J187" s="31">
        <f t="shared" si="86"/>
        <v>1943668.8</v>
      </c>
      <c r="K187" s="31">
        <f t="shared" si="86"/>
        <v>1948993.92</v>
      </c>
      <c r="L187" s="31">
        <f t="shared" si="86"/>
        <v>1943668.8</v>
      </c>
      <c r="M187" s="31">
        <f t="shared" si="86"/>
        <v>1943668.8</v>
      </c>
      <c r="N187" s="31">
        <f t="shared" si="86"/>
        <v>1943668.8</v>
      </c>
      <c r="O187" s="31">
        <f t="shared" si="86"/>
        <v>1948993.92</v>
      </c>
      <c r="P187" s="31">
        <f t="shared" si="86"/>
        <v>1943668.8</v>
      </c>
      <c r="Q187" s="31">
        <f t="shared" si="86"/>
        <v>1943668.8</v>
      </c>
      <c r="R187" s="31">
        <f t="shared" si="86"/>
        <v>1943668.8</v>
      </c>
      <c r="S187" s="31">
        <f t="shared" si="86"/>
        <v>1948993.92</v>
      </c>
      <c r="T187" s="31">
        <f t="shared" si="86"/>
        <v>1943668.8</v>
      </c>
      <c r="U187" s="31">
        <f t="shared" si="86"/>
        <v>1943668.8</v>
      </c>
      <c r="V187" s="31">
        <f t="shared" si="86"/>
        <v>1943668.8</v>
      </c>
      <c r="W187" s="31">
        <f t="shared" si="86"/>
        <v>1948993.92</v>
      </c>
      <c r="X187" s="31">
        <f t="shared" si="86"/>
        <v>1943668.8</v>
      </c>
      <c r="Y187" s="31">
        <f t="shared" si="86"/>
        <v>1943668.8</v>
      </c>
      <c r="Z187" s="31">
        <f t="shared" si="86"/>
        <v>1943668.8</v>
      </c>
      <c r="AA187" s="261">
        <f t="shared" ref="AA187:AQ187" si="87">+AA25</f>
        <v>1948993.92</v>
      </c>
      <c r="AB187" s="261">
        <f t="shared" si="87"/>
        <v>1943668.8</v>
      </c>
      <c r="AC187" s="261">
        <f t="shared" si="87"/>
        <v>1943668.8</v>
      </c>
      <c r="AD187" s="261">
        <f t="shared" si="87"/>
        <v>1943668.8</v>
      </c>
      <c r="AE187" s="261">
        <f t="shared" si="87"/>
        <v>1948993.92</v>
      </c>
      <c r="AF187" s="261">
        <f t="shared" si="87"/>
        <v>1943668.8</v>
      </c>
      <c r="AG187" s="261">
        <f t="shared" si="87"/>
        <v>1943668.8</v>
      </c>
      <c r="AH187" s="261">
        <f t="shared" si="87"/>
        <v>1943668.8</v>
      </c>
      <c r="AI187" s="261">
        <f t="shared" si="87"/>
        <v>1948993.92</v>
      </c>
      <c r="AJ187" s="261">
        <f t="shared" si="87"/>
        <v>1943668.8</v>
      </c>
      <c r="AK187" s="261">
        <f t="shared" si="87"/>
        <v>1943668.8</v>
      </c>
      <c r="AL187" s="261">
        <f t="shared" si="87"/>
        <v>1943668.8</v>
      </c>
      <c r="AM187" s="261">
        <f t="shared" si="87"/>
        <v>1948993.92</v>
      </c>
      <c r="AN187" s="261">
        <f t="shared" si="87"/>
        <v>1943668.8</v>
      </c>
      <c r="AO187" s="261">
        <f t="shared" si="87"/>
        <v>1943668.8</v>
      </c>
      <c r="AP187" s="261">
        <f t="shared" si="87"/>
        <v>1943668.8</v>
      </c>
      <c r="AQ187" s="261">
        <f t="shared" si="87"/>
        <v>1948993.92</v>
      </c>
      <c r="AR187" s="301"/>
    </row>
    <row r="188" spans="1:44" s="1" customFormat="1" ht="13.8" thickBot="1">
      <c r="A188" s="13"/>
      <c r="B188" s="13" t="s">
        <v>120</v>
      </c>
      <c r="C188" s="13"/>
      <c r="D188" s="13"/>
      <c r="G188" s="78" t="s">
        <v>14</v>
      </c>
      <c r="H188" s="32">
        <f t="shared" ref="H188:AQ188" si="88">+H184-H35</f>
        <v>11.011295780335011</v>
      </c>
      <c r="I188" s="32">
        <f t="shared" si="88"/>
        <v>15.742083491415109</v>
      </c>
      <c r="J188" s="32">
        <f t="shared" si="88"/>
        <v>17.494452030426988</v>
      </c>
      <c r="K188" s="32">
        <f t="shared" si="88"/>
        <v>18.886836950857568</v>
      </c>
      <c r="L188" s="32">
        <f t="shared" si="88"/>
        <v>16.248444794916161</v>
      </c>
      <c r="M188" s="32">
        <f t="shared" si="88"/>
        <v>16.405863564611948</v>
      </c>
      <c r="N188" s="32">
        <f t="shared" si="88"/>
        <v>14.462051881408776</v>
      </c>
      <c r="O188" s="32">
        <f t="shared" si="88"/>
        <v>7.9046450187206929</v>
      </c>
      <c r="P188" s="32">
        <f t="shared" si="88"/>
        <v>6.926603673989689</v>
      </c>
      <c r="Q188" s="32">
        <f t="shared" si="88"/>
        <v>10.752336718187735</v>
      </c>
      <c r="R188" s="32">
        <f t="shared" si="88"/>
        <v>6.7432927922654287</v>
      </c>
      <c r="S188" s="32">
        <f t="shared" si="88"/>
        <v>6.6920203942416663</v>
      </c>
      <c r="T188" s="32">
        <f t="shared" si="88"/>
        <v>10.008300429104942</v>
      </c>
      <c r="U188" s="32">
        <f t="shared" si="88"/>
        <v>-3.327777297742692</v>
      </c>
      <c r="V188" s="32">
        <f t="shared" si="88"/>
        <v>-2.0850530321670533</v>
      </c>
      <c r="W188" s="32">
        <f t="shared" si="88"/>
        <v>-0.35132500947766943</v>
      </c>
      <c r="X188" s="32">
        <f t="shared" si="88"/>
        <v>-1.6224957013360211</v>
      </c>
      <c r="Y188" s="32">
        <f t="shared" si="88"/>
        <v>-1.4332074904714887</v>
      </c>
      <c r="Z188" s="32">
        <f t="shared" si="88"/>
        <v>1.740188619133896</v>
      </c>
      <c r="AA188" s="328">
        <f t="shared" si="88"/>
        <v>-1.7336331956122137</v>
      </c>
      <c r="AB188" s="328">
        <f t="shared" si="88"/>
        <v>-2.374543502215154</v>
      </c>
      <c r="AC188" s="328">
        <f t="shared" si="88"/>
        <v>-0.67754847282159858</v>
      </c>
      <c r="AD188" s="328">
        <f t="shared" si="88"/>
        <v>-2.3478950441626267</v>
      </c>
      <c r="AE188" s="328">
        <f t="shared" si="88"/>
        <v>-2.4057897820236676</v>
      </c>
      <c r="AF188" s="328">
        <f t="shared" si="88"/>
        <v>1.531003193911431</v>
      </c>
      <c r="AG188" s="328">
        <f t="shared" si="88"/>
        <v>-13.653545820365821</v>
      </c>
      <c r="AH188" s="328">
        <f t="shared" si="88"/>
        <v>-14.333282376475211</v>
      </c>
      <c r="AI188" s="328">
        <f t="shared" si="88"/>
        <v>-12.581440809047663</v>
      </c>
      <c r="AJ188" s="328">
        <f t="shared" si="88"/>
        <v>-14.242186774953488</v>
      </c>
      <c r="AK188" s="328">
        <f t="shared" si="88"/>
        <v>-14.216758618783416</v>
      </c>
      <c r="AL188" s="328">
        <f t="shared" si="88"/>
        <v>-10.186228778320285</v>
      </c>
      <c r="AM188" s="328">
        <f t="shared" si="88"/>
        <v>-14.119893795218253</v>
      </c>
      <c r="AN188" s="328">
        <f t="shared" si="88"/>
        <v>-14.758090809229977</v>
      </c>
      <c r="AO188" s="328">
        <f t="shared" si="88"/>
        <v>-12.892485938919783</v>
      </c>
      <c r="AP188" s="328">
        <f t="shared" si="88"/>
        <v>-14.576121709746239</v>
      </c>
      <c r="AQ188" s="328">
        <f t="shared" si="88"/>
        <v>-14.521180795575368</v>
      </c>
      <c r="AR188" s="301"/>
    </row>
    <row r="189" spans="1:44" s="1" customFormat="1" ht="13.8" thickBot="1">
      <c r="A189" s="13"/>
      <c r="B189" s="16" t="s">
        <v>18</v>
      </c>
      <c r="C189" s="16"/>
      <c r="D189" s="16"/>
      <c r="E189" s="21"/>
      <c r="F189" s="21"/>
      <c r="G189" s="21"/>
      <c r="H189" s="157">
        <f>+H187*H188/1000</f>
        <v>21402.312055808816</v>
      </c>
      <c r="I189" s="158">
        <f t="shared" ref="I189:AA189" si="89">+I187*I188/1000</f>
        <v>30597.396529258614</v>
      </c>
      <c r="J189" s="158">
        <f t="shared" si="89"/>
        <v>34003.420584637592</v>
      </c>
      <c r="K189" s="158">
        <f t="shared" si="89"/>
        <v>36810.330385252739</v>
      </c>
      <c r="L189" s="158">
        <f t="shared" si="89"/>
        <v>31581.59519640094</v>
      </c>
      <c r="M189" s="158">
        <f t="shared" si="89"/>
        <v>31887.565147593028</v>
      </c>
      <c r="N189" s="158">
        <f t="shared" si="89"/>
        <v>28109.439025875537</v>
      </c>
      <c r="O189" s="158">
        <f t="shared" si="89"/>
        <v>15406.105081244916</v>
      </c>
      <c r="P189" s="158">
        <f t="shared" si="89"/>
        <v>13463.02345109913</v>
      </c>
      <c r="Q189" s="158">
        <f t="shared" si="89"/>
        <v>20898.981406235893</v>
      </c>
      <c r="R189" s="158">
        <f t="shared" si="89"/>
        <v>13106.727809591195</v>
      </c>
      <c r="S189" s="158">
        <f t="shared" si="89"/>
        <v>13042.70706089301</v>
      </c>
      <c r="T189" s="158">
        <f t="shared" si="89"/>
        <v>19452.821285077887</v>
      </c>
      <c r="U189" s="158">
        <f t="shared" si="89"/>
        <v>-6468.0969069707817</v>
      </c>
      <c r="V189" s="158">
        <f t="shared" si="89"/>
        <v>-4052.6525249684978</v>
      </c>
      <c r="W189" s="158">
        <f t="shared" si="89"/>
        <v>-684.73030741592004</v>
      </c>
      <c r="X189" s="158">
        <f t="shared" si="89"/>
        <v>-3153.5942728209425</v>
      </c>
      <c r="Y189" s="158">
        <f t="shared" si="89"/>
        <v>-2785.6806831557301</v>
      </c>
      <c r="Z189" s="159">
        <f t="shared" si="89"/>
        <v>3382.3503251256366</v>
      </c>
      <c r="AA189" s="267">
        <f t="shared" si="89"/>
        <v>-3378.8405577583749</v>
      </c>
      <c r="AB189" s="267">
        <f t="shared" ref="AB189:AQ189" si="90">+AB187*AB188/1000</f>
        <v>-4615.3261194983252</v>
      </c>
      <c r="AC189" s="267">
        <f t="shared" si="90"/>
        <v>-1316.9298271109892</v>
      </c>
      <c r="AD189" s="267">
        <f t="shared" si="90"/>
        <v>-4563.5303430135191</v>
      </c>
      <c r="AE189" s="267">
        <f t="shared" si="90"/>
        <v>-4688.8696579622538</v>
      </c>
      <c r="AF189" s="267">
        <f t="shared" si="90"/>
        <v>2975.7631407059985</v>
      </c>
      <c r="AG189" s="267">
        <f t="shared" si="90"/>
        <v>-26537.971020415451</v>
      </c>
      <c r="AH189" s="267">
        <f t="shared" si="90"/>
        <v>-27859.153756744719</v>
      </c>
      <c r="AI189" s="267">
        <f t="shared" si="90"/>
        <v>-24521.151641673776</v>
      </c>
      <c r="AJ189" s="267">
        <f t="shared" si="90"/>
        <v>-27682.09407824972</v>
      </c>
      <c r="AK189" s="267">
        <f t="shared" si="90"/>
        <v>-27632.670164460422</v>
      </c>
      <c r="AL189" s="267">
        <f t="shared" si="90"/>
        <v>-19798.655066083251</v>
      </c>
      <c r="AM189" s="267">
        <f t="shared" si="90"/>
        <v>-27519.5871579261</v>
      </c>
      <c r="AN189" s="267">
        <f t="shared" si="90"/>
        <v>-28684.840653467058</v>
      </c>
      <c r="AO189" s="267">
        <f t="shared" si="90"/>
        <v>-25058.722673917087</v>
      </c>
      <c r="AP189" s="267">
        <f t="shared" si="90"/>
        <v>-28331.152992236421</v>
      </c>
      <c r="AQ189" s="267">
        <f t="shared" si="90"/>
        <v>-28301.693081797155</v>
      </c>
      <c r="AR189" s="301"/>
    </row>
    <row r="190" spans="1:44" s="1" customFormat="1" ht="13.8" thickBot="1">
      <c r="A190" s="13"/>
      <c r="B190" s="350" t="str">
        <f>CONCATENATE("NPV ",+$E$16*100," of Cf to Term (2036)")</f>
        <v>NPV 6.25 of Cf to Term (2036)</v>
      </c>
      <c r="C190" s="13"/>
      <c r="F190" s="21"/>
      <c r="G190" s="88">
        <f>SUMPRODUCT(H189:AQ189,H16:AQ16)</f>
        <v>163760.77926602439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254"/>
      <c r="AB190" s="254"/>
      <c r="AC190" s="254"/>
      <c r="AD190" s="254"/>
      <c r="AE190" s="254"/>
      <c r="AF190" s="254"/>
      <c r="AG190" s="254"/>
      <c r="AH190" s="254"/>
      <c r="AI190" s="254"/>
      <c r="AJ190" s="254"/>
      <c r="AK190" s="254"/>
      <c r="AL190" s="254"/>
      <c r="AM190" s="254"/>
      <c r="AN190" s="254"/>
      <c r="AO190" s="254"/>
      <c r="AP190" s="254"/>
      <c r="AQ190" s="254"/>
      <c r="AR190" s="301"/>
    </row>
    <row r="191" spans="1:44" s="1" customFormat="1">
      <c r="A191" s="13"/>
      <c r="B191" s="16"/>
      <c r="C191" s="16"/>
      <c r="D191" s="8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54"/>
      <c r="AB191" s="254"/>
      <c r="AC191" s="254"/>
      <c r="AD191" s="254"/>
      <c r="AE191" s="254"/>
      <c r="AF191" s="254"/>
      <c r="AG191" s="254"/>
      <c r="AH191" s="254"/>
      <c r="AI191" s="254"/>
      <c r="AJ191" s="254"/>
      <c r="AK191" s="254"/>
      <c r="AL191" s="254"/>
      <c r="AM191" s="254"/>
      <c r="AN191" s="254"/>
      <c r="AO191" s="254"/>
      <c r="AP191" s="254"/>
      <c r="AQ191" s="254"/>
      <c r="AR191" s="301"/>
    </row>
    <row r="192" spans="1:44" s="1" customFormat="1" ht="13.8" thickBot="1">
      <c r="A192" s="13"/>
      <c r="B192" s="13"/>
      <c r="C192" s="13"/>
      <c r="D192" s="13"/>
      <c r="AA192" s="254"/>
      <c r="AB192" s="254"/>
      <c r="AC192" s="254"/>
      <c r="AD192" s="254"/>
      <c r="AE192" s="254"/>
      <c r="AF192" s="254"/>
      <c r="AG192" s="254"/>
      <c r="AH192" s="254"/>
      <c r="AI192" s="254"/>
      <c r="AJ192" s="254"/>
      <c r="AK192" s="254"/>
      <c r="AL192" s="254"/>
      <c r="AM192" s="254"/>
      <c r="AN192" s="254"/>
      <c r="AO192" s="254"/>
      <c r="AP192" s="254"/>
      <c r="AQ192" s="254"/>
      <c r="AR192" s="301"/>
    </row>
    <row r="193" spans="1:44" s="1" customFormat="1" ht="13.8" thickBot="1">
      <c r="A193" s="13"/>
      <c r="B193" s="16" t="s">
        <v>122</v>
      </c>
      <c r="C193" s="13"/>
      <c r="D193" s="13"/>
      <c r="G193" s="36">
        <f>+G91-G190</f>
        <v>135048.94074734524</v>
      </c>
      <c r="AA193" s="254"/>
      <c r="AB193" s="254"/>
      <c r="AC193" s="254"/>
      <c r="AD193" s="254"/>
      <c r="AE193" s="254"/>
      <c r="AF193" s="254"/>
      <c r="AG193" s="254"/>
      <c r="AH193" s="254"/>
      <c r="AI193" s="254"/>
      <c r="AJ193" s="254"/>
      <c r="AK193" s="254"/>
      <c r="AL193" s="254"/>
      <c r="AM193" s="254"/>
      <c r="AN193" s="254"/>
      <c r="AO193" s="254"/>
      <c r="AP193" s="254"/>
      <c r="AQ193" s="254"/>
      <c r="AR193" s="301"/>
    </row>
    <row r="194" spans="1:44" s="1" customFormat="1">
      <c r="A194" s="13"/>
      <c r="B194" s="13"/>
      <c r="C194" s="13"/>
      <c r="D194" s="13"/>
      <c r="AA194" s="254"/>
      <c r="AB194" s="254"/>
      <c r="AC194" s="254"/>
      <c r="AD194" s="254"/>
      <c r="AE194" s="254"/>
      <c r="AF194" s="254"/>
      <c r="AG194" s="254"/>
      <c r="AH194" s="254"/>
      <c r="AI194" s="254"/>
      <c r="AJ194" s="254"/>
      <c r="AK194" s="254"/>
      <c r="AL194" s="254"/>
      <c r="AM194" s="254"/>
      <c r="AN194" s="254"/>
      <c r="AO194" s="254"/>
      <c r="AP194" s="254"/>
      <c r="AQ194" s="254"/>
      <c r="AR194" s="301"/>
    </row>
    <row r="195" spans="1:44" s="1" customFormat="1">
      <c r="A195" s="13"/>
      <c r="B195" s="13"/>
      <c r="C195" s="13"/>
      <c r="D195" s="13"/>
      <c r="AA195" s="254"/>
      <c r="AB195" s="254"/>
      <c r="AC195" s="254"/>
      <c r="AD195" s="254"/>
      <c r="AE195" s="254"/>
      <c r="AF195" s="254"/>
      <c r="AG195" s="254"/>
      <c r="AH195" s="254"/>
      <c r="AI195" s="254"/>
      <c r="AJ195" s="254"/>
      <c r="AK195" s="254"/>
      <c r="AL195" s="254"/>
      <c r="AM195" s="254"/>
      <c r="AN195" s="254"/>
      <c r="AO195" s="254"/>
      <c r="AP195" s="254"/>
      <c r="AQ195" s="254"/>
      <c r="AR195" s="301"/>
    </row>
    <row r="196" spans="1:44" s="1" customFormat="1">
      <c r="B196" s="16" t="s">
        <v>19</v>
      </c>
      <c r="C196" s="13"/>
      <c r="D196" s="13"/>
      <c r="E196" s="13"/>
      <c r="G196" s="8"/>
      <c r="AA196" s="254"/>
      <c r="AB196" s="254"/>
      <c r="AC196" s="254"/>
      <c r="AD196" s="254"/>
      <c r="AE196" s="254"/>
      <c r="AF196" s="254"/>
      <c r="AG196" s="254"/>
      <c r="AH196" s="254"/>
      <c r="AI196" s="254"/>
      <c r="AJ196" s="254"/>
      <c r="AK196" s="254"/>
      <c r="AL196" s="254"/>
      <c r="AM196" s="254"/>
      <c r="AN196" s="254"/>
      <c r="AO196" s="254"/>
      <c r="AP196" s="254"/>
      <c r="AQ196" s="254"/>
      <c r="AR196" s="301"/>
    </row>
    <row r="197" spans="1:44" s="1" customFormat="1">
      <c r="A197" s="13"/>
      <c r="B197" s="13" t="s">
        <v>11</v>
      </c>
      <c r="C197" s="13"/>
      <c r="D197" s="13"/>
      <c r="E197" s="13"/>
      <c r="G197" s="8"/>
      <c r="H197" s="6">
        <f t="shared" ref="H197:AF197" si="91">+SUM(H168:H173)-H73</f>
        <v>-30036.343023645546</v>
      </c>
      <c r="I197" s="6">
        <f t="shared" si="91"/>
        <v>-35163.462129653468</v>
      </c>
      <c r="J197" s="6">
        <f t="shared" si="91"/>
        <v>-38205.554187823473</v>
      </c>
      <c r="K197" s="6">
        <f t="shared" si="91"/>
        <v>-36418.093417084616</v>
      </c>
      <c r="L197" s="6">
        <f t="shared" si="91"/>
        <v>-40446.585437947753</v>
      </c>
      <c r="M197" s="6">
        <f t="shared" si="91"/>
        <v>-42320.358902218977</v>
      </c>
      <c r="N197" s="6">
        <f t="shared" si="91"/>
        <v>-40292.279787241911</v>
      </c>
      <c r="O197" s="6">
        <f t="shared" si="91"/>
        <v>-50191.498983951526</v>
      </c>
      <c r="P197" s="6">
        <f t="shared" si="91"/>
        <v>-53115.91241534771</v>
      </c>
      <c r="Q197" s="6">
        <f t="shared" si="91"/>
        <v>-46575.6565612345</v>
      </c>
      <c r="R197" s="6">
        <f t="shared" si="91"/>
        <v>-55234.555543949282</v>
      </c>
      <c r="S197" s="6">
        <f t="shared" si="91"/>
        <v>-57198.742632854228</v>
      </c>
      <c r="T197" s="6">
        <f t="shared" si="91"/>
        <v>-52062.716546199037</v>
      </c>
      <c r="U197" s="6">
        <f t="shared" si="91"/>
        <v>-58717.696553831753</v>
      </c>
      <c r="V197" s="6">
        <f t="shared" si="91"/>
        <v>-60311.888924279956</v>
      </c>
      <c r="W197" s="6">
        <f t="shared" si="91"/>
        <v>-57045.722372162098</v>
      </c>
      <c r="X197" s="6">
        <f t="shared" si="91"/>
        <v>-62820.359755615675</v>
      </c>
      <c r="Y197" s="6">
        <f t="shared" si="91"/>
        <v>-64519.915772574939</v>
      </c>
      <c r="Z197" s="6">
        <f t="shared" si="91"/>
        <v>-58549.705794569556</v>
      </c>
      <c r="AA197" s="272">
        <f t="shared" si="91"/>
        <v>-15333.047619196484</v>
      </c>
      <c r="AB197" s="272">
        <f t="shared" si="91"/>
        <v>-14334.719183499605</v>
      </c>
      <c r="AC197" s="272">
        <f t="shared" si="91"/>
        <v>-17975.358588656076</v>
      </c>
      <c r="AD197" s="272">
        <f t="shared" si="91"/>
        <v>-15067.650087391288</v>
      </c>
      <c r="AE197" s="272">
        <f t="shared" si="91"/>
        <v>-15388.329064922233</v>
      </c>
      <c r="AF197" s="272">
        <f t="shared" si="91"/>
        <v>-23273.257406893317</v>
      </c>
      <c r="AG197" s="272"/>
      <c r="AH197" s="272"/>
      <c r="AI197" s="272"/>
      <c r="AJ197" s="272"/>
      <c r="AK197" s="272"/>
      <c r="AL197" s="272"/>
      <c r="AM197" s="272"/>
      <c r="AN197" s="272"/>
      <c r="AO197" s="272"/>
      <c r="AP197" s="272"/>
      <c r="AQ197" s="272"/>
      <c r="AR197" s="301"/>
    </row>
    <row r="198" spans="1:44" s="1" customFormat="1" ht="13.8" thickBot="1">
      <c r="A198" s="13"/>
      <c r="B198" s="13" t="s">
        <v>13</v>
      </c>
      <c r="C198" s="13"/>
      <c r="D198" s="13"/>
      <c r="E198" s="233">
        <f>+G212</f>
        <v>25</v>
      </c>
      <c r="F198" s="89" t="s">
        <v>125</v>
      </c>
      <c r="G198" s="18">
        <f>1/$E$198</f>
        <v>0.04</v>
      </c>
      <c r="H198" s="295">
        <f t="shared" ref="H198:AF198" si="92">IF(+H13&lt;=$E$198,$G$102/$E$198,0)</f>
        <v>16204</v>
      </c>
      <c r="I198" s="295">
        <f t="shared" si="92"/>
        <v>16204</v>
      </c>
      <c r="J198" s="295">
        <f t="shared" si="92"/>
        <v>16204</v>
      </c>
      <c r="K198" s="295">
        <f t="shared" si="92"/>
        <v>16204</v>
      </c>
      <c r="L198" s="295">
        <f t="shared" si="92"/>
        <v>16204</v>
      </c>
      <c r="M198" s="295">
        <f t="shared" si="92"/>
        <v>16204</v>
      </c>
      <c r="N198" s="295">
        <f t="shared" si="92"/>
        <v>16204</v>
      </c>
      <c r="O198" s="295">
        <f t="shared" si="92"/>
        <v>16204</v>
      </c>
      <c r="P198" s="295">
        <f t="shared" si="92"/>
        <v>16204</v>
      </c>
      <c r="Q198" s="295">
        <f t="shared" si="92"/>
        <v>16204</v>
      </c>
      <c r="R198" s="295">
        <f t="shared" si="92"/>
        <v>16204</v>
      </c>
      <c r="S198" s="295">
        <f t="shared" si="92"/>
        <v>16204</v>
      </c>
      <c r="T198" s="295">
        <f t="shared" si="92"/>
        <v>16204</v>
      </c>
      <c r="U198" s="295">
        <f t="shared" si="92"/>
        <v>16204</v>
      </c>
      <c r="V198" s="295">
        <f t="shared" si="92"/>
        <v>16204</v>
      </c>
      <c r="W198" s="295">
        <f t="shared" si="92"/>
        <v>16204</v>
      </c>
      <c r="X198" s="295">
        <f t="shared" si="92"/>
        <v>16204</v>
      </c>
      <c r="Y198" s="295">
        <f t="shared" si="92"/>
        <v>16204</v>
      </c>
      <c r="Z198" s="295">
        <f t="shared" si="92"/>
        <v>16204</v>
      </c>
      <c r="AA198" s="296">
        <f t="shared" si="92"/>
        <v>16204</v>
      </c>
      <c r="AB198" s="296">
        <f t="shared" si="92"/>
        <v>16204</v>
      </c>
      <c r="AC198" s="296">
        <f t="shared" si="92"/>
        <v>16204</v>
      </c>
      <c r="AD198" s="296">
        <f t="shared" si="92"/>
        <v>16204</v>
      </c>
      <c r="AE198" s="296">
        <f t="shared" si="92"/>
        <v>16204</v>
      </c>
      <c r="AF198" s="296">
        <f t="shared" si="92"/>
        <v>16204</v>
      </c>
      <c r="AG198" s="296"/>
      <c r="AH198" s="296"/>
      <c r="AI198" s="296"/>
      <c r="AJ198" s="296"/>
      <c r="AK198" s="296"/>
      <c r="AL198" s="296"/>
      <c r="AM198" s="296"/>
      <c r="AN198" s="296"/>
      <c r="AO198" s="296"/>
      <c r="AP198" s="296"/>
      <c r="AQ198" s="296"/>
      <c r="AR198" s="301"/>
    </row>
    <row r="199" spans="1:44" s="1" customFormat="1">
      <c r="A199" s="13"/>
      <c r="B199" s="13" t="s">
        <v>8</v>
      </c>
      <c r="C199" s="13"/>
      <c r="D199" s="13"/>
      <c r="E199" s="13"/>
      <c r="F199" s="13"/>
      <c r="H199" s="6">
        <f>-H197-H198</f>
        <v>13832.343023645546</v>
      </c>
      <c r="I199" s="6">
        <f t="shared" ref="I199:AA199" si="93">-I197-I198</f>
        <v>18959.462129653468</v>
      </c>
      <c r="J199" s="6">
        <f t="shared" si="93"/>
        <v>22001.554187823473</v>
      </c>
      <c r="K199" s="6">
        <f t="shared" si="93"/>
        <v>20214.093417084616</v>
      </c>
      <c r="L199" s="6">
        <f t="shared" si="93"/>
        <v>24242.585437947753</v>
      </c>
      <c r="M199" s="6">
        <f t="shared" si="93"/>
        <v>26116.358902218977</v>
      </c>
      <c r="N199" s="6">
        <f t="shared" si="93"/>
        <v>24088.279787241911</v>
      </c>
      <c r="O199" s="6">
        <f t="shared" si="93"/>
        <v>33987.498983951526</v>
      </c>
      <c r="P199" s="6">
        <f t="shared" si="93"/>
        <v>36911.91241534771</v>
      </c>
      <c r="Q199" s="6">
        <f t="shared" si="93"/>
        <v>30371.6565612345</v>
      </c>
      <c r="R199" s="6">
        <f t="shared" si="93"/>
        <v>39030.555543949282</v>
      </c>
      <c r="S199" s="6">
        <f t="shared" si="93"/>
        <v>40994.742632854228</v>
      </c>
      <c r="T199" s="6">
        <f t="shared" si="93"/>
        <v>35858.716546199037</v>
      </c>
      <c r="U199" s="6">
        <f t="shared" si="93"/>
        <v>42513.696553831753</v>
      </c>
      <c r="V199" s="6">
        <f t="shared" si="93"/>
        <v>44107.888924279956</v>
      </c>
      <c r="W199" s="6">
        <f t="shared" si="93"/>
        <v>40841.722372162098</v>
      </c>
      <c r="X199" s="6">
        <f t="shared" si="93"/>
        <v>46616.359755615675</v>
      </c>
      <c r="Y199" s="6">
        <f t="shared" si="93"/>
        <v>48315.915772574939</v>
      </c>
      <c r="Z199" s="6">
        <f t="shared" si="93"/>
        <v>42345.705794569556</v>
      </c>
      <c r="AA199" s="272">
        <f t="shared" si="93"/>
        <v>-870.95238080351555</v>
      </c>
      <c r="AB199" s="272">
        <f>-AB197-AB198</f>
        <v>-1869.2808165003953</v>
      </c>
      <c r="AC199" s="272">
        <f>-AC197-AC198</f>
        <v>1771.3585886560759</v>
      </c>
      <c r="AD199" s="272">
        <f>-AD197-AD198</f>
        <v>-1136.3499126087117</v>
      </c>
      <c r="AE199" s="272">
        <f>-AE197-AE198</f>
        <v>-815.67093507776735</v>
      </c>
      <c r="AF199" s="272">
        <f>-AF197-AF198</f>
        <v>7069.2574068933172</v>
      </c>
      <c r="AG199" s="272"/>
      <c r="AH199" s="272"/>
      <c r="AI199" s="272"/>
      <c r="AJ199" s="272"/>
      <c r="AK199" s="272"/>
      <c r="AL199" s="272"/>
      <c r="AM199" s="272"/>
      <c r="AN199" s="272"/>
      <c r="AO199" s="272"/>
      <c r="AP199" s="272"/>
      <c r="AQ199" s="272"/>
      <c r="AR199" s="301"/>
    </row>
    <row r="200" spans="1:44" s="1" customFormat="1" ht="15">
      <c r="A200" s="13"/>
      <c r="B200" s="13"/>
      <c r="C200" s="13"/>
      <c r="D200" s="13"/>
      <c r="E200" s="43"/>
      <c r="F200" s="44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254"/>
      <c r="AB200" s="254"/>
      <c r="AC200" s="254"/>
      <c r="AD200" s="254"/>
      <c r="AE200" s="254"/>
      <c r="AF200" s="254"/>
      <c r="AG200" s="254"/>
      <c r="AH200" s="254"/>
      <c r="AI200" s="254"/>
      <c r="AJ200" s="254"/>
      <c r="AK200" s="254"/>
      <c r="AL200" s="254"/>
      <c r="AM200" s="254"/>
      <c r="AN200" s="254"/>
      <c r="AO200" s="254"/>
      <c r="AP200" s="254"/>
      <c r="AQ200" s="254"/>
      <c r="AR200" s="301"/>
    </row>
    <row r="201" spans="1:44" s="1" customFormat="1" ht="15.6" thickBot="1">
      <c r="A201" s="13"/>
      <c r="B201" s="13"/>
      <c r="C201" s="13"/>
      <c r="D201" s="13"/>
      <c r="E201" s="43"/>
      <c r="F201" s="44"/>
      <c r="H201" s="11">
        <f>+H153</f>
        <v>2001</v>
      </c>
      <c r="I201" s="11">
        <f t="shared" ref="I201:Z201" si="94">+I153</f>
        <v>2002</v>
      </c>
      <c r="J201" s="11">
        <f t="shared" si="94"/>
        <v>2003</v>
      </c>
      <c r="K201" s="11">
        <f t="shared" si="94"/>
        <v>2004</v>
      </c>
      <c r="L201" s="11">
        <f t="shared" si="94"/>
        <v>2005</v>
      </c>
      <c r="M201" s="11">
        <f t="shared" si="94"/>
        <v>2006</v>
      </c>
      <c r="N201" s="11">
        <f t="shared" si="94"/>
        <v>2007</v>
      </c>
      <c r="O201" s="11">
        <f t="shared" si="94"/>
        <v>2008</v>
      </c>
      <c r="P201" s="11">
        <f t="shared" si="94"/>
        <v>2009</v>
      </c>
      <c r="Q201" s="11">
        <f t="shared" si="94"/>
        <v>2010</v>
      </c>
      <c r="R201" s="11">
        <f t="shared" si="94"/>
        <v>2011</v>
      </c>
      <c r="S201" s="11">
        <f t="shared" si="94"/>
        <v>2012</v>
      </c>
      <c r="T201" s="11">
        <f t="shared" si="94"/>
        <v>2013</v>
      </c>
      <c r="U201" s="11">
        <f t="shared" si="94"/>
        <v>2014</v>
      </c>
      <c r="V201" s="11">
        <f t="shared" si="94"/>
        <v>2015</v>
      </c>
      <c r="W201" s="11">
        <f t="shared" si="94"/>
        <v>2016</v>
      </c>
      <c r="X201" s="11">
        <f t="shared" si="94"/>
        <v>2017</v>
      </c>
      <c r="Y201" s="11">
        <f t="shared" si="94"/>
        <v>2018</v>
      </c>
      <c r="Z201" s="11">
        <f t="shared" si="94"/>
        <v>2019</v>
      </c>
      <c r="AA201" s="254"/>
      <c r="AB201" s="254"/>
      <c r="AC201" s="254"/>
      <c r="AD201" s="254"/>
      <c r="AE201" s="254"/>
      <c r="AF201" s="254"/>
      <c r="AG201" s="254"/>
      <c r="AH201" s="254"/>
      <c r="AI201" s="254"/>
      <c r="AJ201" s="254"/>
      <c r="AK201" s="254"/>
      <c r="AL201" s="254"/>
      <c r="AM201" s="254"/>
      <c r="AN201" s="254"/>
      <c r="AO201" s="254"/>
      <c r="AP201" s="254"/>
      <c r="AQ201" s="254"/>
      <c r="AR201" s="301"/>
    </row>
    <row r="202" spans="1:44" s="1" customFormat="1" ht="16.8">
      <c r="A202" s="29" t="str">
        <f>+A154</f>
        <v>Plant Ownership/Operation (Con't)</v>
      </c>
      <c r="B202" s="13"/>
      <c r="C202" s="13"/>
      <c r="D202" s="13"/>
      <c r="E202" s="43"/>
      <c r="F202" s="44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254"/>
      <c r="AB202" s="254"/>
      <c r="AC202" s="254"/>
      <c r="AD202" s="254"/>
      <c r="AE202" s="254"/>
      <c r="AF202" s="254"/>
      <c r="AG202" s="254"/>
      <c r="AH202" s="254"/>
      <c r="AI202" s="254"/>
      <c r="AJ202" s="254"/>
      <c r="AK202" s="254"/>
      <c r="AL202" s="254"/>
      <c r="AM202" s="254"/>
      <c r="AN202" s="254"/>
      <c r="AO202" s="254"/>
      <c r="AP202" s="254"/>
      <c r="AQ202" s="254"/>
      <c r="AR202" s="301"/>
    </row>
    <row r="203" spans="1:44" s="1" customFormat="1" ht="15">
      <c r="A203" s="13"/>
      <c r="B203" s="13"/>
      <c r="C203" s="13"/>
      <c r="D203" s="13"/>
      <c r="E203" s="43"/>
      <c r="F203" s="44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254"/>
      <c r="AB203" s="254"/>
      <c r="AC203" s="254"/>
      <c r="AD203" s="254"/>
      <c r="AE203" s="254"/>
      <c r="AF203" s="254"/>
      <c r="AG203" s="254"/>
      <c r="AH203" s="254"/>
      <c r="AI203" s="254"/>
      <c r="AJ203" s="254"/>
      <c r="AK203" s="254"/>
      <c r="AL203" s="254"/>
      <c r="AM203" s="254"/>
      <c r="AN203" s="254"/>
      <c r="AO203" s="254"/>
      <c r="AP203" s="254"/>
      <c r="AQ203" s="254"/>
      <c r="AR203" s="301"/>
    </row>
    <row r="204" spans="1:44" s="1" customFormat="1" ht="15">
      <c r="A204" s="16" t="s">
        <v>232</v>
      </c>
      <c r="D204" s="13"/>
      <c r="E204" s="43"/>
      <c r="F204" s="44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254"/>
      <c r="AB204" s="254"/>
      <c r="AC204" s="254"/>
      <c r="AD204" s="254"/>
      <c r="AE204" s="254"/>
      <c r="AF204" s="254"/>
      <c r="AG204" s="254"/>
      <c r="AH204" s="254"/>
      <c r="AI204" s="254"/>
      <c r="AJ204" s="254"/>
      <c r="AK204" s="254"/>
      <c r="AL204" s="254"/>
      <c r="AM204" s="254"/>
      <c r="AN204" s="254"/>
      <c r="AO204" s="254"/>
      <c r="AP204" s="254"/>
      <c r="AQ204" s="254"/>
      <c r="AR204" s="301"/>
    </row>
    <row r="205" spans="1:44" s="1" customFormat="1" ht="15.6" thickBot="1">
      <c r="A205" s="13"/>
      <c r="B205" s="13"/>
      <c r="C205" s="13"/>
      <c r="D205" s="13"/>
      <c r="E205" s="43"/>
      <c r="F205" s="44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254"/>
      <c r="AB205" s="254"/>
      <c r="AC205" s="254"/>
      <c r="AD205" s="254"/>
      <c r="AE205" s="254"/>
      <c r="AF205" s="254"/>
      <c r="AG205" s="254"/>
      <c r="AH205" s="254"/>
      <c r="AI205" s="254"/>
      <c r="AJ205" s="254"/>
      <c r="AK205" s="254"/>
      <c r="AL205" s="254"/>
      <c r="AM205" s="254"/>
      <c r="AN205" s="254"/>
      <c r="AO205" s="254"/>
      <c r="AP205" s="254"/>
      <c r="AQ205" s="254"/>
      <c r="AR205" s="301"/>
    </row>
    <row r="206" spans="1:44" s="1" customFormat="1" ht="13.8" thickBot="1">
      <c r="A206" s="13"/>
      <c r="B206" s="16" t="s">
        <v>199</v>
      </c>
      <c r="C206" s="13"/>
      <c r="F206" s="24" t="s">
        <v>215</v>
      </c>
      <c r="G206" s="318" t="s">
        <v>240</v>
      </c>
      <c r="AA206" s="254"/>
      <c r="AB206" s="254"/>
      <c r="AC206" s="254"/>
      <c r="AD206" s="254"/>
      <c r="AE206" s="254"/>
      <c r="AF206" s="254"/>
      <c r="AG206" s="254"/>
      <c r="AH206" s="254"/>
      <c r="AI206" s="254"/>
      <c r="AJ206" s="254"/>
      <c r="AK206" s="254"/>
      <c r="AL206" s="254"/>
      <c r="AM206" s="254"/>
      <c r="AN206" s="254"/>
      <c r="AO206" s="254"/>
      <c r="AP206" s="254"/>
      <c r="AQ206" s="254"/>
      <c r="AR206" s="301"/>
    </row>
    <row r="207" spans="1:44" s="1" customFormat="1">
      <c r="A207" s="13"/>
      <c r="B207" s="33" t="s">
        <v>9</v>
      </c>
      <c r="C207" s="13"/>
      <c r="H207" s="7">
        <f t="shared" ref="H207:W207" si="95">IF(+$G$206="No",+G287,0)</f>
        <v>0</v>
      </c>
      <c r="I207" s="7">
        <f t="shared" si="95"/>
        <v>0</v>
      </c>
      <c r="J207" s="7">
        <f t="shared" si="95"/>
        <v>0</v>
      </c>
      <c r="K207" s="7">
        <f t="shared" si="95"/>
        <v>0</v>
      </c>
      <c r="L207" s="7">
        <f t="shared" si="95"/>
        <v>0</v>
      </c>
      <c r="M207" s="7">
        <f t="shared" si="95"/>
        <v>0</v>
      </c>
      <c r="N207" s="7">
        <f t="shared" si="95"/>
        <v>0</v>
      </c>
      <c r="O207" s="7">
        <f t="shared" si="95"/>
        <v>0</v>
      </c>
      <c r="P207" s="7">
        <f t="shared" si="95"/>
        <v>0</v>
      </c>
      <c r="Q207" s="7">
        <f t="shared" si="95"/>
        <v>0</v>
      </c>
      <c r="R207" s="7">
        <f t="shared" si="95"/>
        <v>0</v>
      </c>
      <c r="S207" s="7">
        <f t="shared" si="95"/>
        <v>0</v>
      </c>
      <c r="T207" s="7">
        <f t="shared" si="95"/>
        <v>0</v>
      </c>
      <c r="U207" s="7">
        <f t="shared" si="95"/>
        <v>0</v>
      </c>
      <c r="V207" s="7">
        <f t="shared" si="95"/>
        <v>0</v>
      </c>
      <c r="W207" s="7">
        <f t="shared" si="95"/>
        <v>0</v>
      </c>
      <c r="X207" s="7"/>
      <c r="Y207" s="7"/>
      <c r="Z207" s="7"/>
      <c r="AA207" s="254"/>
      <c r="AB207" s="254"/>
      <c r="AC207" s="254"/>
      <c r="AD207" s="254"/>
      <c r="AE207" s="254"/>
      <c r="AF207" s="254"/>
      <c r="AG207" s="254"/>
      <c r="AH207" s="254"/>
      <c r="AI207" s="254"/>
      <c r="AJ207" s="254"/>
      <c r="AK207" s="254"/>
      <c r="AL207" s="254"/>
      <c r="AM207" s="254"/>
      <c r="AN207" s="254"/>
      <c r="AO207" s="254"/>
      <c r="AP207" s="254"/>
      <c r="AQ207" s="254"/>
      <c r="AR207" s="301"/>
    </row>
    <row r="208" spans="1:44" s="1" customFormat="1">
      <c r="A208" s="13"/>
      <c r="B208" s="33" t="s">
        <v>7</v>
      </c>
      <c r="C208" s="13"/>
      <c r="H208" s="7">
        <f t="shared" ref="H208:W208" si="96">IF(+$G$206="No",+H289,0)</f>
        <v>0</v>
      </c>
      <c r="I208" s="7">
        <f t="shared" si="96"/>
        <v>0</v>
      </c>
      <c r="J208" s="7">
        <f t="shared" si="96"/>
        <v>0</v>
      </c>
      <c r="K208" s="7">
        <f t="shared" si="96"/>
        <v>0</v>
      </c>
      <c r="L208" s="7">
        <f t="shared" si="96"/>
        <v>0</v>
      </c>
      <c r="M208" s="7">
        <f t="shared" si="96"/>
        <v>0</v>
      </c>
      <c r="N208" s="7">
        <f t="shared" si="96"/>
        <v>0</v>
      </c>
      <c r="O208" s="7">
        <f t="shared" si="96"/>
        <v>0</v>
      </c>
      <c r="P208" s="7">
        <f t="shared" si="96"/>
        <v>0</v>
      </c>
      <c r="Q208" s="7">
        <f t="shared" si="96"/>
        <v>0</v>
      </c>
      <c r="R208" s="7">
        <f t="shared" si="96"/>
        <v>0</v>
      </c>
      <c r="S208" s="7">
        <f t="shared" si="96"/>
        <v>0</v>
      </c>
      <c r="T208" s="7">
        <f t="shared" si="96"/>
        <v>0</v>
      </c>
      <c r="U208" s="7">
        <f t="shared" si="96"/>
        <v>0</v>
      </c>
      <c r="V208" s="7">
        <f t="shared" si="96"/>
        <v>0</v>
      </c>
      <c r="W208" s="7">
        <f t="shared" si="96"/>
        <v>0</v>
      </c>
      <c r="X208" s="7"/>
      <c r="Y208" s="7"/>
      <c r="Z208" s="7"/>
      <c r="AA208" s="254"/>
      <c r="AB208" s="254"/>
      <c r="AC208" s="254"/>
      <c r="AD208" s="254"/>
      <c r="AE208" s="254"/>
      <c r="AF208" s="254"/>
      <c r="AG208" s="254"/>
      <c r="AH208" s="254"/>
      <c r="AI208" s="254"/>
      <c r="AJ208" s="254"/>
      <c r="AK208" s="254"/>
      <c r="AL208" s="254"/>
      <c r="AM208" s="254"/>
      <c r="AN208" s="254"/>
      <c r="AO208" s="254"/>
      <c r="AP208" s="254"/>
      <c r="AQ208" s="254"/>
      <c r="AR208" s="301"/>
    </row>
    <row r="209" spans="1:51" s="1" customFormat="1" ht="13.8" thickBot="1">
      <c r="A209" s="13"/>
      <c r="B209" s="13" t="s">
        <v>17</v>
      </c>
      <c r="C209" s="13"/>
      <c r="H209" s="232">
        <f t="shared" ref="H209:W209" si="97">IF(+$G$206="No",+H290,0)</f>
        <v>0</v>
      </c>
      <c r="I209" s="232">
        <f t="shared" si="97"/>
        <v>0</v>
      </c>
      <c r="J209" s="232">
        <f t="shared" si="97"/>
        <v>0</v>
      </c>
      <c r="K209" s="232">
        <f t="shared" si="97"/>
        <v>0</v>
      </c>
      <c r="L209" s="232">
        <f t="shared" si="97"/>
        <v>0</v>
      </c>
      <c r="M209" s="232">
        <f t="shared" si="97"/>
        <v>0</v>
      </c>
      <c r="N209" s="232">
        <f t="shared" si="97"/>
        <v>0</v>
      </c>
      <c r="O209" s="232">
        <f t="shared" si="97"/>
        <v>0</v>
      </c>
      <c r="P209" s="232">
        <f t="shared" si="97"/>
        <v>0</v>
      </c>
      <c r="Q209" s="232">
        <f t="shared" si="97"/>
        <v>0</v>
      </c>
      <c r="R209" s="232">
        <f t="shared" si="97"/>
        <v>0</v>
      </c>
      <c r="S209" s="232">
        <f t="shared" si="97"/>
        <v>0</v>
      </c>
      <c r="T209" s="232">
        <f t="shared" si="97"/>
        <v>0</v>
      </c>
      <c r="U209" s="232">
        <f t="shared" si="97"/>
        <v>0</v>
      </c>
      <c r="V209" s="232">
        <f t="shared" si="97"/>
        <v>0</v>
      </c>
      <c r="W209" s="232">
        <f t="shared" si="97"/>
        <v>0</v>
      </c>
      <c r="X209" s="7"/>
      <c r="Y209" s="7"/>
      <c r="Z209" s="7"/>
      <c r="AA209" s="254"/>
      <c r="AB209" s="254"/>
      <c r="AC209" s="254"/>
      <c r="AD209" s="254"/>
      <c r="AE209" s="254"/>
      <c r="AF209" s="254"/>
      <c r="AG209" s="254"/>
      <c r="AH209" s="254"/>
      <c r="AI209" s="254"/>
      <c r="AJ209" s="254"/>
      <c r="AK209" s="254"/>
      <c r="AL209" s="254"/>
      <c r="AM209" s="254"/>
      <c r="AN209" s="254"/>
      <c r="AO209" s="254"/>
      <c r="AP209" s="254"/>
      <c r="AQ209" s="254"/>
      <c r="AR209" s="301"/>
    </row>
    <row r="210" spans="1:51" s="1" customFormat="1">
      <c r="A210" s="13"/>
      <c r="B210" s="13" t="s">
        <v>10</v>
      </c>
      <c r="C210" s="13"/>
      <c r="H210" s="22">
        <f>+H207-H209</f>
        <v>0</v>
      </c>
      <c r="I210" s="22">
        <f>+I207-I209</f>
        <v>0</v>
      </c>
      <c r="J210" s="22">
        <f t="shared" ref="J210:W210" si="98">+J207-J209</f>
        <v>0</v>
      </c>
      <c r="K210" s="22">
        <f t="shared" si="98"/>
        <v>0</v>
      </c>
      <c r="L210" s="22">
        <f t="shared" si="98"/>
        <v>0</v>
      </c>
      <c r="M210" s="22">
        <f t="shared" si="98"/>
        <v>0</v>
      </c>
      <c r="N210" s="22">
        <f t="shared" si="98"/>
        <v>0</v>
      </c>
      <c r="O210" s="22">
        <f t="shared" si="98"/>
        <v>0</v>
      </c>
      <c r="P210" s="22">
        <f t="shared" si="98"/>
        <v>0</v>
      </c>
      <c r="Q210" s="22">
        <f t="shared" si="98"/>
        <v>0</v>
      </c>
      <c r="R210" s="22">
        <f t="shared" si="98"/>
        <v>0</v>
      </c>
      <c r="S210" s="22">
        <f t="shared" si="98"/>
        <v>0</v>
      </c>
      <c r="T210" s="22">
        <f t="shared" si="98"/>
        <v>0</v>
      </c>
      <c r="U210" s="22">
        <f t="shared" si="98"/>
        <v>0</v>
      </c>
      <c r="V210" s="22">
        <f t="shared" si="98"/>
        <v>0</v>
      </c>
      <c r="W210" s="22">
        <f t="shared" si="98"/>
        <v>0</v>
      </c>
      <c r="X210" s="22"/>
      <c r="Y210" s="22"/>
      <c r="Z210" s="22"/>
      <c r="AA210" s="254"/>
      <c r="AB210" s="254"/>
      <c r="AC210" s="254"/>
      <c r="AD210" s="254"/>
      <c r="AE210" s="254"/>
      <c r="AF210" s="254"/>
      <c r="AG210" s="254"/>
      <c r="AH210" s="254"/>
      <c r="AI210" s="254"/>
      <c r="AJ210" s="254"/>
      <c r="AK210" s="254"/>
      <c r="AL210" s="254"/>
      <c r="AM210" s="254"/>
      <c r="AN210" s="254"/>
      <c r="AO210" s="254"/>
      <c r="AP210" s="254"/>
      <c r="AQ210" s="254"/>
      <c r="AR210" s="301"/>
    </row>
    <row r="211" spans="1:51" s="1" customFormat="1" ht="13.8" thickBot="1">
      <c r="A211" s="13"/>
      <c r="B211" s="13"/>
      <c r="C211" s="13"/>
      <c r="H211" s="7"/>
      <c r="AA211" s="254"/>
      <c r="AB211" s="254"/>
      <c r="AC211" s="254"/>
      <c r="AD211" s="254"/>
      <c r="AE211" s="254"/>
      <c r="AF211" s="254"/>
      <c r="AG211" s="254"/>
      <c r="AH211" s="254"/>
      <c r="AI211" s="254"/>
      <c r="AJ211" s="254"/>
      <c r="AK211" s="254"/>
      <c r="AL211" s="254"/>
      <c r="AM211" s="254"/>
      <c r="AN211" s="254"/>
      <c r="AO211" s="254"/>
      <c r="AP211" s="254"/>
      <c r="AQ211" s="254"/>
      <c r="AR211" s="301"/>
    </row>
    <row r="212" spans="1:51" s="1" customFormat="1" ht="13.8" thickBot="1">
      <c r="A212" s="13"/>
      <c r="B212" s="16" t="s">
        <v>222</v>
      </c>
      <c r="C212" s="16"/>
      <c r="E212" s="17"/>
      <c r="F212" s="320" t="s">
        <v>213</v>
      </c>
      <c r="G212" s="321">
        <v>25</v>
      </c>
      <c r="H212" s="28">
        <f>IF(+H$13&lt;=+$G212,-PMT(G214,G212,H213),0)</f>
        <v>22034.029756495547</v>
      </c>
      <c r="I212" s="28">
        <f>IF(+I$13&lt;=+$G212,+H212,0)</f>
        <v>22034.029756495547</v>
      </c>
      <c r="J212" s="28">
        <f t="shared" ref="J212:AF212" si="99">IF(+J$13&lt;=+$G212,+I212,0)</f>
        <v>22034.029756495547</v>
      </c>
      <c r="K212" s="28">
        <f t="shared" si="99"/>
        <v>22034.029756495547</v>
      </c>
      <c r="L212" s="28">
        <f t="shared" si="99"/>
        <v>22034.029756495547</v>
      </c>
      <c r="M212" s="28">
        <f t="shared" si="99"/>
        <v>22034.029756495547</v>
      </c>
      <c r="N212" s="28">
        <f t="shared" si="99"/>
        <v>22034.029756495547</v>
      </c>
      <c r="O212" s="28">
        <f t="shared" si="99"/>
        <v>22034.029756495547</v>
      </c>
      <c r="P212" s="28">
        <f t="shared" si="99"/>
        <v>22034.029756495547</v>
      </c>
      <c r="Q212" s="28">
        <f t="shared" si="99"/>
        <v>22034.029756495547</v>
      </c>
      <c r="R212" s="28">
        <f t="shared" si="99"/>
        <v>22034.029756495547</v>
      </c>
      <c r="S212" s="28">
        <f t="shared" si="99"/>
        <v>22034.029756495547</v>
      </c>
      <c r="T212" s="28">
        <f t="shared" si="99"/>
        <v>22034.029756495547</v>
      </c>
      <c r="U212" s="28">
        <f t="shared" si="99"/>
        <v>22034.029756495547</v>
      </c>
      <c r="V212" s="28">
        <f t="shared" si="99"/>
        <v>22034.029756495547</v>
      </c>
      <c r="W212" s="28">
        <f t="shared" si="99"/>
        <v>22034.029756495547</v>
      </c>
      <c r="X212" s="28">
        <f t="shared" si="99"/>
        <v>22034.029756495547</v>
      </c>
      <c r="Y212" s="28">
        <f t="shared" si="99"/>
        <v>22034.029756495547</v>
      </c>
      <c r="Z212" s="28">
        <f t="shared" si="99"/>
        <v>22034.029756495547</v>
      </c>
      <c r="AA212" s="265">
        <f t="shared" si="99"/>
        <v>22034.029756495547</v>
      </c>
      <c r="AB212" s="265">
        <f t="shared" si="99"/>
        <v>22034.029756495547</v>
      </c>
      <c r="AC212" s="265">
        <f t="shared" si="99"/>
        <v>22034.029756495547</v>
      </c>
      <c r="AD212" s="265">
        <f t="shared" si="99"/>
        <v>22034.029756495547</v>
      </c>
      <c r="AE212" s="265">
        <f t="shared" si="99"/>
        <v>22034.029756495547</v>
      </c>
      <c r="AF212" s="265">
        <f t="shared" si="99"/>
        <v>22034.029756495547</v>
      </c>
      <c r="AG212" s="265">
        <f t="shared" ref="AG212:AQ212" si="100">IF(+AG$13&lt;=+$G212,+AF212,0)</f>
        <v>0</v>
      </c>
      <c r="AH212" s="265">
        <f t="shared" si="100"/>
        <v>0</v>
      </c>
      <c r="AI212" s="265">
        <f t="shared" si="100"/>
        <v>0</v>
      </c>
      <c r="AJ212" s="265">
        <f t="shared" si="100"/>
        <v>0</v>
      </c>
      <c r="AK212" s="265">
        <f t="shared" si="100"/>
        <v>0</v>
      </c>
      <c r="AL212" s="265">
        <f t="shared" si="100"/>
        <v>0</v>
      </c>
      <c r="AM212" s="265">
        <f t="shared" si="100"/>
        <v>0</v>
      </c>
      <c r="AN212" s="265">
        <f t="shared" si="100"/>
        <v>0</v>
      </c>
      <c r="AO212" s="265">
        <f t="shared" si="100"/>
        <v>0</v>
      </c>
      <c r="AP212" s="265">
        <f t="shared" si="100"/>
        <v>0</v>
      </c>
      <c r="AQ212" s="265">
        <f t="shared" si="100"/>
        <v>0</v>
      </c>
      <c r="AR212" s="301"/>
    </row>
    <row r="213" spans="1:51" s="1" customFormat="1" ht="13.8" thickBot="1">
      <c r="B213" s="13" t="s">
        <v>9</v>
      </c>
      <c r="E213" s="17"/>
      <c r="F213" s="17"/>
      <c r="G213" s="17"/>
      <c r="H213" s="22">
        <f>IF(+G206="Yes",+G101+G99,G99)</f>
        <v>275100</v>
      </c>
      <c r="I213" s="22">
        <f>+H216</f>
        <v>270259.72024350445</v>
      </c>
      <c r="J213" s="22">
        <f t="shared" ref="J213:AA213" si="101">+I216</f>
        <v>265116.92300222791</v>
      </c>
      <c r="K213" s="22">
        <f t="shared" si="101"/>
        <v>259652.70093337161</v>
      </c>
      <c r="L213" s="22">
        <f t="shared" si="101"/>
        <v>253846.96498521179</v>
      </c>
      <c r="M213" s="22">
        <f t="shared" si="101"/>
        <v>247678.37054029197</v>
      </c>
      <c r="N213" s="22">
        <f t="shared" si="101"/>
        <v>241124.23894256467</v>
      </c>
      <c r="O213" s="22">
        <f t="shared" si="101"/>
        <v>234160.47411997942</v>
      </c>
      <c r="P213" s="22">
        <f t="shared" si="101"/>
        <v>226761.47399598258</v>
      </c>
      <c r="Q213" s="22">
        <f t="shared" si="101"/>
        <v>218900.03636423594</v>
      </c>
      <c r="R213" s="22">
        <f t="shared" si="101"/>
        <v>210547.25888050513</v>
      </c>
      <c r="S213" s="22">
        <f t="shared" si="101"/>
        <v>201672.43280404116</v>
      </c>
      <c r="T213" s="22">
        <f t="shared" si="101"/>
        <v>192242.93009779818</v>
      </c>
      <c r="U213" s="22">
        <f t="shared" si="101"/>
        <v>182224.08347241502</v>
      </c>
      <c r="V213" s="22">
        <f t="shared" si="101"/>
        <v>171579.05893294542</v>
      </c>
      <c r="W213" s="22">
        <f t="shared" si="101"/>
        <v>160268.72035975897</v>
      </c>
      <c r="X213" s="22">
        <f t="shared" si="101"/>
        <v>148251.48562574835</v>
      </c>
      <c r="Y213" s="22">
        <f t="shared" si="101"/>
        <v>135483.17372086208</v>
      </c>
      <c r="Z213" s="22">
        <f t="shared" si="101"/>
        <v>121916.84232192041</v>
      </c>
      <c r="AA213" s="262">
        <f t="shared" si="101"/>
        <v>107502.61521054489</v>
      </c>
      <c r="AB213" s="262">
        <f>+AA216</f>
        <v>92187.498904708395</v>
      </c>
      <c r="AC213" s="262">
        <f>+AB216</f>
        <v>75915.187829757124</v>
      </c>
      <c r="AD213" s="262">
        <f>+AC216</f>
        <v>58625.857312621396</v>
      </c>
      <c r="AE213" s="262">
        <f>+AD216</f>
        <v>40255.943638164681</v>
      </c>
      <c r="AF213" s="262">
        <f>+AE216</f>
        <v>20737.910359054425</v>
      </c>
      <c r="AG213" s="262">
        <f t="shared" ref="AG213:AQ213" si="102">+AF216</f>
        <v>-2.1827872842550278E-10</v>
      </c>
      <c r="AH213" s="262">
        <f t="shared" si="102"/>
        <v>-2.319211489520967E-10</v>
      </c>
      <c r="AI213" s="262">
        <f t="shared" si="102"/>
        <v>-2.4641622076160274E-10</v>
      </c>
      <c r="AJ213" s="262">
        <f t="shared" si="102"/>
        <v>-2.6181723455920292E-10</v>
      </c>
      <c r="AK213" s="262">
        <f t="shared" si="102"/>
        <v>-2.781808117191531E-10</v>
      </c>
      <c r="AL213" s="262">
        <f t="shared" si="102"/>
        <v>-2.9556711245160017E-10</v>
      </c>
      <c r="AM213" s="262">
        <f t="shared" si="102"/>
        <v>-3.1404005697982518E-10</v>
      </c>
      <c r="AN213" s="262">
        <f t="shared" si="102"/>
        <v>-3.3366756054106425E-10</v>
      </c>
      <c r="AO213" s="262">
        <f t="shared" si="102"/>
        <v>-3.5452178307488077E-10</v>
      </c>
      <c r="AP213" s="262">
        <f t="shared" si="102"/>
        <v>-3.7667939451706081E-10</v>
      </c>
      <c r="AQ213" s="262">
        <f t="shared" si="102"/>
        <v>-4.0022185667437712E-10</v>
      </c>
      <c r="AR213" s="304"/>
      <c r="AS213" s="22"/>
      <c r="AT213" s="22"/>
      <c r="AU213" s="22"/>
      <c r="AV213" s="22"/>
      <c r="AW213" s="22"/>
      <c r="AX213" s="22"/>
      <c r="AY213" s="22"/>
    </row>
    <row r="214" spans="1:51" s="1" customFormat="1" ht="13.8" thickBot="1">
      <c r="B214" s="13" t="s">
        <v>7</v>
      </c>
      <c r="F214" s="24" t="s">
        <v>121</v>
      </c>
      <c r="G214" s="324">
        <f>+E14</f>
        <v>6.25E-2</v>
      </c>
      <c r="H214" s="22">
        <f t="shared" ref="H214:AA214" si="103">+H213*$G$214</f>
        <v>17193.75</v>
      </c>
      <c r="I214" s="22">
        <f t="shared" si="103"/>
        <v>16891.232515219028</v>
      </c>
      <c r="J214" s="22">
        <f t="shared" si="103"/>
        <v>16569.807687639244</v>
      </c>
      <c r="K214" s="22">
        <f t="shared" si="103"/>
        <v>16228.293808335726</v>
      </c>
      <c r="L214" s="22">
        <f t="shared" si="103"/>
        <v>15865.435311575737</v>
      </c>
      <c r="M214" s="22">
        <f t="shared" si="103"/>
        <v>15479.898158768248</v>
      </c>
      <c r="N214" s="22">
        <f t="shared" si="103"/>
        <v>15070.264933910292</v>
      </c>
      <c r="O214" s="22">
        <f t="shared" si="103"/>
        <v>14635.029632498714</v>
      </c>
      <c r="P214" s="22">
        <f t="shared" si="103"/>
        <v>14172.592124748911</v>
      </c>
      <c r="Q214" s="22">
        <f t="shared" si="103"/>
        <v>13681.252272764747</v>
      </c>
      <c r="R214" s="22">
        <f t="shared" si="103"/>
        <v>13159.203680031571</v>
      </c>
      <c r="S214" s="22">
        <f t="shared" si="103"/>
        <v>12604.527050252573</v>
      </c>
      <c r="T214" s="22">
        <f t="shared" si="103"/>
        <v>12015.183131112386</v>
      </c>
      <c r="U214" s="22">
        <f t="shared" si="103"/>
        <v>11389.005217025939</v>
      </c>
      <c r="V214" s="22">
        <f t="shared" si="103"/>
        <v>10723.691183309089</v>
      </c>
      <c r="W214" s="22">
        <f t="shared" si="103"/>
        <v>10016.795022484936</v>
      </c>
      <c r="X214" s="22">
        <f t="shared" si="103"/>
        <v>9265.7178516092717</v>
      </c>
      <c r="Y214" s="22">
        <f t="shared" si="103"/>
        <v>8467.6983575538798</v>
      </c>
      <c r="Z214" s="22">
        <f t="shared" si="103"/>
        <v>7619.8026451200258</v>
      </c>
      <c r="AA214" s="262">
        <f t="shared" si="103"/>
        <v>6718.9134506590553</v>
      </c>
      <c r="AB214" s="262">
        <f>+AB213*$G$214</f>
        <v>5761.7186815442747</v>
      </c>
      <c r="AC214" s="262">
        <f>+AC213*$G$214</f>
        <v>4744.6992393598202</v>
      </c>
      <c r="AD214" s="262">
        <f>+AD213*$G$214</f>
        <v>3664.1160820388372</v>
      </c>
      <c r="AE214" s="262">
        <f>+AE213*$G$214</f>
        <v>2515.9964773852926</v>
      </c>
      <c r="AF214" s="262">
        <f>+AF213*$G$214</f>
        <v>1296.1193974409016</v>
      </c>
      <c r="AG214" s="262">
        <f t="shared" ref="AG214:AQ214" si="104">+AG213*$G$214</f>
        <v>-1.3642420526593924E-11</v>
      </c>
      <c r="AH214" s="262">
        <f t="shared" si="104"/>
        <v>-1.4495071809506044E-11</v>
      </c>
      <c r="AI214" s="262">
        <f t="shared" si="104"/>
        <v>-1.5401013797600172E-11</v>
      </c>
      <c r="AJ214" s="262">
        <f t="shared" si="104"/>
        <v>-1.6363577159950182E-11</v>
      </c>
      <c r="AK214" s="262">
        <f t="shared" si="104"/>
        <v>-1.7386300732447069E-11</v>
      </c>
      <c r="AL214" s="262">
        <f t="shared" si="104"/>
        <v>-1.847294452822501E-11</v>
      </c>
      <c r="AM214" s="262">
        <f t="shared" si="104"/>
        <v>-1.9627503561239074E-11</v>
      </c>
      <c r="AN214" s="262">
        <f t="shared" si="104"/>
        <v>-2.0854222533816516E-11</v>
      </c>
      <c r="AO214" s="262">
        <f t="shared" si="104"/>
        <v>-2.2157611442180048E-11</v>
      </c>
      <c r="AP214" s="262">
        <f t="shared" si="104"/>
        <v>-2.3542462157316301E-11</v>
      </c>
      <c r="AQ214" s="262">
        <f t="shared" si="104"/>
        <v>-2.501386604214857E-11</v>
      </c>
      <c r="AR214" s="304"/>
      <c r="AS214" s="22"/>
      <c r="AT214" s="22"/>
      <c r="AU214" s="22"/>
      <c r="AV214" s="22"/>
      <c r="AW214" s="22"/>
      <c r="AX214" s="22"/>
      <c r="AY214" s="22"/>
    </row>
    <row r="215" spans="1:51" s="1" customFormat="1" ht="13.8" thickBot="1">
      <c r="B215" s="13" t="s">
        <v>17</v>
      </c>
      <c r="G215" s="315"/>
      <c r="H215" s="27">
        <f t="shared" ref="H215:AA215" si="105">(H212-H214)</f>
        <v>4840.2797564955472</v>
      </c>
      <c r="I215" s="27">
        <f t="shared" si="105"/>
        <v>5142.7972412765193</v>
      </c>
      <c r="J215" s="27">
        <f t="shared" si="105"/>
        <v>5464.2220688563029</v>
      </c>
      <c r="K215" s="27">
        <f t="shared" si="105"/>
        <v>5805.7359481598214</v>
      </c>
      <c r="L215" s="27">
        <f t="shared" si="105"/>
        <v>6168.5944449198105</v>
      </c>
      <c r="M215" s="27">
        <f t="shared" si="105"/>
        <v>6554.1315977272989</v>
      </c>
      <c r="N215" s="27">
        <f t="shared" si="105"/>
        <v>6963.7648225852554</v>
      </c>
      <c r="O215" s="27">
        <f t="shared" si="105"/>
        <v>7399.0001239968333</v>
      </c>
      <c r="P215" s="27">
        <f t="shared" si="105"/>
        <v>7861.4376317466358</v>
      </c>
      <c r="Q215" s="27">
        <f t="shared" si="105"/>
        <v>8352.7774837308007</v>
      </c>
      <c r="R215" s="27">
        <f t="shared" si="105"/>
        <v>8874.8260764639763</v>
      </c>
      <c r="S215" s="27">
        <f t="shared" si="105"/>
        <v>9429.5027062429745</v>
      </c>
      <c r="T215" s="27">
        <f t="shared" si="105"/>
        <v>10018.846625383161</v>
      </c>
      <c r="U215" s="27">
        <f t="shared" si="105"/>
        <v>10645.024539469608</v>
      </c>
      <c r="V215" s="27">
        <f t="shared" si="105"/>
        <v>11310.338573186458</v>
      </c>
      <c r="W215" s="27">
        <f t="shared" si="105"/>
        <v>12017.234734010612</v>
      </c>
      <c r="X215" s="27">
        <f t="shared" si="105"/>
        <v>12768.311904886275</v>
      </c>
      <c r="Y215" s="27">
        <f t="shared" si="105"/>
        <v>13566.331398941667</v>
      </c>
      <c r="Z215" s="27">
        <f t="shared" si="105"/>
        <v>14414.227111375521</v>
      </c>
      <c r="AA215" s="319">
        <f t="shared" si="105"/>
        <v>15315.116305836491</v>
      </c>
      <c r="AB215" s="319">
        <f>(AB212-AB214)</f>
        <v>16272.311074951273</v>
      </c>
      <c r="AC215" s="319">
        <f>(AC212-AC214)</f>
        <v>17289.330517135728</v>
      </c>
      <c r="AD215" s="319">
        <f>(AD212-AD214)</f>
        <v>18369.913674456711</v>
      </c>
      <c r="AE215" s="319">
        <f>(AE212-AE214)</f>
        <v>19518.033279110256</v>
      </c>
      <c r="AF215" s="319">
        <f>(AF212-AF214)</f>
        <v>20737.910359054644</v>
      </c>
      <c r="AG215" s="319">
        <f t="shared" ref="AG215:AQ215" si="106">(AG212-AG214)</f>
        <v>1.3642420526593924E-11</v>
      </c>
      <c r="AH215" s="319">
        <f t="shared" si="106"/>
        <v>1.4495071809506044E-11</v>
      </c>
      <c r="AI215" s="319">
        <f t="shared" si="106"/>
        <v>1.5401013797600172E-11</v>
      </c>
      <c r="AJ215" s="319">
        <f t="shared" si="106"/>
        <v>1.6363577159950182E-11</v>
      </c>
      <c r="AK215" s="319">
        <f t="shared" si="106"/>
        <v>1.7386300732447069E-11</v>
      </c>
      <c r="AL215" s="319">
        <f t="shared" si="106"/>
        <v>1.847294452822501E-11</v>
      </c>
      <c r="AM215" s="319">
        <f t="shared" si="106"/>
        <v>1.9627503561239074E-11</v>
      </c>
      <c r="AN215" s="319">
        <f t="shared" si="106"/>
        <v>2.0854222533816516E-11</v>
      </c>
      <c r="AO215" s="319">
        <f t="shared" si="106"/>
        <v>2.2157611442180048E-11</v>
      </c>
      <c r="AP215" s="319">
        <f t="shared" si="106"/>
        <v>2.3542462157316301E-11</v>
      </c>
      <c r="AQ215" s="319">
        <f t="shared" si="106"/>
        <v>2.501386604214857E-11</v>
      </c>
      <c r="AR215" s="304"/>
      <c r="AS215" s="22"/>
      <c r="AT215" s="22"/>
      <c r="AU215" s="22"/>
      <c r="AV215" s="22"/>
      <c r="AW215" s="22"/>
      <c r="AX215" s="22"/>
      <c r="AY215" s="22"/>
    </row>
    <row r="216" spans="1:51" s="1" customFormat="1">
      <c r="B216" s="13" t="s">
        <v>10</v>
      </c>
      <c r="F216" s="226"/>
      <c r="G216" s="315"/>
      <c r="H216" s="22">
        <f>+H213-H215</f>
        <v>270259.72024350445</v>
      </c>
      <c r="I216" s="22">
        <f>+I213-I215</f>
        <v>265116.92300222791</v>
      </c>
      <c r="J216" s="22">
        <f t="shared" ref="J216:Y216" si="107">+J213-J215</f>
        <v>259652.70093337161</v>
      </c>
      <c r="K216" s="22">
        <f t="shared" si="107"/>
        <v>253846.96498521179</v>
      </c>
      <c r="L216" s="22">
        <f t="shared" si="107"/>
        <v>247678.37054029197</v>
      </c>
      <c r="M216" s="22">
        <f t="shared" si="107"/>
        <v>241124.23894256467</v>
      </c>
      <c r="N216" s="22">
        <f t="shared" si="107"/>
        <v>234160.47411997942</v>
      </c>
      <c r="O216" s="22">
        <f t="shared" si="107"/>
        <v>226761.47399598258</v>
      </c>
      <c r="P216" s="22">
        <f t="shared" si="107"/>
        <v>218900.03636423594</v>
      </c>
      <c r="Q216" s="22">
        <f t="shared" si="107"/>
        <v>210547.25888050513</v>
      </c>
      <c r="R216" s="22">
        <f t="shared" si="107"/>
        <v>201672.43280404116</v>
      </c>
      <c r="S216" s="22">
        <f t="shared" si="107"/>
        <v>192242.93009779818</v>
      </c>
      <c r="T216" s="22">
        <f t="shared" si="107"/>
        <v>182224.08347241502</v>
      </c>
      <c r="U216" s="22">
        <f t="shared" si="107"/>
        <v>171579.05893294542</v>
      </c>
      <c r="V216" s="22">
        <f t="shared" si="107"/>
        <v>160268.72035975897</v>
      </c>
      <c r="W216" s="22">
        <f t="shared" si="107"/>
        <v>148251.48562574835</v>
      </c>
      <c r="X216" s="22">
        <f t="shared" si="107"/>
        <v>135483.17372086208</v>
      </c>
      <c r="Y216" s="22">
        <f t="shared" si="107"/>
        <v>121916.84232192041</v>
      </c>
      <c r="Z216" s="22">
        <f t="shared" ref="Z216:AF216" si="108">+Z213-Z215</f>
        <v>107502.61521054489</v>
      </c>
      <c r="AA216" s="262">
        <f t="shared" si="108"/>
        <v>92187.498904708395</v>
      </c>
      <c r="AB216" s="262">
        <f t="shared" si="108"/>
        <v>75915.187829757124</v>
      </c>
      <c r="AC216" s="262">
        <f t="shared" si="108"/>
        <v>58625.857312621396</v>
      </c>
      <c r="AD216" s="262">
        <f t="shared" si="108"/>
        <v>40255.943638164681</v>
      </c>
      <c r="AE216" s="262">
        <f t="shared" si="108"/>
        <v>20737.910359054425</v>
      </c>
      <c r="AF216" s="262">
        <f t="shared" si="108"/>
        <v>-2.1827872842550278E-10</v>
      </c>
      <c r="AG216" s="262">
        <f t="shared" ref="AG216:AQ216" si="109">+AG213-AG215</f>
        <v>-2.319211489520967E-10</v>
      </c>
      <c r="AH216" s="262">
        <f t="shared" si="109"/>
        <v>-2.4641622076160274E-10</v>
      </c>
      <c r="AI216" s="262">
        <f t="shared" si="109"/>
        <v>-2.6181723455920292E-10</v>
      </c>
      <c r="AJ216" s="262">
        <f t="shared" si="109"/>
        <v>-2.781808117191531E-10</v>
      </c>
      <c r="AK216" s="262">
        <f t="shared" si="109"/>
        <v>-2.9556711245160017E-10</v>
      </c>
      <c r="AL216" s="262">
        <f t="shared" si="109"/>
        <v>-3.1404005697982518E-10</v>
      </c>
      <c r="AM216" s="262">
        <f t="shared" si="109"/>
        <v>-3.3366756054106425E-10</v>
      </c>
      <c r="AN216" s="262">
        <f t="shared" si="109"/>
        <v>-3.5452178307488077E-10</v>
      </c>
      <c r="AO216" s="262">
        <f t="shared" si="109"/>
        <v>-3.7667939451706081E-10</v>
      </c>
      <c r="AP216" s="262">
        <f t="shared" si="109"/>
        <v>-4.0022185667437712E-10</v>
      </c>
      <c r="AQ216" s="262">
        <f t="shared" si="109"/>
        <v>-4.2523572271652569E-10</v>
      </c>
      <c r="AR216" s="304"/>
      <c r="AS216" s="22"/>
      <c r="AT216" s="22"/>
      <c r="AU216" s="22"/>
      <c r="AV216" s="22"/>
      <c r="AW216" s="22"/>
      <c r="AX216" s="22"/>
      <c r="AY216" s="22"/>
    </row>
    <row r="217" spans="1:51" s="1" customFormat="1" ht="13.8" thickBot="1">
      <c r="C217" s="13"/>
      <c r="AA217" s="254"/>
      <c r="AB217" s="254"/>
      <c r="AC217" s="254"/>
      <c r="AD217" s="254"/>
      <c r="AE217" s="254"/>
      <c r="AF217" s="254"/>
      <c r="AG217" s="254"/>
      <c r="AH217" s="254"/>
      <c r="AI217" s="254"/>
      <c r="AJ217" s="254"/>
      <c r="AK217" s="254"/>
      <c r="AL217" s="254"/>
      <c r="AM217" s="254"/>
      <c r="AN217" s="254"/>
      <c r="AO217" s="254"/>
      <c r="AP217" s="254"/>
      <c r="AQ217" s="254"/>
      <c r="AR217" s="301"/>
    </row>
    <row r="218" spans="1:51" s="1" customFormat="1" ht="13.8" thickBot="1">
      <c r="B218" s="16" t="s">
        <v>223</v>
      </c>
      <c r="C218" s="16"/>
      <c r="E218" s="17"/>
      <c r="F218" s="320" t="s">
        <v>213</v>
      </c>
      <c r="G218" s="321">
        <v>13</v>
      </c>
      <c r="H218" s="28">
        <f>IF(+H$13&lt;=+$G218,-PMT(G220,G218,H219),0)</f>
        <v>17363.652763298251</v>
      </c>
      <c r="I218" s="28">
        <f>IF(+I$13&lt;=+$G218,+H218,0)</f>
        <v>17363.652763298251</v>
      </c>
      <c r="J218" s="28">
        <f t="shared" ref="J218:AQ218" si="110">IF(+J13&lt;=+$G$218,+I218,0)</f>
        <v>17363.652763298251</v>
      </c>
      <c r="K218" s="28">
        <f t="shared" si="110"/>
        <v>17363.652763298251</v>
      </c>
      <c r="L218" s="28">
        <f t="shared" si="110"/>
        <v>17363.652763298251</v>
      </c>
      <c r="M218" s="28">
        <f t="shared" si="110"/>
        <v>17363.652763298251</v>
      </c>
      <c r="N218" s="28">
        <f t="shared" si="110"/>
        <v>17363.652763298251</v>
      </c>
      <c r="O218" s="28">
        <f t="shared" si="110"/>
        <v>17363.652763298251</v>
      </c>
      <c r="P218" s="28">
        <f t="shared" si="110"/>
        <v>17363.652763298251</v>
      </c>
      <c r="Q218" s="28">
        <f t="shared" si="110"/>
        <v>17363.652763298251</v>
      </c>
      <c r="R218" s="28">
        <f t="shared" si="110"/>
        <v>17363.652763298251</v>
      </c>
      <c r="S218" s="28">
        <f t="shared" si="110"/>
        <v>17363.652763298251</v>
      </c>
      <c r="T218" s="28">
        <f t="shared" si="110"/>
        <v>17363.652763298251</v>
      </c>
      <c r="U218" s="28">
        <f t="shared" si="110"/>
        <v>0</v>
      </c>
      <c r="V218" s="28">
        <f t="shared" si="110"/>
        <v>0</v>
      </c>
      <c r="W218" s="28">
        <f t="shared" si="110"/>
        <v>0</v>
      </c>
      <c r="X218" s="28">
        <f t="shared" si="110"/>
        <v>0</v>
      </c>
      <c r="Y218" s="28">
        <f t="shared" si="110"/>
        <v>0</v>
      </c>
      <c r="Z218" s="28">
        <f t="shared" si="110"/>
        <v>0</v>
      </c>
      <c r="AA218" s="272">
        <f t="shared" si="110"/>
        <v>0</v>
      </c>
      <c r="AB218" s="272">
        <f t="shared" si="110"/>
        <v>0</v>
      </c>
      <c r="AC218" s="272">
        <f t="shared" si="110"/>
        <v>0</v>
      </c>
      <c r="AD218" s="272">
        <f t="shared" si="110"/>
        <v>0</v>
      </c>
      <c r="AE218" s="272">
        <f t="shared" si="110"/>
        <v>0</v>
      </c>
      <c r="AF218" s="272">
        <f t="shared" si="110"/>
        <v>0</v>
      </c>
      <c r="AG218" s="272">
        <f t="shared" si="110"/>
        <v>0</v>
      </c>
      <c r="AH218" s="272">
        <f t="shared" si="110"/>
        <v>0</v>
      </c>
      <c r="AI218" s="272">
        <f t="shared" si="110"/>
        <v>0</v>
      </c>
      <c r="AJ218" s="272">
        <f t="shared" si="110"/>
        <v>0</v>
      </c>
      <c r="AK218" s="272">
        <f t="shared" si="110"/>
        <v>0</v>
      </c>
      <c r="AL218" s="272">
        <f t="shared" si="110"/>
        <v>0</v>
      </c>
      <c r="AM218" s="272">
        <f t="shared" si="110"/>
        <v>0</v>
      </c>
      <c r="AN218" s="272">
        <f t="shared" si="110"/>
        <v>0</v>
      </c>
      <c r="AO218" s="272">
        <f t="shared" si="110"/>
        <v>0</v>
      </c>
      <c r="AP218" s="272">
        <f t="shared" si="110"/>
        <v>0</v>
      </c>
      <c r="AQ218" s="272">
        <f t="shared" si="110"/>
        <v>0</v>
      </c>
      <c r="AR218" s="301"/>
    </row>
    <row r="219" spans="1:51" s="1" customFormat="1" ht="13.8" thickBot="1">
      <c r="B219" s="13" t="s">
        <v>9</v>
      </c>
      <c r="E219" s="17"/>
      <c r="F219" s="17"/>
      <c r="G219" s="17"/>
      <c r="H219" s="22">
        <f>+G100</f>
        <v>130000</v>
      </c>
      <c r="I219" s="22">
        <f t="shared" ref="I219:T219" si="111">+H222</f>
        <v>124336.34723670175</v>
      </c>
      <c r="J219" s="22">
        <f t="shared" si="111"/>
        <v>118162.96572470666</v>
      </c>
      <c r="K219" s="22">
        <f t="shared" si="111"/>
        <v>111433.97987663202</v>
      </c>
      <c r="L219" s="22">
        <f t="shared" si="111"/>
        <v>104099.38530223064</v>
      </c>
      <c r="M219" s="22">
        <f t="shared" si="111"/>
        <v>96104.677216133146</v>
      </c>
      <c r="N219" s="22">
        <f t="shared" si="111"/>
        <v>87390.445402286874</v>
      </c>
      <c r="O219" s="22">
        <f t="shared" si="111"/>
        <v>77891.932725194434</v>
      </c>
      <c r="P219" s="22">
        <f t="shared" si="111"/>
        <v>67538.553907163674</v>
      </c>
      <c r="Q219" s="22">
        <f t="shared" si="111"/>
        <v>56253.370995510151</v>
      </c>
      <c r="R219" s="22">
        <f t="shared" si="111"/>
        <v>43952.521621807813</v>
      </c>
      <c r="S219" s="22">
        <f t="shared" si="111"/>
        <v>30544.595804472265</v>
      </c>
      <c r="T219" s="22">
        <f t="shared" si="111"/>
        <v>15929.956663576519</v>
      </c>
      <c r="U219" s="22">
        <f t="shared" ref="U219:Z219" si="112">+T222</f>
        <v>1.546140993013978E-10</v>
      </c>
      <c r="V219" s="22">
        <f t="shared" si="112"/>
        <v>1.6852936823852361E-10</v>
      </c>
      <c r="W219" s="22">
        <f t="shared" si="112"/>
        <v>1.8369701137999073E-10</v>
      </c>
      <c r="X219" s="22">
        <f t="shared" si="112"/>
        <v>2.002297424041899E-10</v>
      </c>
      <c r="Y219" s="22">
        <f t="shared" si="112"/>
        <v>2.18250419220567E-10</v>
      </c>
      <c r="Z219" s="22">
        <f t="shared" si="112"/>
        <v>2.3789295695041803E-10</v>
      </c>
      <c r="AA219" s="272">
        <f t="shared" ref="AA219:AQ219" si="113">+Z222</f>
        <v>2.5930332307595566E-10</v>
      </c>
      <c r="AB219" s="272">
        <f t="shared" si="113"/>
        <v>2.8264062215279166E-10</v>
      </c>
      <c r="AC219" s="272">
        <f t="shared" si="113"/>
        <v>3.0807827814654289E-10</v>
      </c>
      <c r="AD219" s="272">
        <f t="shared" si="113"/>
        <v>3.3580532317973174E-10</v>
      </c>
      <c r="AE219" s="272">
        <f t="shared" si="113"/>
        <v>3.6602780226590759E-10</v>
      </c>
      <c r="AF219" s="272">
        <f t="shared" si="113"/>
        <v>3.9897030446983925E-10</v>
      </c>
      <c r="AG219" s="272">
        <f t="shared" si="113"/>
        <v>4.3487763187212478E-10</v>
      </c>
      <c r="AH219" s="272">
        <f t="shared" si="113"/>
        <v>4.7401661874061599E-10</v>
      </c>
      <c r="AI219" s="272">
        <f t="shared" si="113"/>
        <v>5.1667811442727141E-10</v>
      </c>
      <c r="AJ219" s="272">
        <f t="shared" si="113"/>
        <v>5.6317914472572586E-10</v>
      </c>
      <c r="AK219" s="272">
        <f t="shared" si="113"/>
        <v>6.1386526775104118E-10</v>
      </c>
      <c r="AL219" s="272">
        <f t="shared" si="113"/>
        <v>6.6911314184863483E-10</v>
      </c>
      <c r="AM219" s="272">
        <f t="shared" si="113"/>
        <v>7.2933332461501197E-10</v>
      </c>
      <c r="AN219" s="272">
        <f t="shared" si="113"/>
        <v>7.9497332383036302E-10</v>
      </c>
      <c r="AO219" s="272">
        <f t="shared" si="113"/>
        <v>8.6652092297509568E-10</v>
      </c>
      <c r="AP219" s="272">
        <f t="shared" si="113"/>
        <v>9.4450780604285423E-10</v>
      </c>
      <c r="AQ219" s="272">
        <f t="shared" si="113"/>
        <v>1.0295135085867111E-9</v>
      </c>
      <c r="AR219" s="301"/>
    </row>
    <row r="220" spans="1:51" s="1" customFormat="1" ht="13.8" thickBot="1">
      <c r="B220" s="13" t="s">
        <v>7</v>
      </c>
      <c r="F220" s="24" t="s">
        <v>121</v>
      </c>
      <c r="G220" s="317">
        <v>0.09</v>
      </c>
      <c r="H220" s="22">
        <f>+H219*$G$220</f>
        <v>11700</v>
      </c>
      <c r="I220" s="22">
        <f t="shared" ref="I220:T220" si="114">+I219*$G$220</f>
        <v>11190.271251303157</v>
      </c>
      <c r="J220" s="22">
        <f t="shared" si="114"/>
        <v>10634.666915223599</v>
      </c>
      <c r="K220" s="22">
        <f t="shared" si="114"/>
        <v>10029.058188896881</v>
      </c>
      <c r="L220" s="22">
        <f t="shared" si="114"/>
        <v>9368.9446772007577</v>
      </c>
      <c r="M220" s="22">
        <f t="shared" si="114"/>
        <v>8649.4209494519837</v>
      </c>
      <c r="N220" s="22">
        <f t="shared" si="114"/>
        <v>7865.1400862058181</v>
      </c>
      <c r="O220" s="22">
        <f t="shared" si="114"/>
        <v>7010.2739452674987</v>
      </c>
      <c r="P220" s="22">
        <f t="shared" si="114"/>
        <v>6078.4698516447306</v>
      </c>
      <c r="Q220" s="22">
        <f t="shared" si="114"/>
        <v>5062.8033895959134</v>
      </c>
      <c r="R220" s="22">
        <f t="shared" si="114"/>
        <v>3955.7269459627032</v>
      </c>
      <c r="S220" s="22">
        <f t="shared" si="114"/>
        <v>2749.0136224025036</v>
      </c>
      <c r="T220" s="22">
        <f t="shared" si="114"/>
        <v>1433.6960997218866</v>
      </c>
      <c r="U220" s="22">
        <f t="shared" ref="U220:Z220" si="115">+U219*$G$220</f>
        <v>1.3915268937125801E-11</v>
      </c>
      <c r="V220" s="22">
        <f t="shared" si="115"/>
        <v>1.5167643141467124E-11</v>
      </c>
      <c r="W220" s="22">
        <f t="shared" si="115"/>
        <v>1.6532731024199165E-11</v>
      </c>
      <c r="X220" s="22">
        <f t="shared" si="115"/>
        <v>1.802067681637709E-11</v>
      </c>
      <c r="Y220" s="22">
        <f t="shared" si="115"/>
        <v>1.964253772985103E-11</v>
      </c>
      <c r="Z220" s="22">
        <f t="shared" si="115"/>
        <v>2.1410366125537623E-11</v>
      </c>
      <c r="AA220" s="272">
        <f t="shared" ref="AA220:AQ220" si="116">+AA219*$G$220</f>
        <v>2.3337299076836008E-11</v>
      </c>
      <c r="AB220" s="272">
        <f t="shared" si="116"/>
        <v>2.5437655993751247E-11</v>
      </c>
      <c r="AC220" s="272">
        <f t="shared" si="116"/>
        <v>2.7727045033188859E-11</v>
      </c>
      <c r="AD220" s="272">
        <f t="shared" si="116"/>
        <v>3.0222479086175854E-11</v>
      </c>
      <c r="AE220" s="272">
        <f t="shared" si="116"/>
        <v>3.2942502203931681E-11</v>
      </c>
      <c r="AF220" s="272">
        <f t="shared" si="116"/>
        <v>3.5907327402285529E-11</v>
      </c>
      <c r="AG220" s="272">
        <f t="shared" si="116"/>
        <v>3.913898686849123E-11</v>
      </c>
      <c r="AH220" s="272">
        <f t="shared" si="116"/>
        <v>4.2661495686655436E-11</v>
      </c>
      <c r="AI220" s="272">
        <f t="shared" si="116"/>
        <v>4.6501030298454424E-11</v>
      </c>
      <c r="AJ220" s="272">
        <f t="shared" si="116"/>
        <v>5.0686123025315326E-11</v>
      </c>
      <c r="AK220" s="272">
        <f t="shared" si="116"/>
        <v>5.5247874097593706E-11</v>
      </c>
      <c r="AL220" s="272">
        <f t="shared" si="116"/>
        <v>6.0220182766377139E-11</v>
      </c>
      <c r="AM220" s="272">
        <f t="shared" si="116"/>
        <v>6.5639999215351081E-11</v>
      </c>
      <c r="AN220" s="272">
        <f t="shared" si="116"/>
        <v>7.1547599144732675E-11</v>
      </c>
      <c r="AO220" s="272">
        <f t="shared" si="116"/>
        <v>7.7986883067758614E-11</v>
      </c>
      <c r="AP220" s="272">
        <f t="shared" si="116"/>
        <v>8.500570254385688E-11</v>
      </c>
      <c r="AQ220" s="272">
        <f t="shared" si="116"/>
        <v>9.2656215772803994E-11</v>
      </c>
      <c r="AR220" s="301"/>
    </row>
    <row r="221" spans="1:51" s="1" customFormat="1" ht="13.8" thickBot="1">
      <c r="B221" s="13" t="s">
        <v>17</v>
      </c>
      <c r="H221" s="27">
        <f t="shared" ref="H221:T221" si="117">(H218-H220)</f>
        <v>5663.6527632982506</v>
      </c>
      <c r="I221" s="27">
        <f t="shared" si="117"/>
        <v>6173.3815119950941</v>
      </c>
      <c r="J221" s="27">
        <f t="shared" si="117"/>
        <v>6728.9858480746516</v>
      </c>
      <c r="K221" s="27">
        <f t="shared" si="117"/>
        <v>7334.5945744013698</v>
      </c>
      <c r="L221" s="27">
        <f t="shared" si="117"/>
        <v>7994.7080860974929</v>
      </c>
      <c r="M221" s="27">
        <f t="shared" si="117"/>
        <v>8714.231813846267</v>
      </c>
      <c r="N221" s="27">
        <f t="shared" si="117"/>
        <v>9498.5126770924326</v>
      </c>
      <c r="O221" s="27">
        <f t="shared" si="117"/>
        <v>10353.378818030753</v>
      </c>
      <c r="P221" s="27">
        <f t="shared" si="117"/>
        <v>11285.182911653519</v>
      </c>
      <c r="Q221" s="27">
        <f t="shared" si="117"/>
        <v>12300.849373702338</v>
      </c>
      <c r="R221" s="27">
        <f t="shared" si="117"/>
        <v>13407.925817335548</v>
      </c>
      <c r="S221" s="27">
        <f t="shared" si="117"/>
        <v>14614.639140895746</v>
      </c>
      <c r="T221" s="27">
        <f t="shared" si="117"/>
        <v>15929.956663576364</v>
      </c>
      <c r="U221" s="27">
        <f t="shared" ref="U221:Z221" si="118">(U218-U220)</f>
        <v>-1.3915268937125801E-11</v>
      </c>
      <c r="V221" s="27">
        <f t="shared" si="118"/>
        <v>-1.5167643141467124E-11</v>
      </c>
      <c r="W221" s="27">
        <f t="shared" si="118"/>
        <v>-1.6532731024199165E-11</v>
      </c>
      <c r="X221" s="27">
        <f t="shared" si="118"/>
        <v>-1.802067681637709E-11</v>
      </c>
      <c r="Y221" s="27">
        <f t="shared" si="118"/>
        <v>-1.964253772985103E-11</v>
      </c>
      <c r="Z221" s="27">
        <f t="shared" si="118"/>
        <v>-2.1410366125537623E-11</v>
      </c>
      <c r="AA221" s="319">
        <f t="shared" ref="AA221:AQ221" si="119">(AA218-AA220)</f>
        <v>-2.3337299076836008E-11</v>
      </c>
      <c r="AB221" s="319">
        <f t="shared" si="119"/>
        <v>-2.5437655993751247E-11</v>
      </c>
      <c r="AC221" s="319">
        <f t="shared" si="119"/>
        <v>-2.7727045033188859E-11</v>
      </c>
      <c r="AD221" s="319">
        <f t="shared" si="119"/>
        <v>-3.0222479086175854E-11</v>
      </c>
      <c r="AE221" s="319">
        <f t="shared" si="119"/>
        <v>-3.2942502203931681E-11</v>
      </c>
      <c r="AF221" s="319">
        <f t="shared" si="119"/>
        <v>-3.5907327402285529E-11</v>
      </c>
      <c r="AG221" s="319">
        <f t="shared" si="119"/>
        <v>-3.913898686849123E-11</v>
      </c>
      <c r="AH221" s="319">
        <f t="shared" si="119"/>
        <v>-4.2661495686655436E-11</v>
      </c>
      <c r="AI221" s="319">
        <f t="shared" si="119"/>
        <v>-4.6501030298454424E-11</v>
      </c>
      <c r="AJ221" s="319">
        <f t="shared" si="119"/>
        <v>-5.0686123025315326E-11</v>
      </c>
      <c r="AK221" s="319">
        <f t="shared" si="119"/>
        <v>-5.5247874097593706E-11</v>
      </c>
      <c r="AL221" s="319">
        <f t="shared" si="119"/>
        <v>-6.0220182766377139E-11</v>
      </c>
      <c r="AM221" s="319">
        <f t="shared" si="119"/>
        <v>-6.5639999215351081E-11</v>
      </c>
      <c r="AN221" s="319">
        <f t="shared" si="119"/>
        <v>-7.1547599144732675E-11</v>
      </c>
      <c r="AO221" s="319">
        <f t="shared" si="119"/>
        <v>-7.7986883067758614E-11</v>
      </c>
      <c r="AP221" s="319">
        <f t="shared" si="119"/>
        <v>-8.500570254385688E-11</v>
      </c>
      <c r="AQ221" s="319">
        <f t="shared" si="119"/>
        <v>-9.2656215772803994E-11</v>
      </c>
      <c r="AR221" s="301"/>
    </row>
    <row r="222" spans="1:51" s="1" customFormat="1">
      <c r="B222" s="13" t="s">
        <v>10</v>
      </c>
      <c r="F222" s="226"/>
      <c r="H222" s="22">
        <f t="shared" ref="H222:T222" si="120">+H219-H221</f>
        <v>124336.34723670175</v>
      </c>
      <c r="I222" s="22">
        <f t="shared" si="120"/>
        <v>118162.96572470666</v>
      </c>
      <c r="J222" s="22">
        <f t="shared" si="120"/>
        <v>111433.97987663202</v>
      </c>
      <c r="K222" s="22">
        <f t="shared" si="120"/>
        <v>104099.38530223064</v>
      </c>
      <c r="L222" s="22">
        <f t="shared" si="120"/>
        <v>96104.677216133146</v>
      </c>
      <c r="M222" s="22">
        <f t="shared" si="120"/>
        <v>87390.445402286874</v>
      </c>
      <c r="N222" s="22">
        <f t="shared" si="120"/>
        <v>77891.932725194434</v>
      </c>
      <c r="O222" s="22">
        <f t="shared" si="120"/>
        <v>67538.553907163674</v>
      </c>
      <c r="P222" s="22">
        <f t="shared" si="120"/>
        <v>56253.370995510151</v>
      </c>
      <c r="Q222" s="22">
        <f t="shared" si="120"/>
        <v>43952.521621807813</v>
      </c>
      <c r="R222" s="22">
        <f t="shared" si="120"/>
        <v>30544.595804472265</v>
      </c>
      <c r="S222" s="22">
        <f t="shared" si="120"/>
        <v>15929.956663576519</v>
      </c>
      <c r="T222" s="22">
        <f t="shared" si="120"/>
        <v>1.546140993013978E-10</v>
      </c>
      <c r="U222" s="22">
        <f t="shared" ref="U222:Z222" si="121">+U219-U221</f>
        <v>1.6852936823852361E-10</v>
      </c>
      <c r="V222" s="22">
        <f t="shared" si="121"/>
        <v>1.8369701137999073E-10</v>
      </c>
      <c r="W222" s="22">
        <f t="shared" si="121"/>
        <v>2.002297424041899E-10</v>
      </c>
      <c r="X222" s="22">
        <f t="shared" si="121"/>
        <v>2.18250419220567E-10</v>
      </c>
      <c r="Y222" s="22">
        <f t="shared" si="121"/>
        <v>2.3789295695041803E-10</v>
      </c>
      <c r="Z222" s="22">
        <f t="shared" si="121"/>
        <v>2.5930332307595566E-10</v>
      </c>
      <c r="AA222" s="272">
        <f t="shared" ref="AA222:AQ222" si="122">+AA219-AA221</f>
        <v>2.8264062215279166E-10</v>
      </c>
      <c r="AB222" s="272">
        <f t="shared" si="122"/>
        <v>3.0807827814654289E-10</v>
      </c>
      <c r="AC222" s="272">
        <f t="shared" si="122"/>
        <v>3.3580532317973174E-10</v>
      </c>
      <c r="AD222" s="272">
        <f t="shared" si="122"/>
        <v>3.6602780226590759E-10</v>
      </c>
      <c r="AE222" s="272">
        <f t="shared" si="122"/>
        <v>3.9897030446983925E-10</v>
      </c>
      <c r="AF222" s="272">
        <f t="shared" si="122"/>
        <v>4.3487763187212478E-10</v>
      </c>
      <c r="AG222" s="272">
        <f t="shared" si="122"/>
        <v>4.7401661874061599E-10</v>
      </c>
      <c r="AH222" s="272">
        <f t="shared" si="122"/>
        <v>5.1667811442727141E-10</v>
      </c>
      <c r="AI222" s="272">
        <f t="shared" si="122"/>
        <v>5.6317914472572586E-10</v>
      </c>
      <c r="AJ222" s="272">
        <f t="shared" si="122"/>
        <v>6.1386526775104118E-10</v>
      </c>
      <c r="AK222" s="272">
        <f t="shared" si="122"/>
        <v>6.6911314184863483E-10</v>
      </c>
      <c r="AL222" s="272">
        <f t="shared" si="122"/>
        <v>7.2933332461501197E-10</v>
      </c>
      <c r="AM222" s="272">
        <f t="shared" si="122"/>
        <v>7.9497332383036302E-10</v>
      </c>
      <c r="AN222" s="272">
        <f t="shared" si="122"/>
        <v>8.6652092297509568E-10</v>
      </c>
      <c r="AO222" s="272">
        <f t="shared" si="122"/>
        <v>9.4450780604285423E-10</v>
      </c>
      <c r="AP222" s="272">
        <f t="shared" si="122"/>
        <v>1.0295135085867111E-9</v>
      </c>
      <c r="AQ222" s="272">
        <f t="shared" si="122"/>
        <v>1.1221697243595151E-9</v>
      </c>
      <c r="AR222" s="301"/>
    </row>
    <row r="223" spans="1:51" s="1" customFormat="1">
      <c r="B223" s="13"/>
      <c r="C223" s="13"/>
      <c r="AA223" s="254"/>
      <c r="AB223" s="254"/>
      <c r="AC223" s="254"/>
      <c r="AD223" s="254"/>
      <c r="AE223" s="254"/>
      <c r="AF223" s="254"/>
      <c r="AG223" s="254"/>
      <c r="AH223" s="254"/>
      <c r="AI223" s="254"/>
      <c r="AJ223" s="254"/>
      <c r="AK223" s="254"/>
      <c r="AL223" s="254"/>
      <c r="AM223" s="254"/>
      <c r="AN223" s="254"/>
      <c r="AO223" s="254"/>
      <c r="AP223" s="254"/>
      <c r="AQ223" s="254"/>
      <c r="AR223" s="301"/>
    </row>
    <row r="224" spans="1:51" s="1" customFormat="1">
      <c r="B224" s="16" t="s">
        <v>214</v>
      </c>
      <c r="H224" s="7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272"/>
      <c r="AB224" s="272"/>
      <c r="AC224" s="272"/>
      <c r="AD224" s="272"/>
      <c r="AE224" s="272"/>
      <c r="AF224" s="272"/>
      <c r="AG224" s="254"/>
      <c r="AH224" s="254"/>
      <c r="AI224" s="254"/>
      <c r="AJ224" s="254"/>
      <c r="AK224" s="254"/>
      <c r="AL224" s="254"/>
      <c r="AM224" s="254"/>
      <c r="AN224" s="254"/>
      <c r="AO224" s="254"/>
      <c r="AP224" s="254"/>
      <c r="AQ224" s="254"/>
      <c r="AR224" s="301"/>
    </row>
    <row r="225" spans="1:44" s="1" customFormat="1">
      <c r="B225" s="33" t="s">
        <v>7</v>
      </c>
      <c r="F225" s="6"/>
      <c r="H225" s="7">
        <f>+H208+H214+H220</f>
        <v>28893.75</v>
      </c>
      <c r="I225" s="7">
        <f t="shared" ref="I225:AF225" si="123">+I208+I214+I220</f>
        <v>28081.503766522183</v>
      </c>
      <c r="J225" s="7">
        <f t="shared" si="123"/>
        <v>27204.474602862843</v>
      </c>
      <c r="K225" s="7">
        <f t="shared" si="123"/>
        <v>26257.351997232607</v>
      </c>
      <c r="L225" s="7">
        <f t="shared" si="123"/>
        <v>25234.379988776494</v>
      </c>
      <c r="M225" s="7">
        <f t="shared" si="123"/>
        <v>24129.319108220232</v>
      </c>
      <c r="N225" s="7">
        <f t="shared" si="123"/>
        <v>22935.405020116108</v>
      </c>
      <c r="O225" s="7">
        <f t="shared" si="123"/>
        <v>21645.303577766212</v>
      </c>
      <c r="P225" s="7">
        <f t="shared" si="123"/>
        <v>20251.061976393641</v>
      </c>
      <c r="Q225" s="7">
        <f t="shared" si="123"/>
        <v>18744.055662360661</v>
      </c>
      <c r="R225" s="7">
        <f t="shared" si="123"/>
        <v>17114.930625994275</v>
      </c>
      <c r="S225" s="7">
        <f t="shared" si="123"/>
        <v>15353.540672655075</v>
      </c>
      <c r="T225" s="7">
        <f t="shared" si="123"/>
        <v>13448.879230834273</v>
      </c>
      <c r="U225" s="7">
        <f t="shared" si="123"/>
        <v>11389.005217025953</v>
      </c>
      <c r="V225" s="7">
        <f t="shared" si="123"/>
        <v>10723.691183309104</v>
      </c>
      <c r="W225" s="7">
        <f t="shared" si="123"/>
        <v>10016.795022484952</v>
      </c>
      <c r="X225" s="7">
        <f t="shared" si="123"/>
        <v>9265.7178516092899</v>
      </c>
      <c r="Y225" s="7">
        <f t="shared" si="123"/>
        <v>8467.6983575538998</v>
      </c>
      <c r="Z225" s="7">
        <f t="shared" si="123"/>
        <v>7619.8026451200476</v>
      </c>
      <c r="AA225" s="262">
        <f t="shared" si="123"/>
        <v>6718.913450659079</v>
      </c>
      <c r="AB225" s="262">
        <f t="shared" si="123"/>
        <v>5761.7186815443001</v>
      </c>
      <c r="AC225" s="262">
        <f t="shared" si="123"/>
        <v>4744.6992393598475</v>
      </c>
      <c r="AD225" s="262">
        <f t="shared" si="123"/>
        <v>3664.1160820388673</v>
      </c>
      <c r="AE225" s="262">
        <f t="shared" si="123"/>
        <v>2515.9964773853253</v>
      </c>
      <c r="AF225" s="262">
        <f t="shared" si="123"/>
        <v>1296.1193974409375</v>
      </c>
      <c r="AG225" s="262">
        <f t="shared" ref="AG225:AQ225" si="124">+AG208+AG214+AG220</f>
        <v>2.5496566341897306E-11</v>
      </c>
      <c r="AH225" s="262">
        <f t="shared" si="124"/>
        <v>2.8166423877149393E-11</v>
      </c>
      <c r="AI225" s="262">
        <f t="shared" si="124"/>
        <v>3.1100016500854252E-11</v>
      </c>
      <c r="AJ225" s="262">
        <f t="shared" si="124"/>
        <v>3.4322545865365143E-11</v>
      </c>
      <c r="AK225" s="262">
        <f t="shared" si="124"/>
        <v>3.7861573365146638E-11</v>
      </c>
      <c r="AL225" s="262">
        <f t="shared" si="124"/>
        <v>4.1747238238152129E-11</v>
      </c>
      <c r="AM225" s="262">
        <f t="shared" si="124"/>
        <v>4.6012495654112008E-11</v>
      </c>
      <c r="AN225" s="262">
        <f t="shared" si="124"/>
        <v>5.0693376610916159E-11</v>
      </c>
      <c r="AO225" s="262">
        <f t="shared" si="124"/>
        <v>5.5829271625578566E-11</v>
      </c>
      <c r="AP225" s="262">
        <f t="shared" si="124"/>
        <v>6.1463240386540579E-11</v>
      </c>
      <c r="AQ225" s="262">
        <f t="shared" si="124"/>
        <v>6.7642349730655424E-11</v>
      </c>
      <c r="AR225" s="301"/>
    </row>
    <row r="226" spans="1:44" s="1" customFormat="1" ht="13.8" thickBot="1">
      <c r="B226" s="33" t="s">
        <v>17</v>
      </c>
      <c r="H226" s="232">
        <f>+H209+H215+H221</f>
        <v>10503.932519793798</v>
      </c>
      <c r="I226" s="232">
        <f t="shared" ref="I226:AF226" si="125">+I209+I215+I221</f>
        <v>11316.178753271613</v>
      </c>
      <c r="J226" s="232">
        <f t="shared" si="125"/>
        <v>12193.207916930955</v>
      </c>
      <c r="K226" s="232">
        <f t="shared" si="125"/>
        <v>13140.330522561191</v>
      </c>
      <c r="L226" s="232">
        <f t="shared" si="125"/>
        <v>14163.302531017303</v>
      </c>
      <c r="M226" s="232">
        <f t="shared" si="125"/>
        <v>15268.363411573566</v>
      </c>
      <c r="N226" s="232">
        <f t="shared" si="125"/>
        <v>16462.277499677686</v>
      </c>
      <c r="O226" s="232">
        <f t="shared" si="125"/>
        <v>17752.378942027586</v>
      </c>
      <c r="P226" s="232">
        <f t="shared" si="125"/>
        <v>19146.620543400153</v>
      </c>
      <c r="Q226" s="232">
        <f t="shared" si="125"/>
        <v>20653.626857433141</v>
      </c>
      <c r="R226" s="232">
        <f t="shared" si="125"/>
        <v>22282.751893799526</v>
      </c>
      <c r="S226" s="232">
        <f t="shared" si="125"/>
        <v>24044.141847138722</v>
      </c>
      <c r="T226" s="232">
        <f t="shared" si="125"/>
        <v>25948.803288959527</v>
      </c>
      <c r="U226" s="232">
        <f t="shared" si="125"/>
        <v>10645.024539469594</v>
      </c>
      <c r="V226" s="232">
        <f t="shared" si="125"/>
        <v>11310.338573186444</v>
      </c>
      <c r="W226" s="232">
        <f t="shared" si="125"/>
        <v>12017.234734010595</v>
      </c>
      <c r="X226" s="232">
        <f t="shared" si="125"/>
        <v>12768.311904886257</v>
      </c>
      <c r="Y226" s="232">
        <f t="shared" si="125"/>
        <v>13566.331398941647</v>
      </c>
      <c r="Z226" s="232">
        <f t="shared" si="125"/>
        <v>14414.2271113755</v>
      </c>
      <c r="AA226" s="284">
        <f t="shared" si="125"/>
        <v>15315.116305836467</v>
      </c>
      <c r="AB226" s="284">
        <f t="shared" si="125"/>
        <v>16272.311074951247</v>
      </c>
      <c r="AC226" s="284">
        <f t="shared" si="125"/>
        <v>17289.330517135699</v>
      </c>
      <c r="AD226" s="284">
        <f t="shared" si="125"/>
        <v>18369.913674456682</v>
      </c>
      <c r="AE226" s="284">
        <f t="shared" si="125"/>
        <v>19518.033279110223</v>
      </c>
      <c r="AF226" s="284">
        <f t="shared" si="125"/>
        <v>20737.910359054607</v>
      </c>
      <c r="AG226" s="284">
        <f t="shared" ref="AG226:AQ226" si="126">+AG209+AG215+AG221</f>
        <v>-2.5496566341897306E-11</v>
      </c>
      <c r="AH226" s="284">
        <f t="shared" si="126"/>
        <v>-2.8166423877149393E-11</v>
      </c>
      <c r="AI226" s="284">
        <f t="shared" si="126"/>
        <v>-3.1100016500854252E-11</v>
      </c>
      <c r="AJ226" s="284">
        <f t="shared" si="126"/>
        <v>-3.4322545865365143E-11</v>
      </c>
      <c r="AK226" s="284">
        <f t="shared" si="126"/>
        <v>-3.7861573365146638E-11</v>
      </c>
      <c r="AL226" s="284">
        <f t="shared" si="126"/>
        <v>-4.1747238238152129E-11</v>
      </c>
      <c r="AM226" s="284">
        <f t="shared" si="126"/>
        <v>-4.6012495654112008E-11</v>
      </c>
      <c r="AN226" s="284">
        <f t="shared" si="126"/>
        <v>-5.0693376610916159E-11</v>
      </c>
      <c r="AO226" s="284">
        <f t="shared" si="126"/>
        <v>-5.5829271625578566E-11</v>
      </c>
      <c r="AP226" s="284">
        <f t="shared" si="126"/>
        <v>-6.1463240386540579E-11</v>
      </c>
      <c r="AQ226" s="284">
        <f t="shared" si="126"/>
        <v>-6.7642349730655424E-11</v>
      </c>
      <c r="AR226" s="301"/>
    </row>
    <row r="227" spans="1:44" s="1" customFormat="1">
      <c r="B227" s="33" t="s">
        <v>171</v>
      </c>
      <c r="H227" s="7">
        <f>SUM(H225:H226)</f>
        <v>39397.682519793801</v>
      </c>
      <c r="I227" s="7">
        <f t="shared" ref="I227:AF227" si="127">SUM(I225:I226)</f>
        <v>39397.682519793794</v>
      </c>
      <c r="J227" s="7">
        <f t="shared" si="127"/>
        <v>39397.682519793801</v>
      </c>
      <c r="K227" s="7">
        <f t="shared" si="127"/>
        <v>39397.682519793801</v>
      </c>
      <c r="L227" s="7">
        <f t="shared" si="127"/>
        <v>39397.682519793801</v>
      </c>
      <c r="M227" s="7">
        <f t="shared" si="127"/>
        <v>39397.682519793801</v>
      </c>
      <c r="N227" s="7">
        <f t="shared" si="127"/>
        <v>39397.682519793794</v>
      </c>
      <c r="O227" s="7">
        <f t="shared" si="127"/>
        <v>39397.682519793801</v>
      </c>
      <c r="P227" s="7">
        <f t="shared" si="127"/>
        <v>39397.682519793794</v>
      </c>
      <c r="Q227" s="7">
        <f t="shared" si="127"/>
        <v>39397.682519793801</v>
      </c>
      <c r="R227" s="7">
        <f t="shared" si="127"/>
        <v>39397.682519793801</v>
      </c>
      <c r="S227" s="7">
        <f t="shared" si="127"/>
        <v>39397.682519793801</v>
      </c>
      <c r="T227" s="7">
        <f t="shared" si="127"/>
        <v>39397.682519793801</v>
      </c>
      <c r="U227" s="7">
        <f t="shared" si="127"/>
        <v>22034.029756495547</v>
      </c>
      <c r="V227" s="7">
        <f t="shared" si="127"/>
        <v>22034.029756495547</v>
      </c>
      <c r="W227" s="7">
        <f t="shared" si="127"/>
        <v>22034.029756495547</v>
      </c>
      <c r="X227" s="7">
        <f t="shared" si="127"/>
        <v>22034.029756495547</v>
      </c>
      <c r="Y227" s="7">
        <f t="shared" si="127"/>
        <v>22034.029756495547</v>
      </c>
      <c r="Z227" s="7">
        <f t="shared" si="127"/>
        <v>22034.029756495547</v>
      </c>
      <c r="AA227" s="262">
        <f t="shared" si="127"/>
        <v>22034.029756495547</v>
      </c>
      <c r="AB227" s="262">
        <f t="shared" si="127"/>
        <v>22034.029756495547</v>
      </c>
      <c r="AC227" s="262">
        <f t="shared" si="127"/>
        <v>22034.029756495547</v>
      </c>
      <c r="AD227" s="262">
        <f t="shared" si="127"/>
        <v>22034.029756495551</v>
      </c>
      <c r="AE227" s="262">
        <f t="shared" si="127"/>
        <v>22034.029756495547</v>
      </c>
      <c r="AF227" s="262">
        <f t="shared" si="127"/>
        <v>22034.029756495544</v>
      </c>
      <c r="AG227" s="262">
        <f t="shared" ref="AG227:AQ227" si="128">SUM(AG225:AG226)</f>
        <v>0</v>
      </c>
      <c r="AH227" s="262">
        <f t="shared" si="128"/>
        <v>0</v>
      </c>
      <c r="AI227" s="262">
        <f t="shared" si="128"/>
        <v>0</v>
      </c>
      <c r="AJ227" s="262">
        <f t="shared" si="128"/>
        <v>0</v>
      </c>
      <c r="AK227" s="262">
        <f t="shared" si="128"/>
        <v>0</v>
      </c>
      <c r="AL227" s="262">
        <f t="shared" si="128"/>
        <v>0</v>
      </c>
      <c r="AM227" s="262">
        <f t="shared" si="128"/>
        <v>0</v>
      </c>
      <c r="AN227" s="262">
        <f t="shared" si="128"/>
        <v>0</v>
      </c>
      <c r="AO227" s="262">
        <f t="shared" si="128"/>
        <v>0</v>
      </c>
      <c r="AP227" s="262">
        <f t="shared" si="128"/>
        <v>0</v>
      </c>
      <c r="AQ227" s="262">
        <f t="shared" si="128"/>
        <v>0</v>
      </c>
      <c r="AR227" s="301"/>
    </row>
    <row r="228" spans="1:44" s="1" customFormat="1">
      <c r="B228" s="13"/>
      <c r="C228" s="13"/>
      <c r="AA228" s="254"/>
      <c r="AB228" s="254"/>
      <c r="AC228" s="254"/>
      <c r="AD228" s="254"/>
      <c r="AE228" s="254"/>
      <c r="AF228" s="254"/>
      <c r="AG228" s="254"/>
      <c r="AH228" s="254"/>
      <c r="AI228" s="254"/>
      <c r="AJ228" s="254"/>
      <c r="AK228" s="254"/>
      <c r="AL228" s="254"/>
      <c r="AM228" s="254"/>
      <c r="AN228" s="254"/>
      <c r="AO228" s="254"/>
      <c r="AP228" s="254"/>
      <c r="AQ228" s="254"/>
      <c r="AR228" s="301"/>
    </row>
    <row r="229" spans="1:44" s="21" customFormat="1">
      <c r="B229" s="16" t="s">
        <v>123</v>
      </c>
      <c r="C229" s="16"/>
      <c r="H229" s="160">
        <f>+H$199/H225</f>
        <v>0.47873131814477338</v>
      </c>
      <c r="I229" s="160">
        <f t="shared" ref="I229:AF229" si="129">+I$199/I225</f>
        <v>0.67515836357226344</v>
      </c>
      <c r="J229" s="160">
        <f t="shared" si="129"/>
        <v>0.80874762365409381</v>
      </c>
      <c r="K229" s="160">
        <f t="shared" si="129"/>
        <v>0.76984508640532678</v>
      </c>
      <c r="L229" s="160">
        <f t="shared" si="129"/>
        <v>0.96069669430079674</v>
      </c>
      <c r="M229" s="160">
        <f t="shared" si="129"/>
        <v>1.0823496007113524</v>
      </c>
      <c r="N229" s="160">
        <f t="shared" si="129"/>
        <v>1.0502661612522055</v>
      </c>
      <c r="O229" s="160">
        <f t="shared" si="129"/>
        <v>1.5702020007177475</v>
      </c>
      <c r="P229" s="160">
        <f t="shared" si="129"/>
        <v>1.8227149005012859</v>
      </c>
      <c r="Q229" s="160">
        <f t="shared" si="129"/>
        <v>1.6203353803639653</v>
      </c>
      <c r="R229" s="160">
        <f t="shared" si="129"/>
        <v>2.2804974438324281</v>
      </c>
      <c r="S229" s="160">
        <f t="shared" si="129"/>
        <v>2.6700513911990726</v>
      </c>
      <c r="T229" s="160">
        <f t="shared" si="129"/>
        <v>2.6662977584024761</v>
      </c>
      <c r="U229" s="160">
        <f t="shared" si="129"/>
        <v>3.732871813095322</v>
      </c>
      <c r="V229" s="160">
        <f t="shared" si="129"/>
        <v>4.1131256178778921</v>
      </c>
      <c r="W229" s="160">
        <f t="shared" si="129"/>
        <v>4.0773243617827513</v>
      </c>
      <c r="X229" s="160">
        <f t="shared" si="129"/>
        <v>5.0310575502273949</v>
      </c>
      <c r="Y229" s="160">
        <f t="shared" si="129"/>
        <v>5.7059089415334538</v>
      </c>
      <c r="Z229" s="160">
        <f t="shared" si="129"/>
        <v>5.5573231705271304</v>
      </c>
      <c r="AA229" s="329">
        <f t="shared" si="129"/>
        <v>-0.12962696828876119</v>
      </c>
      <c r="AB229" s="329">
        <f t="shared" si="129"/>
        <v>-0.32443111505738703</v>
      </c>
      <c r="AC229" s="329">
        <f t="shared" si="129"/>
        <v>0.37333421978820025</v>
      </c>
      <c r="AD229" s="329">
        <f t="shared" si="129"/>
        <v>-0.31012934283905086</v>
      </c>
      <c r="AE229" s="329">
        <f t="shared" si="129"/>
        <v>-0.32419398930376453</v>
      </c>
      <c r="AF229" s="329">
        <f t="shared" si="129"/>
        <v>5.4541714450465619</v>
      </c>
      <c r="AG229" s="329">
        <f t="shared" ref="AG229:AQ229" si="130">+AG$199/AG225</f>
        <v>0</v>
      </c>
      <c r="AH229" s="329">
        <f t="shared" si="130"/>
        <v>0</v>
      </c>
      <c r="AI229" s="329">
        <f t="shared" si="130"/>
        <v>0</v>
      </c>
      <c r="AJ229" s="329">
        <f t="shared" si="130"/>
        <v>0</v>
      </c>
      <c r="AK229" s="329">
        <f t="shared" si="130"/>
        <v>0</v>
      </c>
      <c r="AL229" s="329">
        <f t="shared" si="130"/>
        <v>0</v>
      </c>
      <c r="AM229" s="329">
        <f t="shared" si="130"/>
        <v>0</v>
      </c>
      <c r="AN229" s="329">
        <f t="shared" si="130"/>
        <v>0</v>
      </c>
      <c r="AO229" s="329">
        <f t="shared" si="130"/>
        <v>0</v>
      </c>
      <c r="AP229" s="329">
        <f t="shared" si="130"/>
        <v>0</v>
      </c>
      <c r="AQ229" s="329">
        <f t="shared" si="130"/>
        <v>0</v>
      </c>
      <c r="AR229" s="301"/>
    </row>
    <row r="230" spans="1:44" s="1" customFormat="1">
      <c r="A230" s="13"/>
      <c r="AA230" s="254"/>
      <c r="AB230" s="254"/>
      <c r="AC230" s="254"/>
      <c r="AD230" s="254"/>
      <c r="AE230" s="254"/>
      <c r="AF230" s="254"/>
      <c r="AG230" s="254"/>
      <c r="AH230" s="254"/>
      <c r="AI230" s="254"/>
      <c r="AJ230" s="254"/>
      <c r="AK230" s="254"/>
      <c r="AL230" s="254"/>
      <c r="AM230" s="254"/>
      <c r="AN230" s="254"/>
      <c r="AO230" s="254"/>
      <c r="AP230" s="254"/>
      <c r="AQ230" s="254"/>
      <c r="AR230" s="301"/>
    </row>
    <row r="231" spans="1:44" s="1" customFormat="1">
      <c r="A231" s="13"/>
      <c r="AA231" s="254"/>
      <c r="AB231" s="254"/>
      <c r="AC231" s="254"/>
      <c r="AD231" s="254"/>
      <c r="AE231" s="254"/>
      <c r="AF231" s="254"/>
      <c r="AG231" s="254"/>
      <c r="AH231" s="254"/>
      <c r="AI231" s="254"/>
      <c r="AJ231" s="254"/>
      <c r="AK231" s="254"/>
      <c r="AL231" s="254"/>
      <c r="AM231" s="254"/>
      <c r="AN231" s="254"/>
      <c r="AO231" s="254"/>
      <c r="AP231" s="254"/>
      <c r="AQ231" s="254"/>
      <c r="AR231" s="306" t="s">
        <v>186</v>
      </c>
    </row>
    <row r="232" spans="1:44" s="330" customFormat="1" ht="13.8" thickBot="1">
      <c r="A232" s="13"/>
      <c r="B232" s="1"/>
      <c r="C232" s="1"/>
      <c r="D232" s="1"/>
      <c r="E232" s="1"/>
      <c r="F232" s="1"/>
      <c r="G232" s="1"/>
      <c r="H232" s="11">
        <f>+H9</f>
        <v>2001</v>
      </c>
      <c r="I232" s="11">
        <f t="shared" ref="I232:Z232" si="131">+I9</f>
        <v>2002</v>
      </c>
      <c r="J232" s="11">
        <f t="shared" si="131"/>
        <v>2003</v>
      </c>
      <c r="K232" s="11">
        <f t="shared" si="131"/>
        <v>2004</v>
      </c>
      <c r="L232" s="11">
        <f t="shared" si="131"/>
        <v>2005</v>
      </c>
      <c r="M232" s="11">
        <f t="shared" si="131"/>
        <v>2006</v>
      </c>
      <c r="N232" s="11">
        <f t="shared" si="131"/>
        <v>2007</v>
      </c>
      <c r="O232" s="11">
        <f t="shared" si="131"/>
        <v>2008</v>
      </c>
      <c r="P232" s="11">
        <f t="shared" si="131"/>
        <v>2009</v>
      </c>
      <c r="Q232" s="11">
        <f t="shared" si="131"/>
        <v>2010</v>
      </c>
      <c r="R232" s="11">
        <f t="shared" si="131"/>
        <v>2011</v>
      </c>
      <c r="S232" s="11">
        <f t="shared" si="131"/>
        <v>2012</v>
      </c>
      <c r="T232" s="11">
        <f t="shared" si="131"/>
        <v>2013</v>
      </c>
      <c r="U232" s="11">
        <f t="shared" si="131"/>
        <v>2014</v>
      </c>
      <c r="V232" s="11">
        <f t="shared" si="131"/>
        <v>2015</v>
      </c>
      <c r="W232" s="11">
        <f t="shared" si="131"/>
        <v>2016</v>
      </c>
      <c r="X232" s="11">
        <f t="shared" si="131"/>
        <v>2017</v>
      </c>
      <c r="Y232" s="11">
        <f t="shared" si="131"/>
        <v>2018</v>
      </c>
      <c r="Z232" s="11">
        <f t="shared" si="131"/>
        <v>2019</v>
      </c>
      <c r="AA232" s="253"/>
      <c r="AB232" s="253"/>
      <c r="AC232" s="253"/>
      <c r="AD232" s="253"/>
      <c r="AE232" s="253"/>
      <c r="AF232" s="253"/>
      <c r="AG232" s="253"/>
      <c r="AH232" s="253"/>
      <c r="AI232" s="253"/>
      <c r="AJ232" s="253"/>
      <c r="AK232" s="253"/>
      <c r="AL232" s="253"/>
      <c r="AM232" s="253"/>
      <c r="AN232" s="253"/>
      <c r="AO232" s="253"/>
      <c r="AP232" s="253"/>
      <c r="AQ232" s="253"/>
      <c r="AR232" s="306" t="s">
        <v>186</v>
      </c>
    </row>
    <row r="233" spans="1:44" s="1" customFormat="1" ht="15.6">
      <c r="A233" s="29" t="str">
        <f>+A202</f>
        <v>Plant Ownership/Operation (Con't)</v>
      </c>
      <c r="AA233" s="254"/>
      <c r="AB233" s="254"/>
      <c r="AC233" s="254"/>
      <c r="AD233" s="254"/>
      <c r="AE233" s="254"/>
      <c r="AF233" s="254"/>
      <c r="AG233" s="254"/>
      <c r="AH233" s="254"/>
      <c r="AI233" s="254"/>
      <c r="AJ233" s="254"/>
      <c r="AK233" s="254"/>
      <c r="AL233" s="254"/>
      <c r="AM233" s="254"/>
      <c r="AN233" s="254"/>
      <c r="AO233" s="254"/>
      <c r="AP233" s="254"/>
      <c r="AQ233" s="254"/>
      <c r="AR233" s="306" t="s">
        <v>186</v>
      </c>
    </row>
    <row r="234" spans="1:44" s="1" customFormat="1">
      <c r="A234" s="13"/>
      <c r="AA234" s="254"/>
      <c r="AB234" s="254"/>
      <c r="AC234" s="254"/>
      <c r="AD234" s="254"/>
      <c r="AE234" s="254"/>
      <c r="AF234" s="254"/>
      <c r="AG234" s="254"/>
      <c r="AH234" s="254"/>
      <c r="AI234" s="254"/>
      <c r="AJ234" s="254"/>
      <c r="AK234" s="254"/>
      <c r="AL234" s="254"/>
      <c r="AM234" s="254"/>
      <c r="AN234" s="254"/>
      <c r="AO234" s="254"/>
      <c r="AP234" s="254"/>
      <c r="AQ234" s="254"/>
      <c r="AR234" s="306" t="s">
        <v>186</v>
      </c>
    </row>
    <row r="235" spans="1:44" s="1" customFormat="1">
      <c r="B235" s="16" t="s">
        <v>199</v>
      </c>
      <c r="AA235" s="254"/>
      <c r="AB235" s="254"/>
      <c r="AC235" s="254"/>
      <c r="AD235" s="254"/>
      <c r="AE235" s="254"/>
      <c r="AF235" s="254"/>
      <c r="AG235" s="254"/>
      <c r="AH235" s="254"/>
      <c r="AI235" s="254"/>
      <c r="AJ235" s="254"/>
      <c r="AK235" s="254"/>
      <c r="AL235" s="254"/>
      <c r="AM235" s="254"/>
      <c r="AN235" s="254"/>
      <c r="AO235" s="254"/>
      <c r="AP235" s="254"/>
      <c r="AQ235" s="254"/>
      <c r="AR235" s="301"/>
    </row>
    <row r="236" spans="1:44" s="1" customFormat="1">
      <c r="B236" s="16"/>
      <c r="AA236" s="254"/>
      <c r="AB236" s="254"/>
      <c r="AC236" s="254"/>
      <c r="AD236" s="254"/>
      <c r="AE236" s="254"/>
      <c r="AF236" s="254"/>
      <c r="AG236" s="254"/>
      <c r="AH236" s="254"/>
      <c r="AI236" s="254"/>
      <c r="AJ236" s="254"/>
      <c r="AK236" s="254"/>
      <c r="AL236" s="254"/>
      <c r="AM236" s="254"/>
      <c r="AN236" s="254"/>
      <c r="AO236" s="254"/>
      <c r="AP236" s="254"/>
      <c r="AQ236" s="254"/>
      <c r="AR236" s="301"/>
    </row>
    <row r="237" spans="1:44" s="1" customFormat="1">
      <c r="B237" s="13" t="s">
        <v>192</v>
      </c>
      <c r="C237" s="13"/>
      <c r="F237" s="311"/>
      <c r="G237" s="106">
        <v>80300</v>
      </c>
      <c r="H237" s="311"/>
      <c r="I237" s="311"/>
      <c r="J237" s="311"/>
      <c r="K237" s="311"/>
      <c r="L237" s="311"/>
      <c r="M237" s="311"/>
      <c r="N237" s="311"/>
      <c r="O237" s="311"/>
      <c r="P237" s="311"/>
      <c r="Q237" s="311"/>
      <c r="R237" s="311"/>
      <c r="S237" s="311"/>
      <c r="T237" s="311"/>
      <c r="U237" s="311"/>
      <c r="V237" s="311"/>
      <c r="W237" s="311"/>
      <c r="X237" s="311"/>
      <c r="Y237" s="311"/>
      <c r="Z237" s="311"/>
      <c r="AA237" s="254"/>
      <c r="AB237" s="254"/>
      <c r="AC237" s="254"/>
      <c r="AD237" s="254"/>
      <c r="AE237" s="254"/>
      <c r="AF237" s="254"/>
      <c r="AG237" s="254"/>
      <c r="AH237" s="254"/>
      <c r="AI237" s="254"/>
      <c r="AJ237" s="254"/>
      <c r="AK237" s="254"/>
      <c r="AL237" s="254"/>
      <c r="AM237" s="254"/>
      <c r="AN237" s="254"/>
      <c r="AO237" s="254"/>
      <c r="AP237" s="254"/>
      <c r="AQ237" s="254"/>
      <c r="AR237" s="306" t="s">
        <v>186</v>
      </c>
    </row>
    <row r="238" spans="1:44" s="1" customFormat="1">
      <c r="B238" s="13" t="s">
        <v>193</v>
      </c>
      <c r="C238" s="13"/>
      <c r="F238" s="25"/>
      <c r="G238" s="106">
        <v>70000</v>
      </c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4"/>
      <c r="AB238" s="254"/>
      <c r="AC238" s="254"/>
      <c r="AD238" s="254"/>
      <c r="AE238" s="254"/>
      <c r="AF238" s="254"/>
      <c r="AG238" s="254"/>
      <c r="AH238" s="254"/>
      <c r="AI238" s="254"/>
      <c r="AJ238" s="254"/>
      <c r="AK238" s="254"/>
      <c r="AL238" s="254"/>
      <c r="AM238" s="254"/>
      <c r="AN238" s="254"/>
      <c r="AO238" s="254"/>
      <c r="AP238" s="254"/>
      <c r="AQ238" s="254"/>
      <c r="AR238" s="306" t="s">
        <v>186</v>
      </c>
    </row>
    <row r="239" spans="1:44" s="1" customFormat="1"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78"/>
      <c r="AB239" s="254"/>
      <c r="AC239" s="254"/>
      <c r="AD239" s="254"/>
      <c r="AE239" s="254"/>
      <c r="AF239" s="254"/>
      <c r="AG239" s="254"/>
      <c r="AH239" s="254"/>
      <c r="AI239" s="254"/>
      <c r="AJ239" s="254"/>
      <c r="AK239" s="254"/>
      <c r="AL239" s="254"/>
      <c r="AM239" s="254"/>
      <c r="AN239" s="254"/>
      <c r="AO239" s="254"/>
      <c r="AP239" s="254"/>
      <c r="AQ239" s="254"/>
      <c r="AR239" s="306" t="s">
        <v>186</v>
      </c>
    </row>
    <row r="240" spans="1:44" s="1" customFormat="1">
      <c r="B240" s="16" t="s">
        <v>208</v>
      </c>
      <c r="C240" s="13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78"/>
      <c r="AB240" s="254"/>
      <c r="AC240" s="254"/>
      <c r="AD240" s="254"/>
      <c r="AE240" s="254"/>
      <c r="AF240" s="254"/>
      <c r="AG240" s="254"/>
      <c r="AH240" s="254"/>
      <c r="AI240" s="254"/>
      <c r="AJ240" s="254"/>
      <c r="AK240" s="254"/>
      <c r="AL240" s="254"/>
      <c r="AM240" s="254"/>
      <c r="AN240" s="254"/>
      <c r="AO240" s="254"/>
      <c r="AP240" s="254"/>
      <c r="AQ240" s="254"/>
      <c r="AR240" s="306" t="s">
        <v>186</v>
      </c>
    </row>
    <row r="241" spans="2:126" s="1" customFormat="1">
      <c r="B241" s="309" t="s">
        <v>190</v>
      </c>
      <c r="C241" s="17"/>
      <c r="D241" s="310"/>
      <c r="E241" s="310"/>
      <c r="F241" s="20"/>
      <c r="G241" s="25"/>
      <c r="H241" s="106">
        <v>11000</v>
      </c>
      <c r="I241" s="6">
        <f t="shared" ref="I241:R241" si="132">+H241</f>
        <v>11000</v>
      </c>
      <c r="J241" s="6">
        <f t="shared" si="132"/>
        <v>11000</v>
      </c>
      <c r="K241" s="6">
        <f t="shared" si="132"/>
        <v>11000</v>
      </c>
      <c r="L241" s="6">
        <f t="shared" si="132"/>
        <v>11000</v>
      </c>
      <c r="M241" s="6">
        <f t="shared" si="132"/>
        <v>11000</v>
      </c>
      <c r="N241" s="6">
        <f t="shared" si="132"/>
        <v>11000</v>
      </c>
      <c r="O241" s="6">
        <f t="shared" si="132"/>
        <v>11000</v>
      </c>
      <c r="P241" s="6">
        <f t="shared" si="132"/>
        <v>11000</v>
      </c>
      <c r="Q241" s="6">
        <f t="shared" si="132"/>
        <v>11000</v>
      </c>
      <c r="R241" s="6">
        <f t="shared" si="132"/>
        <v>11000</v>
      </c>
      <c r="S241" s="6">
        <f>+$H$241*S284</f>
        <v>10322.3285</v>
      </c>
      <c r="T241" s="6">
        <f>+$H$241*T284</f>
        <v>8450.3759999999984</v>
      </c>
      <c r="U241" s="6">
        <f>+$H$241*U284</f>
        <v>6399.6569999999983</v>
      </c>
      <c r="V241" s="6">
        <f>+$H$241*V284</f>
        <v>4142.6824999999972</v>
      </c>
      <c r="W241" s="6">
        <f>+$H$241*W284</f>
        <v>1649.9999999999984</v>
      </c>
      <c r="X241" s="6"/>
      <c r="Y241" s="6"/>
      <c r="Z241" s="6"/>
      <c r="AA241" s="272"/>
      <c r="AB241" s="272"/>
      <c r="AC241" s="272"/>
      <c r="AD241" s="272"/>
      <c r="AE241" s="272"/>
      <c r="AF241" s="272"/>
      <c r="AG241" s="272"/>
      <c r="AH241" s="272"/>
      <c r="AI241" s="272"/>
      <c r="AJ241" s="272"/>
      <c r="AK241" s="272"/>
      <c r="AL241" s="272"/>
      <c r="AM241" s="272"/>
      <c r="AN241" s="272"/>
      <c r="AO241" s="272"/>
      <c r="AP241" s="272"/>
      <c r="AQ241" s="272"/>
      <c r="AR241" s="306" t="s">
        <v>186</v>
      </c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</row>
    <row r="242" spans="2:126" s="1" customFormat="1">
      <c r="B242" s="13" t="s">
        <v>191</v>
      </c>
      <c r="C242" s="13"/>
      <c r="F242" s="311"/>
      <c r="G242" s="25"/>
      <c r="H242" s="102">
        <v>9.7199999999999995E-2</v>
      </c>
      <c r="I242" s="311">
        <f t="shared" ref="I242:R242" si="133">+H242</f>
        <v>9.7199999999999995E-2</v>
      </c>
      <c r="J242" s="311">
        <f t="shared" si="133"/>
        <v>9.7199999999999995E-2</v>
      </c>
      <c r="K242" s="311">
        <f t="shared" si="133"/>
        <v>9.7199999999999995E-2</v>
      </c>
      <c r="L242" s="311">
        <f t="shared" si="133"/>
        <v>9.7199999999999995E-2</v>
      </c>
      <c r="M242" s="311">
        <f t="shared" si="133"/>
        <v>9.7199999999999995E-2</v>
      </c>
      <c r="N242" s="311">
        <f t="shared" si="133"/>
        <v>9.7199999999999995E-2</v>
      </c>
      <c r="O242" s="311">
        <f t="shared" si="133"/>
        <v>9.7199999999999995E-2</v>
      </c>
      <c r="P242" s="311">
        <f t="shared" si="133"/>
        <v>9.7199999999999995E-2</v>
      </c>
      <c r="Q242" s="311">
        <f t="shared" si="133"/>
        <v>9.7199999999999995E-2</v>
      </c>
      <c r="R242" s="311">
        <f t="shared" si="133"/>
        <v>9.7199999999999995E-2</v>
      </c>
      <c r="S242" s="311">
        <f>+R242</f>
        <v>9.7199999999999995E-2</v>
      </c>
      <c r="T242" s="311">
        <f>+S242</f>
        <v>9.7199999999999995E-2</v>
      </c>
      <c r="U242" s="311">
        <f>+T242</f>
        <v>9.7199999999999995E-2</v>
      </c>
      <c r="V242" s="311">
        <f>+U242</f>
        <v>9.7199999999999995E-2</v>
      </c>
      <c r="W242" s="311">
        <f>+V242</f>
        <v>9.7199999999999995E-2</v>
      </c>
      <c r="X242" s="311"/>
      <c r="Y242" s="311"/>
      <c r="Z242" s="311"/>
      <c r="AA242" s="254"/>
      <c r="AB242" s="254"/>
      <c r="AC242" s="254"/>
      <c r="AD242" s="254"/>
      <c r="AE242" s="254"/>
      <c r="AF242" s="254"/>
      <c r="AG242" s="254"/>
      <c r="AH242" s="254"/>
      <c r="AI242" s="254"/>
      <c r="AJ242" s="254"/>
      <c r="AK242" s="254"/>
      <c r="AL242" s="254"/>
      <c r="AM242" s="254"/>
      <c r="AN242" s="254"/>
      <c r="AO242" s="254"/>
      <c r="AP242" s="254"/>
      <c r="AQ242" s="254"/>
      <c r="AR242" s="306" t="s">
        <v>186</v>
      </c>
    </row>
    <row r="243" spans="2:126" s="1" customFormat="1">
      <c r="B243" s="13" t="s">
        <v>7</v>
      </c>
      <c r="C243" s="13"/>
      <c r="F243" s="311"/>
      <c r="G243" s="25"/>
      <c r="H243" s="6">
        <f t="shared" ref="H243:W243" si="134">+H242*H241</f>
        <v>1069.2</v>
      </c>
      <c r="I243" s="6">
        <f t="shared" si="134"/>
        <v>1069.2</v>
      </c>
      <c r="J243" s="6">
        <f t="shared" si="134"/>
        <v>1069.2</v>
      </c>
      <c r="K243" s="6">
        <f t="shared" si="134"/>
        <v>1069.2</v>
      </c>
      <c r="L243" s="6">
        <f t="shared" si="134"/>
        <v>1069.2</v>
      </c>
      <c r="M243" s="6">
        <f t="shared" si="134"/>
        <v>1069.2</v>
      </c>
      <c r="N243" s="6">
        <f t="shared" si="134"/>
        <v>1069.2</v>
      </c>
      <c r="O243" s="6">
        <f t="shared" si="134"/>
        <v>1069.2</v>
      </c>
      <c r="P243" s="6">
        <f t="shared" si="134"/>
        <v>1069.2</v>
      </c>
      <c r="Q243" s="6">
        <f t="shared" si="134"/>
        <v>1069.2</v>
      </c>
      <c r="R243" s="6">
        <f t="shared" si="134"/>
        <v>1069.2</v>
      </c>
      <c r="S243" s="6">
        <f t="shared" si="134"/>
        <v>1003.3303301999999</v>
      </c>
      <c r="T243" s="6">
        <f t="shared" si="134"/>
        <v>821.37654719999978</v>
      </c>
      <c r="U243" s="6">
        <f t="shared" si="134"/>
        <v>622.04666039999984</v>
      </c>
      <c r="V243" s="6">
        <f t="shared" si="134"/>
        <v>402.66873899999968</v>
      </c>
      <c r="W243" s="6">
        <f t="shared" si="134"/>
        <v>160.37999999999982</v>
      </c>
      <c r="X243" s="6"/>
      <c r="Y243" s="6"/>
      <c r="Z243" s="6"/>
      <c r="AA243" s="272"/>
      <c r="AB243" s="272"/>
      <c r="AC243" s="272"/>
      <c r="AD243" s="272"/>
      <c r="AE243" s="272"/>
      <c r="AF243" s="272"/>
      <c r="AG243" s="254"/>
      <c r="AH243" s="254"/>
      <c r="AI243" s="254"/>
      <c r="AJ243" s="254"/>
      <c r="AK243" s="254"/>
      <c r="AL243" s="254"/>
      <c r="AM243" s="254"/>
      <c r="AN243" s="254"/>
      <c r="AO243" s="254"/>
      <c r="AP243" s="254"/>
      <c r="AQ243" s="254"/>
      <c r="AR243" s="306" t="s">
        <v>186</v>
      </c>
    </row>
    <row r="244" spans="2:126" s="1" customFormat="1">
      <c r="B244" s="13"/>
      <c r="C244" s="13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4"/>
      <c r="AB244" s="254"/>
      <c r="AC244" s="254"/>
      <c r="AD244" s="254"/>
      <c r="AE244" s="254"/>
      <c r="AF244" s="254"/>
      <c r="AG244" s="254"/>
      <c r="AH244" s="254"/>
      <c r="AI244" s="254"/>
      <c r="AJ244" s="254"/>
      <c r="AK244" s="254"/>
      <c r="AL244" s="254"/>
      <c r="AM244" s="254"/>
      <c r="AN244" s="254"/>
      <c r="AO244" s="254"/>
      <c r="AP244" s="254"/>
      <c r="AQ244" s="254"/>
      <c r="AR244" s="306" t="s">
        <v>186</v>
      </c>
    </row>
    <row r="245" spans="2:126" s="1" customFormat="1">
      <c r="B245" s="16" t="s">
        <v>209</v>
      </c>
      <c r="C245" s="13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4"/>
      <c r="AB245" s="254"/>
      <c r="AC245" s="254"/>
      <c r="AD245" s="254"/>
      <c r="AE245" s="254"/>
      <c r="AF245" s="254"/>
      <c r="AG245" s="254"/>
      <c r="AH245" s="254"/>
      <c r="AI245" s="254"/>
      <c r="AJ245" s="254"/>
      <c r="AK245" s="254"/>
      <c r="AL245" s="254"/>
      <c r="AM245" s="254"/>
      <c r="AN245" s="254"/>
      <c r="AO245" s="254"/>
      <c r="AP245" s="254"/>
      <c r="AQ245" s="254"/>
      <c r="AR245" s="306" t="s">
        <v>186</v>
      </c>
    </row>
    <row r="246" spans="2:126" s="1" customFormat="1">
      <c r="B246" s="309" t="s">
        <v>190</v>
      </c>
      <c r="C246" s="17"/>
      <c r="D246" s="310"/>
      <c r="E246" s="310"/>
      <c r="F246" s="20"/>
      <c r="G246" s="25"/>
      <c r="H246" s="106">
        <v>119000</v>
      </c>
      <c r="I246" s="6">
        <f>+H246</f>
        <v>119000</v>
      </c>
      <c r="J246" s="6">
        <f>+I246</f>
        <v>119000</v>
      </c>
      <c r="K246" s="6">
        <f>+J246</f>
        <v>119000</v>
      </c>
      <c r="L246" s="6">
        <f>+K246</f>
        <v>119000</v>
      </c>
      <c r="M246" s="6">
        <f>+L246</f>
        <v>119000</v>
      </c>
      <c r="N246" s="106">
        <v>84000</v>
      </c>
      <c r="O246" s="6">
        <f>+N246</f>
        <v>84000</v>
      </c>
      <c r="P246" s="6">
        <f>+O246</f>
        <v>84000</v>
      </c>
      <c r="Q246" s="106">
        <v>54000</v>
      </c>
      <c r="R246" s="6">
        <f>+Q246</f>
        <v>54000</v>
      </c>
      <c r="S246" s="6">
        <f>+R246</f>
        <v>54000</v>
      </c>
      <c r="T246" s="6"/>
      <c r="U246" s="6"/>
      <c r="V246" s="6"/>
      <c r="W246" s="6"/>
      <c r="X246" s="6"/>
      <c r="Y246" s="6"/>
      <c r="Z246" s="6"/>
      <c r="AA246" s="272"/>
      <c r="AB246" s="272"/>
      <c r="AC246" s="272"/>
      <c r="AD246" s="272"/>
      <c r="AE246" s="272"/>
      <c r="AF246" s="272"/>
      <c r="AG246" s="272"/>
      <c r="AH246" s="272"/>
      <c r="AI246" s="272"/>
      <c r="AJ246" s="272"/>
      <c r="AK246" s="272"/>
      <c r="AL246" s="272"/>
      <c r="AM246" s="272"/>
      <c r="AN246" s="272"/>
      <c r="AO246" s="272"/>
      <c r="AP246" s="272"/>
      <c r="AQ246" s="272"/>
      <c r="AR246" s="306" t="s">
        <v>186</v>
      </c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</row>
    <row r="247" spans="2:126" s="1" customFormat="1">
      <c r="B247" s="13" t="s">
        <v>200</v>
      </c>
      <c r="C247" s="13"/>
      <c r="F247" s="311"/>
      <c r="G247" s="25"/>
      <c r="H247" s="102">
        <f t="shared" ref="H247:M247" si="135">0.083*30/119+0.08365*24/119+0.0826*35/119+0.0685*30/119</f>
        <v>7.9357983193277318E-2</v>
      </c>
      <c r="I247" s="102">
        <f t="shared" si="135"/>
        <v>7.9357983193277318E-2</v>
      </c>
      <c r="J247" s="102">
        <f t="shared" si="135"/>
        <v>7.9357983193277318E-2</v>
      </c>
      <c r="K247" s="102">
        <f t="shared" si="135"/>
        <v>7.9357983193277318E-2</v>
      </c>
      <c r="L247" s="102">
        <f t="shared" si="135"/>
        <v>7.9357983193277318E-2</v>
      </c>
      <c r="M247" s="102">
        <f t="shared" si="135"/>
        <v>7.9357983193277318E-2</v>
      </c>
      <c r="N247" s="102">
        <f>0.083*30/84+0.08365*24/84+0.0685*30/84</f>
        <v>7.8007142857142858E-2</v>
      </c>
      <c r="O247" s="102">
        <f>0.083*30/84+0.08365*24/84+0.0685*30/84</f>
        <v>7.8007142857142858E-2</v>
      </c>
      <c r="P247" s="102">
        <f>0.083*30/84+0.08365*24/84+0.0685*30/84</f>
        <v>7.8007142857142858E-2</v>
      </c>
      <c r="Q247" s="102">
        <f>0.08365*24/54+0.0685*30/54</f>
        <v>7.5233333333333346E-2</v>
      </c>
      <c r="R247" s="102">
        <f>0.08365*24/54+0.0685*30/54</f>
        <v>7.5233333333333346E-2</v>
      </c>
      <c r="S247" s="102">
        <f>0.08365*24/54+0.0685*30/54</f>
        <v>7.5233333333333346E-2</v>
      </c>
      <c r="T247" s="102">
        <v>0</v>
      </c>
      <c r="U247" s="102">
        <v>0</v>
      </c>
      <c r="V247" s="102">
        <v>0</v>
      </c>
      <c r="W247" s="102">
        <v>0</v>
      </c>
      <c r="X247" s="311"/>
      <c r="Y247" s="311"/>
      <c r="Z247" s="311"/>
      <c r="AA247" s="254"/>
      <c r="AB247" s="254"/>
      <c r="AC247" s="254"/>
      <c r="AD247" s="254"/>
      <c r="AE247" s="254"/>
      <c r="AF247" s="254"/>
      <c r="AG247" s="254"/>
      <c r="AH247" s="254"/>
      <c r="AI247" s="254"/>
      <c r="AJ247" s="254"/>
      <c r="AK247" s="254"/>
      <c r="AL247" s="254"/>
      <c r="AM247" s="254"/>
      <c r="AN247" s="254"/>
      <c r="AO247" s="254"/>
      <c r="AP247" s="254"/>
      <c r="AQ247" s="254"/>
      <c r="AR247" s="306" t="s">
        <v>186</v>
      </c>
    </row>
    <row r="248" spans="2:126" s="1" customFormat="1" ht="13.8" thickBot="1">
      <c r="B248" s="13" t="s">
        <v>153</v>
      </c>
      <c r="C248" s="13"/>
      <c r="F248" s="311"/>
      <c r="G248" s="25"/>
      <c r="H248" s="312">
        <v>1.375E-2</v>
      </c>
      <c r="I248" s="312">
        <v>1.375E-2</v>
      </c>
      <c r="J248" s="312">
        <v>1.375E-2</v>
      </c>
      <c r="K248" s="312">
        <v>1.375E-2</v>
      </c>
      <c r="L248" s="312">
        <v>1.6250000000000001E-2</v>
      </c>
      <c r="M248" s="312">
        <v>1.6250000000000001E-2</v>
      </c>
      <c r="N248" s="312">
        <v>1.6250000000000001E-2</v>
      </c>
      <c r="O248" s="312">
        <v>1.6250000000000001E-2</v>
      </c>
      <c r="P248" s="312">
        <v>1.8749999999999999E-2</v>
      </c>
      <c r="Q248" s="312">
        <v>1.8749999999999999E-2</v>
      </c>
      <c r="R248" s="312">
        <v>1.8749999999999999E-2</v>
      </c>
      <c r="S248" s="312">
        <v>1.8749999999999999E-2</v>
      </c>
      <c r="T248" s="312">
        <v>0.02</v>
      </c>
      <c r="U248" s="312">
        <v>0.02</v>
      </c>
      <c r="V248" s="312">
        <v>0.02</v>
      </c>
      <c r="W248" s="312">
        <v>0.02</v>
      </c>
      <c r="X248" s="311"/>
      <c r="Y248" s="311"/>
      <c r="Z248" s="311"/>
      <c r="AA248" s="254"/>
      <c r="AB248" s="254"/>
      <c r="AC248" s="254"/>
      <c r="AD248" s="254"/>
      <c r="AE248" s="254"/>
      <c r="AF248" s="254"/>
      <c r="AG248" s="254"/>
      <c r="AH248" s="254"/>
      <c r="AI248" s="254"/>
      <c r="AJ248" s="254"/>
      <c r="AK248" s="254"/>
      <c r="AL248" s="254"/>
      <c r="AM248" s="254"/>
      <c r="AN248" s="254"/>
      <c r="AO248" s="254"/>
      <c r="AP248" s="254"/>
      <c r="AQ248" s="254"/>
      <c r="AR248" s="306" t="s">
        <v>186</v>
      </c>
    </row>
    <row r="249" spans="2:126" s="1" customFormat="1">
      <c r="B249" s="13" t="s">
        <v>201</v>
      </c>
      <c r="C249" s="13"/>
      <c r="F249" s="311"/>
      <c r="G249" s="25"/>
      <c r="H249" s="311">
        <f t="shared" ref="H249:W249" si="136">(H247+H248)*365/360</f>
        <v>9.4401149626517286E-2</v>
      </c>
      <c r="I249" s="311">
        <f t="shared" si="136"/>
        <v>9.4401149626517286E-2</v>
      </c>
      <c r="J249" s="311">
        <f t="shared" si="136"/>
        <v>9.4401149626517286E-2</v>
      </c>
      <c r="K249" s="311">
        <f t="shared" si="136"/>
        <v>9.4401149626517286E-2</v>
      </c>
      <c r="L249" s="311">
        <f t="shared" si="136"/>
        <v>9.6935871848739516E-2</v>
      </c>
      <c r="M249" s="311">
        <f t="shared" si="136"/>
        <v>9.6935871848739516E-2</v>
      </c>
      <c r="N249" s="311">
        <f t="shared" si="136"/>
        <v>9.5566269841269841E-2</v>
      </c>
      <c r="O249" s="311">
        <f t="shared" si="136"/>
        <v>9.5566269841269841E-2</v>
      </c>
      <c r="P249" s="311">
        <f t="shared" si="136"/>
        <v>9.8100992063492071E-2</v>
      </c>
      <c r="Q249" s="311">
        <f t="shared" si="136"/>
        <v>9.5288657407407426E-2</v>
      </c>
      <c r="R249" s="311">
        <f t="shared" si="136"/>
        <v>9.5288657407407426E-2</v>
      </c>
      <c r="S249" s="311">
        <f t="shared" si="136"/>
        <v>9.5288657407407426E-2</v>
      </c>
      <c r="T249" s="311">
        <f t="shared" si="136"/>
        <v>2.0277777777777777E-2</v>
      </c>
      <c r="U249" s="311">
        <f t="shared" si="136"/>
        <v>2.0277777777777777E-2</v>
      </c>
      <c r="V249" s="311">
        <f t="shared" si="136"/>
        <v>2.0277777777777777E-2</v>
      </c>
      <c r="W249" s="311">
        <f t="shared" si="136"/>
        <v>2.0277777777777777E-2</v>
      </c>
      <c r="X249" s="311"/>
      <c r="Y249" s="311"/>
      <c r="Z249" s="311"/>
      <c r="AA249" s="254"/>
      <c r="AB249" s="254"/>
      <c r="AC249" s="254"/>
      <c r="AD249" s="254"/>
      <c r="AE249" s="254"/>
      <c r="AF249" s="254"/>
      <c r="AG249" s="254"/>
      <c r="AH249" s="254"/>
      <c r="AI249" s="254"/>
      <c r="AJ249" s="254"/>
      <c r="AK249" s="254"/>
      <c r="AL249" s="254"/>
      <c r="AM249" s="254"/>
      <c r="AN249" s="254"/>
      <c r="AO249" s="254"/>
      <c r="AP249" s="254"/>
      <c r="AQ249" s="254"/>
      <c r="AR249" s="306" t="s">
        <v>186</v>
      </c>
    </row>
    <row r="250" spans="2:126" s="1" customFormat="1">
      <c r="B250" s="13" t="s">
        <v>7</v>
      </c>
      <c r="C250" s="13"/>
      <c r="F250" s="311"/>
      <c r="G250" s="25"/>
      <c r="H250" s="6">
        <f t="shared" ref="H250:W250" si="137">+H249*H246</f>
        <v>11233.736805555556</v>
      </c>
      <c r="I250" s="6">
        <f t="shared" si="137"/>
        <v>11233.736805555556</v>
      </c>
      <c r="J250" s="6">
        <f t="shared" si="137"/>
        <v>11233.736805555556</v>
      </c>
      <c r="K250" s="6">
        <f t="shared" si="137"/>
        <v>11233.736805555556</v>
      </c>
      <c r="L250" s="6">
        <f t="shared" si="137"/>
        <v>11535.368750000003</v>
      </c>
      <c r="M250" s="6">
        <f t="shared" si="137"/>
        <v>11535.368750000003</v>
      </c>
      <c r="N250" s="6">
        <f t="shared" si="137"/>
        <v>8027.5666666666666</v>
      </c>
      <c r="O250" s="6">
        <f t="shared" si="137"/>
        <v>8027.5666666666666</v>
      </c>
      <c r="P250" s="6">
        <f t="shared" si="137"/>
        <v>8240.4833333333336</v>
      </c>
      <c r="Q250" s="6">
        <f t="shared" si="137"/>
        <v>5145.5875000000015</v>
      </c>
      <c r="R250" s="6">
        <f t="shared" si="137"/>
        <v>5145.5875000000015</v>
      </c>
      <c r="S250" s="6">
        <f t="shared" si="137"/>
        <v>5145.5875000000015</v>
      </c>
      <c r="T250" s="6">
        <f t="shared" si="137"/>
        <v>0</v>
      </c>
      <c r="U250" s="6">
        <f t="shared" si="137"/>
        <v>0</v>
      </c>
      <c r="V250" s="6">
        <f t="shared" si="137"/>
        <v>0</v>
      </c>
      <c r="W250" s="6">
        <f t="shared" si="137"/>
        <v>0</v>
      </c>
      <c r="X250" s="6"/>
      <c r="Y250" s="6"/>
      <c r="Z250" s="6"/>
      <c r="AA250" s="272"/>
      <c r="AB250" s="272"/>
      <c r="AC250" s="272"/>
      <c r="AD250" s="272"/>
      <c r="AE250" s="272"/>
      <c r="AF250" s="272"/>
      <c r="AG250" s="254"/>
      <c r="AH250" s="254"/>
      <c r="AI250" s="254"/>
      <c r="AJ250" s="254"/>
      <c r="AK250" s="254"/>
      <c r="AL250" s="254"/>
      <c r="AM250" s="254"/>
      <c r="AN250" s="254"/>
      <c r="AO250" s="254"/>
      <c r="AP250" s="254"/>
      <c r="AQ250" s="254"/>
      <c r="AR250" s="306" t="s">
        <v>186</v>
      </c>
    </row>
    <row r="251" spans="2:126" s="1" customFormat="1">
      <c r="B251" s="13"/>
      <c r="C251" s="13"/>
      <c r="F251" s="311"/>
      <c r="G251" s="311"/>
      <c r="H251" s="311"/>
      <c r="I251" s="311"/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11"/>
      <c r="W251" s="311"/>
      <c r="X251" s="311"/>
      <c r="Y251" s="311"/>
      <c r="Z251" s="311"/>
      <c r="AA251" s="254"/>
      <c r="AB251" s="254"/>
      <c r="AC251" s="254"/>
      <c r="AD251" s="254"/>
      <c r="AE251" s="254"/>
      <c r="AF251" s="254"/>
      <c r="AG251" s="254"/>
      <c r="AH251" s="254"/>
      <c r="AI251" s="254"/>
      <c r="AJ251" s="254"/>
      <c r="AK251" s="254"/>
      <c r="AL251" s="254"/>
      <c r="AM251" s="254"/>
      <c r="AN251" s="254"/>
      <c r="AO251" s="254"/>
      <c r="AP251" s="254"/>
      <c r="AQ251" s="254"/>
      <c r="AR251" s="306" t="s">
        <v>186</v>
      </c>
    </row>
    <row r="252" spans="2:126" s="1" customFormat="1">
      <c r="B252" s="16" t="s">
        <v>210</v>
      </c>
      <c r="C252" s="13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4"/>
      <c r="AB252" s="254"/>
      <c r="AC252" s="254"/>
      <c r="AD252" s="254"/>
      <c r="AE252" s="254"/>
      <c r="AF252" s="254"/>
      <c r="AG252" s="254"/>
      <c r="AH252" s="254"/>
      <c r="AI252" s="254"/>
      <c r="AJ252" s="254"/>
      <c r="AK252" s="254"/>
      <c r="AL252" s="254"/>
      <c r="AM252" s="254"/>
      <c r="AN252" s="254"/>
      <c r="AO252" s="254"/>
      <c r="AP252" s="254"/>
      <c r="AQ252" s="254"/>
      <c r="AR252" s="306" t="s">
        <v>186</v>
      </c>
    </row>
    <row r="253" spans="2:126" s="1" customFormat="1">
      <c r="B253" s="309" t="s">
        <v>190</v>
      </c>
      <c r="C253" s="17"/>
      <c r="D253" s="310"/>
      <c r="F253" s="20"/>
      <c r="G253" s="25"/>
      <c r="H253" s="106">
        <v>14654.15625</v>
      </c>
      <c r="I253" s="6">
        <f t="shared" ref="I253:W253" si="138">+I286-I246-I241</f>
        <v>12445.90625</v>
      </c>
      <c r="J253" s="6">
        <f t="shared" si="138"/>
        <v>10087.09375</v>
      </c>
      <c r="K253" s="6">
        <f t="shared" si="138"/>
        <v>7326.78125</v>
      </c>
      <c r="L253" s="6">
        <f t="shared" si="138"/>
        <v>4164.96875</v>
      </c>
      <c r="M253" s="6">
        <f t="shared" si="138"/>
        <v>601.65625</v>
      </c>
      <c r="N253" s="6">
        <f t="shared" si="138"/>
        <v>29992.701249999998</v>
      </c>
      <c r="O253" s="6">
        <f t="shared" si="138"/>
        <v>20844.523749999993</v>
      </c>
      <c r="P253" s="6">
        <f t="shared" si="138"/>
        <v>11041.901249999995</v>
      </c>
      <c r="Q253" s="6">
        <f t="shared" si="138"/>
        <v>31152.956249999988</v>
      </c>
      <c r="R253" s="6">
        <f t="shared" si="138"/>
        <v>19750.356249999997</v>
      </c>
      <c r="S253" s="6">
        <f t="shared" si="138"/>
        <v>5706.6852499999986</v>
      </c>
      <c r="T253" s="6">
        <f t="shared" si="138"/>
        <v>45324.743999999999</v>
      </c>
      <c r="U253" s="6">
        <f t="shared" si="138"/>
        <v>34325.43299999999</v>
      </c>
      <c r="V253" s="6">
        <f t="shared" si="138"/>
        <v>22219.842499999984</v>
      </c>
      <c r="W253" s="6">
        <f t="shared" si="138"/>
        <v>8849.9999999999909</v>
      </c>
      <c r="X253" s="6"/>
      <c r="Y253" s="6"/>
      <c r="Z253" s="6"/>
      <c r="AA253" s="272"/>
      <c r="AB253" s="272"/>
      <c r="AC253" s="272"/>
      <c r="AD253" s="272"/>
      <c r="AE253" s="272"/>
      <c r="AF253" s="272"/>
      <c r="AG253" s="272"/>
      <c r="AH253" s="272"/>
      <c r="AI253" s="272"/>
      <c r="AJ253" s="272"/>
      <c r="AK253" s="272"/>
      <c r="AL253" s="272"/>
      <c r="AM253" s="272"/>
      <c r="AN253" s="272"/>
      <c r="AO253" s="272"/>
      <c r="AP253" s="272"/>
      <c r="AQ253" s="272"/>
      <c r="AR253" s="306" t="s">
        <v>186</v>
      </c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</row>
    <row r="254" spans="2:126" s="1" customFormat="1">
      <c r="B254" s="13" t="s">
        <v>200</v>
      </c>
      <c r="C254" s="13"/>
      <c r="F254" s="311"/>
      <c r="G254" s="311"/>
      <c r="H254" s="102">
        <v>7.9570328919836286E-2</v>
      </c>
      <c r="I254" s="102">
        <v>7.9271170623505971E-2</v>
      </c>
      <c r="J254" s="102">
        <v>7.9220963656077267E-2</v>
      </c>
      <c r="K254" s="102">
        <v>7.9797901078928299E-2</v>
      </c>
      <c r="L254" s="102">
        <v>8.0159850131412358E-2</v>
      </c>
      <c r="M254" s="102">
        <v>8.0689598543123742E-2</v>
      </c>
      <c r="N254" s="102">
        <v>8.0387435331396515E-2</v>
      </c>
      <c r="O254" s="102">
        <v>8.0196174160025072E-2</v>
      </c>
      <c r="P254" s="102">
        <v>8.0450443292002058E-2</v>
      </c>
      <c r="Q254" s="102">
        <v>7.928381607450681E-2</v>
      </c>
      <c r="R254" s="102">
        <v>7.9138159974541586E-2</v>
      </c>
      <c r="S254" s="102">
        <v>7.8851019439978368E-2</v>
      </c>
      <c r="T254" s="102">
        <v>7.878535804067717E-2</v>
      </c>
      <c r="U254" s="102">
        <v>7.8719340483006439E-2</v>
      </c>
      <c r="V254" s="102">
        <v>7.8873276973988118E-2</v>
      </c>
      <c r="W254" s="102">
        <v>7.8586648775919254E-2</v>
      </c>
      <c r="X254" s="311"/>
      <c r="Y254" s="311"/>
      <c r="Z254" s="311"/>
      <c r="AA254" s="254"/>
      <c r="AB254" s="254"/>
      <c r="AC254" s="254"/>
      <c r="AD254" s="254"/>
      <c r="AE254" s="254"/>
      <c r="AF254" s="254"/>
      <c r="AG254" s="254"/>
      <c r="AH254" s="254"/>
      <c r="AI254" s="254"/>
      <c r="AJ254" s="254"/>
      <c r="AK254" s="254"/>
      <c r="AL254" s="254"/>
      <c r="AM254" s="254"/>
      <c r="AN254" s="254"/>
      <c r="AO254" s="254"/>
      <c r="AP254" s="254"/>
      <c r="AQ254" s="254"/>
      <c r="AR254" s="306" t="s">
        <v>186</v>
      </c>
    </row>
    <row r="255" spans="2:126" s="1" customFormat="1" ht="13.8" thickBot="1">
      <c r="B255" s="13" t="s">
        <v>153</v>
      </c>
      <c r="C255" s="13"/>
      <c r="E255" s="31"/>
      <c r="F255" s="311"/>
      <c r="G255" s="311"/>
      <c r="H255" s="313">
        <f t="shared" ref="H255:W255" si="139">+H248</f>
        <v>1.375E-2</v>
      </c>
      <c r="I255" s="313">
        <f t="shared" si="139"/>
        <v>1.375E-2</v>
      </c>
      <c r="J255" s="313">
        <f t="shared" si="139"/>
        <v>1.375E-2</v>
      </c>
      <c r="K255" s="313">
        <f t="shared" si="139"/>
        <v>1.375E-2</v>
      </c>
      <c r="L255" s="313">
        <f t="shared" si="139"/>
        <v>1.6250000000000001E-2</v>
      </c>
      <c r="M255" s="313">
        <f t="shared" si="139"/>
        <v>1.6250000000000001E-2</v>
      </c>
      <c r="N255" s="313">
        <f t="shared" si="139"/>
        <v>1.6250000000000001E-2</v>
      </c>
      <c r="O255" s="313">
        <f t="shared" si="139"/>
        <v>1.6250000000000001E-2</v>
      </c>
      <c r="P255" s="313">
        <f t="shared" si="139"/>
        <v>1.8749999999999999E-2</v>
      </c>
      <c r="Q255" s="313">
        <f t="shared" si="139"/>
        <v>1.8749999999999999E-2</v>
      </c>
      <c r="R255" s="313">
        <f t="shared" si="139"/>
        <v>1.8749999999999999E-2</v>
      </c>
      <c r="S255" s="313">
        <f t="shared" si="139"/>
        <v>1.8749999999999999E-2</v>
      </c>
      <c r="T255" s="313">
        <f t="shared" si="139"/>
        <v>0.02</v>
      </c>
      <c r="U255" s="313">
        <f t="shared" si="139"/>
        <v>0.02</v>
      </c>
      <c r="V255" s="313">
        <f t="shared" si="139"/>
        <v>0.02</v>
      </c>
      <c r="W255" s="313">
        <f t="shared" si="139"/>
        <v>0.02</v>
      </c>
      <c r="X255" s="311"/>
      <c r="Y255" s="311"/>
      <c r="Z255" s="311"/>
      <c r="AA255" s="254"/>
      <c r="AB255" s="254"/>
      <c r="AC255" s="254"/>
      <c r="AD255" s="254"/>
      <c r="AE255" s="254"/>
      <c r="AF255" s="254"/>
      <c r="AG255" s="254"/>
      <c r="AH255" s="254"/>
      <c r="AI255" s="254"/>
      <c r="AJ255" s="254"/>
      <c r="AK255" s="254"/>
      <c r="AL255" s="254"/>
      <c r="AM255" s="254"/>
      <c r="AN255" s="254"/>
      <c r="AO255" s="254"/>
      <c r="AP255" s="254"/>
      <c r="AQ255" s="254"/>
      <c r="AR255" s="306" t="s">
        <v>186</v>
      </c>
    </row>
    <row r="256" spans="2:126" s="1" customFormat="1">
      <c r="B256" s="13" t="s">
        <v>201</v>
      </c>
      <c r="C256" s="13"/>
      <c r="E256" s="31"/>
      <c r="F256" s="311"/>
      <c r="G256" s="311"/>
      <c r="H256" s="311">
        <f t="shared" ref="H256:W256" si="140">SUM(H254:H255)*365/360</f>
        <v>9.4616444599278454E-2</v>
      </c>
      <c r="I256" s="311">
        <f t="shared" si="140"/>
        <v>9.4313131326610206E-2</v>
      </c>
      <c r="J256" s="311">
        <f t="shared" si="140"/>
        <v>9.4262227040189453E-2</v>
      </c>
      <c r="K256" s="311">
        <f t="shared" si="140"/>
        <v>9.4847177482802303E-2</v>
      </c>
      <c r="L256" s="311">
        <f t="shared" si="140"/>
        <v>9.7748875827681977E-2</v>
      </c>
      <c r="M256" s="311">
        <f t="shared" si="140"/>
        <v>9.8285981856222684E-2</v>
      </c>
      <c r="N256" s="311">
        <f t="shared" si="140"/>
        <v>9.7979621933221475E-2</v>
      </c>
      <c r="O256" s="311">
        <f t="shared" si="140"/>
        <v>9.7785704356692094E-2</v>
      </c>
      <c r="P256" s="311">
        <f t="shared" si="140"/>
        <v>0.10057822722661319</v>
      </c>
      <c r="Q256" s="311">
        <f t="shared" si="140"/>
        <v>9.9395396853319398E-2</v>
      </c>
      <c r="R256" s="311">
        <f t="shared" si="140"/>
        <v>9.924771775196578E-2</v>
      </c>
      <c r="S256" s="311">
        <f t="shared" si="140"/>
        <v>9.8956589154422528E-2</v>
      </c>
      <c r="T256" s="311">
        <f t="shared" si="140"/>
        <v>0.10015737690235324</v>
      </c>
      <c r="U256" s="311">
        <f t="shared" si="140"/>
        <v>0.10009044243415931</v>
      </c>
      <c r="V256" s="311">
        <f t="shared" si="140"/>
        <v>0.10024651693196017</v>
      </c>
      <c r="W256" s="311">
        <f t="shared" si="140"/>
        <v>9.9955907786695913E-2</v>
      </c>
      <c r="X256" s="311"/>
      <c r="Y256" s="311"/>
      <c r="Z256" s="311"/>
      <c r="AA256" s="254"/>
      <c r="AB256" s="254"/>
      <c r="AC256" s="254"/>
      <c r="AD256" s="254"/>
      <c r="AE256" s="254"/>
      <c r="AF256" s="254"/>
      <c r="AG256" s="254"/>
      <c r="AH256" s="254"/>
      <c r="AI256" s="254"/>
      <c r="AJ256" s="254"/>
      <c r="AK256" s="254"/>
      <c r="AL256" s="254"/>
      <c r="AM256" s="254"/>
      <c r="AN256" s="254"/>
      <c r="AO256" s="254"/>
      <c r="AP256" s="254"/>
      <c r="AQ256" s="254"/>
      <c r="AR256" s="306" t="s">
        <v>186</v>
      </c>
    </row>
    <row r="257" spans="2:89" s="1" customFormat="1">
      <c r="B257" s="13" t="s">
        <v>7</v>
      </c>
      <c r="C257" s="13"/>
      <c r="F257" s="311"/>
      <c r="G257" s="6"/>
      <c r="H257" s="6">
        <f t="shared" ref="H257:W257" si="141">+H256*H253</f>
        <v>1386.5241629772952</v>
      </c>
      <c r="I257" s="6">
        <f t="shared" si="141"/>
        <v>1173.8123906349288</v>
      </c>
      <c r="J257" s="6">
        <f t="shared" si="141"/>
        <v>950.83192123817605</v>
      </c>
      <c r="K257" s="6">
        <f t="shared" si="141"/>
        <v>694.92452159641812</v>
      </c>
      <c r="L257" s="6">
        <f t="shared" si="141"/>
        <v>407.12101316992585</v>
      </c>
      <c r="M257" s="6">
        <f t="shared" si="141"/>
        <v>59.134375271182982</v>
      </c>
      <c r="N257" s="6">
        <f t="shared" si="141"/>
        <v>2938.6735292310591</v>
      </c>
      <c r="O257" s="6">
        <f t="shared" si="141"/>
        <v>2038.2964368735461</v>
      </c>
      <c r="P257" s="6">
        <f t="shared" si="141"/>
        <v>1110.5748529363239</v>
      </c>
      <c r="Q257" s="6">
        <f t="shared" si="141"/>
        <v>3096.4604496228458</v>
      </c>
      <c r="R257" s="6">
        <f t="shared" si="141"/>
        <v>1960.1777826007731</v>
      </c>
      <c r="S257" s="6">
        <f t="shared" si="141"/>
        <v>564.71410771785293</v>
      </c>
      <c r="T257" s="6">
        <f t="shared" si="141"/>
        <v>4539.6074678106734</v>
      </c>
      <c r="U257" s="6">
        <f t="shared" si="141"/>
        <v>3435.647775714091</v>
      </c>
      <c r="V257" s="6">
        <f t="shared" si="141"/>
        <v>2227.4618174017364</v>
      </c>
      <c r="W257" s="6">
        <f t="shared" si="141"/>
        <v>884.60978391225797</v>
      </c>
      <c r="X257" s="6"/>
      <c r="Y257" s="6"/>
      <c r="Z257" s="6"/>
      <c r="AA257" s="272"/>
      <c r="AB257" s="272"/>
      <c r="AC257" s="272"/>
      <c r="AD257" s="272"/>
      <c r="AE257" s="272"/>
      <c r="AF257" s="272"/>
      <c r="AG257" s="254"/>
      <c r="AH257" s="254"/>
      <c r="AI257" s="254"/>
      <c r="AJ257" s="254"/>
      <c r="AK257" s="254"/>
      <c r="AL257" s="254"/>
      <c r="AM257" s="254"/>
      <c r="AN257" s="254"/>
      <c r="AO257" s="254"/>
      <c r="AP257" s="254"/>
      <c r="AQ257" s="254"/>
      <c r="AR257" s="306" t="s">
        <v>186</v>
      </c>
    </row>
    <row r="258" spans="2:89" s="1" customFormat="1">
      <c r="B258" s="13"/>
      <c r="C258" s="13"/>
      <c r="F258" s="311"/>
      <c r="G258" s="311"/>
      <c r="H258" s="311"/>
      <c r="I258" s="311"/>
      <c r="J258" s="311"/>
      <c r="K258" s="311"/>
      <c r="L258" s="311"/>
      <c r="M258" s="311"/>
      <c r="N258" s="311"/>
      <c r="O258" s="311"/>
      <c r="P258" s="311"/>
      <c r="Q258" s="311"/>
      <c r="R258" s="311"/>
      <c r="S258" s="311"/>
      <c r="T258" s="311"/>
      <c r="U258" s="311"/>
      <c r="V258" s="311"/>
      <c r="W258" s="311"/>
      <c r="X258" s="311"/>
      <c r="Y258" s="311"/>
      <c r="Z258" s="311"/>
      <c r="AA258" s="254"/>
      <c r="AB258" s="254"/>
      <c r="AC258" s="254"/>
      <c r="AD258" s="254"/>
      <c r="AE258" s="254"/>
      <c r="AF258" s="254"/>
      <c r="AG258" s="254"/>
      <c r="AH258" s="254"/>
      <c r="AI258" s="254"/>
      <c r="AJ258" s="254"/>
      <c r="AK258" s="254"/>
      <c r="AL258" s="254"/>
      <c r="AM258" s="254"/>
      <c r="AN258" s="254"/>
      <c r="AO258" s="254"/>
      <c r="AP258" s="254"/>
      <c r="AQ258" s="254"/>
      <c r="AR258" s="306" t="s">
        <v>186</v>
      </c>
    </row>
    <row r="259" spans="2:89" s="1" customFormat="1">
      <c r="B259" s="16" t="s">
        <v>219</v>
      </c>
      <c r="C259" s="13"/>
      <c r="D259" s="314"/>
      <c r="F259" s="24" t="s">
        <v>202</v>
      </c>
      <c r="G259" s="316">
        <f>COUNTIF(H259:$Z259,"&gt;.01")</f>
        <v>12</v>
      </c>
      <c r="H259" s="102">
        <v>2.75E-2</v>
      </c>
      <c r="I259" s="102">
        <v>2.75E-2</v>
      </c>
      <c r="J259" s="102">
        <v>3.2500000000000001E-2</v>
      </c>
      <c r="K259" s="102">
        <v>3.7499999999999999E-2</v>
      </c>
      <c r="L259" s="102">
        <v>4.2500000000000003E-2</v>
      </c>
      <c r="M259" s="102">
        <v>4.7500000000000001E-2</v>
      </c>
      <c r="N259" s="102">
        <v>0.1071</v>
      </c>
      <c r="O259" s="102">
        <v>0.12529999999999999</v>
      </c>
      <c r="P259" s="102">
        <v>0.1167</v>
      </c>
      <c r="Q259" s="102">
        <v>0.13389999999999999</v>
      </c>
      <c r="R259" s="102">
        <v>0.1555</v>
      </c>
      <c r="S259" s="102">
        <v>8.6500000000000007E-2</v>
      </c>
      <c r="T259" s="311"/>
      <c r="U259" s="311"/>
      <c r="V259" s="311"/>
      <c r="W259" s="311"/>
      <c r="X259" s="311"/>
      <c r="Y259" s="311"/>
      <c r="Z259" s="311"/>
      <c r="AA259" s="254"/>
      <c r="AB259" s="254"/>
      <c r="AC259" s="254"/>
      <c r="AD259" s="254"/>
      <c r="AE259" s="254"/>
      <c r="AF259" s="254"/>
      <c r="AG259" s="254"/>
      <c r="AH259" s="254"/>
      <c r="AI259" s="254"/>
      <c r="AJ259" s="254"/>
      <c r="AK259" s="254"/>
      <c r="AL259" s="254"/>
      <c r="AM259" s="254"/>
      <c r="AN259" s="254"/>
      <c r="AO259" s="254"/>
      <c r="AP259" s="254"/>
      <c r="AQ259" s="254"/>
      <c r="AR259" s="306" t="s">
        <v>186</v>
      </c>
    </row>
    <row r="260" spans="2:89" s="1" customFormat="1">
      <c r="B260" s="13" t="s">
        <v>211</v>
      </c>
      <c r="C260" s="13"/>
      <c r="F260" s="25"/>
      <c r="G260" s="6"/>
      <c r="H260" s="6">
        <f t="shared" ref="H260:S260" si="142">+G268</f>
        <v>75482.25</v>
      </c>
      <c r="I260" s="6">
        <f t="shared" si="142"/>
        <v>73274</v>
      </c>
      <c r="J260" s="6">
        <f t="shared" si="142"/>
        <v>71065.75</v>
      </c>
      <c r="K260" s="6">
        <f t="shared" si="142"/>
        <v>68456</v>
      </c>
      <c r="L260" s="6">
        <f t="shared" si="142"/>
        <v>65444.75</v>
      </c>
      <c r="M260" s="6">
        <f t="shared" si="142"/>
        <v>62032</v>
      </c>
      <c r="N260" s="6">
        <f t="shared" si="142"/>
        <v>58217.75</v>
      </c>
      <c r="O260" s="6">
        <f t="shared" si="142"/>
        <v>49617.619999999995</v>
      </c>
      <c r="P260" s="6">
        <f t="shared" si="142"/>
        <v>39556.03</v>
      </c>
      <c r="Q260" s="6">
        <f t="shared" si="142"/>
        <v>30185.019999999997</v>
      </c>
      <c r="R260" s="6">
        <f t="shared" si="142"/>
        <v>19432.849999999999</v>
      </c>
      <c r="S260" s="6">
        <f t="shared" si="142"/>
        <v>6946.1999999999971</v>
      </c>
      <c r="T260" s="6"/>
      <c r="U260" s="6"/>
      <c r="V260" s="6"/>
      <c r="W260" s="6"/>
      <c r="X260" s="6"/>
      <c r="Y260" s="6"/>
      <c r="Z260" s="6"/>
      <c r="AA260" s="272"/>
      <c r="AB260" s="272"/>
      <c r="AC260" s="272"/>
      <c r="AD260" s="272"/>
      <c r="AE260" s="272"/>
      <c r="AF260" s="272"/>
      <c r="AG260" s="272"/>
      <c r="AH260" s="272"/>
      <c r="AI260" s="272"/>
      <c r="AJ260" s="272"/>
      <c r="AK260" s="272"/>
      <c r="AL260" s="272"/>
      <c r="AM260" s="272"/>
      <c r="AN260" s="272"/>
      <c r="AO260" s="272"/>
      <c r="AP260" s="272"/>
      <c r="AQ260" s="272"/>
      <c r="AR260" s="306" t="s">
        <v>186</v>
      </c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</row>
    <row r="261" spans="2:89" s="1" customFormat="1">
      <c r="B261" s="13" t="s">
        <v>255</v>
      </c>
      <c r="C261" s="13"/>
      <c r="E261" s="6"/>
      <c r="F261" s="25"/>
      <c r="G261" s="6"/>
      <c r="H261" s="6">
        <f t="shared" ref="H261:S261" si="143">+H$259*$G$237/4</f>
        <v>552.0625</v>
      </c>
      <c r="I261" s="6">
        <f t="shared" si="143"/>
        <v>552.0625</v>
      </c>
      <c r="J261" s="6">
        <f t="shared" si="143"/>
        <v>652.4375</v>
      </c>
      <c r="K261" s="6">
        <f t="shared" si="143"/>
        <v>752.8125</v>
      </c>
      <c r="L261" s="6">
        <f t="shared" si="143"/>
        <v>853.18750000000011</v>
      </c>
      <c r="M261" s="6">
        <f t="shared" si="143"/>
        <v>953.5625</v>
      </c>
      <c r="N261" s="6">
        <f t="shared" si="143"/>
        <v>2150.0324999999998</v>
      </c>
      <c r="O261" s="6">
        <f t="shared" si="143"/>
        <v>2515.3975</v>
      </c>
      <c r="P261" s="6">
        <f t="shared" si="143"/>
        <v>2342.7525000000001</v>
      </c>
      <c r="Q261" s="6">
        <f t="shared" si="143"/>
        <v>2688.0425</v>
      </c>
      <c r="R261" s="6">
        <f t="shared" si="143"/>
        <v>3121.6624999999999</v>
      </c>
      <c r="S261" s="6">
        <f t="shared" si="143"/>
        <v>1736.4875000000002</v>
      </c>
      <c r="T261" s="6"/>
      <c r="U261" s="6"/>
      <c r="V261" s="6"/>
      <c r="W261" s="6"/>
      <c r="X261" s="6"/>
      <c r="Y261" s="6"/>
      <c r="Z261" s="6"/>
      <c r="AA261" s="272"/>
      <c r="AB261" s="272"/>
      <c r="AC261" s="272"/>
      <c r="AD261" s="272"/>
      <c r="AE261" s="272"/>
      <c r="AF261" s="272"/>
      <c r="AG261" s="272"/>
      <c r="AH261" s="272"/>
      <c r="AI261" s="272"/>
      <c r="AJ261" s="272"/>
      <c r="AK261" s="272"/>
      <c r="AL261" s="272"/>
      <c r="AM261" s="272"/>
      <c r="AN261" s="272"/>
      <c r="AO261" s="272"/>
      <c r="AP261" s="272"/>
      <c r="AQ261" s="272"/>
      <c r="AR261" s="306" t="s">
        <v>186</v>
      </c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</row>
    <row r="262" spans="2:89" s="1" customFormat="1">
      <c r="B262" s="13"/>
      <c r="C262" s="13" t="s">
        <v>204</v>
      </c>
      <c r="E262" s="6"/>
      <c r="F262" s="25"/>
      <c r="G262" s="6"/>
      <c r="H262" s="6">
        <f t="shared" ref="H262:S262" si="144">H260-H261</f>
        <v>74930.1875</v>
      </c>
      <c r="I262" s="6">
        <f t="shared" si="144"/>
        <v>72721.9375</v>
      </c>
      <c r="J262" s="6">
        <f t="shared" si="144"/>
        <v>70413.3125</v>
      </c>
      <c r="K262" s="6">
        <f t="shared" si="144"/>
        <v>67703.1875</v>
      </c>
      <c r="L262" s="6">
        <f t="shared" si="144"/>
        <v>64591.5625</v>
      </c>
      <c r="M262" s="6">
        <f t="shared" si="144"/>
        <v>61078.4375</v>
      </c>
      <c r="N262" s="6">
        <f t="shared" si="144"/>
        <v>56067.717499999999</v>
      </c>
      <c r="O262" s="6">
        <f t="shared" si="144"/>
        <v>47102.222499999996</v>
      </c>
      <c r="P262" s="6">
        <f t="shared" si="144"/>
        <v>37213.277499999997</v>
      </c>
      <c r="Q262" s="6">
        <f t="shared" si="144"/>
        <v>27496.977499999997</v>
      </c>
      <c r="R262" s="6">
        <f t="shared" si="144"/>
        <v>16311.187499999998</v>
      </c>
      <c r="S262" s="6">
        <f t="shared" si="144"/>
        <v>5209.7124999999969</v>
      </c>
      <c r="T262" s="6"/>
      <c r="U262" s="6"/>
      <c r="V262" s="6"/>
      <c r="W262" s="6"/>
      <c r="X262" s="6"/>
      <c r="Y262" s="6"/>
      <c r="Z262" s="6"/>
      <c r="AA262" s="272"/>
      <c r="AB262" s="272"/>
      <c r="AC262" s="272"/>
      <c r="AD262" s="272"/>
      <c r="AE262" s="272"/>
      <c r="AF262" s="272"/>
      <c r="AG262" s="272"/>
      <c r="AH262" s="272"/>
      <c r="AI262" s="272"/>
      <c r="AJ262" s="272"/>
      <c r="AK262" s="272"/>
      <c r="AL262" s="272"/>
      <c r="AM262" s="272"/>
      <c r="AN262" s="272"/>
      <c r="AO262" s="272"/>
      <c r="AP262" s="272"/>
      <c r="AQ262" s="272"/>
      <c r="AR262" s="306" t="s">
        <v>186</v>
      </c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</row>
    <row r="263" spans="2:89" s="1" customFormat="1">
      <c r="B263" s="13" t="s">
        <v>256</v>
      </c>
      <c r="C263" s="13"/>
      <c r="E263" s="6"/>
      <c r="F263" s="25"/>
      <c r="G263" s="6"/>
      <c r="H263" s="6">
        <f t="shared" ref="H263:S263" si="145">+H$259*$G$237/4</f>
        <v>552.0625</v>
      </c>
      <c r="I263" s="6">
        <f t="shared" si="145"/>
        <v>552.0625</v>
      </c>
      <c r="J263" s="6">
        <f t="shared" si="145"/>
        <v>652.4375</v>
      </c>
      <c r="K263" s="6">
        <f t="shared" si="145"/>
        <v>752.8125</v>
      </c>
      <c r="L263" s="6">
        <f t="shared" si="145"/>
        <v>853.18750000000011</v>
      </c>
      <c r="M263" s="6">
        <f t="shared" si="145"/>
        <v>953.5625</v>
      </c>
      <c r="N263" s="6">
        <f t="shared" si="145"/>
        <v>2150.0324999999998</v>
      </c>
      <c r="O263" s="6">
        <f t="shared" si="145"/>
        <v>2515.3975</v>
      </c>
      <c r="P263" s="6">
        <f t="shared" si="145"/>
        <v>2342.7525000000001</v>
      </c>
      <c r="Q263" s="6">
        <f t="shared" si="145"/>
        <v>2688.0425</v>
      </c>
      <c r="R263" s="6">
        <f t="shared" si="145"/>
        <v>3121.6624999999999</v>
      </c>
      <c r="S263" s="6">
        <f t="shared" si="145"/>
        <v>1736.4875000000002</v>
      </c>
      <c r="T263" s="6"/>
      <c r="U263" s="6"/>
      <c r="V263" s="6"/>
      <c r="W263" s="6"/>
      <c r="X263" s="6"/>
      <c r="Y263" s="6"/>
      <c r="Z263" s="6"/>
      <c r="AA263" s="272"/>
      <c r="AB263" s="272"/>
      <c r="AC263" s="272"/>
      <c r="AD263" s="272"/>
      <c r="AE263" s="272"/>
      <c r="AF263" s="272"/>
      <c r="AG263" s="272"/>
      <c r="AH263" s="272"/>
      <c r="AI263" s="272"/>
      <c r="AJ263" s="272"/>
      <c r="AK263" s="272"/>
      <c r="AL263" s="272"/>
      <c r="AM263" s="272"/>
      <c r="AN263" s="272"/>
      <c r="AO263" s="272"/>
      <c r="AP263" s="272"/>
      <c r="AQ263" s="272"/>
      <c r="AR263" s="306" t="s">
        <v>186</v>
      </c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</row>
    <row r="264" spans="2:89" s="1" customFormat="1">
      <c r="B264" s="13"/>
      <c r="C264" s="13" t="s">
        <v>205</v>
      </c>
      <c r="E264" s="6"/>
      <c r="F264" s="25"/>
      <c r="G264" s="6"/>
      <c r="H264" s="6">
        <f t="shared" ref="H264:S264" si="146">H262-H263</f>
        <v>74378.125</v>
      </c>
      <c r="I264" s="6">
        <f t="shared" si="146"/>
        <v>72169.875</v>
      </c>
      <c r="J264" s="6">
        <f t="shared" si="146"/>
        <v>69760.875</v>
      </c>
      <c r="K264" s="6">
        <f t="shared" si="146"/>
        <v>66950.375</v>
      </c>
      <c r="L264" s="6">
        <f t="shared" si="146"/>
        <v>63738.375</v>
      </c>
      <c r="M264" s="6">
        <f t="shared" si="146"/>
        <v>60124.875</v>
      </c>
      <c r="N264" s="6">
        <f t="shared" si="146"/>
        <v>53917.684999999998</v>
      </c>
      <c r="O264" s="6">
        <f t="shared" si="146"/>
        <v>44586.824999999997</v>
      </c>
      <c r="P264" s="6">
        <f t="shared" si="146"/>
        <v>34870.524999999994</v>
      </c>
      <c r="Q264" s="6">
        <f t="shared" si="146"/>
        <v>24808.934999999998</v>
      </c>
      <c r="R264" s="6">
        <f t="shared" si="146"/>
        <v>13189.524999999998</v>
      </c>
      <c r="S264" s="6">
        <f t="shared" si="146"/>
        <v>3473.2249999999967</v>
      </c>
      <c r="T264" s="6"/>
      <c r="U264" s="6"/>
      <c r="V264" s="6"/>
      <c r="W264" s="6"/>
      <c r="X264" s="6"/>
      <c r="Y264" s="6"/>
      <c r="Z264" s="6"/>
      <c r="AA264" s="272"/>
      <c r="AB264" s="272"/>
      <c r="AC264" s="272"/>
      <c r="AD264" s="272"/>
      <c r="AE264" s="272"/>
      <c r="AF264" s="272"/>
      <c r="AG264" s="272"/>
      <c r="AH264" s="272"/>
      <c r="AI264" s="272"/>
      <c r="AJ264" s="272"/>
      <c r="AK264" s="272"/>
      <c r="AL264" s="272"/>
      <c r="AM264" s="272"/>
      <c r="AN264" s="272"/>
      <c r="AO264" s="272"/>
      <c r="AP264" s="272"/>
      <c r="AQ264" s="272"/>
      <c r="AR264" s="306" t="s">
        <v>186</v>
      </c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</row>
    <row r="265" spans="2:89" s="1" customFormat="1">
      <c r="B265" s="13" t="s">
        <v>257</v>
      </c>
      <c r="C265" s="13"/>
      <c r="E265" s="6"/>
      <c r="F265" s="25"/>
      <c r="G265" s="6"/>
      <c r="H265" s="6">
        <f t="shared" ref="H265:S265" si="147">+H$259*$G$237/4</f>
        <v>552.0625</v>
      </c>
      <c r="I265" s="6">
        <f t="shared" si="147"/>
        <v>552.0625</v>
      </c>
      <c r="J265" s="6">
        <f t="shared" si="147"/>
        <v>652.4375</v>
      </c>
      <c r="K265" s="6">
        <f t="shared" si="147"/>
        <v>752.8125</v>
      </c>
      <c r="L265" s="6">
        <f t="shared" si="147"/>
        <v>853.18750000000011</v>
      </c>
      <c r="M265" s="6">
        <f t="shared" si="147"/>
        <v>953.5625</v>
      </c>
      <c r="N265" s="6">
        <f t="shared" si="147"/>
        <v>2150.0324999999998</v>
      </c>
      <c r="O265" s="6">
        <f t="shared" si="147"/>
        <v>2515.3975</v>
      </c>
      <c r="P265" s="6">
        <f t="shared" si="147"/>
        <v>2342.7525000000001</v>
      </c>
      <c r="Q265" s="6">
        <f t="shared" si="147"/>
        <v>2688.0425</v>
      </c>
      <c r="R265" s="6">
        <f t="shared" si="147"/>
        <v>3121.6624999999999</v>
      </c>
      <c r="S265" s="6">
        <f t="shared" si="147"/>
        <v>1736.4875000000002</v>
      </c>
      <c r="T265" s="6"/>
      <c r="U265" s="6"/>
      <c r="V265" s="6"/>
      <c r="W265" s="6"/>
      <c r="X265" s="6"/>
      <c r="Y265" s="6"/>
      <c r="Z265" s="6"/>
      <c r="AA265" s="272"/>
      <c r="AB265" s="272"/>
      <c r="AC265" s="272"/>
      <c r="AD265" s="272"/>
      <c r="AE265" s="272"/>
      <c r="AF265" s="272"/>
      <c r="AG265" s="272"/>
      <c r="AH265" s="272"/>
      <c r="AI265" s="272"/>
      <c r="AJ265" s="272"/>
      <c r="AK265" s="272"/>
      <c r="AL265" s="272"/>
      <c r="AM265" s="272"/>
      <c r="AN265" s="272"/>
      <c r="AO265" s="272"/>
      <c r="AP265" s="272"/>
      <c r="AQ265" s="272"/>
      <c r="AR265" s="306" t="s">
        <v>186</v>
      </c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</row>
    <row r="266" spans="2:89" s="1" customFormat="1">
      <c r="B266" s="13"/>
      <c r="C266" s="13" t="s">
        <v>206</v>
      </c>
      <c r="E266" s="6"/>
      <c r="F266" s="25"/>
      <c r="G266" s="6"/>
      <c r="H266" s="6">
        <f t="shared" ref="H266:S266" si="148">H264-H265</f>
        <v>73826.0625</v>
      </c>
      <c r="I266" s="6">
        <f t="shared" si="148"/>
        <v>71617.8125</v>
      </c>
      <c r="J266" s="6">
        <f t="shared" si="148"/>
        <v>69108.4375</v>
      </c>
      <c r="K266" s="6">
        <f t="shared" si="148"/>
        <v>66197.5625</v>
      </c>
      <c r="L266" s="6">
        <f t="shared" si="148"/>
        <v>62885.1875</v>
      </c>
      <c r="M266" s="6">
        <f t="shared" si="148"/>
        <v>59171.3125</v>
      </c>
      <c r="N266" s="6">
        <f t="shared" si="148"/>
        <v>51767.652499999997</v>
      </c>
      <c r="O266" s="6">
        <f t="shared" si="148"/>
        <v>42071.427499999998</v>
      </c>
      <c r="P266" s="6">
        <f t="shared" si="148"/>
        <v>32527.772499999995</v>
      </c>
      <c r="Q266" s="6">
        <f t="shared" si="148"/>
        <v>22120.892499999998</v>
      </c>
      <c r="R266" s="6">
        <f t="shared" si="148"/>
        <v>10067.862499999997</v>
      </c>
      <c r="S266" s="6">
        <f t="shared" si="148"/>
        <v>1736.7374999999965</v>
      </c>
      <c r="T266" s="6"/>
      <c r="U266" s="6"/>
      <c r="V266" s="6"/>
      <c r="W266" s="6"/>
      <c r="X266" s="6"/>
      <c r="Y266" s="6"/>
      <c r="Z266" s="6"/>
      <c r="AA266" s="272"/>
      <c r="AB266" s="272"/>
      <c r="AC266" s="272"/>
      <c r="AD266" s="272"/>
      <c r="AE266" s="272"/>
      <c r="AF266" s="272"/>
      <c r="AG266" s="272"/>
      <c r="AH266" s="272"/>
      <c r="AI266" s="272"/>
      <c r="AJ266" s="272"/>
      <c r="AK266" s="272"/>
      <c r="AL266" s="272"/>
      <c r="AM266" s="272"/>
      <c r="AN266" s="272"/>
      <c r="AO266" s="272"/>
      <c r="AP266" s="272"/>
      <c r="AQ266" s="272"/>
      <c r="AR266" s="306" t="s">
        <v>186</v>
      </c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</row>
    <row r="267" spans="2:89" s="1" customFormat="1">
      <c r="B267" s="13" t="s">
        <v>258</v>
      </c>
      <c r="C267" s="13"/>
      <c r="E267" s="6"/>
      <c r="F267" s="25"/>
      <c r="G267" s="6"/>
      <c r="H267" s="6">
        <f t="shared" ref="H267:S267" si="149">+H$259*$G$237/4</f>
        <v>552.0625</v>
      </c>
      <c r="I267" s="6">
        <f t="shared" si="149"/>
        <v>552.0625</v>
      </c>
      <c r="J267" s="6">
        <f t="shared" si="149"/>
        <v>652.4375</v>
      </c>
      <c r="K267" s="6">
        <f t="shared" si="149"/>
        <v>752.8125</v>
      </c>
      <c r="L267" s="6">
        <f t="shared" si="149"/>
        <v>853.18750000000011</v>
      </c>
      <c r="M267" s="6">
        <f t="shared" si="149"/>
        <v>953.5625</v>
      </c>
      <c r="N267" s="6">
        <f t="shared" si="149"/>
        <v>2150.0324999999998</v>
      </c>
      <c r="O267" s="6">
        <f t="shared" si="149"/>
        <v>2515.3975</v>
      </c>
      <c r="P267" s="6">
        <f t="shared" si="149"/>
        <v>2342.7525000000001</v>
      </c>
      <c r="Q267" s="6">
        <f t="shared" si="149"/>
        <v>2688.0425</v>
      </c>
      <c r="R267" s="6">
        <f t="shared" si="149"/>
        <v>3121.6624999999999</v>
      </c>
      <c r="S267" s="6">
        <f t="shared" si="149"/>
        <v>1736.4875000000002</v>
      </c>
      <c r="T267" s="6"/>
      <c r="U267" s="6"/>
      <c r="V267" s="6"/>
      <c r="W267" s="6"/>
      <c r="X267" s="6"/>
      <c r="Y267" s="6"/>
      <c r="Z267" s="6"/>
      <c r="AA267" s="272"/>
      <c r="AB267" s="272"/>
      <c r="AC267" s="272"/>
      <c r="AD267" s="272"/>
      <c r="AE267" s="272"/>
      <c r="AF267" s="272"/>
      <c r="AG267" s="272"/>
      <c r="AH267" s="272"/>
      <c r="AI267" s="272"/>
      <c r="AJ267" s="272"/>
      <c r="AK267" s="272"/>
      <c r="AL267" s="272"/>
      <c r="AM267" s="272"/>
      <c r="AN267" s="272"/>
      <c r="AO267" s="272"/>
      <c r="AP267" s="272"/>
      <c r="AQ267" s="272"/>
      <c r="AR267" s="306" t="s">
        <v>186</v>
      </c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</row>
    <row r="268" spans="2:89" s="1" customFormat="1">
      <c r="B268" s="13"/>
      <c r="C268" s="13" t="s">
        <v>207</v>
      </c>
      <c r="E268" s="6"/>
      <c r="F268" s="25"/>
      <c r="G268" s="106">
        <v>75482.25</v>
      </c>
      <c r="H268" s="6">
        <f t="shared" ref="H268:S268" si="150">H266-H267</f>
        <v>73274</v>
      </c>
      <c r="I268" s="6">
        <f t="shared" si="150"/>
        <v>71065.75</v>
      </c>
      <c r="J268" s="6">
        <f t="shared" si="150"/>
        <v>68456</v>
      </c>
      <c r="K268" s="6">
        <f t="shared" si="150"/>
        <v>65444.75</v>
      </c>
      <c r="L268" s="6">
        <f t="shared" si="150"/>
        <v>62032</v>
      </c>
      <c r="M268" s="6">
        <f t="shared" si="150"/>
        <v>58217.75</v>
      </c>
      <c r="N268" s="6">
        <f t="shared" si="150"/>
        <v>49617.619999999995</v>
      </c>
      <c r="O268" s="6">
        <f t="shared" si="150"/>
        <v>39556.03</v>
      </c>
      <c r="P268" s="6">
        <f t="shared" si="150"/>
        <v>30185.019999999997</v>
      </c>
      <c r="Q268" s="6">
        <f t="shared" si="150"/>
        <v>19432.849999999999</v>
      </c>
      <c r="R268" s="6">
        <f t="shared" si="150"/>
        <v>6946.1999999999971</v>
      </c>
      <c r="S268" s="6">
        <f t="shared" si="150"/>
        <v>0.24999999999636202</v>
      </c>
      <c r="T268" s="6"/>
      <c r="U268" s="6"/>
      <c r="V268" s="6"/>
      <c r="W268" s="6"/>
      <c r="X268" s="6"/>
      <c r="Y268" s="6"/>
      <c r="Z268" s="6"/>
      <c r="AA268" s="272"/>
      <c r="AB268" s="272"/>
      <c r="AC268" s="272"/>
      <c r="AD268" s="272"/>
      <c r="AE268" s="272"/>
      <c r="AF268" s="272"/>
      <c r="AG268" s="272"/>
      <c r="AH268" s="272"/>
      <c r="AI268" s="272"/>
      <c r="AJ268" s="272"/>
      <c r="AK268" s="272"/>
      <c r="AL268" s="272"/>
      <c r="AM268" s="272"/>
      <c r="AN268" s="272"/>
      <c r="AO268" s="272"/>
      <c r="AP268" s="272"/>
      <c r="AQ268" s="272"/>
      <c r="AR268" s="306" t="s">
        <v>186</v>
      </c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</row>
    <row r="269" spans="2:89" s="1" customFormat="1">
      <c r="B269" s="13"/>
      <c r="C269" s="13"/>
      <c r="E269" s="6"/>
      <c r="F269" s="25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272"/>
      <c r="AB269" s="272"/>
      <c r="AC269" s="272"/>
      <c r="AD269" s="272"/>
      <c r="AE269" s="272"/>
      <c r="AF269" s="272"/>
      <c r="AG269" s="272"/>
      <c r="AH269" s="272"/>
      <c r="AI269" s="272"/>
      <c r="AJ269" s="272"/>
      <c r="AK269" s="272"/>
      <c r="AL269" s="272"/>
      <c r="AM269" s="272"/>
      <c r="AN269" s="272"/>
      <c r="AO269" s="272"/>
      <c r="AP269" s="272"/>
      <c r="AQ269" s="272"/>
      <c r="AR269" s="306" t="s">
        <v>186</v>
      </c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</row>
    <row r="270" spans="2:89" s="1" customFormat="1">
      <c r="B270" s="13" t="s">
        <v>212</v>
      </c>
      <c r="C270" s="13"/>
      <c r="E270" s="6"/>
      <c r="F270" s="25"/>
      <c r="G270" s="6"/>
      <c r="H270" s="6">
        <f t="shared" ref="H270:S270" si="151">AVERAGE(H266,H264,H262,H260)</f>
        <v>74654.15625</v>
      </c>
      <c r="I270" s="6">
        <f t="shared" si="151"/>
        <v>72445.90625</v>
      </c>
      <c r="J270" s="6">
        <f t="shared" si="151"/>
        <v>70087.09375</v>
      </c>
      <c r="K270" s="6">
        <f t="shared" si="151"/>
        <v>67326.78125</v>
      </c>
      <c r="L270" s="6">
        <f t="shared" si="151"/>
        <v>64164.96875</v>
      </c>
      <c r="M270" s="6">
        <f t="shared" si="151"/>
        <v>60601.65625</v>
      </c>
      <c r="N270" s="6">
        <f t="shared" si="151"/>
        <v>54992.701249999998</v>
      </c>
      <c r="O270" s="6">
        <f t="shared" si="151"/>
        <v>45844.52375</v>
      </c>
      <c r="P270" s="6">
        <f t="shared" si="151"/>
        <v>36041.901249999995</v>
      </c>
      <c r="Q270" s="6">
        <f t="shared" si="151"/>
        <v>26152.956249999996</v>
      </c>
      <c r="R270" s="6">
        <f t="shared" si="151"/>
        <v>14750.356249999999</v>
      </c>
      <c r="S270" s="6">
        <f t="shared" si="151"/>
        <v>4341.4687499999964</v>
      </c>
      <c r="T270" s="6"/>
      <c r="U270" s="6"/>
      <c r="V270" s="6"/>
      <c r="W270" s="6"/>
      <c r="X270" s="6"/>
      <c r="Y270" s="6"/>
      <c r="Z270" s="6"/>
      <c r="AA270" s="272"/>
      <c r="AB270" s="272"/>
      <c r="AC270" s="272"/>
      <c r="AD270" s="272"/>
      <c r="AE270" s="272"/>
      <c r="AF270" s="272"/>
      <c r="AG270" s="272"/>
      <c r="AH270" s="272"/>
      <c r="AI270" s="272"/>
      <c r="AJ270" s="272"/>
      <c r="AK270" s="272"/>
      <c r="AL270" s="272"/>
      <c r="AM270" s="272"/>
      <c r="AN270" s="272"/>
      <c r="AO270" s="272"/>
      <c r="AP270" s="272"/>
      <c r="AQ270" s="272"/>
      <c r="AR270" s="306" t="s">
        <v>186</v>
      </c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</row>
    <row r="271" spans="2:89" s="1" customFormat="1">
      <c r="B271" s="13"/>
      <c r="C271" s="13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4"/>
      <c r="AB271" s="254"/>
      <c r="AC271" s="254"/>
      <c r="AD271" s="254"/>
      <c r="AE271" s="254"/>
      <c r="AF271" s="254"/>
      <c r="AG271" s="254"/>
      <c r="AH271" s="254"/>
      <c r="AI271" s="254"/>
      <c r="AJ271" s="254"/>
      <c r="AK271" s="254"/>
      <c r="AL271" s="254"/>
      <c r="AM271" s="254"/>
      <c r="AN271" s="254"/>
      <c r="AO271" s="254"/>
      <c r="AP271" s="254"/>
      <c r="AQ271" s="254"/>
      <c r="AR271" s="306" t="s">
        <v>186</v>
      </c>
    </row>
    <row r="272" spans="2:89" s="1" customFormat="1">
      <c r="B272" s="16" t="s">
        <v>220</v>
      </c>
      <c r="C272" s="13"/>
      <c r="D272" s="314"/>
      <c r="F272" s="24" t="s">
        <v>202</v>
      </c>
      <c r="G272" s="316">
        <f>COUNTIF(H272:$Z272,"&gt;.01")</f>
        <v>5</v>
      </c>
      <c r="H272" s="102">
        <v>0</v>
      </c>
      <c r="I272" s="102">
        <v>0</v>
      </c>
      <c r="J272" s="102">
        <v>0</v>
      </c>
      <c r="K272" s="102">
        <v>0</v>
      </c>
      <c r="L272" s="102">
        <v>0</v>
      </c>
      <c r="M272" s="102">
        <v>0</v>
      </c>
      <c r="N272" s="102">
        <v>0</v>
      </c>
      <c r="O272" s="102">
        <v>0</v>
      </c>
      <c r="P272" s="102">
        <v>0</v>
      </c>
      <c r="Q272" s="102">
        <v>0</v>
      </c>
      <c r="R272" s="102">
        <v>0</v>
      </c>
      <c r="S272" s="102">
        <v>0.16428400000000001</v>
      </c>
      <c r="T272" s="102">
        <v>0.18</v>
      </c>
      <c r="U272" s="102">
        <v>0.19714400000000001</v>
      </c>
      <c r="V272" s="102">
        <v>0.21857199999999999</v>
      </c>
      <c r="W272" s="102">
        <v>0.24</v>
      </c>
      <c r="X272" s="311"/>
      <c r="Y272" s="311"/>
      <c r="Z272" s="311"/>
      <c r="AA272" s="254"/>
      <c r="AB272" s="254"/>
      <c r="AC272" s="254"/>
      <c r="AD272" s="254"/>
      <c r="AE272" s="254"/>
      <c r="AF272" s="254"/>
      <c r="AG272" s="254"/>
      <c r="AH272" s="254"/>
      <c r="AI272" s="254"/>
      <c r="AJ272" s="254"/>
      <c r="AK272" s="254"/>
      <c r="AL272" s="254"/>
      <c r="AM272" s="254"/>
      <c r="AN272" s="254"/>
      <c r="AO272" s="254"/>
      <c r="AP272" s="254"/>
      <c r="AQ272" s="254"/>
      <c r="AR272" s="306" t="s">
        <v>186</v>
      </c>
    </row>
    <row r="273" spans="2:89" s="1" customFormat="1">
      <c r="B273" s="13" t="s">
        <v>211</v>
      </c>
      <c r="C273" s="13"/>
      <c r="F273" s="25"/>
      <c r="G273" s="6"/>
      <c r="H273" s="6">
        <f t="shared" ref="H273:W273" si="152">+G281</f>
        <v>70000</v>
      </c>
      <c r="I273" s="6">
        <f t="shared" si="152"/>
        <v>70000</v>
      </c>
      <c r="J273" s="6">
        <f t="shared" si="152"/>
        <v>70000</v>
      </c>
      <c r="K273" s="6">
        <f t="shared" si="152"/>
        <v>70000</v>
      </c>
      <c r="L273" s="6">
        <f t="shared" si="152"/>
        <v>70000</v>
      </c>
      <c r="M273" s="6">
        <f t="shared" si="152"/>
        <v>70000</v>
      </c>
      <c r="N273" s="6">
        <f t="shared" si="152"/>
        <v>70000</v>
      </c>
      <c r="O273" s="6">
        <f t="shared" si="152"/>
        <v>70000</v>
      </c>
      <c r="P273" s="6">
        <f t="shared" si="152"/>
        <v>70000</v>
      </c>
      <c r="Q273" s="6">
        <f t="shared" si="152"/>
        <v>70000</v>
      </c>
      <c r="R273" s="6">
        <f t="shared" si="152"/>
        <v>70000</v>
      </c>
      <c r="S273" s="6">
        <f t="shared" si="152"/>
        <v>70000</v>
      </c>
      <c r="T273" s="6">
        <f t="shared" si="152"/>
        <v>58500.119999999995</v>
      </c>
      <c r="U273" s="6">
        <f t="shared" si="152"/>
        <v>45900.119999999995</v>
      </c>
      <c r="V273" s="6">
        <f t="shared" si="152"/>
        <v>32100.039999999983</v>
      </c>
      <c r="W273" s="6">
        <f t="shared" si="152"/>
        <v>16799.999999999989</v>
      </c>
      <c r="X273" s="6"/>
      <c r="Y273" s="6"/>
      <c r="Z273" s="6"/>
      <c r="AA273" s="272"/>
      <c r="AB273" s="272"/>
      <c r="AC273" s="272"/>
      <c r="AD273" s="272"/>
      <c r="AE273" s="272"/>
      <c r="AF273" s="272"/>
      <c r="AG273" s="272"/>
      <c r="AH273" s="272"/>
      <c r="AI273" s="272"/>
      <c r="AJ273" s="272"/>
      <c r="AK273" s="272"/>
      <c r="AL273" s="272"/>
      <c r="AM273" s="272"/>
      <c r="AN273" s="272"/>
      <c r="AO273" s="272"/>
      <c r="AP273" s="272"/>
      <c r="AQ273" s="272"/>
      <c r="AR273" s="306" t="s">
        <v>186</v>
      </c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</row>
    <row r="274" spans="2:89" s="1" customFormat="1">
      <c r="B274" s="13" t="s">
        <v>255</v>
      </c>
      <c r="C274" s="13"/>
      <c r="E274" s="6"/>
      <c r="F274" s="25"/>
      <c r="G274" s="6"/>
      <c r="H274" s="6">
        <f t="shared" ref="H274:W274" si="153">+H$272*$G$238/4</f>
        <v>0</v>
      </c>
      <c r="I274" s="6">
        <f t="shared" si="153"/>
        <v>0</v>
      </c>
      <c r="J274" s="6">
        <f t="shared" si="153"/>
        <v>0</v>
      </c>
      <c r="K274" s="6">
        <f t="shared" si="153"/>
        <v>0</v>
      </c>
      <c r="L274" s="6">
        <f t="shared" si="153"/>
        <v>0</v>
      </c>
      <c r="M274" s="6">
        <f t="shared" si="153"/>
        <v>0</v>
      </c>
      <c r="N274" s="6">
        <f t="shared" si="153"/>
        <v>0</v>
      </c>
      <c r="O274" s="6">
        <f t="shared" si="153"/>
        <v>0</v>
      </c>
      <c r="P274" s="6">
        <f t="shared" si="153"/>
        <v>0</v>
      </c>
      <c r="Q274" s="6">
        <f t="shared" si="153"/>
        <v>0</v>
      </c>
      <c r="R274" s="6">
        <f t="shared" si="153"/>
        <v>0</v>
      </c>
      <c r="S274" s="6">
        <f t="shared" si="153"/>
        <v>2874.9700000000003</v>
      </c>
      <c r="T274" s="6">
        <f t="shared" si="153"/>
        <v>3150</v>
      </c>
      <c r="U274" s="6">
        <f t="shared" si="153"/>
        <v>3450.0200000000004</v>
      </c>
      <c r="V274" s="6">
        <f t="shared" si="153"/>
        <v>3825.0099999999998</v>
      </c>
      <c r="W274" s="6">
        <f t="shared" si="153"/>
        <v>4200</v>
      </c>
      <c r="X274" s="6"/>
      <c r="Y274" s="6"/>
      <c r="Z274" s="6"/>
      <c r="AA274" s="272"/>
      <c r="AB274" s="272"/>
      <c r="AC274" s="272"/>
      <c r="AD274" s="272"/>
      <c r="AE274" s="272"/>
      <c r="AF274" s="272"/>
      <c r="AG274" s="272"/>
      <c r="AH274" s="272"/>
      <c r="AI274" s="272"/>
      <c r="AJ274" s="272"/>
      <c r="AK274" s="272"/>
      <c r="AL274" s="272"/>
      <c r="AM274" s="272"/>
      <c r="AN274" s="272"/>
      <c r="AO274" s="272"/>
      <c r="AP274" s="272"/>
      <c r="AQ274" s="272"/>
      <c r="AR274" s="306" t="s">
        <v>186</v>
      </c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</row>
    <row r="275" spans="2:89" s="1" customFormat="1">
      <c r="B275" s="13"/>
      <c r="C275" s="13" t="s">
        <v>204</v>
      </c>
      <c r="E275" s="6"/>
      <c r="F275" s="25"/>
      <c r="G275" s="6"/>
      <c r="H275" s="6">
        <f t="shared" ref="H275:W275" si="154">H273-H274</f>
        <v>70000</v>
      </c>
      <c r="I275" s="6">
        <f t="shared" si="154"/>
        <v>70000</v>
      </c>
      <c r="J275" s="6">
        <f t="shared" si="154"/>
        <v>70000</v>
      </c>
      <c r="K275" s="6">
        <f t="shared" si="154"/>
        <v>70000</v>
      </c>
      <c r="L275" s="6">
        <f t="shared" si="154"/>
        <v>70000</v>
      </c>
      <c r="M275" s="6">
        <f t="shared" si="154"/>
        <v>70000</v>
      </c>
      <c r="N275" s="6">
        <f t="shared" si="154"/>
        <v>70000</v>
      </c>
      <c r="O275" s="6">
        <f t="shared" si="154"/>
        <v>70000</v>
      </c>
      <c r="P275" s="6">
        <f t="shared" si="154"/>
        <v>70000</v>
      </c>
      <c r="Q275" s="6">
        <f t="shared" si="154"/>
        <v>70000</v>
      </c>
      <c r="R275" s="6">
        <f t="shared" si="154"/>
        <v>70000</v>
      </c>
      <c r="S275" s="6">
        <f t="shared" si="154"/>
        <v>67125.03</v>
      </c>
      <c r="T275" s="6">
        <f t="shared" si="154"/>
        <v>55350.119999999995</v>
      </c>
      <c r="U275" s="6">
        <f t="shared" si="154"/>
        <v>42450.099999999991</v>
      </c>
      <c r="V275" s="6">
        <f t="shared" si="154"/>
        <v>28275.029999999984</v>
      </c>
      <c r="W275" s="6">
        <f t="shared" si="154"/>
        <v>12599.999999999989</v>
      </c>
      <c r="X275" s="6"/>
      <c r="Y275" s="6"/>
      <c r="Z275" s="6"/>
      <c r="AA275" s="272"/>
      <c r="AB275" s="272"/>
      <c r="AC275" s="272"/>
      <c r="AD275" s="272"/>
      <c r="AE275" s="272"/>
      <c r="AF275" s="272"/>
      <c r="AG275" s="272"/>
      <c r="AH275" s="272"/>
      <c r="AI275" s="272"/>
      <c r="AJ275" s="272"/>
      <c r="AK275" s="272"/>
      <c r="AL275" s="272"/>
      <c r="AM275" s="272"/>
      <c r="AN275" s="272"/>
      <c r="AO275" s="272"/>
      <c r="AP275" s="272"/>
      <c r="AQ275" s="272"/>
      <c r="AR275" s="306" t="s">
        <v>186</v>
      </c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</row>
    <row r="276" spans="2:89" s="1" customFormat="1">
      <c r="B276" s="13" t="s">
        <v>256</v>
      </c>
      <c r="C276" s="13"/>
      <c r="E276" s="6"/>
      <c r="F276" s="25"/>
      <c r="G276" s="6"/>
      <c r="H276" s="6">
        <f t="shared" ref="H276:W276" si="155">+H$272*$G$238/4</f>
        <v>0</v>
      </c>
      <c r="I276" s="6">
        <f t="shared" si="155"/>
        <v>0</v>
      </c>
      <c r="J276" s="6">
        <f t="shared" si="155"/>
        <v>0</v>
      </c>
      <c r="K276" s="6">
        <f t="shared" si="155"/>
        <v>0</v>
      </c>
      <c r="L276" s="6">
        <f t="shared" si="155"/>
        <v>0</v>
      </c>
      <c r="M276" s="6">
        <f t="shared" si="155"/>
        <v>0</v>
      </c>
      <c r="N276" s="6">
        <f t="shared" si="155"/>
        <v>0</v>
      </c>
      <c r="O276" s="6">
        <f t="shared" si="155"/>
        <v>0</v>
      </c>
      <c r="P276" s="6">
        <f t="shared" si="155"/>
        <v>0</v>
      </c>
      <c r="Q276" s="6">
        <f t="shared" si="155"/>
        <v>0</v>
      </c>
      <c r="R276" s="6">
        <f t="shared" si="155"/>
        <v>0</v>
      </c>
      <c r="S276" s="6">
        <f t="shared" si="155"/>
        <v>2874.9700000000003</v>
      </c>
      <c r="T276" s="6">
        <f t="shared" si="155"/>
        <v>3150</v>
      </c>
      <c r="U276" s="6">
        <f t="shared" si="155"/>
        <v>3450.0200000000004</v>
      </c>
      <c r="V276" s="6">
        <f t="shared" si="155"/>
        <v>3825.0099999999998</v>
      </c>
      <c r="W276" s="6">
        <f t="shared" si="155"/>
        <v>4200</v>
      </c>
      <c r="X276" s="6"/>
      <c r="Y276" s="6"/>
      <c r="Z276" s="6"/>
      <c r="AA276" s="272"/>
      <c r="AB276" s="272"/>
      <c r="AC276" s="272"/>
      <c r="AD276" s="272"/>
      <c r="AE276" s="272"/>
      <c r="AF276" s="272"/>
      <c r="AG276" s="272"/>
      <c r="AH276" s="272"/>
      <c r="AI276" s="272"/>
      <c r="AJ276" s="272"/>
      <c r="AK276" s="272"/>
      <c r="AL276" s="272"/>
      <c r="AM276" s="272"/>
      <c r="AN276" s="272"/>
      <c r="AO276" s="272"/>
      <c r="AP276" s="272"/>
      <c r="AQ276" s="272"/>
      <c r="AR276" s="306" t="s">
        <v>186</v>
      </c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</row>
    <row r="277" spans="2:89" s="1" customFormat="1">
      <c r="B277" s="13"/>
      <c r="C277" s="13" t="s">
        <v>205</v>
      </c>
      <c r="E277" s="6"/>
      <c r="F277" s="25"/>
      <c r="G277" s="6"/>
      <c r="H277" s="6">
        <f t="shared" ref="H277:W277" si="156">H275-H276</f>
        <v>70000</v>
      </c>
      <c r="I277" s="6">
        <f t="shared" si="156"/>
        <v>70000</v>
      </c>
      <c r="J277" s="6">
        <f t="shared" si="156"/>
        <v>70000</v>
      </c>
      <c r="K277" s="6">
        <f t="shared" si="156"/>
        <v>70000</v>
      </c>
      <c r="L277" s="6">
        <f t="shared" si="156"/>
        <v>70000</v>
      </c>
      <c r="M277" s="6">
        <f t="shared" si="156"/>
        <v>70000</v>
      </c>
      <c r="N277" s="6">
        <f t="shared" si="156"/>
        <v>70000</v>
      </c>
      <c r="O277" s="6">
        <f t="shared" si="156"/>
        <v>70000</v>
      </c>
      <c r="P277" s="6">
        <f t="shared" si="156"/>
        <v>70000</v>
      </c>
      <c r="Q277" s="6">
        <f t="shared" si="156"/>
        <v>70000</v>
      </c>
      <c r="R277" s="6">
        <f t="shared" si="156"/>
        <v>70000</v>
      </c>
      <c r="S277" s="6">
        <f t="shared" si="156"/>
        <v>64250.06</v>
      </c>
      <c r="T277" s="6">
        <f t="shared" si="156"/>
        <v>52200.119999999995</v>
      </c>
      <c r="U277" s="6">
        <f t="shared" si="156"/>
        <v>39000.079999999987</v>
      </c>
      <c r="V277" s="6">
        <f t="shared" si="156"/>
        <v>24450.019999999986</v>
      </c>
      <c r="W277" s="6">
        <f t="shared" si="156"/>
        <v>8399.9999999999891</v>
      </c>
      <c r="X277" s="6"/>
      <c r="Y277" s="6"/>
      <c r="Z277" s="6"/>
      <c r="AA277" s="272"/>
      <c r="AB277" s="272"/>
      <c r="AC277" s="272"/>
      <c r="AD277" s="272"/>
      <c r="AE277" s="272"/>
      <c r="AF277" s="272"/>
      <c r="AG277" s="272"/>
      <c r="AH277" s="272"/>
      <c r="AI277" s="272"/>
      <c r="AJ277" s="272"/>
      <c r="AK277" s="272"/>
      <c r="AL277" s="272"/>
      <c r="AM277" s="272"/>
      <c r="AN277" s="272"/>
      <c r="AO277" s="272"/>
      <c r="AP277" s="272"/>
      <c r="AQ277" s="272"/>
      <c r="AR277" s="306" t="s">
        <v>186</v>
      </c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</row>
    <row r="278" spans="2:89" s="1" customFormat="1">
      <c r="B278" s="13" t="s">
        <v>257</v>
      </c>
      <c r="C278" s="13"/>
      <c r="E278" s="6"/>
      <c r="F278" s="25"/>
      <c r="G278" s="6"/>
      <c r="H278" s="6">
        <f t="shared" ref="H278:W278" si="157">+H$272*$G$238/4</f>
        <v>0</v>
      </c>
      <c r="I278" s="6">
        <f t="shared" si="157"/>
        <v>0</v>
      </c>
      <c r="J278" s="6">
        <f t="shared" si="157"/>
        <v>0</v>
      </c>
      <c r="K278" s="6">
        <f t="shared" si="157"/>
        <v>0</v>
      </c>
      <c r="L278" s="6">
        <f t="shared" si="157"/>
        <v>0</v>
      </c>
      <c r="M278" s="6">
        <f t="shared" si="157"/>
        <v>0</v>
      </c>
      <c r="N278" s="6">
        <f t="shared" si="157"/>
        <v>0</v>
      </c>
      <c r="O278" s="6">
        <f t="shared" si="157"/>
        <v>0</v>
      </c>
      <c r="P278" s="6">
        <f t="shared" si="157"/>
        <v>0</v>
      </c>
      <c r="Q278" s="6">
        <f t="shared" si="157"/>
        <v>0</v>
      </c>
      <c r="R278" s="6">
        <f t="shared" si="157"/>
        <v>0</v>
      </c>
      <c r="S278" s="6">
        <f t="shared" si="157"/>
        <v>2874.9700000000003</v>
      </c>
      <c r="T278" s="6">
        <f t="shared" si="157"/>
        <v>3150</v>
      </c>
      <c r="U278" s="6">
        <f t="shared" si="157"/>
        <v>3450.0200000000004</v>
      </c>
      <c r="V278" s="6">
        <f t="shared" si="157"/>
        <v>3825.0099999999998</v>
      </c>
      <c r="W278" s="6">
        <f t="shared" si="157"/>
        <v>4200</v>
      </c>
      <c r="X278" s="6"/>
      <c r="Y278" s="6"/>
      <c r="Z278" s="6"/>
      <c r="AA278" s="272"/>
      <c r="AB278" s="272"/>
      <c r="AC278" s="272"/>
      <c r="AD278" s="272"/>
      <c r="AE278" s="272"/>
      <c r="AF278" s="272"/>
      <c r="AG278" s="272"/>
      <c r="AH278" s="272"/>
      <c r="AI278" s="272"/>
      <c r="AJ278" s="272"/>
      <c r="AK278" s="272"/>
      <c r="AL278" s="272"/>
      <c r="AM278" s="272"/>
      <c r="AN278" s="272"/>
      <c r="AO278" s="272"/>
      <c r="AP278" s="272"/>
      <c r="AQ278" s="272"/>
      <c r="AR278" s="306" t="s">
        <v>186</v>
      </c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</row>
    <row r="279" spans="2:89" s="1" customFormat="1">
      <c r="B279" s="13"/>
      <c r="C279" s="13" t="s">
        <v>206</v>
      </c>
      <c r="E279" s="6"/>
      <c r="F279" s="25"/>
      <c r="G279" s="6"/>
      <c r="H279" s="6">
        <f t="shared" ref="H279:W279" si="158">H277-H278</f>
        <v>70000</v>
      </c>
      <c r="I279" s="6">
        <f t="shared" si="158"/>
        <v>70000</v>
      </c>
      <c r="J279" s="6">
        <f t="shared" si="158"/>
        <v>70000</v>
      </c>
      <c r="K279" s="6">
        <f t="shared" si="158"/>
        <v>70000</v>
      </c>
      <c r="L279" s="6">
        <f t="shared" si="158"/>
        <v>70000</v>
      </c>
      <c r="M279" s="6">
        <f t="shared" si="158"/>
        <v>70000</v>
      </c>
      <c r="N279" s="6">
        <f t="shared" si="158"/>
        <v>70000</v>
      </c>
      <c r="O279" s="6">
        <f t="shared" si="158"/>
        <v>70000</v>
      </c>
      <c r="P279" s="6">
        <f t="shared" si="158"/>
        <v>70000</v>
      </c>
      <c r="Q279" s="6">
        <f t="shared" si="158"/>
        <v>70000</v>
      </c>
      <c r="R279" s="6">
        <f t="shared" si="158"/>
        <v>70000</v>
      </c>
      <c r="S279" s="6">
        <f t="shared" si="158"/>
        <v>61375.09</v>
      </c>
      <c r="T279" s="6">
        <f t="shared" si="158"/>
        <v>49050.119999999995</v>
      </c>
      <c r="U279" s="6">
        <f t="shared" si="158"/>
        <v>35550.059999999983</v>
      </c>
      <c r="V279" s="6">
        <f t="shared" si="158"/>
        <v>20625.009999999987</v>
      </c>
      <c r="W279" s="6">
        <f t="shared" si="158"/>
        <v>4199.9999999999891</v>
      </c>
      <c r="X279" s="6"/>
      <c r="Y279" s="6"/>
      <c r="Z279" s="6"/>
      <c r="AA279" s="272"/>
      <c r="AB279" s="272"/>
      <c r="AC279" s="272"/>
      <c r="AD279" s="272"/>
      <c r="AE279" s="272"/>
      <c r="AF279" s="272"/>
      <c r="AG279" s="272"/>
      <c r="AH279" s="272"/>
      <c r="AI279" s="272"/>
      <c r="AJ279" s="272"/>
      <c r="AK279" s="272"/>
      <c r="AL279" s="272"/>
      <c r="AM279" s="272"/>
      <c r="AN279" s="272"/>
      <c r="AO279" s="272"/>
      <c r="AP279" s="272"/>
      <c r="AQ279" s="272"/>
      <c r="AR279" s="306" t="s">
        <v>186</v>
      </c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</row>
    <row r="280" spans="2:89" s="1" customFormat="1">
      <c r="B280" s="13" t="s">
        <v>258</v>
      </c>
      <c r="C280" s="13"/>
      <c r="E280" s="6"/>
      <c r="F280" s="25"/>
      <c r="G280" s="6"/>
      <c r="H280" s="6">
        <f t="shared" ref="H280:W280" si="159">+H$272*$G$238/4</f>
        <v>0</v>
      </c>
      <c r="I280" s="6">
        <f t="shared" si="159"/>
        <v>0</v>
      </c>
      <c r="J280" s="6">
        <f t="shared" si="159"/>
        <v>0</v>
      </c>
      <c r="K280" s="6">
        <f t="shared" si="159"/>
        <v>0</v>
      </c>
      <c r="L280" s="6">
        <f t="shared" si="159"/>
        <v>0</v>
      </c>
      <c r="M280" s="6">
        <f t="shared" si="159"/>
        <v>0</v>
      </c>
      <c r="N280" s="6">
        <f t="shared" si="159"/>
        <v>0</v>
      </c>
      <c r="O280" s="6">
        <f t="shared" si="159"/>
        <v>0</v>
      </c>
      <c r="P280" s="6">
        <f t="shared" si="159"/>
        <v>0</v>
      </c>
      <c r="Q280" s="6">
        <f t="shared" si="159"/>
        <v>0</v>
      </c>
      <c r="R280" s="6">
        <f t="shared" si="159"/>
        <v>0</v>
      </c>
      <c r="S280" s="6">
        <f t="shared" si="159"/>
        <v>2874.9700000000003</v>
      </c>
      <c r="T280" s="6">
        <f t="shared" si="159"/>
        <v>3150</v>
      </c>
      <c r="U280" s="6">
        <f t="shared" si="159"/>
        <v>3450.0200000000004</v>
      </c>
      <c r="V280" s="6">
        <f t="shared" si="159"/>
        <v>3825.0099999999998</v>
      </c>
      <c r="W280" s="6">
        <f t="shared" si="159"/>
        <v>4200</v>
      </c>
      <c r="X280" s="6"/>
      <c r="Y280" s="6"/>
      <c r="Z280" s="6"/>
      <c r="AA280" s="272"/>
      <c r="AB280" s="272"/>
      <c r="AC280" s="272"/>
      <c r="AD280" s="272"/>
      <c r="AE280" s="272"/>
      <c r="AF280" s="272"/>
      <c r="AG280" s="272"/>
      <c r="AH280" s="272"/>
      <c r="AI280" s="272"/>
      <c r="AJ280" s="272"/>
      <c r="AK280" s="272"/>
      <c r="AL280" s="272"/>
      <c r="AM280" s="272"/>
      <c r="AN280" s="272"/>
      <c r="AO280" s="272"/>
      <c r="AP280" s="272"/>
      <c r="AQ280" s="272"/>
      <c r="AR280" s="306" t="s">
        <v>186</v>
      </c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</row>
    <row r="281" spans="2:89" s="1" customFormat="1">
      <c r="B281" s="13"/>
      <c r="C281" s="13" t="s">
        <v>207</v>
      </c>
      <c r="E281" s="6"/>
      <c r="F281" s="25"/>
      <c r="G281" s="106">
        <v>70000</v>
      </c>
      <c r="H281" s="6">
        <f t="shared" ref="H281:W281" si="160">H279-H280</f>
        <v>70000</v>
      </c>
      <c r="I281" s="6">
        <f t="shared" si="160"/>
        <v>70000</v>
      </c>
      <c r="J281" s="6">
        <f t="shared" si="160"/>
        <v>70000</v>
      </c>
      <c r="K281" s="6">
        <f t="shared" si="160"/>
        <v>70000</v>
      </c>
      <c r="L281" s="6">
        <f t="shared" si="160"/>
        <v>70000</v>
      </c>
      <c r="M281" s="6">
        <f t="shared" si="160"/>
        <v>70000</v>
      </c>
      <c r="N281" s="6">
        <f t="shared" si="160"/>
        <v>70000</v>
      </c>
      <c r="O281" s="6">
        <f t="shared" si="160"/>
        <v>70000</v>
      </c>
      <c r="P281" s="6">
        <f t="shared" si="160"/>
        <v>70000</v>
      </c>
      <c r="Q281" s="6">
        <f t="shared" si="160"/>
        <v>70000</v>
      </c>
      <c r="R281" s="6">
        <f t="shared" si="160"/>
        <v>70000</v>
      </c>
      <c r="S281" s="6">
        <f t="shared" si="160"/>
        <v>58500.119999999995</v>
      </c>
      <c r="T281" s="6">
        <f t="shared" si="160"/>
        <v>45900.119999999995</v>
      </c>
      <c r="U281" s="6">
        <f t="shared" si="160"/>
        <v>32100.039999999983</v>
      </c>
      <c r="V281" s="6">
        <f t="shared" si="160"/>
        <v>16799.999999999989</v>
      </c>
      <c r="W281" s="6">
        <f t="shared" si="160"/>
        <v>-1.0913936421275139E-11</v>
      </c>
      <c r="X281" s="6"/>
      <c r="Y281" s="6"/>
      <c r="Z281" s="6"/>
      <c r="AA281" s="272"/>
      <c r="AB281" s="272"/>
      <c r="AC281" s="272"/>
      <c r="AD281" s="272"/>
      <c r="AE281" s="272"/>
      <c r="AF281" s="272"/>
      <c r="AG281" s="272"/>
      <c r="AH281" s="272"/>
      <c r="AI281" s="272"/>
      <c r="AJ281" s="272"/>
      <c r="AK281" s="272"/>
      <c r="AL281" s="272"/>
      <c r="AM281" s="272"/>
      <c r="AN281" s="272"/>
      <c r="AO281" s="272"/>
      <c r="AP281" s="272"/>
      <c r="AQ281" s="272"/>
      <c r="AR281" s="306" t="s">
        <v>186</v>
      </c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</row>
    <row r="282" spans="2:89" s="1" customFormat="1">
      <c r="B282" s="13"/>
      <c r="C282" s="13"/>
      <c r="E282" s="6"/>
      <c r="F282" s="25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272"/>
      <c r="AB282" s="272"/>
      <c r="AC282" s="272"/>
      <c r="AD282" s="272"/>
      <c r="AE282" s="272"/>
      <c r="AF282" s="272"/>
      <c r="AG282" s="272"/>
      <c r="AH282" s="272"/>
      <c r="AI282" s="272"/>
      <c r="AJ282" s="272"/>
      <c r="AK282" s="272"/>
      <c r="AL282" s="272"/>
      <c r="AM282" s="272"/>
      <c r="AN282" s="272"/>
      <c r="AO282" s="272"/>
      <c r="AP282" s="272"/>
      <c r="AQ282" s="272"/>
      <c r="AR282" s="306" t="s">
        <v>186</v>
      </c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</row>
    <row r="283" spans="2:89" s="1" customFormat="1">
      <c r="B283" s="13" t="s">
        <v>212</v>
      </c>
      <c r="C283" s="13"/>
      <c r="E283" s="6"/>
      <c r="F283" s="25"/>
      <c r="G283" s="6"/>
      <c r="H283" s="6">
        <f t="shared" ref="H283:W283" si="161">AVERAGE(H279,H277,H275,H273)</f>
        <v>70000</v>
      </c>
      <c r="I283" s="6">
        <f t="shared" si="161"/>
        <v>70000</v>
      </c>
      <c r="J283" s="6">
        <f t="shared" si="161"/>
        <v>70000</v>
      </c>
      <c r="K283" s="6">
        <f t="shared" si="161"/>
        <v>70000</v>
      </c>
      <c r="L283" s="6">
        <f t="shared" si="161"/>
        <v>70000</v>
      </c>
      <c r="M283" s="6">
        <f t="shared" si="161"/>
        <v>70000</v>
      </c>
      <c r="N283" s="6">
        <f t="shared" si="161"/>
        <v>70000</v>
      </c>
      <c r="O283" s="6">
        <f t="shared" si="161"/>
        <v>70000</v>
      </c>
      <c r="P283" s="6">
        <f t="shared" si="161"/>
        <v>70000</v>
      </c>
      <c r="Q283" s="6">
        <f t="shared" si="161"/>
        <v>70000</v>
      </c>
      <c r="R283" s="6">
        <f t="shared" si="161"/>
        <v>70000</v>
      </c>
      <c r="S283" s="6">
        <f t="shared" si="161"/>
        <v>65687.544999999998</v>
      </c>
      <c r="T283" s="6">
        <f t="shared" si="161"/>
        <v>53775.119999999995</v>
      </c>
      <c r="U283" s="6">
        <f t="shared" si="161"/>
        <v>40725.089999999989</v>
      </c>
      <c r="V283" s="6">
        <f t="shared" si="161"/>
        <v>26362.524999999983</v>
      </c>
      <c r="W283" s="6">
        <f t="shared" si="161"/>
        <v>10499.999999999989</v>
      </c>
      <c r="X283" s="6"/>
      <c r="Y283" s="6"/>
      <c r="Z283" s="6"/>
      <c r="AA283" s="272"/>
      <c r="AB283" s="272"/>
      <c r="AC283" s="272"/>
      <c r="AD283" s="272"/>
      <c r="AE283" s="272"/>
      <c r="AF283" s="272"/>
      <c r="AG283" s="272"/>
      <c r="AH283" s="272"/>
      <c r="AI283" s="272"/>
      <c r="AJ283" s="272"/>
      <c r="AK283" s="272"/>
      <c r="AL283" s="272"/>
      <c r="AM283" s="272"/>
      <c r="AN283" s="272"/>
      <c r="AO283" s="272"/>
      <c r="AP283" s="272"/>
      <c r="AQ283" s="272"/>
      <c r="AR283" s="306" t="s">
        <v>186</v>
      </c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</row>
    <row r="284" spans="2:89" s="1" customFormat="1">
      <c r="B284" s="13"/>
      <c r="C284" s="13"/>
      <c r="F284" s="25"/>
      <c r="G284" s="6"/>
      <c r="H284" s="333">
        <f>IF(ISERROR(H283/$G$281),0,H283/$G$281)</f>
        <v>1</v>
      </c>
      <c r="I284" s="311">
        <f t="shared" ref="I284:W284" si="162">IF(ISERROR(I283/$G$281),0,I283/$G$281)</f>
        <v>1</v>
      </c>
      <c r="J284" s="311">
        <f t="shared" si="162"/>
        <v>1</v>
      </c>
      <c r="K284" s="311">
        <f t="shared" si="162"/>
        <v>1</v>
      </c>
      <c r="L284" s="311">
        <f t="shared" si="162"/>
        <v>1</v>
      </c>
      <c r="M284" s="311">
        <f t="shared" si="162"/>
        <v>1</v>
      </c>
      <c r="N284" s="311">
        <f t="shared" si="162"/>
        <v>1</v>
      </c>
      <c r="O284" s="311">
        <f t="shared" si="162"/>
        <v>1</v>
      </c>
      <c r="P284" s="311">
        <f t="shared" si="162"/>
        <v>1</v>
      </c>
      <c r="Q284" s="311">
        <f t="shared" si="162"/>
        <v>1</v>
      </c>
      <c r="R284" s="311">
        <f t="shared" si="162"/>
        <v>1</v>
      </c>
      <c r="S284" s="311">
        <f t="shared" si="162"/>
        <v>0.93839349999999999</v>
      </c>
      <c r="T284" s="311">
        <f t="shared" si="162"/>
        <v>0.7682159999999999</v>
      </c>
      <c r="U284" s="311">
        <f t="shared" si="162"/>
        <v>0.58178699999999983</v>
      </c>
      <c r="V284" s="311">
        <f t="shared" si="162"/>
        <v>0.37660749999999976</v>
      </c>
      <c r="W284" s="311">
        <f t="shared" si="162"/>
        <v>0.14999999999999986</v>
      </c>
      <c r="X284" s="25"/>
      <c r="Y284" s="25"/>
      <c r="Z284" s="25"/>
      <c r="AA284" s="254"/>
      <c r="AB284" s="254"/>
      <c r="AC284" s="254"/>
      <c r="AD284" s="254"/>
      <c r="AE284" s="254"/>
      <c r="AF284" s="254"/>
      <c r="AG284" s="254"/>
      <c r="AH284" s="254"/>
      <c r="AI284" s="254"/>
      <c r="AJ284" s="254"/>
      <c r="AK284" s="254"/>
      <c r="AL284" s="254"/>
      <c r="AM284" s="254"/>
      <c r="AN284" s="254"/>
      <c r="AO284" s="254"/>
      <c r="AP284" s="254"/>
      <c r="AQ284" s="254"/>
      <c r="AR284" s="306" t="s">
        <v>186</v>
      </c>
    </row>
    <row r="285" spans="2:89" s="1" customFormat="1">
      <c r="B285" s="13"/>
      <c r="C285" s="13"/>
      <c r="F285" s="25"/>
      <c r="G285" s="311"/>
      <c r="H285" s="311"/>
      <c r="I285" s="311"/>
      <c r="J285" s="311"/>
      <c r="K285" s="311"/>
      <c r="L285" s="311"/>
      <c r="M285" s="311"/>
      <c r="N285" s="311"/>
      <c r="O285" s="311"/>
      <c r="P285" s="311"/>
      <c r="Q285" s="311"/>
      <c r="R285" s="311"/>
      <c r="S285" s="311"/>
      <c r="T285" s="311"/>
      <c r="U285" s="311"/>
      <c r="V285" s="311"/>
      <c r="W285" s="311"/>
      <c r="X285" s="25"/>
      <c r="Y285" s="25"/>
      <c r="Z285" s="25"/>
      <c r="AA285" s="254"/>
      <c r="AB285" s="254"/>
      <c r="AC285" s="254"/>
      <c r="AD285" s="254"/>
      <c r="AE285" s="254"/>
      <c r="AF285" s="254"/>
      <c r="AG285" s="254"/>
      <c r="AH285" s="254"/>
      <c r="AI285" s="254"/>
      <c r="AJ285" s="254"/>
      <c r="AK285" s="254"/>
      <c r="AL285" s="254"/>
      <c r="AM285" s="254"/>
      <c r="AN285" s="254"/>
      <c r="AO285" s="254"/>
      <c r="AP285" s="254"/>
      <c r="AQ285" s="254"/>
      <c r="AR285" s="306" t="s">
        <v>186</v>
      </c>
    </row>
    <row r="286" spans="2:89" s="315" customFormat="1">
      <c r="B286" s="331" t="s">
        <v>194</v>
      </c>
      <c r="C286" s="331"/>
      <c r="F286" s="46"/>
      <c r="G286" s="22"/>
      <c r="H286" s="22">
        <f t="shared" ref="H286:W286" si="163">+H283+H270</f>
        <v>144654.15625</v>
      </c>
      <c r="I286" s="22">
        <f t="shared" si="163"/>
        <v>142445.90625</v>
      </c>
      <c r="J286" s="22">
        <f t="shared" si="163"/>
        <v>140087.09375</v>
      </c>
      <c r="K286" s="22">
        <f t="shared" si="163"/>
        <v>137326.78125</v>
      </c>
      <c r="L286" s="22">
        <f t="shared" si="163"/>
        <v>134164.96875</v>
      </c>
      <c r="M286" s="22">
        <f t="shared" si="163"/>
        <v>130601.65625</v>
      </c>
      <c r="N286" s="22">
        <f t="shared" si="163"/>
        <v>124992.70125</v>
      </c>
      <c r="O286" s="22">
        <f t="shared" si="163"/>
        <v>115844.52374999999</v>
      </c>
      <c r="P286" s="22">
        <f t="shared" si="163"/>
        <v>106041.90125</v>
      </c>
      <c r="Q286" s="22">
        <f t="shared" si="163"/>
        <v>96152.956249999988</v>
      </c>
      <c r="R286" s="22">
        <f t="shared" si="163"/>
        <v>84750.356249999997</v>
      </c>
      <c r="S286" s="22">
        <f t="shared" si="163"/>
        <v>70029.013749999998</v>
      </c>
      <c r="T286" s="22">
        <f t="shared" si="163"/>
        <v>53775.119999999995</v>
      </c>
      <c r="U286" s="22">
        <f t="shared" si="163"/>
        <v>40725.089999999989</v>
      </c>
      <c r="V286" s="22">
        <f t="shared" si="163"/>
        <v>26362.524999999983</v>
      </c>
      <c r="W286" s="22">
        <f t="shared" si="163"/>
        <v>10499.999999999989</v>
      </c>
      <c r="X286" s="22"/>
      <c r="Y286" s="22"/>
      <c r="Z286" s="22"/>
      <c r="AA286" s="262"/>
      <c r="AB286" s="262"/>
      <c r="AC286" s="262"/>
      <c r="AD286" s="262"/>
      <c r="AE286" s="262"/>
      <c r="AF286" s="262"/>
      <c r="AG286" s="262"/>
      <c r="AH286" s="262"/>
      <c r="AI286" s="262"/>
      <c r="AJ286" s="262"/>
      <c r="AK286" s="262"/>
      <c r="AL286" s="262"/>
      <c r="AM286" s="262"/>
      <c r="AN286" s="262"/>
      <c r="AO286" s="262"/>
      <c r="AP286" s="262"/>
      <c r="AQ286" s="262"/>
      <c r="AR286" s="306" t="s">
        <v>186</v>
      </c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</row>
    <row r="287" spans="2:89" s="315" customFormat="1">
      <c r="B287" s="331" t="s">
        <v>195</v>
      </c>
      <c r="C287" s="331"/>
      <c r="F287" s="46"/>
      <c r="G287" s="106">
        <v>145482.25</v>
      </c>
      <c r="H287" s="22">
        <f t="shared" ref="H287:W287" si="164">+H281+H268</f>
        <v>143274</v>
      </c>
      <c r="I287" s="22">
        <f t="shared" si="164"/>
        <v>141065.75</v>
      </c>
      <c r="J287" s="22">
        <f t="shared" si="164"/>
        <v>138456</v>
      </c>
      <c r="K287" s="22">
        <f t="shared" si="164"/>
        <v>135444.75</v>
      </c>
      <c r="L287" s="22">
        <f t="shared" si="164"/>
        <v>132032</v>
      </c>
      <c r="M287" s="22">
        <f t="shared" si="164"/>
        <v>128217.75</v>
      </c>
      <c r="N287" s="22">
        <f t="shared" si="164"/>
        <v>119617.62</v>
      </c>
      <c r="O287" s="22">
        <f t="shared" si="164"/>
        <v>109556.03</v>
      </c>
      <c r="P287" s="22">
        <f t="shared" si="164"/>
        <v>100185.01999999999</v>
      </c>
      <c r="Q287" s="22">
        <f t="shared" si="164"/>
        <v>89432.85</v>
      </c>
      <c r="R287" s="22">
        <f t="shared" si="164"/>
        <v>76946.2</v>
      </c>
      <c r="S287" s="22">
        <f t="shared" si="164"/>
        <v>58500.369999999995</v>
      </c>
      <c r="T287" s="22">
        <f t="shared" si="164"/>
        <v>45900.119999999995</v>
      </c>
      <c r="U287" s="22">
        <f t="shared" si="164"/>
        <v>32100.039999999983</v>
      </c>
      <c r="V287" s="22">
        <f t="shared" si="164"/>
        <v>16799.999999999989</v>
      </c>
      <c r="W287" s="22">
        <f t="shared" si="164"/>
        <v>-1.0913936421275139E-11</v>
      </c>
      <c r="X287" s="22"/>
      <c r="Y287" s="22"/>
      <c r="Z287" s="22"/>
      <c r="AA287" s="262"/>
      <c r="AB287" s="262"/>
      <c r="AC287" s="262"/>
      <c r="AD287" s="262"/>
      <c r="AE287" s="262"/>
      <c r="AF287" s="262"/>
      <c r="AG287" s="262"/>
      <c r="AH287" s="262"/>
      <c r="AI287" s="262"/>
      <c r="AJ287" s="262"/>
      <c r="AK287" s="262"/>
      <c r="AL287" s="262"/>
      <c r="AM287" s="262"/>
      <c r="AN287" s="262"/>
      <c r="AO287" s="262"/>
      <c r="AP287" s="262"/>
      <c r="AQ287" s="262"/>
      <c r="AR287" s="306" t="s">
        <v>187</v>
      </c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</row>
    <row r="288" spans="2:89" s="1" customFormat="1">
      <c r="B288" s="16"/>
      <c r="C288" s="16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4"/>
      <c r="AB288" s="254"/>
      <c r="AC288" s="254"/>
      <c r="AD288" s="254"/>
      <c r="AE288" s="254"/>
      <c r="AF288" s="254"/>
      <c r="AG288" s="254"/>
      <c r="AH288" s="254"/>
      <c r="AI288" s="254"/>
      <c r="AJ288" s="254"/>
      <c r="AK288" s="254"/>
      <c r="AL288" s="254"/>
      <c r="AM288" s="254"/>
      <c r="AN288" s="254"/>
      <c r="AO288" s="254"/>
      <c r="AP288" s="254"/>
      <c r="AQ288" s="254"/>
      <c r="AR288" s="301"/>
    </row>
    <row r="289" spans="1:44" s="1" customFormat="1">
      <c r="B289" s="16" t="s">
        <v>196</v>
      </c>
      <c r="C289" s="16"/>
      <c r="F289" s="25"/>
      <c r="G289" s="6"/>
      <c r="H289" s="6">
        <f t="shared" ref="H289:W289" si="165">+H257+H250+H243</f>
        <v>13689.460968532852</v>
      </c>
      <c r="I289" s="6">
        <f t="shared" si="165"/>
        <v>13476.749196190485</v>
      </c>
      <c r="J289" s="6">
        <f t="shared" si="165"/>
        <v>13253.768726793733</v>
      </c>
      <c r="K289" s="6">
        <f t="shared" si="165"/>
        <v>12997.861327151975</v>
      </c>
      <c r="L289" s="6">
        <f t="shared" si="165"/>
        <v>13011.68976316993</v>
      </c>
      <c r="M289" s="6">
        <f t="shared" si="165"/>
        <v>12663.703125271188</v>
      </c>
      <c r="N289" s="6">
        <f t="shared" si="165"/>
        <v>12035.440195897727</v>
      </c>
      <c r="O289" s="6">
        <f t="shared" si="165"/>
        <v>11135.063103540213</v>
      </c>
      <c r="P289" s="6">
        <f t="shared" si="165"/>
        <v>10420.258186269659</v>
      </c>
      <c r="Q289" s="6">
        <f t="shared" si="165"/>
        <v>9311.247949622848</v>
      </c>
      <c r="R289" s="6">
        <f t="shared" si="165"/>
        <v>8174.9652826007741</v>
      </c>
      <c r="S289" s="6">
        <f t="shared" si="165"/>
        <v>6713.6319379178549</v>
      </c>
      <c r="T289" s="6">
        <f t="shared" si="165"/>
        <v>5360.9840150106729</v>
      </c>
      <c r="U289" s="6">
        <f t="shared" si="165"/>
        <v>4057.6944361140909</v>
      </c>
      <c r="V289" s="6">
        <f t="shared" si="165"/>
        <v>2630.1305564017362</v>
      </c>
      <c r="W289" s="6">
        <f t="shared" si="165"/>
        <v>1044.9897839122577</v>
      </c>
      <c r="X289" s="6"/>
      <c r="Y289" s="6"/>
      <c r="Z289" s="6"/>
      <c r="AA289" s="254"/>
      <c r="AB289" s="254"/>
      <c r="AC289" s="254"/>
      <c r="AD289" s="254"/>
      <c r="AE289" s="254"/>
      <c r="AF289" s="254"/>
      <c r="AG289" s="254"/>
      <c r="AH289" s="254"/>
      <c r="AI289" s="254"/>
      <c r="AJ289" s="254"/>
      <c r="AK289" s="254"/>
      <c r="AL289" s="254"/>
      <c r="AM289" s="254"/>
      <c r="AN289" s="254"/>
      <c r="AO289" s="254"/>
      <c r="AP289" s="254"/>
      <c r="AQ289" s="254"/>
      <c r="AR289" s="306" t="s">
        <v>187</v>
      </c>
    </row>
    <row r="290" spans="1:44" s="1" customFormat="1">
      <c r="B290" s="16" t="s">
        <v>197</v>
      </c>
      <c r="C290" s="16"/>
      <c r="F290" s="25"/>
      <c r="G290" s="6"/>
      <c r="H290" s="6">
        <f t="shared" ref="H290:W290" si="166">(H261+H263+H265+H267)+(H274+H276+H278+H280)</f>
        <v>2208.25</v>
      </c>
      <c r="I290" s="6">
        <f t="shared" si="166"/>
        <v>2208.25</v>
      </c>
      <c r="J290" s="6">
        <f t="shared" si="166"/>
        <v>2609.75</v>
      </c>
      <c r="K290" s="6">
        <f t="shared" si="166"/>
        <v>3011.25</v>
      </c>
      <c r="L290" s="6">
        <f t="shared" si="166"/>
        <v>3412.7500000000005</v>
      </c>
      <c r="M290" s="6">
        <f t="shared" si="166"/>
        <v>3814.25</v>
      </c>
      <c r="N290" s="6">
        <f t="shared" si="166"/>
        <v>8600.1299999999992</v>
      </c>
      <c r="O290" s="6">
        <f t="shared" si="166"/>
        <v>10061.59</v>
      </c>
      <c r="P290" s="6">
        <f t="shared" si="166"/>
        <v>9371.01</v>
      </c>
      <c r="Q290" s="6">
        <f t="shared" si="166"/>
        <v>10752.17</v>
      </c>
      <c r="R290" s="6">
        <f t="shared" si="166"/>
        <v>12486.65</v>
      </c>
      <c r="S290" s="6">
        <f t="shared" si="166"/>
        <v>18445.830000000002</v>
      </c>
      <c r="T290" s="6">
        <f t="shared" si="166"/>
        <v>12600</v>
      </c>
      <c r="U290" s="6">
        <f t="shared" si="166"/>
        <v>13800.080000000002</v>
      </c>
      <c r="V290" s="6">
        <f t="shared" si="166"/>
        <v>15300.039999999999</v>
      </c>
      <c r="W290" s="6">
        <f t="shared" si="166"/>
        <v>16800</v>
      </c>
      <c r="X290" s="6"/>
      <c r="Y290" s="6"/>
      <c r="Z290" s="6"/>
      <c r="AA290" s="254"/>
      <c r="AB290" s="254"/>
      <c r="AC290" s="254"/>
      <c r="AD290" s="254"/>
      <c r="AE290" s="254"/>
      <c r="AF290" s="254"/>
      <c r="AG290" s="254"/>
      <c r="AH290" s="254"/>
      <c r="AI290" s="254"/>
      <c r="AJ290" s="254"/>
      <c r="AK290" s="254"/>
      <c r="AL290" s="254"/>
      <c r="AM290" s="254"/>
      <c r="AN290" s="254"/>
      <c r="AO290" s="254"/>
      <c r="AP290" s="254"/>
      <c r="AQ290" s="254"/>
      <c r="AR290" s="306" t="s">
        <v>187</v>
      </c>
    </row>
    <row r="291" spans="1:44" s="1" customFormat="1">
      <c r="B291" s="16" t="s">
        <v>198</v>
      </c>
      <c r="C291" s="16"/>
      <c r="F291" s="25"/>
      <c r="G291" s="6"/>
      <c r="H291" s="6">
        <f t="shared" ref="H291:W291" si="167">H289+H290</f>
        <v>15897.710968532852</v>
      </c>
      <c r="I291" s="6">
        <f t="shared" si="167"/>
        <v>15684.999196190485</v>
      </c>
      <c r="J291" s="6">
        <f t="shared" si="167"/>
        <v>15863.518726793733</v>
      </c>
      <c r="K291" s="6">
        <f t="shared" si="167"/>
        <v>16009.111327151975</v>
      </c>
      <c r="L291" s="6">
        <f t="shared" si="167"/>
        <v>16424.439763169932</v>
      </c>
      <c r="M291" s="6">
        <f t="shared" si="167"/>
        <v>16477.953125271189</v>
      </c>
      <c r="N291" s="6">
        <f t="shared" si="167"/>
        <v>20635.570195897726</v>
      </c>
      <c r="O291" s="6">
        <f t="shared" si="167"/>
        <v>21196.653103540215</v>
      </c>
      <c r="P291" s="6">
        <f t="shared" si="167"/>
        <v>19791.268186269659</v>
      </c>
      <c r="Q291" s="6">
        <f t="shared" si="167"/>
        <v>20063.417949622846</v>
      </c>
      <c r="R291" s="6">
        <f t="shared" si="167"/>
        <v>20661.615282600775</v>
      </c>
      <c r="S291" s="6">
        <f t="shared" si="167"/>
        <v>25159.461937917855</v>
      </c>
      <c r="T291" s="6">
        <f t="shared" si="167"/>
        <v>17960.984015010672</v>
      </c>
      <c r="U291" s="6">
        <f t="shared" si="167"/>
        <v>17857.774436114094</v>
      </c>
      <c r="V291" s="6">
        <f t="shared" si="167"/>
        <v>17930.170556401736</v>
      </c>
      <c r="W291" s="6">
        <f t="shared" si="167"/>
        <v>17844.989783912257</v>
      </c>
      <c r="X291" s="6"/>
      <c r="Y291" s="6"/>
      <c r="Z291" s="6"/>
      <c r="AA291" s="254"/>
      <c r="AB291" s="254"/>
      <c r="AC291" s="254"/>
      <c r="AD291" s="254"/>
      <c r="AE291" s="254"/>
      <c r="AF291" s="254"/>
      <c r="AG291" s="254"/>
      <c r="AH291" s="254"/>
      <c r="AI291" s="254"/>
      <c r="AJ291" s="254"/>
      <c r="AK291" s="254"/>
      <c r="AL291" s="254"/>
      <c r="AM291" s="254"/>
      <c r="AN291" s="254"/>
      <c r="AO291" s="254"/>
      <c r="AP291" s="254"/>
      <c r="AQ291" s="254"/>
      <c r="AR291" s="306" t="s">
        <v>187</v>
      </c>
    </row>
    <row r="292" spans="1:44" s="1" customFormat="1">
      <c r="B292" s="16" t="s">
        <v>203</v>
      </c>
      <c r="C292" s="21"/>
      <c r="F292" s="25"/>
      <c r="G292" s="311"/>
      <c r="H292" s="311">
        <f t="shared" ref="H292:W292" si="168">+H289/H286</f>
        <v>9.4635794251731728E-2</v>
      </c>
      <c r="I292" s="311">
        <f t="shared" si="168"/>
        <v>9.4609592869156142E-2</v>
      </c>
      <c r="J292" s="311">
        <f t="shared" si="168"/>
        <v>9.4610919335984381E-2</v>
      </c>
      <c r="K292" s="311">
        <f t="shared" si="168"/>
        <v>9.4649136962510552E-2</v>
      </c>
      <c r="L292" s="311">
        <f t="shared" si="168"/>
        <v>9.6982765951487845E-2</v>
      </c>
      <c r="M292" s="311">
        <f t="shared" si="168"/>
        <v>9.6964337887339672E-2</v>
      </c>
      <c r="N292" s="311">
        <f t="shared" si="168"/>
        <v>9.6289143890293569E-2</v>
      </c>
      <c r="O292" s="311">
        <f t="shared" si="168"/>
        <v>9.6120755156026208E-2</v>
      </c>
      <c r="P292" s="311">
        <f t="shared" si="168"/>
        <v>9.8265478678124504E-2</v>
      </c>
      <c r="Q292" s="311">
        <f t="shared" si="168"/>
        <v>9.6837874910609925E-2</v>
      </c>
      <c r="R292" s="311">
        <f t="shared" si="168"/>
        <v>9.6459361875552874E-2</v>
      </c>
      <c r="S292" s="311">
        <f t="shared" si="168"/>
        <v>9.5869291575134533E-2</v>
      </c>
      <c r="T292" s="311">
        <f t="shared" si="168"/>
        <v>9.9692646246269154E-2</v>
      </c>
      <c r="U292" s="311">
        <f t="shared" si="168"/>
        <v>9.9636230051648553E-2</v>
      </c>
      <c r="V292" s="311">
        <f t="shared" si="168"/>
        <v>9.9767778556937844E-2</v>
      </c>
      <c r="W292" s="311">
        <f t="shared" si="168"/>
        <v>9.9522836563072273E-2</v>
      </c>
      <c r="X292" s="25"/>
      <c r="Y292" s="25"/>
      <c r="Z292" s="25"/>
      <c r="AA292" s="254"/>
      <c r="AB292" s="254"/>
      <c r="AC292" s="254"/>
      <c r="AD292" s="254"/>
      <c r="AE292" s="254"/>
      <c r="AF292" s="254"/>
      <c r="AG292" s="254"/>
      <c r="AH292" s="254"/>
      <c r="AI292" s="254"/>
      <c r="AJ292" s="254"/>
      <c r="AK292" s="254"/>
      <c r="AL292" s="254"/>
      <c r="AM292" s="254"/>
      <c r="AN292" s="254"/>
      <c r="AO292" s="254"/>
      <c r="AP292" s="254"/>
      <c r="AQ292" s="254"/>
      <c r="AR292" s="306" t="s">
        <v>187</v>
      </c>
    </row>
    <row r="293" spans="1:44" s="1" customFormat="1"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272"/>
      <c r="AB293" s="272"/>
      <c r="AC293" s="272"/>
      <c r="AD293" s="272"/>
      <c r="AE293" s="272"/>
      <c r="AF293" s="272"/>
      <c r="AG293" s="272"/>
      <c r="AH293" s="272"/>
      <c r="AI293" s="272"/>
      <c r="AJ293" s="272"/>
      <c r="AK293" s="272"/>
      <c r="AL293" s="272"/>
      <c r="AM293" s="272"/>
      <c r="AN293" s="272"/>
      <c r="AO293" s="272"/>
      <c r="AP293" s="272"/>
      <c r="AQ293" s="272"/>
      <c r="AR293" s="301"/>
    </row>
    <row r="294" spans="1:44" s="1" customFormat="1" ht="13.8" thickBot="1">
      <c r="G294" s="34" t="s">
        <v>22</v>
      </c>
      <c r="H294" s="11">
        <f>+H$9</f>
        <v>2001</v>
      </c>
      <c r="I294" s="11">
        <f>+H294+1</f>
        <v>2002</v>
      </c>
      <c r="J294" s="11">
        <f t="shared" ref="J294:Z294" si="169">+I294+1</f>
        <v>2003</v>
      </c>
      <c r="K294" s="11">
        <f t="shared" si="169"/>
        <v>2004</v>
      </c>
      <c r="L294" s="11">
        <f t="shared" si="169"/>
        <v>2005</v>
      </c>
      <c r="M294" s="11">
        <f t="shared" si="169"/>
        <v>2006</v>
      </c>
      <c r="N294" s="11">
        <f t="shared" si="169"/>
        <v>2007</v>
      </c>
      <c r="O294" s="11">
        <f t="shared" si="169"/>
        <v>2008</v>
      </c>
      <c r="P294" s="11">
        <f t="shared" si="169"/>
        <v>2009</v>
      </c>
      <c r="Q294" s="11">
        <f t="shared" si="169"/>
        <v>2010</v>
      </c>
      <c r="R294" s="11">
        <f t="shared" si="169"/>
        <v>2011</v>
      </c>
      <c r="S294" s="11">
        <f t="shared" si="169"/>
        <v>2012</v>
      </c>
      <c r="T294" s="11">
        <f t="shared" si="169"/>
        <v>2013</v>
      </c>
      <c r="U294" s="11">
        <f t="shared" si="169"/>
        <v>2014</v>
      </c>
      <c r="V294" s="11">
        <f t="shared" si="169"/>
        <v>2015</v>
      </c>
      <c r="W294" s="11">
        <f t="shared" si="169"/>
        <v>2016</v>
      </c>
      <c r="X294" s="11">
        <f t="shared" si="169"/>
        <v>2017</v>
      </c>
      <c r="Y294" s="11">
        <f t="shared" si="169"/>
        <v>2018</v>
      </c>
      <c r="Z294" s="11">
        <f t="shared" si="169"/>
        <v>2019</v>
      </c>
      <c r="AA294" s="272"/>
      <c r="AB294" s="272"/>
      <c r="AC294" s="272"/>
      <c r="AD294" s="272"/>
      <c r="AE294" s="272"/>
      <c r="AF294" s="272"/>
      <c r="AG294" s="272"/>
      <c r="AH294" s="272"/>
      <c r="AI294" s="272"/>
      <c r="AJ294" s="272"/>
      <c r="AK294" s="272"/>
      <c r="AL294" s="272"/>
      <c r="AM294" s="272"/>
      <c r="AN294" s="272"/>
      <c r="AO294" s="272"/>
      <c r="AP294" s="272"/>
      <c r="AQ294" s="272"/>
      <c r="AR294" s="301"/>
    </row>
    <row r="295" spans="1:44" s="1" customFormat="1" ht="15.6">
      <c r="A295" s="29" t="s">
        <v>248</v>
      </c>
      <c r="AA295" s="272"/>
      <c r="AB295" s="272"/>
      <c r="AC295" s="272"/>
      <c r="AD295" s="272"/>
      <c r="AE295" s="272"/>
      <c r="AF295" s="272"/>
      <c r="AG295" s="272"/>
      <c r="AH295" s="272"/>
      <c r="AI295" s="272"/>
      <c r="AJ295" s="272"/>
      <c r="AK295" s="272"/>
      <c r="AL295" s="272"/>
      <c r="AM295" s="272"/>
      <c r="AN295" s="272"/>
      <c r="AO295" s="272"/>
      <c r="AP295" s="272"/>
      <c r="AQ295" s="272"/>
      <c r="AR295" s="301"/>
    </row>
    <row r="296" spans="1:44" s="1" customFormat="1" ht="15.6">
      <c r="A296" s="29"/>
      <c r="AA296" s="272"/>
      <c r="AB296" s="272"/>
      <c r="AC296" s="272"/>
      <c r="AD296" s="272"/>
      <c r="AE296" s="272"/>
      <c r="AF296" s="272"/>
      <c r="AG296" s="272"/>
      <c r="AH296" s="272"/>
      <c r="AI296" s="272"/>
      <c r="AJ296" s="272"/>
      <c r="AK296" s="272"/>
      <c r="AL296" s="272"/>
      <c r="AM296" s="272"/>
      <c r="AN296" s="272"/>
      <c r="AO296" s="272"/>
      <c r="AP296" s="272"/>
      <c r="AQ296" s="272"/>
      <c r="AR296" s="301"/>
    </row>
    <row r="297" spans="1:44" s="1" customFormat="1">
      <c r="A297" s="337" t="str">
        <f>+A59</f>
        <v>Contract Purchase (Status Quo)</v>
      </c>
      <c r="E297" s="41"/>
      <c r="F297" s="41"/>
      <c r="G297" s="41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272"/>
      <c r="AB297" s="272"/>
      <c r="AC297" s="272"/>
      <c r="AD297" s="272"/>
      <c r="AE297" s="272"/>
      <c r="AF297" s="272"/>
      <c r="AG297" s="272"/>
      <c r="AH297" s="272"/>
      <c r="AI297" s="272"/>
      <c r="AJ297" s="272"/>
      <c r="AK297" s="272"/>
      <c r="AL297" s="272"/>
      <c r="AM297" s="272"/>
      <c r="AN297" s="272"/>
      <c r="AO297" s="272"/>
      <c r="AP297" s="272"/>
      <c r="AQ297" s="272"/>
      <c r="AR297" s="301"/>
    </row>
    <row r="298" spans="1:44" s="1" customFormat="1">
      <c r="A298" s="297"/>
      <c r="E298" s="41"/>
      <c r="F298" s="41"/>
      <c r="G298" s="41"/>
      <c r="AA298" s="254"/>
      <c r="AB298" s="254"/>
      <c r="AC298" s="254"/>
      <c r="AD298" s="254"/>
      <c r="AE298" s="254"/>
      <c r="AF298" s="254"/>
      <c r="AG298" s="254"/>
      <c r="AH298" s="254"/>
      <c r="AI298" s="254"/>
      <c r="AJ298" s="254"/>
      <c r="AK298" s="254"/>
      <c r="AL298" s="254"/>
      <c r="AM298" s="254"/>
      <c r="AN298" s="254"/>
      <c r="AO298" s="254"/>
      <c r="AP298" s="254"/>
      <c r="AQ298" s="254"/>
      <c r="AR298" s="301"/>
    </row>
    <row r="299" spans="1:44" s="1" customFormat="1">
      <c r="A299" s="297"/>
      <c r="B299" s="13" t="s">
        <v>15</v>
      </c>
      <c r="E299" s="41"/>
      <c r="F299" s="41"/>
      <c r="G299" s="41"/>
      <c r="H299" s="7">
        <f>+H64</f>
        <v>48508.800000000003</v>
      </c>
      <c r="I299" s="7">
        <f t="shared" ref="I299:AQ299" si="170">+I64</f>
        <v>50005.44000000001</v>
      </c>
      <c r="J299" s="7">
        <f t="shared" si="170"/>
        <v>51804.380040000004</v>
      </c>
      <c r="K299" s="7">
        <f t="shared" si="170"/>
        <v>53619.680039999999</v>
      </c>
      <c r="L299" s="7">
        <f t="shared" si="170"/>
        <v>55303.83995999999</v>
      </c>
      <c r="M299" s="7">
        <f t="shared" si="170"/>
        <v>57166.460040000013</v>
      </c>
      <c r="N299" s="7">
        <f t="shared" si="170"/>
        <v>57461.760000000002</v>
      </c>
      <c r="O299" s="7">
        <f t="shared" si="170"/>
        <v>58916.880000000005</v>
      </c>
      <c r="P299" s="7">
        <f t="shared" si="170"/>
        <v>60960.24</v>
      </c>
      <c r="Q299" s="7">
        <f t="shared" si="170"/>
        <v>62724.959999999999</v>
      </c>
      <c r="R299" s="7">
        <f t="shared" si="170"/>
        <v>64582.560000000005</v>
      </c>
      <c r="S299" s="7">
        <f t="shared" si="170"/>
        <v>66625.919999999998</v>
      </c>
      <c r="T299" s="7">
        <f t="shared" si="170"/>
        <v>67988.160000000003</v>
      </c>
      <c r="U299" s="7">
        <f t="shared" si="170"/>
        <v>68142.960000000006</v>
      </c>
      <c r="V299" s="7">
        <f t="shared" si="170"/>
        <v>68762.16</v>
      </c>
      <c r="W299" s="7">
        <f t="shared" si="170"/>
        <v>68916.960000000006</v>
      </c>
      <c r="X299" s="7">
        <f t="shared" si="170"/>
        <v>71610.48</v>
      </c>
      <c r="Y299" s="7">
        <f t="shared" si="170"/>
        <v>73003.680000000008</v>
      </c>
      <c r="Z299" s="7">
        <f t="shared" si="170"/>
        <v>74520.72</v>
      </c>
      <c r="AA299" s="346">
        <f t="shared" si="170"/>
        <v>14513.797756065329</v>
      </c>
      <c r="AB299" s="346">
        <f t="shared" si="170"/>
        <v>13455.058894356742</v>
      </c>
      <c r="AC299" s="346">
        <f t="shared" si="170"/>
        <v>17029.322869405565</v>
      </c>
      <c r="AD299" s="346">
        <f t="shared" si="170"/>
        <v>14051.309794689168</v>
      </c>
      <c r="AE299" s="346">
        <f t="shared" si="170"/>
        <v>14294.553502939209</v>
      </c>
      <c r="AF299" s="346">
        <f t="shared" si="170"/>
        <v>22103.657050355538</v>
      </c>
      <c r="AG299" s="346">
        <f t="shared" si="170"/>
        <v>14867.219108129284</v>
      </c>
      <c r="AH299" s="346">
        <f t="shared" si="170"/>
        <v>13779.621172183428</v>
      </c>
      <c r="AI299" s="346">
        <f t="shared" si="170"/>
        <v>17451.312334549308</v>
      </c>
      <c r="AJ299" s="346">
        <f t="shared" si="170"/>
        <v>14392.12466285618</v>
      </c>
      <c r="AK299" s="346">
        <f t="shared" si="170"/>
        <v>14641.998701292465</v>
      </c>
      <c r="AL299" s="346">
        <f t="shared" si="170"/>
        <v>22663.962574471952</v>
      </c>
      <c r="AM299" s="346">
        <f t="shared" si="170"/>
        <v>15230.274009508497</v>
      </c>
      <c r="AN299" s="346">
        <f t="shared" si="170"/>
        <v>14113.030359488153</v>
      </c>
      <c r="AO299" s="346">
        <f t="shared" si="170"/>
        <v>17884.804376714048</v>
      </c>
      <c r="AP299" s="346">
        <f t="shared" si="170"/>
        <v>14742.229453153494</v>
      </c>
      <c r="AQ299" s="346">
        <f t="shared" si="170"/>
        <v>14998.914551130523</v>
      </c>
      <c r="AR299" s="301"/>
    </row>
    <row r="300" spans="1:44" s="1" customFormat="1">
      <c r="A300" s="297"/>
      <c r="B300" s="13" t="s">
        <v>16</v>
      </c>
      <c r="E300" s="41"/>
      <c r="F300" s="41"/>
      <c r="G300" s="41"/>
      <c r="H300" s="8">
        <f>+H69</f>
        <v>35918.999424000001</v>
      </c>
      <c r="I300" s="8">
        <f t="shared" ref="I300:AQ300" si="171">+I69</f>
        <v>36832.523759999996</v>
      </c>
      <c r="J300" s="8">
        <f t="shared" si="171"/>
        <v>39223.236384000003</v>
      </c>
      <c r="K300" s="8">
        <f t="shared" si="171"/>
        <v>41650.000070399998</v>
      </c>
      <c r="L300" s="8">
        <f t="shared" si="171"/>
        <v>43285.504176000002</v>
      </c>
      <c r="M300" s="8">
        <f t="shared" si="171"/>
        <v>45851.146992000002</v>
      </c>
      <c r="N300" s="8">
        <f t="shared" si="171"/>
        <v>43290.098339311924</v>
      </c>
      <c r="O300" s="8">
        <f t="shared" si="171"/>
        <v>44721.269347637462</v>
      </c>
      <c r="P300" s="8">
        <f t="shared" si="171"/>
        <v>45158.046872656007</v>
      </c>
      <c r="Q300" s="8">
        <f t="shared" si="171"/>
        <v>46324.072476906469</v>
      </c>
      <c r="R300" s="8">
        <f t="shared" si="171"/>
        <v>47718.874353896405</v>
      </c>
      <c r="S300" s="8">
        <f t="shared" si="171"/>
        <v>49274.344719412438</v>
      </c>
      <c r="T300" s="8">
        <f t="shared" si="171"/>
        <v>50818.727171886203</v>
      </c>
      <c r="U300" s="8">
        <f t="shared" si="171"/>
        <v>52331.409200881048</v>
      </c>
      <c r="V300" s="8">
        <f t="shared" si="171"/>
        <v>53189.974680053136</v>
      </c>
      <c r="W300" s="8">
        <f t="shared" si="171"/>
        <v>55026.113829148373</v>
      </c>
      <c r="X300" s="8">
        <f t="shared" si="171"/>
        <v>56829.193422019889</v>
      </c>
      <c r="Y300" s="8">
        <f t="shared" si="171"/>
        <v>58615.57071238666</v>
      </c>
      <c r="Z300" s="8">
        <f t="shared" si="171"/>
        <v>60455.274107606187</v>
      </c>
      <c r="AA300" s="346">
        <f t="shared" si="171"/>
        <v>59719.68122355768</v>
      </c>
      <c r="AB300" s="346">
        <f t="shared" si="171"/>
        <v>61311.291345699239</v>
      </c>
      <c r="AC300" s="346">
        <f t="shared" si="171"/>
        <v>63116.731753731961</v>
      </c>
      <c r="AD300" s="346">
        <f t="shared" si="171"/>
        <v>64974.39613165614</v>
      </c>
      <c r="AE300" s="346">
        <f t="shared" si="171"/>
        <v>67069.14568258122</v>
      </c>
      <c r="AF300" s="346">
        <f t="shared" si="171"/>
        <v>68852.897122886046</v>
      </c>
      <c r="AG300" s="346">
        <f t="shared" si="171"/>
        <v>70877.11474352295</v>
      </c>
      <c r="AH300" s="346">
        <f t="shared" si="171"/>
        <v>72960.321895680187</v>
      </c>
      <c r="AI300" s="346">
        <f t="shared" si="171"/>
        <v>75310.113357462746</v>
      </c>
      <c r="AJ300" s="346">
        <f t="shared" si="171"/>
        <v>77311.08155451651</v>
      </c>
      <c r="AK300" s="346">
        <f t="shared" si="171"/>
        <v>79582.471938558199</v>
      </c>
      <c r="AL300" s="346">
        <f t="shared" si="171"/>
        <v>81920.531698160907</v>
      </c>
      <c r="AM300" s="346">
        <f t="shared" si="171"/>
        <v>84558.372405524031</v>
      </c>
      <c r="AN300" s="346">
        <f t="shared" si="171"/>
        <v>86805.037893617337</v>
      </c>
      <c r="AO300" s="346">
        <f t="shared" si="171"/>
        <v>89355.84461822352</v>
      </c>
      <c r="AP300" s="346">
        <f t="shared" si="171"/>
        <v>91982.046017544533</v>
      </c>
      <c r="AQ300" s="360">
        <f t="shared" si="171"/>
        <v>94945.417735942683</v>
      </c>
      <c r="AR300" s="359"/>
    </row>
    <row r="301" spans="1:44" s="1" customFormat="1" ht="13.8" thickBot="1">
      <c r="A301" s="297"/>
      <c r="B301" s="13" t="s">
        <v>259</v>
      </c>
      <c r="E301" s="41"/>
      <c r="F301" s="41"/>
      <c r="G301" s="41"/>
      <c r="H301" s="232">
        <f>+H71</f>
        <v>0</v>
      </c>
      <c r="I301" s="232">
        <f t="shared" ref="I301:AQ301" si="172">+I71</f>
        <v>0</v>
      </c>
      <c r="J301" s="232">
        <f t="shared" si="172"/>
        <v>0</v>
      </c>
      <c r="K301" s="232">
        <f t="shared" si="172"/>
        <v>0</v>
      </c>
      <c r="L301" s="232">
        <f t="shared" si="172"/>
        <v>0</v>
      </c>
      <c r="M301" s="232">
        <f t="shared" si="172"/>
        <v>0</v>
      </c>
      <c r="N301" s="232">
        <f t="shared" si="172"/>
        <v>0</v>
      </c>
      <c r="O301" s="232">
        <f t="shared" si="172"/>
        <v>0</v>
      </c>
      <c r="P301" s="232">
        <f t="shared" si="172"/>
        <v>0</v>
      </c>
      <c r="Q301" s="232">
        <f t="shared" si="172"/>
        <v>0</v>
      </c>
      <c r="R301" s="232">
        <f t="shared" si="172"/>
        <v>0</v>
      </c>
      <c r="S301" s="232">
        <f t="shared" si="172"/>
        <v>0</v>
      </c>
      <c r="T301" s="232">
        <f t="shared" si="172"/>
        <v>0</v>
      </c>
      <c r="U301" s="232">
        <f t="shared" si="172"/>
        <v>0</v>
      </c>
      <c r="V301" s="232">
        <f t="shared" si="172"/>
        <v>0</v>
      </c>
      <c r="W301" s="232">
        <f t="shared" si="172"/>
        <v>0</v>
      </c>
      <c r="X301" s="232">
        <f t="shared" si="172"/>
        <v>0</v>
      </c>
      <c r="Y301" s="232">
        <f t="shared" si="172"/>
        <v>0</v>
      </c>
      <c r="Z301" s="232">
        <f t="shared" si="172"/>
        <v>0</v>
      </c>
      <c r="AA301" s="346">
        <f t="shared" si="172"/>
        <v>12965.797756065329</v>
      </c>
      <c r="AB301" s="346">
        <f t="shared" si="172"/>
        <v>11907.058894356742</v>
      </c>
      <c r="AC301" s="346">
        <f t="shared" si="172"/>
        <v>15481.322869405563</v>
      </c>
      <c r="AD301" s="346">
        <f t="shared" si="172"/>
        <v>12503.309794689168</v>
      </c>
      <c r="AE301" s="346">
        <f t="shared" si="172"/>
        <v>12746.553502939209</v>
      </c>
      <c r="AF301" s="346">
        <f t="shared" si="172"/>
        <v>20555.657050355538</v>
      </c>
      <c r="AG301" s="346">
        <f t="shared" si="172"/>
        <v>13319.219108129284</v>
      </c>
      <c r="AH301" s="346">
        <f t="shared" si="172"/>
        <v>12231.621172183428</v>
      </c>
      <c r="AI301" s="346">
        <f t="shared" si="172"/>
        <v>15903.312334549306</v>
      </c>
      <c r="AJ301" s="346">
        <f t="shared" si="172"/>
        <v>12844.12466285618</v>
      </c>
      <c r="AK301" s="346">
        <f t="shared" si="172"/>
        <v>13093.998701292465</v>
      </c>
      <c r="AL301" s="346">
        <f t="shared" si="172"/>
        <v>21115.962574471952</v>
      </c>
      <c r="AM301" s="346">
        <f t="shared" si="172"/>
        <v>13682.274009508497</v>
      </c>
      <c r="AN301" s="346">
        <f t="shared" si="172"/>
        <v>12565.030359488153</v>
      </c>
      <c r="AO301" s="346">
        <f t="shared" si="172"/>
        <v>16336.804376714048</v>
      </c>
      <c r="AP301" s="346">
        <f t="shared" si="172"/>
        <v>13194.229453153494</v>
      </c>
      <c r="AQ301" s="346">
        <f t="shared" si="172"/>
        <v>13450.914551130523</v>
      </c>
      <c r="AR301" s="301"/>
    </row>
    <row r="302" spans="1:44" s="1" customFormat="1" ht="13.8" thickBot="1">
      <c r="A302" s="297"/>
      <c r="B302" s="13" t="s">
        <v>235</v>
      </c>
      <c r="E302" s="41"/>
      <c r="F302" s="41"/>
      <c r="G302" s="41"/>
      <c r="H302" s="338">
        <f>SUM(H299:H301)</f>
        <v>84427.799423999997</v>
      </c>
      <c r="I302" s="339">
        <f t="shared" ref="I302:AQ302" si="173">SUM(I299:I301)</f>
        <v>86837.963760000013</v>
      </c>
      <c r="J302" s="339">
        <f t="shared" si="173"/>
        <v>91027.616424000007</v>
      </c>
      <c r="K302" s="339">
        <f t="shared" si="173"/>
        <v>95269.68011039999</v>
      </c>
      <c r="L302" s="339">
        <f t="shared" si="173"/>
        <v>98589.344136</v>
      </c>
      <c r="M302" s="339">
        <f t="shared" si="173"/>
        <v>103017.60703200001</v>
      </c>
      <c r="N302" s="339">
        <f t="shared" si="173"/>
        <v>100751.85833931193</v>
      </c>
      <c r="O302" s="339">
        <f t="shared" si="173"/>
        <v>103638.14934763746</v>
      </c>
      <c r="P302" s="339">
        <f t="shared" si="173"/>
        <v>106118.286872656</v>
      </c>
      <c r="Q302" s="339">
        <f t="shared" si="173"/>
        <v>109049.03247690646</v>
      </c>
      <c r="R302" s="339">
        <f t="shared" si="173"/>
        <v>112301.43435389642</v>
      </c>
      <c r="S302" s="339">
        <f t="shared" si="173"/>
        <v>115900.26471941243</v>
      </c>
      <c r="T302" s="339">
        <f t="shared" si="173"/>
        <v>118806.88717188621</v>
      </c>
      <c r="U302" s="339">
        <f t="shared" si="173"/>
        <v>120474.36920088105</v>
      </c>
      <c r="V302" s="339">
        <f t="shared" si="173"/>
        <v>121952.13468005313</v>
      </c>
      <c r="W302" s="339">
        <f t="shared" si="173"/>
        <v>123943.07382914837</v>
      </c>
      <c r="X302" s="339">
        <f t="shared" si="173"/>
        <v>128439.67342201989</v>
      </c>
      <c r="Y302" s="339">
        <f t="shared" si="173"/>
        <v>131619.25071238668</v>
      </c>
      <c r="Z302" s="340">
        <f t="shared" si="173"/>
        <v>134975.99410760618</v>
      </c>
      <c r="AA302" s="280">
        <f t="shared" si="173"/>
        <v>87199.276735688327</v>
      </c>
      <c r="AB302" s="280">
        <f t="shared" si="173"/>
        <v>86673.409134412723</v>
      </c>
      <c r="AC302" s="280">
        <f t="shared" si="173"/>
        <v>95627.377492543077</v>
      </c>
      <c r="AD302" s="280">
        <f t="shared" si="173"/>
        <v>91529.015721034477</v>
      </c>
      <c r="AE302" s="280">
        <f t="shared" si="173"/>
        <v>94110.25268845963</v>
      </c>
      <c r="AF302" s="280">
        <f t="shared" si="173"/>
        <v>111512.21122359713</v>
      </c>
      <c r="AG302" s="280">
        <f t="shared" si="173"/>
        <v>99063.552959781518</v>
      </c>
      <c r="AH302" s="280">
        <f t="shared" si="173"/>
        <v>98971.564240047039</v>
      </c>
      <c r="AI302" s="280">
        <f t="shared" si="173"/>
        <v>108664.73802656136</v>
      </c>
      <c r="AJ302" s="280">
        <f t="shared" si="173"/>
        <v>104547.33088022887</v>
      </c>
      <c r="AK302" s="280">
        <f t="shared" si="173"/>
        <v>107318.46934114314</v>
      </c>
      <c r="AL302" s="280">
        <f t="shared" si="173"/>
        <v>125700.45684710481</v>
      </c>
      <c r="AM302" s="280">
        <f t="shared" si="173"/>
        <v>113470.92042454104</v>
      </c>
      <c r="AN302" s="280">
        <f t="shared" si="173"/>
        <v>113483.09861259365</v>
      </c>
      <c r="AO302" s="280">
        <f t="shared" si="173"/>
        <v>123577.45337165162</v>
      </c>
      <c r="AP302" s="280">
        <f t="shared" si="173"/>
        <v>119918.50492385152</v>
      </c>
      <c r="AQ302" s="280">
        <f t="shared" si="173"/>
        <v>123395.24683820373</v>
      </c>
      <c r="AR302" s="301"/>
    </row>
    <row r="303" spans="1:44" s="1" customFormat="1" ht="13.8" thickBot="1">
      <c r="A303" s="297"/>
      <c r="B303" s="350" t="str">
        <f>CONCATENATE("NPV ",+$E$16*100," of Cf to Term (2036)")</f>
        <v>NPV 6.25 of Cf to Term (2036)</v>
      </c>
      <c r="C303" s="13"/>
      <c r="G303" s="343">
        <f>SUMPRODUCT(H$16:AQ$16,H302:AQ302)</f>
        <v>1484626.6976245791</v>
      </c>
      <c r="H303" s="85" t="str">
        <f>CONCATENATE(" = ",DOLLAR($G$303-G303,0)," in Savings or a ",ROUND(($G$303-G303)/$G$91,2)*100,"% Reduction in Stranded Investment")</f>
        <v xml:space="preserve"> = $0 in Savings or a 0% Reduction in Stranded Investment</v>
      </c>
      <c r="I303" s="344"/>
      <c r="J303" s="344"/>
      <c r="K303" s="344"/>
      <c r="L303" s="344"/>
      <c r="M303" s="345"/>
      <c r="AA303" s="254"/>
      <c r="AB303" s="254"/>
      <c r="AC303" s="254"/>
      <c r="AD303" s="254"/>
      <c r="AE303" s="254"/>
      <c r="AF303" s="254"/>
      <c r="AG303" s="254"/>
      <c r="AH303" s="254"/>
      <c r="AI303" s="254"/>
      <c r="AJ303" s="254"/>
      <c r="AK303" s="254"/>
      <c r="AL303" s="254"/>
      <c r="AM303" s="254"/>
      <c r="AN303" s="254"/>
      <c r="AO303" s="254"/>
      <c r="AP303" s="254"/>
      <c r="AQ303" s="254"/>
      <c r="AR303" s="301"/>
    </row>
    <row r="304" spans="1:44" s="1" customFormat="1">
      <c r="A304" s="297"/>
      <c r="B304" s="16"/>
      <c r="C304" s="13"/>
      <c r="D304" s="332"/>
      <c r="AA304" s="254"/>
      <c r="AB304" s="254"/>
      <c r="AC304" s="254"/>
      <c r="AD304" s="254"/>
      <c r="AE304" s="254"/>
      <c r="AF304" s="254"/>
      <c r="AG304" s="254"/>
      <c r="AH304" s="254"/>
      <c r="AI304" s="254"/>
      <c r="AJ304" s="254"/>
      <c r="AK304" s="254"/>
      <c r="AL304" s="254"/>
      <c r="AM304" s="254"/>
      <c r="AN304" s="254"/>
      <c r="AO304" s="254"/>
      <c r="AP304" s="254"/>
      <c r="AQ304" s="254"/>
      <c r="AR304" s="301"/>
    </row>
    <row r="305" spans="1:44" s="1" customFormat="1">
      <c r="A305" s="297"/>
      <c r="B305" s="16" t="str">
        <f>+A297</f>
        <v>Contract Purchase (Status Quo)</v>
      </c>
      <c r="C305" s="13"/>
      <c r="D305" s="332"/>
      <c r="G305" s="33" t="s">
        <v>14</v>
      </c>
      <c r="H305" s="225">
        <f>+H302/H$25*1000</f>
        <v>43.437338410741582</v>
      </c>
      <c r="I305" s="225">
        <f t="shared" ref="I305:AQ305" si="174">+I302/I$25*1000</f>
        <v>44.677346140453565</v>
      </c>
      <c r="J305" s="225">
        <f t="shared" si="174"/>
        <v>46.83288450377966</v>
      </c>
      <c r="K305" s="225">
        <f t="shared" si="174"/>
        <v>48.881466038847364</v>
      </c>
      <c r="L305" s="225">
        <f t="shared" si="174"/>
        <v>50.723324949188871</v>
      </c>
      <c r="M305" s="225">
        <f t="shared" si="174"/>
        <v>53.001626116548259</v>
      </c>
      <c r="N305" s="225">
        <f t="shared" si="174"/>
        <v>51.835918927809068</v>
      </c>
      <c r="O305" s="225">
        <f t="shared" si="174"/>
        <v>53.175204029183149</v>
      </c>
      <c r="P305" s="225">
        <f t="shared" si="174"/>
        <v>54.596897821612401</v>
      </c>
      <c r="Q305" s="225">
        <f t="shared" si="174"/>
        <v>56.104739900597501</v>
      </c>
      <c r="R305" s="225">
        <f t="shared" si="174"/>
        <v>57.778071219693608</v>
      </c>
      <c r="S305" s="225">
        <f t="shared" si="174"/>
        <v>59.466714354559116</v>
      </c>
      <c r="T305" s="225">
        <f t="shared" si="174"/>
        <v>61.125067795442412</v>
      </c>
      <c r="U305" s="225">
        <f t="shared" si="174"/>
        <v>61.982972202301674</v>
      </c>
      <c r="V305" s="225">
        <f t="shared" si="174"/>
        <v>62.743269161933931</v>
      </c>
      <c r="W305" s="225">
        <f t="shared" si="174"/>
        <v>63.593360942423253</v>
      </c>
      <c r="X305" s="225">
        <f t="shared" si="174"/>
        <v>66.081049107759455</v>
      </c>
      <c r="Y305" s="225">
        <f t="shared" si="174"/>
        <v>67.716912836377617</v>
      </c>
      <c r="Z305" s="225">
        <f t="shared" si="174"/>
        <v>69.443926921914979</v>
      </c>
      <c r="AA305" s="225">
        <f t="shared" si="174"/>
        <v>44.740661241102451</v>
      </c>
      <c r="AB305" s="225">
        <f t="shared" si="174"/>
        <v>44.592684275434536</v>
      </c>
      <c r="AC305" s="225">
        <f t="shared" si="174"/>
        <v>49.19941992820128</v>
      </c>
      <c r="AD305" s="225">
        <f t="shared" si="174"/>
        <v>47.090849902531993</v>
      </c>
      <c r="AE305" s="225">
        <f t="shared" si="174"/>
        <v>48.286580949652034</v>
      </c>
      <c r="AF305" s="225">
        <f t="shared" si="174"/>
        <v>57.372023064627641</v>
      </c>
      <c r="AG305" s="225">
        <f t="shared" si="174"/>
        <v>50.967301095629828</v>
      </c>
      <c r="AH305" s="225">
        <f t="shared" si="174"/>
        <v>50.919973732174455</v>
      </c>
      <c r="AI305" s="225">
        <f t="shared" si="174"/>
        <v>55.754272453841907</v>
      </c>
      <c r="AJ305" s="225">
        <f t="shared" si="174"/>
        <v>53.78865518663924</v>
      </c>
      <c r="AK305" s="225">
        <f t="shared" si="174"/>
        <v>55.214380835429957</v>
      </c>
      <c r="AL305" s="225">
        <f t="shared" si="174"/>
        <v>64.671746980300753</v>
      </c>
      <c r="AM305" s="225">
        <f t="shared" si="174"/>
        <v>58.220253670437842</v>
      </c>
      <c r="AN305" s="225">
        <f t="shared" si="174"/>
        <v>58.386026782234531</v>
      </c>
      <c r="AO305" s="225">
        <f t="shared" si="174"/>
        <v>63.579480913441429</v>
      </c>
      <c r="AP305" s="225">
        <f t="shared" si="174"/>
        <v>61.696985064457238</v>
      </c>
      <c r="AQ305" s="225">
        <f t="shared" si="174"/>
        <v>63.312279003006708</v>
      </c>
      <c r="AR305" s="301"/>
    </row>
    <row r="306" spans="1:44" s="1" customFormat="1">
      <c r="A306" s="297"/>
      <c r="E306" s="41"/>
      <c r="F306" s="41"/>
      <c r="G306" s="41"/>
      <c r="AA306" s="254"/>
      <c r="AB306" s="254"/>
      <c r="AC306" s="254"/>
      <c r="AD306" s="254"/>
      <c r="AE306" s="254"/>
      <c r="AF306" s="254"/>
      <c r="AG306" s="254"/>
      <c r="AH306" s="254"/>
      <c r="AI306" s="254"/>
      <c r="AJ306" s="254"/>
      <c r="AK306" s="254"/>
      <c r="AL306" s="254"/>
      <c r="AM306" s="254"/>
      <c r="AN306" s="254"/>
      <c r="AO306" s="254"/>
      <c r="AP306" s="254"/>
      <c r="AQ306" s="254"/>
      <c r="AR306" s="301"/>
    </row>
    <row r="307" spans="1:44" s="1" customFormat="1">
      <c r="A307" s="337" t="str">
        <f>+A96</f>
        <v>Plant Ownership/Operation</v>
      </c>
      <c r="E307" s="41"/>
      <c r="F307" s="41"/>
      <c r="G307" s="41"/>
      <c r="AA307" s="254"/>
      <c r="AB307" s="254"/>
      <c r="AC307" s="254"/>
      <c r="AD307" s="254"/>
      <c r="AE307" s="254"/>
      <c r="AF307" s="254"/>
      <c r="AG307" s="254"/>
      <c r="AH307" s="254"/>
      <c r="AI307" s="254"/>
      <c r="AJ307" s="254"/>
      <c r="AK307" s="254"/>
      <c r="AL307" s="254"/>
      <c r="AM307" s="254"/>
      <c r="AN307" s="254"/>
      <c r="AO307" s="254"/>
      <c r="AP307" s="254"/>
      <c r="AQ307" s="254"/>
      <c r="AR307" s="301"/>
    </row>
    <row r="308" spans="1:44" s="1" customFormat="1">
      <c r="A308" s="297"/>
      <c r="E308" s="41"/>
      <c r="F308" s="41"/>
      <c r="G308" s="41"/>
      <c r="AA308" s="346"/>
      <c r="AB308" s="346"/>
      <c r="AC308" s="346"/>
      <c r="AD308" s="346"/>
      <c r="AE308" s="346"/>
      <c r="AF308" s="346"/>
      <c r="AG308" s="346"/>
      <c r="AH308" s="346"/>
      <c r="AI308" s="346"/>
      <c r="AJ308" s="346"/>
      <c r="AK308" s="346"/>
      <c r="AL308" s="346"/>
      <c r="AM308" s="346"/>
      <c r="AN308" s="346"/>
      <c r="AO308" s="346"/>
      <c r="AP308" s="346"/>
      <c r="AQ308" s="346"/>
      <c r="AR308" s="301"/>
    </row>
    <row r="309" spans="1:44" s="1" customFormat="1">
      <c r="A309" s="297"/>
      <c r="B309" s="13" t="s">
        <v>236</v>
      </c>
      <c r="E309" s="41"/>
      <c r="F309" s="41"/>
      <c r="G309" s="41"/>
      <c r="H309" s="7">
        <f>SUM(H168:H173)</f>
        <v>54391.456400354451</v>
      </c>
      <c r="I309" s="7">
        <f t="shared" ref="I309:AQ309" si="175">SUM(I168:I173)</f>
        <v>51674.501630346545</v>
      </c>
      <c r="J309" s="7">
        <f t="shared" si="175"/>
        <v>52822.062236176534</v>
      </c>
      <c r="K309" s="7">
        <f t="shared" si="175"/>
        <v>58851.586693315374</v>
      </c>
      <c r="L309" s="7">
        <f t="shared" si="175"/>
        <v>58142.758698052246</v>
      </c>
      <c r="M309" s="7">
        <f t="shared" si="175"/>
        <v>60697.248129781037</v>
      </c>
      <c r="N309" s="7">
        <f t="shared" si="175"/>
        <v>60459.578552070023</v>
      </c>
      <c r="O309" s="7">
        <f t="shared" si="175"/>
        <v>53446.650363685934</v>
      </c>
      <c r="P309" s="7">
        <f t="shared" si="175"/>
        <v>53002.374457308288</v>
      </c>
      <c r="Q309" s="7">
        <f t="shared" si="175"/>
        <v>62473.375915671961</v>
      </c>
      <c r="R309" s="7">
        <f t="shared" si="175"/>
        <v>57066.878809947135</v>
      </c>
      <c r="S309" s="7">
        <f t="shared" si="175"/>
        <v>58701.522086558201</v>
      </c>
      <c r="T309" s="7">
        <f t="shared" si="175"/>
        <v>66744.170625687169</v>
      </c>
      <c r="U309" s="7">
        <f t="shared" si="175"/>
        <v>61756.672647049294</v>
      </c>
      <c r="V309" s="7">
        <f t="shared" si="175"/>
        <v>61640.245755773176</v>
      </c>
      <c r="W309" s="7">
        <f t="shared" si="175"/>
        <v>66897.351456986275</v>
      </c>
      <c r="X309" s="7">
        <f t="shared" si="175"/>
        <v>65619.31366640421</v>
      </c>
      <c r="Y309" s="7">
        <f t="shared" si="175"/>
        <v>67099.334939811743</v>
      </c>
      <c r="Z309" s="7">
        <f t="shared" si="175"/>
        <v>76426.288313036624</v>
      </c>
      <c r="AA309" s="346">
        <f t="shared" si="175"/>
        <v>71866.229116491842</v>
      </c>
      <c r="AB309" s="346">
        <f t="shared" si="175"/>
        <v>72338.689950913118</v>
      </c>
      <c r="AC309" s="346">
        <f t="shared" si="175"/>
        <v>77652.018903887001</v>
      </c>
      <c r="AD309" s="346">
        <f t="shared" si="175"/>
        <v>76461.365633643189</v>
      </c>
      <c r="AE309" s="346">
        <f t="shared" si="175"/>
        <v>78721.923623537397</v>
      </c>
      <c r="AF309" s="346">
        <f t="shared" si="175"/>
        <v>88238.953816703812</v>
      </c>
      <c r="AG309" s="346">
        <f t="shared" si="175"/>
        <v>82943.317922912349</v>
      </c>
      <c r="AH309" s="346">
        <f t="shared" si="175"/>
        <v>83850.661095668765</v>
      </c>
      <c r="AI309" s="346">
        <f t="shared" si="175"/>
        <v>89774.835580428407</v>
      </c>
      <c r="AJ309" s="346">
        <f t="shared" si="175"/>
        <v>88621.782984546953</v>
      </c>
      <c r="AK309" s="346">
        <f t="shared" si="175"/>
        <v>91038.608724375415</v>
      </c>
      <c r="AL309" s="346">
        <f t="shared" si="175"/>
        <v>101288.21485406572</v>
      </c>
      <c r="AM309" s="346">
        <f t="shared" si="175"/>
        <v>96370.541524519649</v>
      </c>
      <c r="AN309" s="346">
        <f t="shared" si="175"/>
        <v>97381.722537221067</v>
      </c>
      <c r="AO309" s="346">
        <f t="shared" si="175"/>
        <v>103573.96487511015</v>
      </c>
      <c r="AP309" s="346">
        <f t="shared" si="175"/>
        <v>102919.89317975807</v>
      </c>
      <c r="AQ309" s="346">
        <f t="shared" si="175"/>
        <v>105987.92073576365</v>
      </c>
      <c r="AR309" s="301"/>
    </row>
    <row r="310" spans="1:44" s="1" customFormat="1" ht="13.8" thickBot="1">
      <c r="A310" s="297"/>
      <c r="B310" s="13" t="s">
        <v>232</v>
      </c>
      <c r="E310" s="41"/>
      <c r="F310" s="41"/>
      <c r="G310" s="7">
        <f>-$G$181</f>
        <v>6888</v>
      </c>
      <c r="H310" s="7">
        <f>H175</f>
        <v>39397.682519793801</v>
      </c>
      <c r="I310" s="7">
        <f t="shared" ref="I310:AQ310" si="176">I175</f>
        <v>39397.682519793794</v>
      </c>
      <c r="J310" s="7">
        <f t="shared" si="176"/>
        <v>39397.682519793801</v>
      </c>
      <c r="K310" s="7">
        <f t="shared" si="176"/>
        <v>39397.682519793801</v>
      </c>
      <c r="L310" s="7">
        <f t="shared" si="176"/>
        <v>39397.682519793801</v>
      </c>
      <c r="M310" s="7">
        <f t="shared" si="176"/>
        <v>39397.682519793801</v>
      </c>
      <c r="N310" s="7">
        <f t="shared" si="176"/>
        <v>39397.682519793794</v>
      </c>
      <c r="O310" s="7">
        <f t="shared" si="176"/>
        <v>39397.682519793801</v>
      </c>
      <c r="P310" s="7">
        <f t="shared" si="176"/>
        <v>39397.682519793794</v>
      </c>
      <c r="Q310" s="7">
        <f t="shared" si="176"/>
        <v>39397.682519793801</v>
      </c>
      <c r="R310" s="7">
        <f t="shared" si="176"/>
        <v>39397.682519793801</v>
      </c>
      <c r="S310" s="7">
        <f t="shared" si="176"/>
        <v>39397.682519793801</v>
      </c>
      <c r="T310" s="7">
        <f t="shared" si="176"/>
        <v>39397.682519793801</v>
      </c>
      <c r="U310" s="7">
        <f t="shared" si="176"/>
        <v>22034.029756495547</v>
      </c>
      <c r="V310" s="7">
        <f t="shared" si="176"/>
        <v>22034.029756495547</v>
      </c>
      <c r="W310" s="7">
        <f t="shared" si="176"/>
        <v>22034.029756495547</v>
      </c>
      <c r="X310" s="7">
        <f t="shared" si="176"/>
        <v>22034.029756495547</v>
      </c>
      <c r="Y310" s="7">
        <f t="shared" si="176"/>
        <v>22034.029756495547</v>
      </c>
      <c r="Z310" s="7">
        <f t="shared" si="176"/>
        <v>22034.029756495547</v>
      </c>
      <c r="AA310" s="346">
        <f t="shared" si="176"/>
        <v>22034.029756495547</v>
      </c>
      <c r="AB310" s="346">
        <f t="shared" si="176"/>
        <v>22034.029756495547</v>
      </c>
      <c r="AC310" s="346">
        <f t="shared" si="176"/>
        <v>22034.029756495547</v>
      </c>
      <c r="AD310" s="346">
        <f t="shared" si="176"/>
        <v>22034.029756495551</v>
      </c>
      <c r="AE310" s="346">
        <f t="shared" si="176"/>
        <v>22034.029756495547</v>
      </c>
      <c r="AF310" s="346">
        <f t="shared" si="176"/>
        <v>22034.029756495544</v>
      </c>
      <c r="AG310" s="346">
        <f t="shared" si="176"/>
        <v>0</v>
      </c>
      <c r="AH310" s="346">
        <f t="shared" si="176"/>
        <v>0</v>
      </c>
      <c r="AI310" s="346">
        <f t="shared" si="176"/>
        <v>0</v>
      </c>
      <c r="AJ310" s="346">
        <f t="shared" si="176"/>
        <v>0</v>
      </c>
      <c r="AK310" s="346">
        <f t="shared" si="176"/>
        <v>0</v>
      </c>
      <c r="AL310" s="346">
        <f t="shared" si="176"/>
        <v>0</v>
      </c>
      <c r="AM310" s="346">
        <f t="shared" si="176"/>
        <v>0</v>
      </c>
      <c r="AN310" s="346">
        <f t="shared" si="176"/>
        <v>0</v>
      </c>
      <c r="AO310" s="346">
        <f t="shared" si="176"/>
        <v>0</v>
      </c>
      <c r="AP310" s="346">
        <f t="shared" si="176"/>
        <v>0</v>
      </c>
      <c r="AQ310" s="346">
        <f t="shared" si="176"/>
        <v>0</v>
      </c>
      <c r="AR310" s="301"/>
    </row>
    <row r="311" spans="1:44" s="1" customFormat="1" ht="13.8" thickBot="1">
      <c r="A311" s="297"/>
      <c r="B311" s="13" t="s">
        <v>235</v>
      </c>
      <c r="E311" s="41"/>
      <c r="F311" s="41"/>
      <c r="G311" s="341">
        <f>SUM(G309:G310)</f>
        <v>6888</v>
      </c>
      <c r="H311" s="342">
        <f>SUM(H309:H310)</f>
        <v>93789.138920148253</v>
      </c>
      <c r="I311" s="342">
        <f t="shared" ref="I311:AQ311" si="177">SUM(I309:I310)</f>
        <v>91072.18415014034</v>
      </c>
      <c r="J311" s="342">
        <f t="shared" si="177"/>
        <v>92219.744755970343</v>
      </c>
      <c r="K311" s="342">
        <f t="shared" si="177"/>
        <v>98249.269213109175</v>
      </c>
      <c r="L311" s="342">
        <f t="shared" si="177"/>
        <v>97540.441217846048</v>
      </c>
      <c r="M311" s="342">
        <f t="shared" si="177"/>
        <v>100094.93064957485</v>
      </c>
      <c r="N311" s="339">
        <f t="shared" si="177"/>
        <v>99857.261071863817</v>
      </c>
      <c r="O311" s="339">
        <f t="shared" si="177"/>
        <v>92844.332883479743</v>
      </c>
      <c r="P311" s="339">
        <f t="shared" si="177"/>
        <v>92400.056977102082</v>
      </c>
      <c r="Q311" s="339">
        <f t="shared" si="177"/>
        <v>101871.05843546576</v>
      </c>
      <c r="R311" s="339">
        <f t="shared" si="177"/>
        <v>96464.561329740944</v>
      </c>
      <c r="S311" s="339">
        <f t="shared" si="177"/>
        <v>98099.204606351996</v>
      </c>
      <c r="T311" s="339">
        <f t="shared" si="177"/>
        <v>106141.85314548097</v>
      </c>
      <c r="U311" s="339">
        <f t="shared" si="177"/>
        <v>83790.702403544841</v>
      </c>
      <c r="V311" s="339">
        <f t="shared" si="177"/>
        <v>83674.275512268723</v>
      </c>
      <c r="W311" s="339">
        <f t="shared" si="177"/>
        <v>88931.381213481829</v>
      </c>
      <c r="X311" s="339">
        <f t="shared" si="177"/>
        <v>87653.34342289975</v>
      </c>
      <c r="Y311" s="339">
        <f t="shared" si="177"/>
        <v>89133.364696307282</v>
      </c>
      <c r="Z311" s="340">
        <f t="shared" si="177"/>
        <v>98460.318069532164</v>
      </c>
      <c r="AA311" s="280">
        <f t="shared" si="177"/>
        <v>93900.258872987382</v>
      </c>
      <c r="AB311" s="280">
        <f t="shared" si="177"/>
        <v>94372.719707408658</v>
      </c>
      <c r="AC311" s="280">
        <f t="shared" si="177"/>
        <v>99686.048660382541</v>
      </c>
      <c r="AD311" s="280">
        <f t="shared" si="177"/>
        <v>98495.395390138743</v>
      </c>
      <c r="AE311" s="280">
        <f t="shared" si="177"/>
        <v>100755.95338003294</v>
      </c>
      <c r="AF311" s="280">
        <f t="shared" si="177"/>
        <v>110272.98357319935</v>
      </c>
      <c r="AG311" s="280">
        <f t="shared" si="177"/>
        <v>82943.317922912349</v>
      </c>
      <c r="AH311" s="280">
        <f t="shared" si="177"/>
        <v>83850.661095668765</v>
      </c>
      <c r="AI311" s="280">
        <f t="shared" si="177"/>
        <v>89774.835580428407</v>
      </c>
      <c r="AJ311" s="280">
        <f t="shared" si="177"/>
        <v>88621.782984546953</v>
      </c>
      <c r="AK311" s="280">
        <f t="shared" si="177"/>
        <v>91038.608724375415</v>
      </c>
      <c r="AL311" s="280">
        <f t="shared" si="177"/>
        <v>101288.21485406572</v>
      </c>
      <c r="AM311" s="280">
        <f t="shared" si="177"/>
        <v>96370.541524519649</v>
      </c>
      <c r="AN311" s="280">
        <f t="shared" si="177"/>
        <v>97381.722537221067</v>
      </c>
      <c r="AO311" s="280">
        <f t="shared" si="177"/>
        <v>103573.96487511015</v>
      </c>
      <c r="AP311" s="280">
        <f t="shared" si="177"/>
        <v>102919.89317975807</v>
      </c>
      <c r="AQ311" s="280">
        <f t="shared" si="177"/>
        <v>105987.92073576365</v>
      </c>
      <c r="AR311" s="301"/>
    </row>
    <row r="312" spans="1:44" s="1" customFormat="1" ht="13.8" thickBot="1">
      <c r="A312" s="297"/>
      <c r="B312" s="350" t="str">
        <f>CONCATENATE("NPV ",+$E$16*100," of Cf to Term (2036)")</f>
        <v>NPV 6.25 of Cf to Term (2036)</v>
      </c>
      <c r="C312" s="13"/>
      <c r="F312" s="41"/>
      <c r="G312" s="343">
        <f>SUMPRODUCT(G$16:AQ$16,G311:AQ311)</f>
        <v>1356465.7568772342</v>
      </c>
      <c r="H312" s="85" t="str">
        <f>CONCATENATE(" = ",DOLLAR($G$303-G312,0)," in Savings or a ",ROUND(($G$303-G312)/$G$91,2)*100,"% Reduction in Stranded Investment")</f>
        <v xml:space="preserve"> = $128,161 in Savings or a 43% Reduction in Stranded Investment</v>
      </c>
      <c r="I312" s="344"/>
      <c r="J312" s="344"/>
      <c r="K312" s="344"/>
      <c r="L312" s="344"/>
      <c r="M312" s="345"/>
      <c r="AA312" s="254"/>
      <c r="AB312" s="254"/>
      <c r="AC312" s="254"/>
      <c r="AD312" s="254"/>
      <c r="AE312" s="254"/>
      <c r="AF312" s="254"/>
      <c r="AG312" s="254"/>
      <c r="AH312" s="254"/>
      <c r="AI312" s="254"/>
      <c r="AJ312" s="254"/>
      <c r="AK312" s="254"/>
      <c r="AL312" s="254"/>
      <c r="AM312" s="254"/>
      <c r="AN312" s="254"/>
      <c r="AO312" s="254"/>
      <c r="AP312" s="254"/>
      <c r="AQ312" s="254"/>
      <c r="AR312" s="301"/>
    </row>
    <row r="313" spans="1:44" s="1" customFormat="1">
      <c r="A313" s="297"/>
      <c r="E313" s="41"/>
      <c r="F313" s="41"/>
      <c r="G313" s="41"/>
      <c r="AA313" s="254"/>
      <c r="AB313" s="254"/>
      <c r="AC313" s="254"/>
      <c r="AD313" s="254"/>
      <c r="AE313" s="254"/>
      <c r="AF313" s="254"/>
      <c r="AG313" s="254"/>
      <c r="AH313" s="254"/>
      <c r="AI313" s="254"/>
      <c r="AJ313" s="254"/>
      <c r="AK313" s="254"/>
      <c r="AL313" s="254"/>
      <c r="AM313" s="254"/>
      <c r="AN313" s="254"/>
      <c r="AO313" s="254"/>
      <c r="AP313" s="254"/>
      <c r="AQ313" s="254"/>
      <c r="AR313" s="301"/>
    </row>
    <row r="314" spans="1:44" s="1" customFormat="1">
      <c r="A314" s="297"/>
      <c r="B314" s="16" t="str">
        <f>+A307</f>
        <v>Plant Ownership/Operation</v>
      </c>
      <c r="C314" s="13"/>
      <c r="D314" s="332"/>
      <c r="G314" s="33" t="s">
        <v>14</v>
      </c>
      <c r="H314" s="225">
        <f>+H311/H$25*1000</f>
        <v>48.253662825759335</v>
      </c>
      <c r="I314" s="225">
        <f t="shared" ref="I314:AQ314" si="178">+I311/I$25*1000</f>
        <v>46.855814195371316</v>
      </c>
      <c r="J314" s="225">
        <f t="shared" si="178"/>
        <v>47.446223737279901</v>
      </c>
      <c r="K314" s="225">
        <f t="shared" si="178"/>
        <v>50.410249208529692</v>
      </c>
      <c r="L314" s="225">
        <f t="shared" si="178"/>
        <v>50.183673894362066</v>
      </c>
      <c r="M314" s="225">
        <f t="shared" si="178"/>
        <v>51.49793557913511</v>
      </c>
      <c r="N314" s="225">
        <f t="shared" si="178"/>
        <v>51.375656733217006</v>
      </c>
      <c r="O314" s="225">
        <f t="shared" si="178"/>
        <v>47.637056191268023</v>
      </c>
      <c r="P314" s="225">
        <f t="shared" si="178"/>
        <v>47.538992742540337</v>
      </c>
      <c r="Q314" s="225">
        <f t="shared" si="178"/>
        <v>52.411737244259804</v>
      </c>
      <c r="R314" s="225">
        <f t="shared" si="178"/>
        <v>49.630143432739644</v>
      </c>
      <c r="S314" s="225">
        <f t="shared" si="178"/>
        <v>50.333253274772659</v>
      </c>
      <c r="T314" s="225">
        <f t="shared" si="178"/>
        <v>54.60902245561639</v>
      </c>
      <c r="U314" s="225">
        <f t="shared" si="178"/>
        <v>43.10955776187015</v>
      </c>
      <c r="V314" s="225">
        <f t="shared" si="178"/>
        <v>43.049657180415053</v>
      </c>
      <c r="W314" s="225">
        <f t="shared" si="178"/>
        <v>45.629378471063589</v>
      </c>
      <c r="X314" s="225">
        <f t="shared" si="178"/>
        <v>45.096851594726296</v>
      </c>
      <c r="Y314" s="225">
        <f t="shared" si="178"/>
        <v>45.858309140069174</v>
      </c>
      <c r="Z314" s="225">
        <f t="shared" si="178"/>
        <v>50.656942206168125</v>
      </c>
      <c r="AA314" s="225">
        <f t="shared" si="178"/>
        <v>48.178836223864351</v>
      </c>
      <c r="AB314" s="225">
        <f t="shared" si="178"/>
        <v>48.553909857177651</v>
      </c>
      <c r="AC314" s="225">
        <f t="shared" si="178"/>
        <v>51.287569497633818</v>
      </c>
      <c r="AD314" s="225">
        <f t="shared" si="178"/>
        <v>50.674989170036959</v>
      </c>
      <c r="AE314" s="225">
        <f t="shared" si="178"/>
        <v>51.696391838940649</v>
      </c>
      <c r="AF314" s="225">
        <f t="shared" si="178"/>
        <v>56.734451658224565</v>
      </c>
      <c r="AG314" s="225">
        <f t="shared" si="178"/>
        <v>42.673586118639321</v>
      </c>
      <c r="AH314" s="225">
        <f t="shared" si="178"/>
        <v>43.140405966113548</v>
      </c>
      <c r="AI314" s="225">
        <f t="shared" si="178"/>
        <v>46.062142451644185</v>
      </c>
      <c r="AJ314" s="225">
        <f t="shared" si="178"/>
        <v>45.595104981129985</v>
      </c>
      <c r="AK314" s="225">
        <f t="shared" si="178"/>
        <v>46.838539942800658</v>
      </c>
      <c r="AL314" s="225">
        <f t="shared" si="178"/>
        <v>52.111869498582124</v>
      </c>
      <c r="AM314" s="225">
        <f t="shared" si="178"/>
        <v>49.446301774260874</v>
      </c>
      <c r="AN314" s="225">
        <f t="shared" si="178"/>
        <v>50.102014570188636</v>
      </c>
      <c r="AO314" s="225">
        <f t="shared" si="178"/>
        <v>53.287867189672518</v>
      </c>
      <c r="AP314" s="225">
        <f t="shared" si="178"/>
        <v>52.951353224252024</v>
      </c>
      <c r="AQ314" s="225">
        <f t="shared" si="178"/>
        <v>54.380837029888561</v>
      </c>
      <c r="AR314" s="301"/>
    </row>
    <row r="315" spans="1:44" s="1" customFormat="1">
      <c r="A315" s="297"/>
      <c r="E315" s="41"/>
      <c r="F315" s="41"/>
      <c r="G315" s="41"/>
      <c r="AA315" s="254"/>
      <c r="AB315" s="254"/>
      <c r="AC315" s="254"/>
      <c r="AD315" s="254"/>
      <c r="AE315" s="254"/>
      <c r="AF315" s="254"/>
      <c r="AG315" s="254"/>
      <c r="AH315" s="254"/>
      <c r="AI315" s="254"/>
      <c r="AJ315" s="254"/>
      <c r="AK315" s="254"/>
      <c r="AL315" s="254"/>
      <c r="AM315" s="254"/>
      <c r="AN315" s="254"/>
      <c r="AO315" s="254"/>
      <c r="AP315" s="254"/>
      <c r="AQ315" s="254"/>
      <c r="AR315" s="301"/>
    </row>
    <row r="316" spans="1:44" s="1" customFormat="1">
      <c r="AA316" s="254"/>
      <c r="AB316" s="254"/>
      <c r="AC316" s="254"/>
      <c r="AD316" s="254"/>
      <c r="AE316" s="254"/>
      <c r="AF316" s="254"/>
      <c r="AG316" s="254"/>
      <c r="AH316" s="254"/>
      <c r="AI316" s="254"/>
      <c r="AJ316" s="254"/>
      <c r="AK316" s="254"/>
      <c r="AL316" s="254"/>
      <c r="AM316" s="254"/>
      <c r="AN316" s="254"/>
      <c r="AO316" s="254"/>
      <c r="AP316" s="254"/>
      <c r="AQ316" s="254"/>
      <c r="AR316" s="301"/>
    </row>
    <row r="317" spans="1:44" s="1" customFormat="1">
      <c r="AA317" s="254"/>
      <c r="AB317" s="254"/>
      <c r="AC317" s="254"/>
      <c r="AD317" s="254"/>
      <c r="AE317" s="254"/>
      <c r="AF317" s="254"/>
      <c r="AG317" s="254"/>
      <c r="AH317" s="254"/>
      <c r="AI317" s="254"/>
      <c r="AJ317" s="254"/>
      <c r="AK317" s="254"/>
      <c r="AL317" s="254"/>
      <c r="AM317" s="254"/>
      <c r="AN317" s="254"/>
      <c r="AO317" s="254"/>
      <c r="AP317" s="254"/>
      <c r="AQ317" s="254"/>
      <c r="AR317" s="301"/>
    </row>
    <row r="318" spans="1:44" s="1" customFormat="1">
      <c r="AA318" s="254"/>
      <c r="AB318" s="254"/>
      <c r="AC318" s="254"/>
      <c r="AD318" s="254"/>
      <c r="AE318" s="254"/>
      <c r="AF318" s="254"/>
      <c r="AG318" s="254"/>
      <c r="AH318" s="254"/>
      <c r="AI318" s="254"/>
      <c r="AJ318" s="254"/>
      <c r="AK318" s="254"/>
      <c r="AL318" s="254"/>
      <c r="AM318" s="254"/>
      <c r="AN318" s="254"/>
      <c r="AO318" s="254"/>
      <c r="AP318" s="254"/>
      <c r="AQ318" s="254"/>
      <c r="AR318" s="301"/>
    </row>
    <row r="319" spans="1:44" s="1" customFormat="1" ht="13.8" thickBot="1">
      <c r="G319" s="34" t="s">
        <v>22</v>
      </c>
      <c r="H319" s="11">
        <f>+H$9</f>
        <v>2001</v>
      </c>
      <c r="I319" s="11">
        <f t="shared" ref="I319:Z319" si="179">+I$9</f>
        <v>2002</v>
      </c>
      <c r="J319" s="11">
        <f t="shared" si="179"/>
        <v>2003</v>
      </c>
      <c r="K319" s="11">
        <f t="shared" si="179"/>
        <v>2004</v>
      </c>
      <c r="L319" s="11">
        <f t="shared" si="179"/>
        <v>2005</v>
      </c>
      <c r="M319" s="11">
        <f t="shared" si="179"/>
        <v>2006</v>
      </c>
      <c r="N319" s="11">
        <f t="shared" si="179"/>
        <v>2007</v>
      </c>
      <c r="O319" s="11">
        <f t="shared" si="179"/>
        <v>2008</v>
      </c>
      <c r="P319" s="11">
        <f t="shared" si="179"/>
        <v>2009</v>
      </c>
      <c r="Q319" s="11">
        <f t="shared" si="179"/>
        <v>2010</v>
      </c>
      <c r="R319" s="11">
        <f t="shared" si="179"/>
        <v>2011</v>
      </c>
      <c r="S319" s="11">
        <f t="shared" si="179"/>
        <v>2012</v>
      </c>
      <c r="T319" s="11">
        <f t="shared" si="179"/>
        <v>2013</v>
      </c>
      <c r="U319" s="11">
        <f t="shared" si="179"/>
        <v>2014</v>
      </c>
      <c r="V319" s="11">
        <f t="shared" si="179"/>
        <v>2015</v>
      </c>
      <c r="W319" s="11">
        <f t="shared" si="179"/>
        <v>2016</v>
      </c>
      <c r="X319" s="11">
        <f t="shared" si="179"/>
        <v>2017</v>
      </c>
      <c r="Y319" s="11">
        <f t="shared" si="179"/>
        <v>2018</v>
      </c>
      <c r="Z319" s="11">
        <f t="shared" si="179"/>
        <v>2019</v>
      </c>
      <c r="AA319" s="254"/>
      <c r="AB319" s="254"/>
      <c r="AC319" s="254"/>
      <c r="AD319" s="254"/>
      <c r="AE319" s="254"/>
      <c r="AF319" s="254"/>
      <c r="AG319" s="254"/>
      <c r="AH319" s="254"/>
      <c r="AI319" s="254"/>
      <c r="AJ319" s="254"/>
      <c r="AK319" s="254"/>
      <c r="AL319" s="254"/>
      <c r="AM319" s="254"/>
      <c r="AN319" s="254"/>
      <c r="AO319" s="254"/>
      <c r="AP319" s="254"/>
      <c r="AQ319" s="254"/>
      <c r="AR319" s="301"/>
    </row>
    <row r="320" spans="1:44" s="1" customFormat="1" ht="15.6">
      <c r="A320" s="356" t="s">
        <v>250</v>
      </c>
      <c r="AA320" s="254"/>
      <c r="AB320" s="254"/>
      <c r="AC320" s="254"/>
      <c r="AD320" s="254"/>
      <c r="AE320" s="254"/>
      <c r="AF320" s="254"/>
      <c r="AG320" s="254"/>
      <c r="AH320" s="254"/>
      <c r="AI320" s="254"/>
      <c r="AJ320" s="254"/>
      <c r="AK320" s="254"/>
      <c r="AL320" s="254"/>
      <c r="AM320" s="254"/>
      <c r="AN320" s="254"/>
      <c r="AO320" s="254"/>
      <c r="AP320" s="254"/>
      <c r="AQ320" s="254"/>
      <c r="AR320" s="301"/>
    </row>
    <row r="321" spans="1:44" s="1" customFormat="1" ht="13.8" thickBot="1">
      <c r="AA321" s="254"/>
      <c r="AB321" s="254"/>
      <c r="AC321" s="254"/>
      <c r="AD321" s="254"/>
      <c r="AE321" s="254"/>
      <c r="AF321" s="254"/>
      <c r="AG321" s="254"/>
      <c r="AH321" s="254"/>
      <c r="AI321" s="254"/>
      <c r="AJ321" s="254"/>
      <c r="AK321" s="254"/>
      <c r="AL321" s="254"/>
      <c r="AM321" s="254"/>
      <c r="AN321" s="254"/>
      <c r="AO321" s="254"/>
      <c r="AP321" s="254"/>
      <c r="AQ321" s="254"/>
      <c r="AR321" s="301"/>
    </row>
    <row r="322" spans="1:44" s="1" customFormat="1">
      <c r="A322" s="13"/>
      <c r="B322" s="90" t="s">
        <v>152</v>
      </c>
      <c r="C322" s="91"/>
      <c r="D322" s="91"/>
      <c r="E322" s="222">
        <v>7.0000000000000007E-2</v>
      </c>
      <c r="F322" s="10" t="s">
        <v>6</v>
      </c>
      <c r="G322" s="14">
        <f t="shared" ref="G322:AQ322" si="180">+G12</f>
        <v>36891</v>
      </c>
      <c r="H322" s="14">
        <f t="shared" si="180"/>
        <v>37256</v>
      </c>
      <c r="I322" s="14">
        <f t="shared" si="180"/>
        <v>37621</v>
      </c>
      <c r="J322" s="14">
        <f t="shared" si="180"/>
        <v>37986</v>
      </c>
      <c r="K322" s="14">
        <f t="shared" si="180"/>
        <v>38352</v>
      </c>
      <c r="L322" s="14">
        <f t="shared" si="180"/>
        <v>38717</v>
      </c>
      <c r="M322" s="14">
        <f t="shared" si="180"/>
        <v>39082</v>
      </c>
      <c r="N322" s="14">
        <f t="shared" si="180"/>
        <v>39447</v>
      </c>
      <c r="O322" s="14">
        <f t="shared" si="180"/>
        <v>39813</v>
      </c>
      <c r="P322" s="14">
        <f t="shared" si="180"/>
        <v>40178</v>
      </c>
      <c r="Q322" s="14">
        <f t="shared" si="180"/>
        <v>40543</v>
      </c>
      <c r="R322" s="14">
        <f t="shared" si="180"/>
        <v>40908</v>
      </c>
      <c r="S322" s="14">
        <f t="shared" si="180"/>
        <v>41274</v>
      </c>
      <c r="T322" s="14">
        <f t="shared" si="180"/>
        <v>41639</v>
      </c>
      <c r="U322" s="14">
        <f t="shared" si="180"/>
        <v>42004</v>
      </c>
      <c r="V322" s="14">
        <f t="shared" si="180"/>
        <v>42369</v>
      </c>
      <c r="W322" s="14">
        <f t="shared" si="180"/>
        <v>42735</v>
      </c>
      <c r="X322" s="14">
        <f t="shared" si="180"/>
        <v>43100</v>
      </c>
      <c r="Y322" s="14">
        <f t="shared" si="180"/>
        <v>43465</v>
      </c>
      <c r="Z322" s="14">
        <f t="shared" si="180"/>
        <v>43830</v>
      </c>
      <c r="AA322" s="255">
        <f t="shared" si="180"/>
        <v>44196</v>
      </c>
      <c r="AB322" s="255">
        <f t="shared" si="180"/>
        <v>44561</v>
      </c>
      <c r="AC322" s="255">
        <f t="shared" si="180"/>
        <v>44926</v>
      </c>
      <c r="AD322" s="255">
        <f t="shared" si="180"/>
        <v>45291</v>
      </c>
      <c r="AE322" s="255">
        <f t="shared" si="180"/>
        <v>45657</v>
      </c>
      <c r="AF322" s="255">
        <f t="shared" si="180"/>
        <v>46022</v>
      </c>
      <c r="AG322" s="255">
        <f t="shared" si="180"/>
        <v>46387</v>
      </c>
      <c r="AH322" s="255">
        <f t="shared" si="180"/>
        <v>46752</v>
      </c>
      <c r="AI322" s="255">
        <f t="shared" si="180"/>
        <v>47118</v>
      </c>
      <c r="AJ322" s="255">
        <f t="shared" si="180"/>
        <v>47483</v>
      </c>
      <c r="AK322" s="255">
        <f t="shared" si="180"/>
        <v>47848</v>
      </c>
      <c r="AL322" s="255">
        <f t="shared" si="180"/>
        <v>48213</v>
      </c>
      <c r="AM322" s="255">
        <f t="shared" si="180"/>
        <v>48579</v>
      </c>
      <c r="AN322" s="255">
        <f t="shared" si="180"/>
        <v>48944</v>
      </c>
      <c r="AO322" s="255">
        <f t="shared" si="180"/>
        <v>49309</v>
      </c>
      <c r="AP322" s="255">
        <f t="shared" si="180"/>
        <v>49674</v>
      </c>
      <c r="AQ322" s="255">
        <f t="shared" si="180"/>
        <v>50040</v>
      </c>
      <c r="AR322" s="307" t="s">
        <v>186</v>
      </c>
    </row>
    <row r="323" spans="1:44" s="1" customFormat="1">
      <c r="A323" s="13"/>
      <c r="B323" s="92" t="s">
        <v>153</v>
      </c>
      <c r="C323" s="93"/>
      <c r="D323" s="93"/>
      <c r="E323" s="223">
        <v>0.02</v>
      </c>
      <c r="F323" s="10" t="s">
        <v>4</v>
      </c>
      <c r="G323" s="4">
        <f>+G13</f>
        <v>0</v>
      </c>
      <c r="H323" s="4">
        <f>(H322-G322)/365</f>
        <v>1</v>
      </c>
      <c r="I323" s="4">
        <f>+H323+1</f>
        <v>2</v>
      </c>
      <c r="J323" s="4">
        <f t="shared" ref="J323:Z323" si="181">+I323+1</f>
        <v>3</v>
      </c>
      <c r="K323" s="4">
        <f t="shared" si="181"/>
        <v>4</v>
      </c>
      <c r="L323" s="4">
        <f t="shared" si="181"/>
        <v>5</v>
      </c>
      <c r="M323" s="4">
        <f t="shared" si="181"/>
        <v>6</v>
      </c>
      <c r="N323" s="4">
        <f t="shared" si="181"/>
        <v>7</v>
      </c>
      <c r="O323" s="4">
        <f t="shared" si="181"/>
        <v>8</v>
      </c>
      <c r="P323" s="4">
        <f t="shared" si="181"/>
        <v>9</v>
      </c>
      <c r="Q323" s="4">
        <f t="shared" si="181"/>
        <v>10</v>
      </c>
      <c r="R323" s="4">
        <f t="shared" si="181"/>
        <v>11</v>
      </c>
      <c r="S323" s="4">
        <f t="shared" si="181"/>
        <v>12</v>
      </c>
      <c r="T323" s="4">
        <f t="shared" si="181"/>
        <v>13</v>
      </c>
      <c r="U323" s="4">
        <f t="shared" si="181"/>
        <v>14</v>
      </c>
      <c r="V323" s="4">
        <f t="shared" si="181"/>
        <v>15</v>
      </c>
      <c r="W323" s="4">
        <f t="shared" si="181"/>
        <v>16</v>
      </c>
      <c r="X323" s="4">
        <f t="shared" si="181"/>
        <v>17</v>
      </c>
      <c r="Y323" s="4">
        <f t="shared" si="181"/>
        <v>18</v>
      </c>
      <c r="Z323" s="4">
        <f t="shared" si="181"/>
        <v>19</v>
      </c>
      <c r="AA323" s="256">
        <f t="shared" ref="AA323:AQ323" si="182">+Z323+1</f>
        <v>20</v>
      </c>
      <c r="AB323" s="256">
        <f t="shared" si="182"/>
        <v>21</v>
      </c>
      <c r="AC323" s="256">
        <f t="shared" si="182"/>
        <v>22</v>
      </c>
      <c r="AD323" s="256">
        <f t="shared" si="182"/>
        <v>23</v>
      </c>
      <c r="AE323" s="256">
        <f t="shared" si="182"/>
        <v>24</v>
      </c>
      <c r="AF323" s="256">
        <f t="shared" si="182"/>
        <v>25</v>
      </c>
      <c r="AG323" s="256">
        <f t="shared" si="182"/>
        <v>26</v>
      </c>
      <c r="AH323" s="256">
        <f t="shared" si="182"/>
        <v>27</v>
      </c>
      <c r="AI323" s="256">
        <f t="shared" si="182"/>
        <v>28</v>
      </c>
      <c r="AJ323" s="256">
        <f t="shared" si="182"/>
        <v>29</v>
      </c>
      <c r="AK323" s="256">
        <f t="shared" si="182"/>
        <v>30</v>
      </c>
      <c r="AL323" s="256">
        <f t="shared" si="182"/>
        <v>31</v>
      </c>
      <c r="AM323" s="256">
        <f t="shared" si="182"/>
        <v>32</v>
      </c>
      <c r="AN323" s="256">
        <f t="shared" si="182"/>
        <v>33</v>
      </c>
      <c r="AO323" s="256">
        <f t="shared" si="182"/>
        <v>34</v>
      </c>
      <c r="AP323" s="256">
        <f t="shared" si="182"/>
        <v>35</v>
      </c>
      <c r="AQ323" s="256">
        <f t="shared" si="182"/>
        <v>36</v>
      </c>
      <c r="AR323" s="307" t="s">
        <v>186</v>
      </c>
    </row>
    <row r="324" spans="1:44" s="1" customFormat="1" ht="13.8" thickBot="1">
      <c r="A324" s="13"/>
      <c r="B324" s="94" t="s">
        <v>226</v>
      </c>
      <c r="C324" s="95"/>
      <c r="D324" s="95"/>
      <c r="E324" s="224">
        <f>SUM(E322:E323)</f>
        <v>9.0000000000000011E-2</v>
      </c>
      <c r="F324" s="10" t="s">
        <v>5</v>
      </c>
      <c r="G324" s="5">
        <f t="shared" ref="G324:AQ324" si="183">1/(1+$E$324)^G$323</f>
        <v>1</v>
      </c>
      <c r="H324" s="5">
        <f t="shared" si="183"/>
        <v>0.9174311926605504</v>
      </c>
      <c r="I324" s="5">
        <f t="shared" si="183"/>
        <v>0.84167999326655996</v>
      </c>
      <c r="J324" s="5">
        <f t="shared" si="183"/>
        <v>0.77218348006106419</v>
      </c>
      <c r="K324" s="5">
        <f t="shared" si="183"/>
        <v>0.7084252110651964</v>
      </c>
      <c r="L324" s="5">
        <f t="shared" si="183"/>
        <v>0.64993138629834524</v>
      </c>
      <c r="M324" s="5">
        <f t="shared" si="183"/>
        <v>0.5962673268792158</v>
      </c>
      <c r="N324" s="5">
        <f t="shared" si="183"/>
        <v>0.54703424484331731</v>
      </c>
      <c r="O324" s="5">
        <f t="shared" si="183"/>
        <v>0.50186627967276809</v>
      </c>
      <c r="P324" s="5">
        <f t="shared" si="183"/>
        <v>0.46042777951630098</v>
      </c>
      <c r="Q324" s="5">
        <f t="shared" si="183"/>
        <v>0.42241080689568894</v>
      </c>
      <c r="R324" s="5">
        <f t="shared" si="183"/>
        <v>0.38753285036301738</v>
      </c>
      <c r="S324" s="5">
        <f t="shared" si="183"/>
        <v>0.35553472510368567</v>
      </c>
      <c r="T324" s="5">
        <f t="shared" si="183"/>
        <v>0.32617864688411524</v>
      </c>
      <c r="U324" s="5">
        <f t="shared" si="183"/>
        <v>0.29924646503129837</v>
      </c>
      <c r="V324" s="5">
        <f t="shared" si="183"/>
        <v>0.27453804131311776</v>
      </c>
      <c r="W324" s="5">
        <f t="shared" si="183"/>
        <v>0.2518697626725851</v>
      </c>
      <c r="X324" s="5">
        <f t="shared" si="183"/>
        <v>0.23107317676383954</v>
      </c>
      <c r="Y324" s="5">
        <f t="shared" si="183"/>
        <v>0.21199374015031147</v>
      </c>
      <c r="Z324" s="5">
        <f t="shared" si="183"/>
        <v>0.19448966986267105</v>
      </c>
      <c r="AA324" s="257">
        <f t="shared" si="183"/>
        <v>0.17843088978226704</v>
      </c>
      <c r="AB324" s="257">
        <f t="shared" si="183"/>
        <v>0.16369806402042844</v>
      </c>
      <c r="AC324" s="257">
        <f t="shared" si="183"/>
        <v>0.15018171011048481</v>
      </c>
      <c r="AD324" s="257">
        <f t="shared" si="183"/>
        <v>0.13778138542246313</v>
      </c>
      <c r="AE324" s="257">
        <f t="shared" si="183"/>
        <v>0.12640494075455333</v>
      </c>
      <c r="AF324" s="257">
        <f t="shared" si="183"/>
        <v>0.11596783555463605</v>
      </c>
      <c r="AG324" s="257">
        <f t="shared" si="183"/>
        <v>0.10639250968315234</v>
      </c>
      <c r="AH324" s="257">
        <f t="shared" si="183"/>
        <v>9.7607807048763609E-2</v>
      </c>
      <c r="AI324" s="257">
        <f t="shared" si="183"/>
        <v>8.954844683372809E-2</v>
      </c>
      <c r="AJ324" s="257">
        <f t="shared" si="183"/>
        <v>8.2154538379567044E-2</v>
      </c>
      <c r="AK324" s="257">
        <f t="shared" si="183"/>
        <v>7.5371136128043151E-2</v>
      </c>
      <c r="AL324" s="257">
        <f t="shared" si="183"/>
        <v>6.914783131013133E-2</v>
      </c>
      <c r="AM324" s="257">
        <f t="shared" si="183"/>
        <v>6.3438377348744343E-2</v>
      </c>
      <c r="AN324" s="257">
        <f t="shared" si="183"/>
        <v>5.8200346191508566E-2</v>
      </c>
      <c r="AO324" s="257">
        <f t="shared" si="183"/>
        <v>5.3394813019732625E-2</v>
      </c>
      <c r="AP324" s="257">
        <f t="shared" si="183"/>
        <v>4.8986066990580383E-2</v>
      </c>
      <c r="AQ324" s="257">
        <f t="shared" si="183"/>
        <v>4.4941345862917786E-2</v>
      </c>
      <c r="AR324" s="307" t="s">
        <v>186</v>
      </c>
    </row>
    <row r="325" spans="1:44" s="1" customFormat="1" ht="13.8" thickBot="1">
      <c r="A325" s="297"/>
      <c r="E325" s="41"/>
      <c r="F325" s="41"/>
      <c r="G325" s="41"/>
      <c r="AA325" s="254"/>
      <c r="AB325" s="254"/>
      <c r="AC325" s="254"/>
      <c r="AD325" s="254"/>
      <c r="AE325" s="254"/>
      <c r="AF325" s="254"/>
      <c r="AG325" s="254"/>
      <c r="AH325" s="254"/>
      <c r="AI325" s="254"/>
      <c r="AJ325" s="254"/>
      <c r="AK325" s="254"/>
      <c r="AL325" s="254"/>
      <c r="AM325" s="254"/>
      <c r="AN325" s="254"/>
      <c r="AO325" s="254"/>
      <c r="AP325" s="254"/>
      <c r="AQ325" s="254"/>
      <c r="AR325" s="307" t="s">
        <v>186</v>
      </c>
    </row>
    <row r="326" spans="1:44" s="1" customFormat="1">
      <c r="A326" s="297"/>
      <c r="B326" s="90" t="s">
        <v>200</v>
      </c>
      <c r="C326" s="91"/>
      <c r="D326" s="91"/>
      <c r="E326" s="222">
        <v>7.0000000000000007E-2</v>
      </c>
      <c r="F326" s="41"/>
      <c r="G326" s="41"/>
      <c r="AA326" s="254"/>
      <c r="AB326" s="254"/>
      <c r="AC326" s="254"/>
      <c r="AD326" s="254"/>
      <c r="AE326" s="254"/>
      <c r="AF326" s="254"/>
      <c r="AG326" s="254"/>
      <c r="AH326" s="254"/>
      <c r="AI326" s="254"/>
      <c r="AJ326" s="254"/>
      <c r="AK326" s="254"/>
      <c r="AL326" s="254"/>
      <c r="AM326" s="254"/>
      <c r="AN326" s="254"/>
      <c r="AO326" s="254"/>
      <c r="AP326" s="254"/>
      <c r="AQ326" s="254"/>
      <c r="AR326" s="307"/>
    </row>
    <row r="327" spans="1:44" s="1" customFormat="1">
      <c r="A327" s="297"/>
      <c r="B327" s="92" t="s">
        <v>225</v>
      </c>
      <c r="C327" s="93"/>
      <c r="D327" s="93"/>
      <c r="E327" s="223">
        <v>0.02</v>
      </c>
      <c r="F327" s="41"/>
      <c r="G327" s="41"/>
      <c r="AA327" s="254"/>
      <c r="AB327" s="254"/>
      <c r="AC327" s="254"/>
      <c r="AD327" s="254"/>
      <c r="AE327" s="254"/>
      <c r="AF327" s="254"/>
      <c r="AG327" s="254"/>
      <c r="AH327" s="254"/>
      <c r="AI327" s="254"/>
      <c r="AJ327" s="254"/>
      <c r="AK327" s="254"/>
      <c r="AL327" s="254"/>
      <c r="AM327" s="254"/>
      <c r="AN327" s="254"/>
      <c r="AO327" s="254"/>
      <c r="AP327" s="254"/>
      <c r="AQ327" s="254"/>
      <c r="AR327" s="307"/>
    </row>
    <row r="328" spans="1:44" s="1" customFormat="1" ht="13.8" thickBot="1">
      <c r="A328" s="297"/>
      <c r="B328" s="94" t="s">
        <v>227</v>
      </c>
      <c r="C328" s="95"/>
      <c r="D328" s="95"/>
      <c r="E328" s="224">
        <f>SUM(E326:E327)</f>
        <v>9.0000000000000011E-2</v>
      </c>
      <c r="F328" s="10" t="s">
        <v>5</v>
      </c>
      <c r="G328" s="5">
        <f t="shared" ref="G328:AQ328" si="184">1/(1+$E$328)^G$323</f>
        <v>1</v>
      </c>
      <c r="H328" s="5">
        <f t="shared" si="184"/>
        <v>0.9174311926605504</v>
      </c>
      <c r="I328" s="5">
        <f t="shared" si="184"/>
        <v>0.84167999326655996</v>
      </c>
      <c r="J328" s="5">
        <f t="shared" si="184"/>
        <v>0.77218348006106419</v>
      </c>
      <c r="K328" s="5">
        <f t="shared" si="184"/>
        <v>0.7084252110651964</v>
      </c>
      <c r="L328" s="5">
        <f t="shared" si="184"/>
        <v>0.64993138629834524</v>
      </c>
      <c r="M328" s="5">
        <f t="shared" si="184"/>
        <v>0.5962673268792158</v>
      </c>
      <c r="N328" s="5">
        <f t="shared" si="184"/>
        <v>0.54703424484331731</v>
      </c>
      <c r="O328" s="5">
        <f t="shared" si="184"/>
        <v>0.50186627967276809</v>
      </c>
      <c r="P328" s="5">
        <f t="shared" si="184"/>
        <v>0.46042777951630098</v>
      </c>
      <c r="Q328" s="5">
        <f t="shared" si="184"/>
        <v>0.42241080689568894</v>
      </c>
      <c r="R328" s="5">
        <f t="shared" si="184"/>
        <v>0.38753285036301738</v>
      </c>
      <c r="S328" s="5">
        <f t="shared" si="184"/>
        <v>0.35553472510368567</v>
      </c>
      <c r="T328" s="5">
        <f t="shared" si="184"/>
        <v>0.32617864688411524</v>
      </c>
      <c r="U328" s="5">
        <f t="shared" si="184"/>
        <v>0.29924646503129837</v>
      </c>
      <c r="V328" s="5">
        <f t="shared" si="184"/>
        <v>0.27453804131311776</v>
      </c>
      <c r="W328" s="5">
        <f t="shared" si="184"/>
        <v>0.2518697626725851</v>
      </c>
      <c r="X328" s="5">
        <f t="shared" si="184"/>
        <v>0.23107317676383954</v>
      </c>
      <c r="Y328" s="5">
        <f t="shared" si="184"/>
        <v>0.21199374015031147</v>
      </c>
      <c r="Z328" s="5">
        <f t="shared" si="184"/>
        <v>0.19448966986267105</v>
      </c>
      <c r="AA328" s="257">
        <f t="shared" si="184"/>
        <v>0.17843088978226704</v>
      </c>
      <c r="AB328" s="257">
        <f t="shared" si="184"/>
        <v>0.16369806402042844</v>
      </c>
      <c r="AC328" s="257">
        <f t="shared" si="184"/>
        <v>0.15018171011048481</v>
      </c>
      <c r="AD328" s="257">
        <f t="shared" si="184"/>
        <v>0.13778138542246313</v>
      </c>
      <c r="AE328" s="257">
        <f t="shared" si="184"/>
        <v>0.12640494075455333</v>
      </c>
      <c r="AF328" s="257">
        <f t="shared" si="184"/>
        <v>0.11596783555463605</v>
      </c>
      <c r="AG328" s="257">
        <f t="shared" si="184"/>
        <v>0.10639250968315234</v>
      </c>
      <c r="AH328" s="257">
        <f t="shared" si="184"/>
        <v>9.7607807048763609E-2</v>
      </c>
      <c r="AI328" s="257">
        <f t="shared" si="184"/>
        <v>8.954844683372809E-2</v>
      </c>
      <c r="AJ328" s="257">
        <f t="shared" si="184"/>
        <v>8.2154538379567044E-2</v>
      </c>
      <c r="AK328" s="257">
        <f t="shared" si="184"/>
        <v>7.5371136128043151E-2</v>
      </c>
      <c r="AL328" s="257">
        <f t="shared" si="184"/>
        <v>6.914783131013133E-2</v>
      </c>
      <c r="AM328" s="257">
        <f t="shared" si="184"/>
        <v>6.3438377348744343E-2</v>
      </c>
      <c r="AN328" s="257">
        <f t="shared" si="184"/>
        <v>5.8200346191508566E-2</v>
      </c>
      <c r="AO328" s="257">
        <f t="shared" si="184"/>
        <v>5.3394813019732625E-2</v>
      </c>
      <c r="AP328" s="257">
        <f t="shared" si="184"/>
        <v>4.8986066990580383E-2</v>
      </c>
      <c r="AQ328" s="257">
        <f t="shared" si="184"/>
        <v>4.4941345862917786E-2</v>
      </c>
      <c r="AR328" s="307"/>
    </row>
    <row r="329" spans="1:44" s="1" customFormat="1">
      <c r="AA329" s="254"/>
      <c r="AB329" s="254"/>
      <c r="AC329" s="254"/>
      <c r="AD329" s="254"/>
      <c r="AE329" s="254"/>
      <c r="AF329" s="254"/>
      <c r="AG329" s="254"/>
      <c r="AH329" s="254"/>
      <c r="AI329" s="254"/>
      <c r="AJ329" s="254"/>
      <c r="AK329" s="254"/>
      <c r="AL329" s="254"/>
      <c r="AM329" s="254"/>
      <c r="AN329" s="254"/>
      <c r="AO329" s="254"/>
      <c r="AP329" s="254"/>
      <c r="AQ329" s="254"/>
      <c r="AR329" s="301"/>
    </row>
    <row r="330" spans="1:44" s="1" customFormat="1">
      <c r="A330" s="16" t="s">
        <v>249</v>
      </c>
      <c r="AA330" s="254"/>
      <c r="AB330" s="254"/>
      <c r="AC330" s="254"/>
      <c r="AD330" s="254"/>
      <c r="AE330" s="254"/>
      <c r="AF330" s="254"/>
      <c r="AG330" s="254"/>
      <c r="AH330" s="254"/>
      <c r="AI330" s="254"/>
      <c r="AJ330" s="254"/>
      <c r="AK330" s="254"/>
      <c r="AL330" s="254"/>
      <c r="AM330" s="254"/>
      <c r="AN330" s="254"/>
      <c r="AO330" s="254"/>
      <c r="AP330" s="254"/>
      <c r="AQ330" s="254"/>
      <c r="AR330" s="301"/>
    </row>
    <row r="331" spans="1:44" s="1" customFormat="1">
      <c r="A331" s="297"/>
      <c r="B331" s="16"/>
      <c r="AA331" s="254"/>
      <c r="AB331" s="254"/>
      <c r="AC331" s="254"/>
      <c r="AD331" s="254"/>
      <c r="AE331" s="254"/>
      <c r="AF331" s="254"/>
      <c r="AG331" s="254"/>
      <c r="AH331" s="254"/>
      <c r="AI331" s="254"/>
      <c r="AJ331" s="254"/>
      <c r="AK331" s="254"/>
      <c r="AL331" s="254"/>
      <c r="AM331" s="254"/>
      <c r="AN331" s="254"/>
      <c r="AO331" s="254"/>
      <c r="AP331" s="254"/>
      <c r="AQ331" s="254"/>
      <c r="AR331" s="301"/>
    </row>
    <row r="332" spans="1:44" s="1" customFormat="1">
      <c r="A332" s="297"/>
      <c r="B332" s="16" t="s">
        <v>229</v>
      </c>
      <c r="AA332" s="254"/>
      <c r="AB332" s="254"/>
      <c r="AC332" s="254"/>
      <c r="AD332" s="254"/>
      <c r="AE332" s="254"/>
      <c r="AF332" s="254"/>
      <c r="AG332" s="254"/>
      <c r="AH332" s="254"/>
      <c r="AI332" s="254"/>
      <c r="AJ332" s="254"/>
      <c r="AK332" s="254"/>
      <c r="AL332" s="254"/>
      <c r="AM332" s="254"/>
      <c r="AN332" s="254"/>
      <c r="AO332" s="254"/>
      <c r="AP332" s="254"/>
      <c r="AQ332" s="254"/>
      <c r="AR332" s="301"/>
    </row>
    <row r="333" spans="1:44" s="1" customFormat="1">
      <c r="A333" s="297"/>
      <c r="B333" s="13" t="s">
        <v>31</v>
      </c>
      <c r="G333" s="73" t="s">
        <v>66</v>
      </c>
      <c r="H333" s="101">
        <v>258000</v>
      </c>
      <c r="I333" s="25">
        <f>+H333</f>
        <v>258000</v>
      </c>
      <c r="J333" s="25">
        <f t="shared" ref="J333:AQ333" si="185">+I333</f>
        <v>258000</v>
      </c>
      <c r="K333" s="25">
        <f t="shared" si="185"/>
        <v>258000</v>
      </c>
      <c r="L333" s="25">
        <f t="shared" si="185"/>
        <v>258000</v>
      </c>
      <c r="M333" s="25">
        <f t="shared" si="185"/>
        <v>258000</v>
      </c>
      <c r="N333" s="25">
        <f t="shared" si="185"/>
        <v>258000</v>
      </c>
      <c r="O333" s="25">
        <f t="shared" si="185"/>
        <v>258000</v>
      </c>
      <c r="P333" s="25">
        <f t="shared" si="185"/>
        <v>258000</v>
      </c>
      <c r="Q333" s="25">
        <f t="shared" si="185"/>
        <v>258000</v>
      </c>
      <c r="R333" s="25">
        <f t="shared" si="185"/>
        <v>258000</v>
      </c>
      <c r="S333" s="25">
        <f t="shared" si="185"/>
        <v>258000</v>
      </c>
      <c r="T333" s="25">
        <f t="shared" si="185"/>
        <v>258000</v>
      </c>
      <c r="U333" s="25">
        <f t="shared" si="185"/>
        <v>258000</v>
      </c>
      <c r="V333" s="25">
        <f t="shared" si="185"/>
        <v>258000</v>
      </c>
      <c r="W333" s="25">
        <f t="shared" si="185"/>
        <v>258000</v>
      </c>
      <c r="X333" s="25">
        <f t="shared" si="185"/>
        <v>258000</v>
      </c>
      <c r="Y333" s="25">
        <f t="shared" si="185"/>
        <v>258000</v>
      </c>
      <c r="Z333" s="25">
        <f t="shared" si="185"/>
        <v>258000</v>
      </c>
      <c r="AA333" s="278">
        <f t="shared" si="185"/>
        <v>258000</v>
      </c>
      <c r="AB333" s="278">
        <f t="shared" si="185"/>
        <v>258000</v>
      </c>
      <c r="AC333" s="278">
        <f t="shared" si="185"/>
        <v>258000</v>
      </c>
      <c r="AD333" s="278">
        <f t="shared" si="185"/>
        <v>258000</v>
      </c>
      <c r="AE333" s="278">
        <f t="shared" si="185"/>
        <v>258000</v>
      </c>
      <c r="AF333" s="278">
        <f t="shared" si="185"/>
        <v>258000</v>
      </c>
      <c r="AG333" s="278">
        <f t="shared" si="185"/>
        <v>258000</v>
      </c>
      <c r="AH333" s="278">
        <f t="shared" si="185"/>
        <v>258000</v>
      </c>
      <c r="AI333" s="278">
        <f t="shared" si="185"/>
        <v>258000</v>
      </c>
      <c r="AJ333" s="278">
        <f t="shared" si="185"/>
        <v>258000</v>
      </c>
      <c r="AK333" s="278">
        <f t="shared" si="185"/>
        <v>258000</v>
      </c>
      <c r="AL333" s="278">
        <f t="shared" si="185"/>
        <v>258000</v>
      </c>
      <c r="AM333" s="278">
        <f t="shared" si="185"/>
        <v>258000</v>
      </c>
      <c r="AN333" s="278">
        <f t="shared" si="185"/>
        <v>258000</v>
      </c>
      <c r="AO333" s="278">
        <f t="shared" si="185"/>
        <v>258000</v>
      </c>
      <c r="AP333" s="278">
        <f t="shared" si="185"/>
        <v>258000</v>
      </c>
      <c r="AQ333" s="278">
        <f t="shared" si="185"/>
        <v>258000</v>
      </c>
      <c r="AR333" s="301"/>
    </row>
    <row r="334" spans="1:44" s="1" customFormat="1" ht="13.8" thickBot="1">
      <c r="A334" s="297"/>
      <c r="B334" s="13" t="s">
        <v>64</v>
      </c>
      <c r="E334" s="24" t="s">
        <v>177</v>
      </c>
      <c r="F334" s="245">
        <v>-1.448890022150225E-2</v>
      </c>
      <c r="G334" s="77" t="s">
        <v>175</v>
      </c>
      <c r="H334" s="248">
        <v>13.636783371390582</v>
      </c>
      <c r="I334" s="363">
        <f>+H334*(1+$F$334)</f>
        <v>13.439201377780263</v>
      </c>
      <c r="J334" s="363">
        <f t="shared" ref="J334:AQ334" si="186">+I334*(1+$F$334)</f>
        <v>13.244482129960929</v>
      </c>
      <c r="K334" s="363">
        <f t="shared" si="186"/>
        <v>13.052584149894455</v>
      </c>
      <c r="L334" s="363">
        <f t="shared" si="186"/>
        <v>12.863466560513872</v>
      </c>
      <c r="M334" s="363">
        <f t="shared" si="186"/>
        <v>12.677089077015955</v>
      </c>
      <c r="N334" s="363">
        <f t="shared" si="186"/>
        <v>12.493411998279974</v>
      </c>
      <c r="O334" s="363">
        <f t="shared" si="186"/>
        <v>12.312396198410775</v>
      </c>
      <c r="P334" s="363">
        <f t="shared" si="186"/>
        <v>12.134003118404397</v>
      </c>
      <c r="Q334" s="363">
        <f t="shared" si="186"/>
        <v>11.958194757934438</v>
      </c>
      <c r="R334" s="363">
        <f t="shared" si="186"/>
        <v>11.784933667257434</v>
      </c>
      <c r="S334" s="363">
        <f t="shared" si="186"/>
        <v>11.614182939235517</v>
      </c>
      <c r="T334" s="363">
        <f t="shared" si="186"/>
        <v>11.44590620147466</v>
      </c>
      <c r="U334" s="363">
        <f t="shared" si="186"/>
        <v>11.28006760857682</v>
      </c>
      <c r="V334" s="363">
        <f t="shared" si="186"/>
        <v>11.11663183450435</v>
      </c>
      <c r="W334" s="363">
        <f t="shared" si="186"/>
        <v>10.955564065055041</v>
      </c>
      <c r="X334" s="363">
        <f t="shared" si="186"/>
        <v>10.796829990446183</v>
      </c>
      <c r="Y334" s="363">
        <f t="shared" si="186"/>
        <v>10.640395798006084</v>
      </c>
      <c r="Z334" s="363">
        <f t="shared" si="186"/>
        <v>10.486228164971482</v>
      </c>
      <c r="AA334" s="279">
        <f t="shared" si="186"/>
        <v>10.334294251389304</v>
      </c>
      <c r="AB334" s="279">
        <f t="shared" si="186"/>
        <v>10.18456169312128</v>
      </c>
      <c r="AC334" s="279">
        <f t="shared" si="186"/>
        <v>10.036998594949912</v>
      </c>
      <c r="AD334" s="279">
        <f t="shared" si="186"/>
        <v>9.8915735237843236</v>
      </c>
      <c r="AE334" s="279">
        <f t="shared" si="186"/>
        <v>9.7482555019645591</v>
      </c>
      <c r="AF334" s="279">
        <f t="shared" si="186"/>
        <v>9.6070140006628844</v>
      </c>
      <c r="AG334" s="279">
        <f t="shared" si="186"/>
        <v>9.4678189333807037</v>
      </c>
      <c r="AH334" s="279">
        <f t="shared" si="186"/>
        <v>9.330640649539701</v>
      </c>
      <c r="AI334" s="279">
        <f t="shared" si="186"/>
        <v>9.1954499281658268</v>
      </c>
      <c r="AJ334" s="279">
        <f t="shared" si="186"/>
        <v>9.0622179716648112</v>
      </c>
      <c r="AK334" s="279">
        <f t="shared" si="186"/>
        <v>8.9309163996878542</v>
      </c>
      <c r="AL334" s="279">
        <f t="shared" si="186"/>
        <v>8.8015172430861988</v>
      </c>
      <c r="AM334" s="279">
        <f t="shared" si="186"/>
        <v>8.6739929379532903</v>
      </c>
      <c r="AN334" s="279">
        <f t="shared" si="186"/>
        <v>8.548316319753269</v>
      </c>
      <c r="AO334" s="279">
        <f t="shared" si="186"/>
        <v>8.4244606175345247</v>
      </c>
      <c r="AP334" s="279">
        <f t="shared" si="186"/>
        <v>8.3023994482270922</v>
      </c>
      <c r="AQ334" s="279">
        <f t="shared" si="186"/>
        <v>8.182106811022674</v>
      </c>
      <c r="AR334" s="301"/>
    </row>
    <row r="335" spans="1:44" s="1" customFormat="1">
      <c r="A335" s="297"/>
      <c r="B335" s="13" t="s">
        <v>15</v>
      </c>
      <c r="E335" s="24"/>
      <c r="H335" s="251">
        <f>+H333*H334*12/1000</f>
        <v>42219.481317825244</v>
      </c>
      <c r="I335" s="251">
        <f t="shared" ref="I335:AQ335" si="187">+I333*I334*12/1000</f>
        <v>41607.767465607692</v>
      </c>
      <c r="J335" s="251">
        <f t="shared" si="187"/>
        <v>41004.916674359039</v>
      </c>
      <c r="K335" s="251">
        <f t="shared" si="187"/>
        <v>40410.80052807324</v>
      </c>
      <c r="L335" s="251">
        <f t="shared" si="187"/>
        <v>39825.292471350956</v>
      </c>
      <c r="M335" s="251">
        <f t="shared" si="187"/>
        <v>39248.267782441391</v>
      </c>
      <c r="N335" s="251">
        <f t="shared" si="187"/>
        <v>38679.6035466748</v>
      </c>
      <c r="O335" s="251">
        <f t="shared" si="187"/>
        <v>38119.178630279763</v>
      </c>
      <c r="P335" s="251">
        <f t="shared" si="187"/>
        <v>37566.873654580013</v>
      </c>
      <c r="Q335" s="251">
        <f t="shared" si="187"/>
        <v>37022.570970565022</v>
      </c>
      <c r="R335" s="251">
        <f t="shared" si="187"/>
        <v>36486.154633829014</v>
      </c>
      <c r="S335" s="251">
        <f t="shared" si="187"/>
        <v>35957.510379873165</v>
      </c>
      <c r="T335" s="251">
        <f t="shared" si="187"/>
        <v>35436.525599765548</v>
      </c>
      <c r="U335" s="251">
        <f t="shared" si="187"/>
        <v>34923.089316153841</v>
      </c>
      <c r="V335" s="251">
        <f t="shared" si="187"/>
        <v>34417.09215962547</v>
      </c>
      <c r="W335" s="251">
        <f t="shared" si="187"/>
        <v>33918.426345410408</v>
      </c>
      <c r="X335" s="251">
        <f t="shared" si="187"/>
        <v>33426.985650421382</v>
      </c>
      <c r="Y335" s="251">
        <f t="shared" si="187"/>
        <v>32942.665390626833</v>
      </c>
      <c r="Z335" s="251">
        <f t="shared" si="187"/>
        <v>32465.362398751713</v>
      </c>
      <c r="AA335" s="280">
        <f t="shared" si="187"/>
        <v>31994.975002301282</v>
      </c>
      <c r="AB335" s="280">
        <f t="shared" si="187"/>
        <v>31531.403001903484</v>
      </c>
      <c r="AC335" s="280">
        <f t="shared" si="187"/>
        <v>31074.54764996493</v>
      </c>
      <c r="AD335" s="280">
        <f t="shared" si="187"/>
        <v>30624.311629636264</v>
      </c>
      <c r="AE335" s="280">
        <f t="shared" si="187"/>
        <v>30180.599034082275</v>
      </c>
      <c r="AF335" s="280">
        <f t="shared" si="187"/>
        <v>29743.315346052288</v>
      </c>
      <c r="AG335" s="280">
        <f t="shared" si="187"/>
        <v>29312.367417746664</v>
      </c>
      <c r="AH335" s="280">
        <f t="shared" si="187"/>
        <v>28887.663450974913</v>
      </c>
      <c r="AI335" s="280">
        <f t="shared" si="187"/>
        <v>28469.112977601402</v>
      </c>
      <c r="AJ335" s="280">
        <f t="shared" si="187"/>
        <v>28056.626840274261</v>
      </c>
      <c r="AK335" s="280">
        <f t="shared" si="187"/>
        <v>27650.117173433595</v>
      </c>
      <c r="AL335" s="280">
        <f t="shared" si="187"/>
        <v>27249.49738459487</v>
      </c>
      <c r="AM335" s="280">
        <f t="shared" si="187"/>
        <v>26854.682135903389</v>
      </c>
      <c r="AN335" s="280">
        <f t="shared" si="187"/>
        <v>26465.587325956119</v>
      </c>
      <c r="AO335" s="280">
        <f t="shared" si="187"/>
        <v>26082.130071886884</v>
      </c>
      <c r="AP335" s="280">
        <f t="shared" si="187"/>
        <v>25704.228691711076</v>
      </c>
      <c r="AQ335" s="280">
        <f t="shared" si="187"/>
        <v>25331.802686926199</v>
      </c>
      <c r="AR335" s="301"/>
    </row>
    <row r="336" spans="1:44" s="1" customFormat="1" ht="13.8" thickBot="1">
      <c r="A336" s="297"/>
      <c r="B336" s="193" t="str">
        <f>+B167</f>
        <v>Operating Costs - Other Than Fuel</v>
      </c>
      <c r="H336" s="295">
        <f t="shared" ref="H336:AQ336" si="188">-H167</f>
        <v>-13717.106030874918</v>
      </c>
      <c r="I336" s="295">
        <f t="shared" si="188"/>
        <v>-8892.9798406032714</v>
      </c>
      <c r="J336" s="295">
        <f t="shared" si="188"/>
        <v>-8132.0360734675596</v>
      </c>
      <c r="K336" s="295">
        <f t="shared" si="188"/>
        <v>-11642.469600989902</v>
      </c>
      <c r="L336" s="295">
        <f t="shared" si="188"/>
        <v>-8626.5386242295208</v>
      </c>
      <c r="M336" s="295">
        <f t="shared" si="188"/>
        <v>-10027.459049422156</v>
      </c>
      <c r="N336" s="295">
        <f t="shared" si="188"/>
        <v>-19421.293341799174</v>
      </c>
      <c r="O336" s="295">
        <f t="shared" si="188"/>
        <v>-11127.604395481547</v>
      </c>
      <c r="P336" s="295">
        <f t="shared" si="188"/>
        <v>-10175.603378849297</v>
      </c>
      <c r="Q336" s="295">
        <f t="shared" si="188"/>
        <v>-18491.810578688179</v>
      </c>
      <c r="R336" s="295">
        <f t="shared" si="188"/>
        <v>-11837.249879126826</v>
      </c>
      <c r="S336" s="295">
        <f t="shared" si="188"/>
        <v>-12356.183539274542</v>
      </c>
      <c r="T336" s="295">
        <f t="shared" si="188"/>
        <v>-18942.80023013553</v>
      </c>
      <c r="U336" s="295">
        <f t="shared" si="188"/>
        <v>-12621.754330070515</v>
      </c>
      <c r="V336" s="295">
        <f t="shared" si="188"/>
        <v>-11591.108776006316</v>
      </c>
      <c r="W336" s="295">
        <f t="shared" si="188"/>
        <v>-15070.530763965651</v>
      </c>
      <c r="X336" s="295">
        <f t="shared" si="188"/>
        <v>-12171.538343447221</v>
      </c>
      <c r="Y336" s="295">
        <f t="shared" si="188"/>
        <v>-12408.327655268095</v>
      </c>
      <c r="Z336" s="295">
        <f t="shared" si="188"/>
        <v>-20010.219059710456</v>
      </c>
      <c r="AA336" s="296">
        <f t="shared" si="188"/>
        <v>-12965.797756065329</v>
      </c>
      <c r="AB336" s="296">
        <f t="shared" si="188"/>
        <v>-11907.058894356742</v>
      </c>
      <c r="AC336" s="296">
        <f t="shared" si="188"/>
        <v>-15481.322869405563</v>
      </c>
      <c r="AD336" s="296">
        <f t="shared" si="188"/>
        <v>-12503.309794689168</v>
      </c>
      <c r="AE336" s="296">
        <f t="shared" si="188"/>
        <v>-12746.553502939209</v>
      </c>
      <c r="AF336" s="296">
        <f t="shared" si="188"/>
        <v>-20555.657050355538</v>
      </c>
      <c r="AG336" s="296">
        <f t="shared" si="188"/>
        <v>-13319.219108129284</v>
      </c>
      <c r="AH336" s="296">
        <f t="shared" si="188"/>
        <v>-12231.621172183428</v>
      </c>
      <c r="AI336" s="296">
        <f t="shared" si="188"/>
        <v>-15903.312334549306</v>
      </c>
      <c r="AJ336" s="296">
        <f t="shared" si="188"/>
        <v>-12844.12466285618</v>
      </c>
      <c r="AK336" s="296">
        <f t="shared" si="188"/>
        <v>-13093.998701292465</v>
      </c>
      <c r="AL336" s="296">
        <f t="shared" si="188"/>
        <v>-21115.962574471952</v>
      </c>
      <c r="AM336" s="296">
        <f t="shared" si="188"/>
        <v>-13682.274009508497</v>
      </c>
      <c r="AN336" s="296">
        <f t="shared" si="188"/>
        <v>-12565.030359488153</v>
      </c>
      <c r="AO336" s="296">
        <f t="shared" si="188"/>
        <v>-16336.804376714048</v>
      </c>
      <c r="AP336" s="296">
        <f t="shared" si="188"/>
        <v>-13194.229453153494</v>
      </c>
      <c r="AQ336" s="296">
        <f t="shared" si="188"/>
        <v>-13450.914551130523</v>
      </c>
      <c r="AR336" s="307" t="s">
        <v>186</v>
      </c>
    </row>
    <row r="337" spans="1:44" s="1" customFormat="1" ht="13.8" thickBot="1">
      <c r="A337" s="297"/>
      <c r="B337" s="13" t="s">
        <v>176</v>
      </c>
      <c r="H337" s="236">
        <f t="shared" ref="H337:AQ337" si="189">SUM(H335:H336)</f>
        <v>28502.375286950326</v>
      </c>
      <c r="I337" s="237">
        <f t="shared" si="189"/>
        <v>32714.787625004421</v>
      </c>
      <c r="J337" s="237">
        <f t="shared" si="189"/>
        <v>32872.880600891483</v>
      </c>
      <c r="K337" s="237">
        <f t="shared" si="189"/>
        <v>28768.330927083338</v>
      </c>
      <c r="L337" s="237">
        <f t="shared" si="189"/>
        <v>31198.753847121436</v>
      </c>
      <c r="M337" s="237">
        <f t="shared" si="189"/>
        <v>29220.808733019236</v>
      </c>
      <c r="N337" s="237">
        <f t="shared" si="189"/>
        <v>19258.310204875626</v>
      </c>
      <c r="O337" s="237">
        <f t="shared" si="189"/>
        <v>26991.574234798216</v>
      </c>
      <c r="P337" s="237">
        <f t="shared" si="189"/>
        <v>27391.270275730716</v>
      </c>
      <c r="Q337" s="237">
        <f t="shared" si="189"/>
        <v>18530.760391876844</v>
      </c>
      <c r="R337" s="237">
        <f t="shared" si="189"/>
        <v>24648.904754702187</v>
      </c>
      <c r="S337" s="237">
        <f t="shared" si="189"/>
        <v>23601.326840598624</v>
      </c>
      <c r="T337" s="237">
        <f t="shared" si="189"/>
        <v>16493.725369630018</v>
      </c>
      <c r="U337" s="237">
        <f t="shared" si="189"/>
        <v>22301.334986083326</v>
      </c>
      <c r="V337" s="237">
        <f t="shared" si="189"/>
        <v>22825.983383619154</v>
      </c>
      <c r="W337" s="237">
        <f t="shared" si="189"/>
        <v>18847.895581444754</v>
      </c>
      <c r="X337" s="237">
        <f t="shared" si="189"/>
        <v>21255.447306974162</v>
      </c>
      <c r="Y337" s="237">
        <f t="shared" si="189"/>
        <v>20534.337735358738</v>
      </c>
      <c r="Z337" s="237">
        <f t="shared" si="189"/>
        <v>12455.143339041257</v>
      </c>
      <c r="AA337" s="281">
        <f t="shared" si="189"/>
        <v>19029.177246235951</v>
      </c>
      <c r="AB337" s="281">
        <f t="shared" si="189"/>
        <v>19624.344107546742</v>
      </c>
      <c r="AC337" s="281">
        <f t="shared" si="189"/>
        <v>15593.224780559367</v>
      </c>
      <c r="AD337" s="281">
        <f t="shared" si="189"/>
        <v>18121.001834947096</v>
      </c>
      <c r="AE337" s="281">
        <f t="shared" si="189"/>
        <v>17434.045531143067</v>
      </c>
      <c r="AF337" s="281">
        <f t="shared" si="189"/>
        <v>9187.6582956967504</v>
      </c>
      <c r="AG337" s="281">
        <f t="shared" si="189"/>
        <v>15993.14830961738</v>
      </c>
      <c r="AH337" s="281">
        <f t="shared" si="189"/>
        <v>16656.042278791487</v>
      </c>
      <c r="AI337" s="281">
        <f t="shared" si="189"/>
        <v>12565.800643052096</v>
      </c>
      <c r="AJ337" s="281">
        <f t="shared" si="189"/>
        <v>15212.50217741808</v>
      </c>
      <c r="AK337" s="281">
        <f t="shared" si="189"/>
        <v>14556.11847214113</v>
      </c>
      <c r="AL337" s="281">
        <f t="shared" si="189"/>
        <v>6133.5348101229174</v>
      </c>
      <c r="AM337" s="281">
        <f t="shared" si="189"/>
        <v>13172.408126394892</v>
      </c>
      <c r="AN337" s="281">
        <f t="shared" si="189"/>
        <v>13900.556966467966</v>
      </c>
      <c r="AO337" s="281">
        <f t="shared" si="189"/>
        <v>9745.3256951728363</v>
      </c>
      <c r="AP337" s="281">
        <f t="shared" si="189"/>
        <v>12509.999238557582</v>
      </c>
      <c r="AQ337" s="281">
        <f t="shared" si="189"/>
        <v>11880.888135795676</v>
      </c>
      <c r="AR337" s="307" t="s">
        <v>186</v>
      </c>
    </row>
    <row r="338" spans="1:44" s="1" customFormat="1" ht="13.8" thickBot="1">
      <c r="A338" s="297"/>
      <c r="B338" s="16" t="s">
        <v>1</v>
      </c>
      <c r="C338" s="21"/>
      <c r="D338" s="246">
        <f>+E324*100</f>
        <v>9.0000000000000018</v>
      </c>
      <c r="G338" s="239">
        <f>SUMPRODUCT(H324:AQ324,H337:AQ337)</f>
        <v>259618.07154997243</v>
      </c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273"/>
      <c r="AB338" s="273"/>
      <c r="AC338" s="273"/>
      <c r="AD338" s="273"/>
      <c r="AE338" s="273"/>
      <c r="AF338" s="273"/>
      <c r="AG338" s="273"/>
      <c r="AH338" s="273"/>
      <c r="AI338" s="273"/>
      <c r="AJ338" s="273"/>
      <c r="AK338" s="273"/>
      <c r="AL338" s="254"/>
      <c r="AM338" s="254"/>
      <c r="AN338" s="254"/>
      <c r="AO338" s="254"/>
      <c r="AP338" s="254"/>
      <c r="AQ338" s="254"/>
      <c r="AR338" s="307" t="s">
        <v>186</v>
      </c>
    </row>
    <row r="339" spans="1:44" s="1" customFormat="1" ht="13.8" thickBot="1">
      <c r="A339" s="297"/>
      <c r="B339" s="16"/>
      <c r="C339" s="21"/>
      <c r="D339" s="246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273"/>
      <c r="AB339" s="273"/>
      <c r="AC339" s="273"/>
      <c r="AD339" s="273"/>
      <c r="AE339" s="273"/>
      <c r="AF339" s="273"/>
      <c r="AG339" s="273"/>
      <c r="AH339" s="273"/>
      <c r="AI339" s="273"/>
      <c r="AJ339" s="273"/>
      <c r="AK339" s="273"/>
      <c r="AL339" s="254"/>
      <c r="AM339" s="254"/>
      <c r="AN339" s="254"/>
      <c r="AO339" s="254"/>
      <c r="AP339" s="254"/>
      <c r="AQ339" s="254"/>
      <c r="AR339" s="307" t="s">
        <v>186</v>
      </c>
    </row>
    <row r="340" spans="1:44" s="1" customFormat="1" ht="13.8" thickBot="1">
      <c r="A340" s="297"/>
      <c r="B340" s="13" t="s">
        <v>178</v>
      </c>
      <c r="G340" s="240">
        <f>SUM(G99:G100)-G338</f>
        <v>-7.1549972431967035E-2</v>
      </c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273"/>
      <c r="AB340" s="273"/>
      <c r="AC340" s="273"/>
      <c r="AD340" s="273"/>
      <c r="AE340" s="273"/>
      <c r="AF340" s="273"/>
      <c r="AG340" s="273"/>
      <c r="AH340" s="273"/>
      <c r="AI340" s="273"/>
      <c r="AJ340" s="273"/>
      <c r="AK340" s="273"/>
      <c r="AL340" s="254"/>
      <c r="AM340" s="254"/>
      <c r="AN340" s="254"/>
      <c r="AO340" s="254"/>
      <c r="AP340" s="254"/>
      <c r="AQ340" s="254"/>
      <c r="AR340" s="307" t="s">
        <v>186</v>
      </c>
    </row>
    <row r="341" spans="1:44" s="1" customFormat="1">
      <c r="A341" s="297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274"/>
      <c r="AB341" s="274"/>
      <c r="AC341" s="274"/>
      <c r="AD341" s="274"/>
      <c r="AE341" s="274"/>
      <c r="AF341" s="274"/>
      <c r="AG341" s="274"/>
      <c r="AH341" s="274"/>
      <c r="AI341" s="274"/>
      <c r="AJ341" s="274"/>
      <c r="AK341" s="274"/>
      <c r="AL341" s="254"/>
      <c r="AM341" s="254"/>
      <c r="AN341" s="254"/>
      <c r="AO341" s="254"/>
      <c r="AP341" s="254"/>
      <c r="AQ341" s="254"/>
      <c r="AR341" s="307" t="s">
        <v>186</v>
      </c>
    </row>
    <row r="342" spans="1:44" s="1" customFormat="1">
      <c r="A342" s="297"/>
      <c r="B342" s="16" t="s">
        <v>224</v>
      </c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274"/>
      <c r="AB342" s="274"/>
      <c r="AC342" s="274"/>
      <c r="AD342" s="274"/>
      <c r="AE342" s="274"/>
      <c r="AF342" s="274"/>
      <c r="AG342" s="274"/>
      <c r="AH342" s="274"/>
      <c r="AI342" s="274"/>
      <c r="AJ342" s="274"/>
      <c r="AK342" s="274"/>
      <c r="AL342" s="254"/>
      <c r="AM342" s="254"/>
      <c r="AN342" s="254"/>
      <c r="AO342" s="254"/>
      <c r="AP342" s="254"/>
      <c r="AQ342" s="254"/>
      <c r="AR342" s="307"/>
    </row>
    <row r="343" spans="1:44" s="1" customFormat="1">
      <c r="A343" s="297"/>
      <c r="B343" s="13" t="s">
        <v>15</v>
      </c>
      <c r="H343" s="76">
        <f>+H335</f>
        <v>42219.481317825244</v>
      </c>
      <c r="I343" s="76">
        <f t="shared" ref="I343:AQ343" si="190">+I335</f>
        <v>41607.767465607692</v>
      </c>
      <c r="J343" s="76">
        <f t="shared" si="190"/>
        <v>41004.916674359039</v>
      </c>
      <c r="K343" s="76">
        <f t="shared" si="190"/>
        <v>40410.80052807324</v>
      </c>
      <c r="L343" s="76">
        <f t="shared" si="190"/>
        <v>39825.292471350956</v>
      </c>
      <c r="M343" s="76">
        <f t="shared" si="190"/>
        <v>39248.267782441391</v>
      </c>
      <c r="N343" s="76">
        <f t="shared" si="190"/>
        <v>38679.6035466748</v>
      </c>
      <c r="O343" s="76">
        <f t="shared" si="190"/>
        <v>38119.178630279763</v>
      </c>
      <c r="P343" s="76">
        <f t="shared" si="190"/>
        <v>37566.873654580013</v>
      </c>
      <c r="Q343" s="76">
        <f t="shared" si="190"/>
        <v>37022.570970565022</v>
      </c>
      <c r="R343" s="76">
        <f t="shared" si="190"/>
        <v>36486.154633829014</v>
      </c>
      <c r="S343" s="76">
        <f t="shared" si="190"/>
        <v>35957.510379873165</v>
      </c>
      <c r="T343" s="76">
        <f t="shared" si="190"/>
        <v>35436.525599765548</v>
      </c>
      <c r="U343" s="76">
        <f t="shared" si="190"/>
        <v>34923.089316153841</v>
      </c>
      <c r="V343" s="76">
        <f t="shared" si="190"/>
        <v>34417.09215962547</v>
      </c>
      <c r="W343" s="76">
        <f t="shared" si="190"/>
        <v>33918.426345410408</v>
      </c>
      <c r="X343" s="76">
        <f t="shared" si="190"/>
        <v>33426.985650421382</v>
      </c>
      <c r="Y343" s="76">
        <f t="shared" si="190"/>
        <v>32942.665390626833</v>
      </c>
      <c r="Z343" s="76">
        <f t="shared" si="190"/>
        <v>32465.362398751713</v>
      </c>
      <c r="AA343" s="267">
        <f t="shared" si="190"/>
        <v>31994.975002301282</v>
      </c>
      <c r="AB343" s="267">
        <f t="shared" si="190"/>
        <v>31531.403001903484</v>
      </c>
      <c r="AC343" s="267">
        <f t="shared" si="190"/>
        <v>31074.54764996493</v>
      </c>
      <c r="AD343" s="267">
        <f t="shared" si="190"/>
        <v>30624.311629636264</v>
      </c>
      <c r="AE343" s="267">
        <f t="shared" si="190"/>
        <v>30180.599034082275</v>
      </c>
      <c r="AF343" s="267">
        <f t="shared" si="190"/>
        <v>29743.315346052288</v>
      </c>
      <c r="AG343" s="267">
        <f t="shared" si="190"/>
        <v>29312.367417746664</v>
      </c>
      <c r="AH343" s="267">
        <f t="shared" si="190"/>
        <v>28887.663450974913</v>
      </c>
      <c r="AI343" s="267">
        <f t="shared" si="190"/>
        <v>28469.112977601402</v>
      </c>
      <c r="AJ343" s="267">
        <f t="shared" si="190"/>
        <v>28056.626840274261</v>
      </c>
      <c r="AK343" s="267">
        <f t="shared" si="190"/>
        <v>27650.117173433595</v>
      </c>
      <c r="AL343" s="267">
        <f t="shared" si="190"/>
        <v>27249.49738459487</v>
      </c>
      <c r="AM343" s="267">
        <f t="shared" si="190"/>
        <v>26854.682135903389</v>
      </c>
      <c r="AN343" s="267">
        <f t="shared" si="190"/>
        <v>26465.587325956119</v>
      </c>
      <c r="AO343" s="267">
        <f t="shared" si="190"/>
        <v>26082.130071886884</v>
      </c>
      <c r="AP343" s="267">
        <f t="shared" si="190"/>
        <v>25704.228691711076</v>
      </c>
      <c r="AQ343" s="267">
        <f t="shared" si="190"/>
        <v>25331.802686926199</v>
      </c>
      <c r="AR343" s="307"/>
    </row>
    <row r="344" spans="1:44" s="1" customFormat="1" ht="13.8" thickBot="1">
      <c r="A344" s="297"/>
      <c r="B344" s="13" t="s">
        <v>16</v>
      </c>
      <c r="H344" s="75">
        <f t="shared" ref="H344:AQ344" si="191">H124</f>
        <v>42213.491354174708</v>
      </c>
      <c r="I344" s="75">
        <f t="shared" si="191"/>
        <v>44391.61517875857</v>
      </c>
      <c r="J344" s="75">
        <f t="shared" si="191"/>
        <v>46364.892073014584</v>
      </c>
      <c r="K344" s="75">
        <f t="shared" si="191"/>
        <v>48967.358248872362</v>
      </c>
      <c r="L344" s="75">
        <f t="shared" si="191"/>
        <v>51351.315732974297</v>
      </c>
      <c r="M344" s="75">
        <f t="shared" si="191"/>
        <v>52546.080758249351</v>
      </c>
      <c r="N344" s="75">
        <f t="shared" si="191"/>
        <v>42803.704409217142</v>
      </c>
      <c r="O344" s="75">
        <f t="shared" si="191"/>
        <v>44138.419100562074</v>
      </c>
      <c r="P344" s="75">
        <f t="shared" si="191"/>
        <v>44676.536521596921</v>
      </c>
      <c r="Q344" s="75">
        <f t="shared" si="191"/>
        <v>45882.096212707329</v>
      </c>
      <c r="R344" s="75">
        <f t="shared" si="191"/>
        <v>47184.195632404713</v>
      </c>
      <c r="S344" s="75">
        <f t="shared" si="191"/>
        <v>48350.257699049929</v>
      </c>
      <c r="T344" s="75">
        <f t="shared" si="191"/>
        <v>49867.634275983233</v>
      </c>
      <c r="U344" s="75">
        <f t="shared" si="191"/>
        <v>51259.269537607746</v>
      </c>
      <c r="V344" s="75">
        <f t="shared" si="191"/>
        <v>52219.163918314087</v>
      </c>
      <c r="W344" s="75">
        <f t="shared" si="191"/>
        <v>54069.82546447435</v>
      </c>
      <c r="X344" s="75">
        <f t="shared" si="191"/>
        <v>55759.526481159854</v>
      </c>
      <c r="Y344" s="75">
        <f t="shared" si="191"/>
        <v>57060.432760477808</v>
      </c>
      <c r="Z344" s="75">
        <f t="shared" si="191"/>
        <v>58858.747548798397</v>
      </c>
      <c r="AA344" s="336">
        <f t="shared" si="191"/>
        <v>58900.431360426519</v>
      </c>
      <c r="AB344" s="336">
        <f t="shared" si="191"/>
        <v>60431.631056556376</v>
      </c>
      <c r="AC344" s="336">
        <f t="shared" si="191"/>
        <v>62170.696034481436</v>
      </c>
      <c r="AD344" s="336">
        <f t="shared" si="191"/>
        <v>63958.055838954024</v>
      </c>
      <c r="AE344" s="336">
        <f t="shared" si="191"/>
        <v>65975.370120598192</v>
      </c>
      <c r="AF344" s="336">
        <f t="shared" si="191"/>
        <v>67683.29676634827</v>
      </c>
      <c r="AG344" s="336">
        <f t="shared" si="191"/>
        <v>69624.098814783065</v>
      </c>
      <c r="AH344" s="336">
        <f t="shared" si="191"/>
        <v>71619.039923485339</v>
      </c>
      <c r="AI344" s="336">
        <f t="shared" si="191"/>
        <v>73871.5232458791</v>
      </c>
      <c r="AJ344" s="336">
        <f t="shared" si="191"/>
        <v>75777.658321690775</v>
      </c>
      <c r="AK344" s="336">
        <f t="shared" si="191"/>
        <v>77944.610023082947</v>
      </c>
      <c r="AL344" s="336">
        <f t="shared" si="191"/>
        <v>80172.252279593769</v>
      </c>
      <c r="AM344" s="336">
        <f t="shared" si="191"/>
        <v>82688.267515011146</v>
      </c>
      <c r="AN344" s="336">
        <f t="shared" si="191"/>
        <v>84816.692177732912</v>
      </c>
      <c r="AO344" s="336">
        <f t="shared" si="191"/>
        <v>87237.160498396101</v>
      </c>
      <c r="AP344" s="336">
        <f t="shared" si="191"/>
        <v>89725.663726604573</v>
      </c>
      <c r="AQ344" s="336">
        <f t="shared" si="191"/>
        <v>92537.006184633123</v>
      </c>
      <c r="AR344" s="307"/>
    </row>
    <row r="345" spans="1:44" s="1" customFormat="1" ht="13.8" thickBot="1">
      <c r="A345" s="297"/>
      <c r="B345" s="13" t="s">
        <v>235</v>
      </c>
      <c r="C345" s="13"/>
      <c r="E345" s="13"/>
      <c r="H345" s="157">
        <f>SUM(H343:H344)</f>
        <v>84432.972671999945</v>
      </c>
      <c r="I345" s="158">
        <f t="shared" ref="I345:AQ345" si="192">SUM(I343:I344)</f>
        <v>85999.382644366269</v>
      </c>
      <c r="J345" s="158">
        <f t="shared" si="192"/>
        <v>87369.808747373623</v>
      </c>
      <c r="K345" s="158">
        <f t="shared" si="192"/>
        <v>89378.158776945609</v>
      </c>
      <c r="L345" s="158">
        <f t="shared" si="192"/>
        <v>91176.608204325254</v>
      </c>
      <c r="M345" s="158">
        <f t="shared" si="192"/>
        <v>91794.348540690742</v>
      </c>
      <c r="N345" s="158">
        <f t="shared" si="192"/>
        <v>81483.307955891942</v>
      </c>
      <c r="O345" s="158">
        <f t="shared" si="192"/>
        <v>82257.597730841837</v>
      </c>
      <c r="P345" s="158">
        <f t="shared" si="192"/>
        <v>82243.410176176927</v>
      </c>
      <c r="Q345" s="158">
        <f t="shared" si="192"/>
        <v>82904.667183272351</v>
      </c>
      <c r="R345" s="158">
        <f t="shared" si="192"/>
        <v>83670.350266233727</v>
      </c>
      <c r="S345" s="158">
        <f t="shared" si="192"/>
        <v>84307.768078923094</v>
      </c>
      <c r="T345" s="158">
        <f t="shared" si="192"/>
        <v>85304.159875748781</v>
      </c>
      <c r="U345" s="158">
        <f t="shared" si="192"/>
        <v>86182.358853761587</v>
      </c>
      <c r="V345" s="158">
        <f t="shared" si="192"/>
        <v>86636.256077939557</v>
      </c>
      <c r="W345" s="158">
        <f t="shared" si="192"/>
        <v>87988.251809884765</v>
      </c>
      <c r="X345" s="158">
        <f t="shared" si="192"/>
        <v>89186.512131581228</v>
      </c>
      <c r="Y345" s="158">
        <f t="shared" si="192"/>
        <v>90003.098151104641</v>
      </c>
      <c r="Z345" s="159">
        <f t="shared" si="192"/>
        <v>91324.109947550111</v>
      </c>
      <c r="AA345" s="267">
        <f t="shared" si="192"/>
        <v>90895.406362727808</v>
      </c>
      <c r="AB345" s="267">
        <f t="shared" si="192"/>
        <v>91963.03405845986</v>
      </c>
      <c r="AC345" s="267">
        <f t="shared" si="192"/>
        <v>93245.243684446366</v>
      </c>
      <c r="AD345" s="267">
        <f t="shared" si="192"/>
        <v>94582.367468590295</v>
      </c>
      <c r="AE345" s="267">
        <f t="shared" si="192"/>
        <v>96155.969154680468</v>
      </c>
      <c r="AF345" s="267">
        <f t="shared" si="192"/>
        <v>97426.612112400559</v>
      </c>
      <c r="AG345" s="267">
        <f t="shared" si="192"/>
        <v>98936.466232529725</v>
      </c>
      <c r="AH345" s="267">
        <f t="shared" si="192"/>
        <v>100506.70337446025</v>
      </c>
      <c r="AI345" s="267">
        <f t="shared" si="192"/>
        <v>102340.6362234805</v>
      </c>
      <c r="AJ345" s="267">
        <f t="shared" si="192"/>
        <v>103834.28516196503</v>
      </c>
      <c r="AK345" s="267">
        <f t="shared" si="192"/>
        <v>105594.72719651654</v>
      </c>
      <c r="AL345" s="267">
        <f t="shared" si="192"/>
        <v>107421.74966418864</v>
      </c>
      <c r="AM345" s="267">
        <f t="shared" si="192"/>
        <v>109542.94965091454</v>
      </c>
      <c r="AN345" s="267">
        <f t="shared" si="192"/>
        <v>111282.27950368903</v>
      </c>
      <c r="AO345" s="267">
        <f t="shared" si="192"/>
        <v>113319.29057028299</v>
      </c>
      <c r="AP345" s="267">
        <f t="shared" si="192"/>
        <v>115429.89241831565</v>
      </c>
      <c r="AQ345" s="267">
        <f t="shared" si="192"/>
        <v>117868.80887155932</v>
      </c>
      <c r="AR345" s="307"/>
    </row>
    <row r="346" spans="1:44" s="1" customFormat="1" ht="13.8" thickBot="1">
      <c r="B346" s="350" t="str">
        <f>CONCATENATE("NPV ",+$E$16*100," of Cf to Term (2036)")</f>
        <v>NPV 6.25 of Cf to Term (2036)</v>
      </c>
      <c r="C346" s="13"/>
      <c r="G346" s="343">
        <f>SUMPRODUCT(G$16:AQ$16,G345:AQ345)</f>
        <v>1272264.2664287642</v>
      </c>
      <c r="H346" s="85" t="str">
        <f>CONCATENATE(" = ",DOLLAR($G$303-G346,0)," in Savings or a ",ROUND(($G$303-G346)/$G$91,2)*100,"% Reduction in Stranded Investment")</f>
        <v xml:space="preserve"> = $212,362 in Savings or a 71% Reduction in Stranded Investment</v>
      </c>
      <c r="I346" s="344"/>
      <c r="J346" s="344"/>
      <c r="K346" s="344"/>
      <c r="L346" s="344"/>
      <c r="M346" s="345"/>
      <c r="AA346" s="254"/>
      <c r="AB346" s="254"/>
      <c r="AC346" s="254"/>
      <c r="AD346" s="254"/>
      <c r="AE346" s="254"/>
      <c r="AF346" s="254"/>
      <c r="AG346" s="254"/>
      <c r="AH346" s="254"/>
      <c r="AI346" s="254"/>
      <c r="AJ346" s="254"/>
      <c r="AK346" s="254"/>
      <c r="AL346" s="254"/>
      <c r="AM346" s="254"/>
      <c r="AN346" s="254"/>
      <c r="AO346" s="254"/>
      <c r="AP346" s="254"/>
      <c r="AQ346" s="254"/>
      <c r="AR346" s="301"/>
    </row>
    <row r="347" spans="1:44" s="1" customFormat="1">
      <c r="G347" s="192"/>
      <c r="AA347" s="254"/>
      <c r="AB347" s="254"/>
      <c r="AC347" s="254"/>
      <c r="AD347" s="254"/>
      <c r="AE347" s="254"/>
      <c r="AF347" s="254"/>
      <c r="AG347" s="254"/>
      <c r="AH347" s="254"/>
      <c r="AI347" s="254"/>
      <c r="AJ347" s="254"/>
      <c r="AK347" s="254"/>
      <c r="AL347" s="254"/>
      <c r="AM347" s="254"/>
      <c r="AN347" s="254"/>
      <c r="AO347" s="254"/>
      <c r="AP347" s="254"/>
      <c r="AQ347" s="254"/>
      <c r="AR347" s="301"/>
    </row>
    <row r="348" spans="1:44" s="1" customFormat="1">
      <c r="A348" s="297"/>
      <c r="B348" s="16" t="str">
        <f>+A330</f>
        <v>Full Term Blend &amp; Extend from Equity Seller</v>
      </c>
      <c r="C348" s="13"/>
      <c r="D348" s="332"/>
      <c r="G348" s="33" t="s">
        <v>14</v>
      </c>
      <c r="H348" s="225">
        <f t="shared" ref="H348:AQ348" si="193">+H345/H$25*1000</f>
        <v>43.439999999999969</v>
      </c>
      <c r="I348" s="225">
        <f t="shared" si="193"/>
        <v>44.245903748810633</v>
      </c>
      <c r="J348" s="225">
        <f t="shared" si="193"/>
        <v>44.950975571236015</v>
      </c>
      <c r="K348" s="225">
        <f t="shared" si="193"/>
        <v>45.858613441413716</v>
      </c>
      <c r="L348" s="225">
        <f t="shared" si="193"/>
        <v>46.909539425814344</v>
      </c>
      <c r="M348" s="225">
        <f t="shared" si="193"/>
        <v>47.227361235973298</v>
      </c>
      <c r="N348" s="225">
        <f t="shared" si="193"/>
        <v>41.922424209254139</v>
      </c>
      <c r="O348" s="225">
        <f t="shared" si="193"/>
        <v>42.205158716370875</v>
      </c>
      <c r="P348" s="225">
        <f t="shared" si="193"/>
        <v>42.313489919772813</v>
      </c>
      <c r="Q348" s="225">
        <f t="shared" si="193"/>
        <v>42.653700663030833</v>
      </c>
      <c r="R348" s="225">
        <f t="shared" si="193"/>
        <v>43.047637676868469</v>
      </c>
      <c r="S348" s="225">
        <f t="shared" si="193"/>
        <v>43.257070847569963</v>
      </c>
      <c r="T348" s="225">
        <f t="shared" si="193"/>
        <v>43.888217928768924</v>
      </c>
      <c r="U348" s="225">
        <f t="shared" si="193"/>
        <v>44.340043351913444</v>
      </c>
      <c r="V348" s="225">
        <f t="shared" si="193"/>
        <v>44.573569364255654</v>
      </c>
      <c r="W348" s="225">
        <f t="shared" si="193"/>
        <v>45.145472701056327</v>
      </c>
      <c r="X348" s="225">
        <f t="shared" si="193"/>
        <v>45.885653014331055</v>
      </c>
      <c r="Y348" s="225">
        <f t="shared" si="193"/>
        <v>46.305779128164552</v>
      </c>
      <c r="Z348" s="225">
        <f t="shared" si="193"/>
        <v>46.985427737251378</v>
      </c>
      <c r="AA348" s="225">
        <f t="shared" si="193"/>
        <v>46.637090772826937</v>
      </c>
      <c r="AB348" s="225">
        <f t="shared" si="193"/>
        <v>47.314148407619577</v>
      </c>
      <c r="AC348" s="225">
        <f t="shared" si="193"/>
        <v>47.973833651312596</v>
      </c>
      <c r="AD348" s="225">
        <f t="shared" si="193"/>
        <v>48.661771732195469</v>
      </c>
      <c r="AE348" s="225">
        <f t="shared" si="193"/>
        <v>49.336207859837998</v>
      </c>
      <c r="AF348" s="225">
        <f t="shared" si="193"/>
        <v>50.125109850196985</v>
      </c>
      <c r="AG348" s="225">
        <f t="shared" si="193"/>
        <v>50.901916125077342</v>
      </c>
      <c r="AH348" s="225">
        <f t="shared" si="193"/>
        <v>51.709788917978337</v>
      </c>
      <c r="AI348" s="225">
        <f t="shared" si="193"/>
        <v>52.509469205260785</v>
      </c>
      <c r="AJ348" s="225">
        <f t="shared" si="193"/>
        <v>53.42179962037001</v>
      </c>
      <c r="AK348" s="225">
        <f t="shared" si="193"/>
        <v>54.32753110844633</v>
      </c>
      <c r="AL348" s="225">
        <f t="shared" si="193"/>
        <v>55.267517626556874</v>
      </c>
      <c r="AM348" s="225">
        <f t="shared" si="193"/>
        <v>56.204869869945277</v>
      </c>
      <c r="AN348" s="225">
        <f t="shared" si="193"/>
        <v>57.253725276492077</v>
      </c>
      <c r="AO348" s="225">
        <f t="shared" si="193"/>
        <v>58.301749027551914</v>
      </c>
      <c r="AP348" s="225">
        <f t="shared" si="193"/>
        <v>59.387634569385305</v>
      </c>
      <c r="AQ348" s="225">
        <f t="shared" si="193"/>
        <v>60.476745289979831</v>
      </c>
      <c r="AR348" s="301"/>
    </row>
    <row r="349" spans="1:44" s="1" customFormat="1">
      <c r="H349" s="235"/>
      <c r="AA349" s="254"/>
      <c r="AB349" s="254"/>
      <c r="AC349" s="254"/>
      <c r="AD349" s="254"/>
      <c r="AE349" s="254"/>
      <c r="AF349" s="254"/>
      <c r="AG349" s="254"/>
      <c r="AH349" s="254"/>
      <c r="AI349" s="254"/>
      <c r="AJ349" s="254"/>
      <c r="AK349" s="254"/>
      <c r="AL349" s="254"/>
      <c r="AM349" s="254"/>
      <c r="AN349" s="254"/>
      <c r="AO349" s="254"/>
      <c r="AP349" s="254"/>
      <c r="AQ349" s="254"/>
      <c r="AR349" s="301"/>
    </row>
    <row r="350" spans="1:44" s="1" customFormat="1">
      <c r="A350" s="16" t="s">
        <v>243</v>
      </c>
      <c r="H350" s="235"/>
      <c r="I350" s="235"/>
      <c r="J350" s="235"/>
      <c r="K350" s="235"/>
      <c r="L350" s="235"/>
      <c r="M350" s="235"/>
      <c r="N350" s="235"/>
      <c r="O350" s="235"/>
      <c r="P350" s="235"/>
      <c r="Q350" s="235"/>
      <c r="R350" s="235"/>
      <c r="S350" s="235"/>
      <c r="T350" s="235"/>
      <c r="U350" s="235"/>
      <c r="V350" s="235"/>
      <c r="W350" s="235"/>
      <c r="X350" s="235"/>
      <c r="Y350" s="235"/>
      <c r="Z350" s="235"/>
      <c r="AA350" s="260"/>
      <c r="AB350" s="260"/>
      <c r="AC350" s="260"/>
      <c r="AD350" s="260"/>
      <c r="AE350" s="260"/>
      <c r="AF350" s="260"/>
      <c r="AG350" s="260"/>
      <c r="AH350" s="260"/>
      <c r="AI350" s="260"/>
      <c r="AJ350" s="260"/>
      <c r="AK350" s="260"/>
      <c r="AL350" s="260"/>
      <c r="AM350" s="260"/>
      <c r="AN350" s="260"/>
      <c r="AO350" s="260"/>
      <c r="AP350" s="260"/>
      <c r="AQ350" s="260"/>
      <c r="AR350" s="301"/>
    </row>
    <row r="351" spans="1:44" s="1" customFormat="1">
      <c r="H351" s="235"/>
      <c r="I351" s="235"/>
      <c r="J351" s="235"/>
      <c r="K351" s="235"/>
      <c r="L351" s="235"/>
      <c r="M351" s="235"/>
      <c r="N351" s="235"/>
      <c r="O351" s="235"/>
      <c r="P351" s="235"/>
      <c r="Q351" s="235"/>
      <c r="R351" s="235"/>
      <c r="S351" s="235"/>
      <c r="T351" s="235"/>
      <c r="U351" s="235"/>
      <c r="V351" s="235"/>
      <c r="W351" s="235"/>
      <c r="X351" s="235"/>
      <c r="Y351" s="235"/>
      <c r="Z351" s="235"/>
      <c r="AA351" s="260"/>
      <c r="AB351" s="260"/>
      <c r="AC351" s="260"/>
      <c r="AD351" s="260"/>
      <c r="AE351" s="260"/>
      <c r="AF351" s="260"/>
      <c r="AG351" s="260"/>
      <c r="AH351" s="260"/>
      <c r="AI351" s="260"/>
      <c r="AJ351" s="260"/>
      <c r="AK351" s="260"/>
      <c r="AL351" s="260"/>
      <c r="AM351" s="260"/>
      <c r="AN351" s="260"/>
      <c r="AO351" s="260"/>
      <c r="AP351" s="260"/>
      <c r="AQ351" s="260"/>
      <c r="AR351" s="301"/>
    </row>
    <row r="352" spans="1:44" s="1" customFormat="1" ht="13.8" thickBot="1">
      <c r="B352" s="16" t="s">
        <v>229</v>
      </c>
      <c r="H352" s="235"/>
      <c r="I352" s="235"/>
      <c r="J352" s="235"/>
      <c r="K352" s="235"/>
      <c r="L352" s="235"/>
      <c r="M352" s="235"/>
      <c r="N352" s="235"/>
      <c r="O352" s="235"/>
      <c r="P352" s="235"/>
      <c r="Q352" s="235"/>
      <c r="R352" s="235"/>
      <c r="S352" s="235"/>
      <c r="T352" s="235"/>
      <c r="U352" s="235"/>
      <c r="V352" s="235"/>
      <c r="W352" s="235"/>
      <c r="X352" s="235"/>
      <c r="Y352" s="235"/>
      <c r="Z352" s="235"/>
      <c r="AA352" s="260"/>
      <c r="AB352" s="260"/>
      <c r="AC352" s="260"/>
      <c r="AD352" s="260"/>
      <c r="AE352" s="260"/>
      <c r="AF352" s="260"/>
      <c r="AG352" s="260"/>
      <c r="AH352" s="260"/>
      <c r="AI352" s="260"/>
      <c r="AJ352" s="260"/>
      <c r="AK352" s="260"/>
      <c r="AL352" s="260"/>
      <c r="AM352" s="260"/>
      <c r="AN352" s="260"/>
      <c r="AO352" s="260"/>
      <c r="AP352" s="260"/>
      <c r="AQ352" s="260"/>
      <c r="AR352" s="301"/>
    </row>
    <row r="353" spans="2:44" s="1" customFormat="1" ht="13.8" thickBot="1">
      <c r="B353" s="13" t="s">
        <v>230</v>
      </c>
      <c r="F353" s="24" t="s">
        <v>233</v>
      </c>
      <c r="G353" s="335">
        <v>13</v>
      </c>
      <c r="H353" s="25">
        <f>IF(+H13&lt;=$G$353,+H25,0)</f>
        <v>1943668.8</v>
      </c>
      <c r="I353" s="25">
        <f t="shared" ref="I353:AQ353" si="194">IF(+I13&lt;=$G$353,+I25,0)</f>
        <v>1943668.8</v>
      </c>
      <c r="J353" s="25">
        <f t="shared" si="194"/>
        <v>1943668.8</v>
      </c>
      <c r="K353" s="25">
        <f t="shared" si="194"/>
        <v>1948993.92</v>
      </c>
      <c r="L353" s="25">
        <f t="shared" si="194"/>
        <v>1943668.8</v>
      </c>
      <c r="M353" s="25">
        <f t="shared" si="194"/>
        <v>1943668.8</v>
      </c>
      <c r="N353" s="25">
        <f t="shared" si="194"/>
        <v>1943668.8</v>
      </c>
      <c r="O353" s="25">
        <f t="shared" si="194"/>
        <v>1948993.92</v>
      </c>
      <c r="P353" s="25">
        <f t="shared" si="194"/>
        <v>1943668.8</v>
      </c>
      <c r="Q353" s="25">
        <f t="shared" si="194"/>
        <v>1943668.8</v>
      </c>
      <c r="R353" s="25">
        <f t="shared" si="194"/>
        <v>1943668.8</v>
      </c>
      <c r="S353" s="25">
        <f t="shared" si="194"/>
        <v>1948993.92</v>
      </c>
      <c r="T353" s="25">
        <f t="shared" si="194"/>
        <v>1943668.8</v>
      </c>
      <c r="U353" s="25">
        <f t="shared" si="194"/>
        <v>0</v>
      </c>
      <c r="V353" s="25">
        <f t="shared" si="194"/>
        <v>0</v>
      </c>
      <c r="W353" s="25">
        <f t="shared" si="194"/>
        <v>0</v>
      </c>
      <c r="X353" s="25">
        <f t="shared" si="194"/>
        <v>0</v>
      </c>
      <c r="Y353" s="25">
        <f t="shared" si="194"/>
        <v>0</v>
      </c>
      <c r="Z353" s="25">
        <f t="shared" si="194"/>
        <v>0</v>
      </c>
      <c r="AA353" s="267">
        <f t="shared" si="194"/>
        <v>0</v>
      </c>
      <c r="AB353" s="267">
        <f t="shared" si="194"/>
        <v>0</v>
      </c>
      <c r="AC353" s="267">
        <f t="shared" si="194"/>
        <v>0</v>
      </c>
      <c r="AD353" s="267">
        <f t="shared" si="194"/>
        <v>0</v>
      </c>
      <c r="AE353" s="267">
        <f t="shared" si="194"/>
        <v>0</v>
      </c>
      <c r="AF353" s="267">
        <f t="shared" si="194"/>
        <v>0</v>
      </c>
      <c r="AG353" s="267">
        <f t="shared" si="194"/>
        <v>0</v>
      </c>
      <c r="AH353" s="267">
        <f t="shared" si="194"/>
        <v>0</v>
      </c>
      <c r="AI353" s="267">
        <f t="shared" si="194"/>
        <v>0</v>
      </c>
      <c r="AJ353" s="267">
        <f t="shared" si="194"/>
        <v>0</v>
      </c>
      <c r="AK353" s="267">
        <f t="shared" si="194"/>
        <v>0</v>
      </c>
      <c r="AL353" s="267">
        <f t="shared" si="194"/>
        <v>0</v>
      </c>
      <c r="AM353" s="267">
        <f t="shared" si="194"/>
        <v>0</v>
      </c>
      <c r="AN353" s="267">
        <f t="shared" si="194"/>
        <v>0</v>
      </c>
      <c r="AO353" s="267">
        <f t="shared" si="194"/>
        <v>0</v>
      </c>
      <c r="AP353" s="267">
        <f t="shared" si="194"/>
        <v>0</v>
      </c>
      <c r="AQ353" s="267">
        <f t="shared" si="194"/>
        <v>0</v>
      </c>
      <c r="AR353" s="301"/>
    </row>
    <row r="354" spans="2:44" s="1" customFormat="1" ht="13.8" thickBot="1">
      <c r="B354" s="13" t="s">
        <v>244</v>
      </c>
      <c r="G354" s="77" t="s">
        <v>14</v>
      </c>
      <c r="H354" s="104">
        <v>8.9283262814918167</v>
      </c>
      <c r="I354" s="247">
        <f t="shared" ref="I354:AQ354" si="195">IF(+I13&lt;=$G$353,+H354,0)</f>
        <v>8.9283262814918167</v>
      </c>
      <c r="J354" s="247">
        <f t="shared" si="195"/>
        <v>8.9283262814918167</v>
      </c>
      <c r="K354" s="247">
        <f t="shared" si="195"/>
        <v>8.9283262814918167</v>
      </c>
      <c r="L354" s="247">
        <f t="shared" si="195"/>
        <v>8.9283262814918167</v>
      </c>
      <c r="M354" s="247">
        <f t="shared" si="195"/>
        <v>8.9283262814918167</v>
      </c>
      <c r="N354" s="247">
        <f t="shared" si="195"/>
        <v>8.9283262814918167</v>
      </c>
      <c r="O354" s="247">
        <f t="shared" si="195"/>
        <v>8.9283262814918167</v>
      </c>
      <c r="P354" s="247">
        <f t="shared" si="195"/>
        <v>8.9283262814918167</v>
      </c>
      <c r="Q354" s="247">
        <f t="shared" si="195"/>
        <v>8.9283262814918167</v>
      </c>
      <c r="R354" s="247">
        <f t="shared" si="195"/>
        <v>8.9283262814918167</v>
      </c>
      <c r="S354" s="247">
        <f t="shared" si="195"/>
        <v>8.9283262814918167</v>
      </c>
      <c r="T354" s="247">
        <f t="shared" si="195"/>
        <v>8.9283262814918167</v>
      </c>
      <c r="U354" s="247">
        <f t="shared" si="195"/>
        <v>0</v>
      </c>
      <c r="V354" s="247">
        <f t="shared" si="195"/>
        <v>0</v>
      </c>
      <c r="W354" s="247">
        <f t="shared" si="195"/>
        <v>0</v>
      </c>
      <c r="X354" s="247">
        <f t="shared" si="195"/>
        <v>0</v>
      </c>
      <c r="Y354" s="247">
        <f t="shared" si="195"/>
        <v>0</v>
      </c>
      <c r="Z354" s="247">
        <f t="shared" si="195"/>
        <v>0</v>
      </c>
      <c r="AA354" s="336">
        <f t="shared" si="195"/>
        <v>0</v>
      </c>
      <c r="AB354" s="336">
        <f t="shared" si="195"/>
        <v>0</v>
      </c>
      <c r="AC354" s="336">
        <f t="shared" si="195"/>
        <v>0</v>
      </c>
      <c r="AD354" s="336">
        <f t="shared" si="195"/>
        <v>0</v>
      </c>
      <c r="AE354" s="336">
        <f t="shared" si="195"/>
        <v>0</v>
      </c>
      <c r="AF354" s="336">
        <f t="shared" si="195"/>
        <v>0</v>
      </c>
      <c r="AG354" s="336">
        <f t="shared" si="195"/>
        <v>0</v>
      </c>
      <c r="AH354" s="336">
        <f t="shared" si="195"/>
        <v>0</v>
      </c>
      <c r="AI354" s="336">
        <f t="shared" si="195"/>
        <v>0</v>
      </c>
      <c r="AJ354" s="336">
        <f t="shared" si="195"/>
        <v>0</v>
      </c>
      <c r="AK354" s="336">
        <f t="shared" si="195"/>
        <v>0</v>
      </c>
      <c r="AL354" s="336">
        <f t="shared" si="195"/>
        <v>0</v>
      </c>
      <c r="AM354" s="336">
        <f t="shared" si="195"/>
        <v>0</v>
      </c>
      <c r="AN354" s="336">
        <f t="shared" si="195"/>
        <v>0</v>
      </c>
      <c r="AO354" s="336">
        <f t="shared" si="195"/>
        <v>0</v>
      </c>
      <c r="AP354" s="336">
        <f t="shared" si="195"/>
        <v>0</v>
      </c>
      <c r="AQ354" s="336">
        <f t="shared" si="195"/>
        <v>0</v>
      </c>
      <c r="AR354" s="301"/>
    </row>
    <row r="355" spans="2:44" s="1" customFormat="1" ht="13.8" thickBot="1">
      <c r="B355" s="13" t="s">
        <v>244</v>
      </c>
      <c r="H355" s="338">
        <f>+H353*H354/1000</f>
        <v>17353.709229555661</v>
      </c>
      <c r="I355" s="339">
        <f>+I353*I354/1000</f>
        <v>17353.709229555661</v>
      </c>
      <c r="J355" s="339">
        <f t="shared" ref="J355:AQ355" si="196">+J353*J354/1000</f>
        <v>17353.709229555661</v>
      </c>
      <c r="K355" s="339">
        <f t="shared" si="196"/>
        <v>17401.253638403759</v>
      </c>
      <c r="L355" s="339">
        <f t="shared" si="196"/>
        <v>17353.709229555661</v>
      </c>
      <c r="M355" s="339">
        <f t="shared" si="196"/>
        <v>17353.709229555661</v>
      </c>
      <c r="N355" s="339">
        <f t="shared" si="196"/>
        <v>17353.709229555661</v>
      </c>
      <c r="O355" s="339">
        <f t="shared" si="196"/>
        <v>17401.253638403759</v>
      </c>
      <c r="P355" s="339">
        <f t="shared" si="196"/>
        <v>17353.709229555661</v>
      </c>
      <c r="Q355" s="339">
        <f t="shared" si="196"/>
        <v>17353.709229555661</v>
      </c>
      <c r="R355" s="339">
        <f t="shared" si="196"/>
        <v>17353.709229555661</v>
      </c>
      <c r="S355" s="339">
        <f t="shared" si="196"/>
        <v>17401.253638403759</v>
      </c>
      <c r="T355" s="339">
        <f t="shared" si="196"/>
        <v>17353.709229555661</v>
      </c>
      <c r="U355" s="339">
        <f t="shared" si="196"/>
        <v>0</v>
      </c>
      <c r="V355" s="339">
        <f t="shared" si="196"/>
        <v>0</v>
      </c>
      <c r="W355" s="339">
        <f t="shared" si="196"/>
        <v>0</v>
      </c>
      <c r="X355" s="339">
        <f t="shared" si="196"/>
        <v>0</v>
      </c>
      <c r="Y355" s="339">
        <f t="shared" si="196"/>
        <v>0</v>
      </c>
      <c r="Z355" s="340">
        <f t="shared" si="196"/>
        <v>0</v>
      </c>
      <c r="AA355" s="267">
        <f t="shared" si="196"/>
        <v>0</v>
      </c>
      <c r="AB355" s="267">
        <f t="shared" si="196"/>
        <v>0</v>
      </c>
      <c r="AC355" s="267">
        <f t="shared" si="196"/>
        <v>0</v>
      </c>
      <c r="AD355" s="267">
        <f t="shared" si="196"/>
        <v>0</v>
      </c>
      <c r="AE355" s="267">
        <f t="shared" si="196"/>
        <v>0</v>
      </c>
      <c r="AF355" s="267">
        <f t="shared" si="196"/>
        <v>0</v>
      </c>
      <c r="AG355" s="267">
        <f t="shared" si="196"/>
        <v>0</v>
      </c>
      <c r="AH355" s="267">
        <f t="shared" si="196"/>
        <v>0</v>
      </c>
      <c r="AI355" s="267">
        <f t="shared" si="196"/>
        <v>0</v>
      </c>
      <c r="AJ355" s="267">
        <f t="shared" si="196"/>
        <v>0</v>
      </c>
      <c r="AK355" s="267">
        <f t="shared" si="196"/>
        <v>0</v>
      </c>
      <c r="AL355" s="267">
        <f t="shared" si="196"/>
        <v>0</v>
      </c>
      <c r="AM355" s="267">
        <f t="shared" si="196"/>
        <v>0</v>
      </c>
      <c r="AN355" s="267">
        <f t="shared" si="196"/>
        <v>0</v>
      </c>
      <c r="AO355" s="267">
        <f t="shared" si="196"/>
        <v>0</v>
      </c>
      <c r="AP355" s="267">
        <f t="shared" si="196"/>
        <v>0</v>
      </c>
      <c r="AQ355" s="267">
        <f t="shared" si="196"/>
        <v>0</v>
      </c>
      <c r="AR355" s="301"/>
    </row>
    <row r="356" spans="2:44" s="1" customFormat="1" ht="13.8" thickBot="1">
      <c r="B356" s="13" t="str">
        <f>CONCATENATE("NPV ",$E$328*100," to Seller to Term Selected")</f>
        <v>NPV 9 to Seller to Term Selected</v>
      </c>
      <c r="G356" s="239">
        <f>SUMPRODUCT(H$328:AQ$328,H355:AQ355)</f>
        <v>129999.99999999999</v>
      </c>
      <c r="H356" s="235"/>
      <c r="I356" s="235"/>
      <c r="J356" s="235"/>
      <c r="K356" s="235"/>
      <c r="L356" s="235"/>
      <c r="M356" s="235"/>
      <c r="N356" s="235"/>
      <c r="O356" s="235"/>
      <c r="P356" s="235"/>
      <c r="Q356" s="235"/>
      <c r="R356" s="235"/>
      <c r="S356" s="235"/>
      <c r="T356" s="235"/>
      <c r="U356" s="235"/>
      <c r="V356" s="235"/>
      <c r="W356" s="235"/>
      <c r="X356" s="235"/>
      <c r="Y356" s="235"/>
      <c r="Z356" s="235"/>
      <c r="AA356" s="260"/>
      <c r="AB356" s="260"/>
      <c r="AC356" s="260"/>
      <c r="AD356" s="260"/>
      <c r="AE356" s="260"/>
      <c r="AF356" s="260"/>
      <c r="AG356" s="260"/>
      <c r="AH356" s="260"/>
      <c r="AI356" s="260"/>
      <c r="AJ356" s="260"/>
      <c r="AK356" s="260"/>
      <c r="AL356" s="260"/>
      <c r="AM356" s="260"/>
      <c r="AN356" s="260"/>
      <c r="AO356" s="260"/>
      <c r="AP356" s="260"/>
      <c r="AQ356" s="260"/>
      <c r="AR356" s="301"/>
    </row>
    <row r="357" spans="2:44" s="1" customFormat="1">
      <c r="B357" s="13"/>
      <c r="G357" s="23"/>
      <c r="H357" s="235"/>
      <c r="I357" s="235"/>
      <c r="J357" s="235"/>
      <c r="K357" s="235"/>
      <c r="L357" s="235"/>
      <c r="M357" s="235"/>
      <c r="N357" s="235"/>
      <c r="O357" s="235"/>
      <c r="P357" s="235"/>
      <c r="Q357" s="235"/>
      <c r="R357" s="235"/>
      <c r="S357" s="235"/>
      <c r="T357" s="235"/>
      <c r="U357" s="235"/>
      <c r="V357" s="235"/>
      <c r="W357" s="235"/>
      <c r="X357" s="235"/>
      <c r="Y357" s="235"/>
      <c r="Z357" s="235"/>
      <c r="AA357" s="260"/>
      <c r="AB357" s="260"/>
      <c r="AC357" s="260"/>
      <c r="AD357" s="260"/>
      <c r="AE357" s="260"/>
      <c r="AF357" s="260"/>
      <c r="AG357" s="260"/>
      <c r="AH357" s="260"/>
      <c r="AI357" s="260"/>
      <c r="AJ357" s="260"/>
      <c r="AK357" s="260"/>
      <c r="AL357" s="260"/>
      <c r="AM357" s="260"/>
      <c r="AN357" s="260"/>
      <c r="AO357" s="260"/>
      <c r="AP357" s="260"/>
      <c r="AQ357" s="260"/>
      <c r="AR357" s="301"/>
    </row>
    <row r="358" spans="2:44" s="1" customFormat="1">
      <c r="B358" s="13" t="s">
        <v>234</v>
      </c>
      <c r="G358" s="7">
        <f>+$G$100</f>
        <v>130000</v>
      </c>
      <c r="I358" s="235"/>
      <c r="J358" s="235"/>
      <c r="K358" s="235"/>
      <c r="L358" s="235"/>
      <c r="M358" s="235"/>
      <c r="N358" s="235"/>
      <c r="O358" s="235"/>
      <c r="P358" s="235"/>
      <c r="Q358" s="235"/>
      <c r="R358" s="235"/>
      <c r="S358" s="235"/>
      <c r="T358" s="235"/>
      <c r="U358" s="235"/>
      <c r="V358" s="235"/>
      <c r="W358" s="235"/>
      <c r="X358" s="235"/>
      <c r="Y358" s="235"/>
      <c r="Z358" s="235"/>
      <c r="AA358" s="260"/>
      <c r="AB358" s="260"/>
      <c r="AC358" s="260"/>
      <c r="AD358" s="260"/>
      <c r="AE358" s="260"/>
      <c r="AF358" s="260"/>
      <c r="AG358" s="260"/>
      <c r="AH358" s="260"/>
      <c r="AI358" s="260"/>
      <c r="AJ358" s="260"/>
      <c r="AK358" s="260"/>
      <c r="AL358" s="260"/>
      <c r="AM358" s="260"/>
      <c r="AN358" s="260"/>
      <c r="AO358" s="260"/>
      <c r="AP358" s="260"/>
      <c r="AQ358" s="260"/>
      <c r="AR358" s="301"/>
    </row>
    <row r="359" spans="2:44" s="1" customFormat="1" ht="13.8" thickBot="1">
      <c r="B359" s="13"/>
      <c r="G359" s="7"/>
      <c r="H359" s="235"/>
      <c r="I359" s="235"/>
      <c r="J359" s="235"/>
      <c r="K359" s="235"/>
      <c r="L359" s="235"/>
      <c r="M359" s="235"/>
      <c r="N359" s="235"/>
      <c r="O359" s="235"/>
      <c r="P359" s="235"/>
      <c r="Q359" s="235"/>
      <c r="R359" s="235"/>
      <c r="S359" s="235"/>
      <c r="T359" s="235"/>
      <c r="U359" s="235"/>
      <c r="V359" s="235"/>
      <c r="W359" s="235"/>
      <c r="X359" s="235"/>
      <c r="Y359" s="235"/>
      <c r="Z359" s="235"/>
      <c r="AA359" s="260"/>
      <c r="AB359" s="260"/>
      <c r="AC359" s="260"/>
      <c r="AD359" s="260"/>
      <c r="AE359" s="260"/>
      <c r="AF359" s="260"/>
      <c r="AG359" s="260"/>
      <c r="AH359" s="260"/>
      <c r="AI359" s="260"/>
      <c r="AJ359" s="260"/>
      <c r="AK359" s="260"/>
      <c r="AL359" s="260"/>
      <c r="AM359" s="260"/>
      <c r="AN359" s="260"/>
      <c r="AO359" s="260"/>
      <c r="AP359" s="260"/>
      <c r="AQ359" s="260"/>
      <c r="AR359" s="301"/>
    </row>
    <row r="360" spans="2:44" s="1" customFormat="1" ht="13.8" thickBot="1">
      <c r="B360" s="13" t="s">
        <v>228</v>
      </c>
      <c r="G360" s="240">
        <f>+G358-G356</f>
        <v>0</v>
      </c>
      <c r="H360" s="235"/>
      <c r="I360" s="235"/>
      <c r="J360" s="235"/>
      <c r="K360" s="235"/>
      <c r="L360" s="235"/>
      <c r="M360" s="235"/>
      <c r="N360" s="235"/>
      <c r="O360" s="235"/>
      <c r="P360" s="235"/>
      <c r="Q360" s="235"/>
      <c r="R360" s="235"/>
      <c r="S360" s="235"/>
      <c r="T360" s="235"/>
      <c r="U360" s="235"/>
      <c r="V360" s="235"/>
      <c r="W360" s="235"/>
      <c r="X360" s="235"/>
      <c r="Y360" s="235"/>
      <c r="Z360" s="235"/>
      <c r="AA360" s="260"/>
      <c r="AB360" s="260"/>
      <c r="AC360" s="260"/>
      <c r="AD360" s="260"/>
      <c r="AE360" s="260"/>
      <c r="AF360" s="260"/>
      <c r="AG360" s="260"/>
      <c r="AH360" s="260"/>
      <c r="AI360" s="260"/>
      <c r="AJ360" s="260"/>
      <c r="AK360" s="260"/>
      <c r="AL360" s="260"/>
      <c r="AM360" s="260"/>
      <c r="AN360" s="260"/>
      <c r="AO360" s="260"/>
      <c r="AP360" s="260"/>
      <c r="AQ360" s="260"/>
      <c r="AR360" s="301"/>
    </row>
    <row r="361" spans="2:44" s="1" customFormat="1">
      <c r="H361" s="235"/>
      <c r="I361" s="235"/>
      <c r="J361" s="235"/>
      <c r="K361" s="235"/>
      <c r="L361" s="235"/>
      <c r="M361" s="235"/>
      <c r="N361" s="235"/>
      <c r="O361" s="235"/>
      <c r="P361" s="235"/>
      <c r="Q361" s="235"/>
      <c r="R361" s="235"/>
      <c r="S361" s="235"/>
      <c r="T361" s="235"/>
      <c r="U361" s="235"/>
      <c r="V361" s="235"/>
      <c r="W361" s="235"/>
      <c r="X361" s="235"/>
      <c r="Y361" s="235"/>
      <c r="Z361" s="235"/>
      <c r="AA361" s="260"/>
      <c r="AB361" s="260"/>
      <c r="AC361" s="260"/>
      <c r="AD361" s="260"/>
      <c r="AE361" s="260"/>
      <c r="AF361" s="260"/>
      <c r="AG361" s="260"/>
      <c r="AH361" s="260"/>
      <c r="AI361" s="260"/>
      <c r="AJ361" s="260"/>
      <c r="AK361" s="260"/>
      <c r="AL361" s="260"/>
      <c r="AM361" s="260"/>
      <c r="AN361" s="260"/>
      <c r="AO361" s="260"/>
      <c r="AP361" s="260"/>
      <c r="AQ361" s="260"/>
      <c r="AR361" s="301"/>
    </row>
    <row r="362" spans="2:44" s="1" customFormat="1">
      <c r="B362" s="16" t="s">
        <v>224</v>
      </c>
      <c r="H362" s="83"/>
      <c r="I362" s="235"/>
      <c r="J362" s="235"/>
      <c r="K362" s="235"/>
      <c r="L362" s="235"/>
      <c r="M362" s="235"/>
      <c r="N362" s="235"/>
      <c r="O362" s="235"/>
      <c r="P362" s="235"/>
      <c r="Q362" s="235"/>
      <c r="R362" s="235"/>
      <c r="S362" s="235"/>
      <c r="T362" s="235"/>
      <c r="U362" s="235"/>
      <c r="V362" s="235"/>
      <c r="W362" s="235"/>
      <c r="X362" s="235"/>
      <c r="Y362" s="235"/>
      <c r="Z362" s="235"/>
      <c r="AA362" s="260"/>
      <c r="AB362" s="260"/>
      <c r="AC362" s="260"/>
      <c r="AD362" s="260"/>
      <c r="AE362" s="260"/>
      <c r="AF362" s="260"/>
      <c r="AG362" s="260"/>
      <c r="AH362" s="260"/>
      <c r="AI362" s="260"/>
      <c r="AJ362" s="260"/>
      <c r="AK362" s="260"/>
      <c r="AL362" s="260"/>
      <c r="AM362" s="260"/>
      <c r="AN362" s="260"/>
      <c r="AO362" s="260"/>
      <c r="AP362" s="260"/>
      <c r="AQ362" s="260"/>
      <c r="AR362" s="301"/>
    </row>
    <row r="363" spans="2:44" s="1" customFormat="1">
      <c r="B363" s="13" t="s">
        <v>155</v>
      </c>
      <c r="H363" s="76">
        <f>SUM(H$168:H$173)</f>
        <v>54391.456400354451</v>
      </c>
      <c r="I363" s="76">
        <f t="shared" ref="I363:AQ363" si="197">SUM(I$168:I$173)</f>
        <v>51674.501630346545</v>
      </c>
      <c r="J363" s="76">
        <f t="shared" si="197"/>
        <v>52822.062236176534</v>
      </c>
      <c r="K363" s="76">
        <f t="shared" si="197"/>
        <v>58851.586693315374</v>
      </c>
      <c r="L363" s="76">
        <f t="shared" si="197"/>
        <v>58142.758698052246</v>
      </c>
      <c r="M363" s="76">
        <f t="shared" si="197"/>
        <v>60697.248129781037</v>
      </c>
      <c r="N363" s="76">
        <f t="shared" si="197"/>
        <v>60459.578552070023</v>
      </c>
      <c r="O363" s="76">
        <f t="shared" si="197"/>
        <v>53446.650363685934</v>
      </c>
      <c r="P363" s="76">
        <f t="shared" si="197"/>
        <v>53002.374457308288</v>
      </c>
      <c r="Q363" s="76">
        <f t="shared" si="197"/>
        <v>62473.375915671961</v>
      </c>
      <c r="R363" s="76">
        <f t="shared" si="197"/>
        <v>57066.878809947135</v>
      </c>
      <c r="S363" s="76">
        <f t="shared" si="197"/>
        <v>58701.522086558201</v>
      </c>
      <c r="T363" s="76">
        <f t="shared" si="197"/>
        <v>66744.170625687169</v>
      </c>
      <c r="U363" s="76">
        <f t="shared" si="197"/>
        <v>61756.672647049294</v>
      </c>
      <c r="V363" s="76">
        <f t="shared" si="197"/>
        <v>61640.245755773176</v>
      </c>
      <c r="W363" s="76">
        <f t="shared" si="197"/>
        <v>66897.351456986275</v>
      </c>
      <c r="X363" s="76">
        <f t="shared" si="197"/>
        <v>65619.31366640421</v>
      </c>
      <c r="Y363" s="76">
        <f t="shared" si="197"/>
        <v>67099.334939811743</v>
      </c>
      <c r="Z363" s="76">
        <f t="shared" si="197"/>
        <v>76426.288313036624</v>
      </c>
      <c r="AA363" s="267">
        <f t="shared" si="197"/>
        <v>71866.229116491842</v>
      </c>
      <c r="AB363" s="267">
        <f t="shared" si="197"/>
        <v>72338.689950913118</v>
      </c>
      <c r="AC363" s="267">
        <f t="shared" si="197"/>
        <v>77652.018903887001</v>
      </c>
      <c r="AD363" s="267">
        <f t="shared" si="197"/>
        <v>76461.365633643189</v>
      </c>
      <c r="AE363" s="267">
        <f t="shared" si="197"/>
        <v>78721.923623537397</v>
      </c>
      <c r="AF363" s="267">
        <f t="shared" si="197"/>
        <v>88238.953816703812</v>
      </c>
      <c r="AG363" s="267">
        <f t="shared" si="197"/>
        <v>82943.317922912349</v>
      </c>
      <c r="AH363" s="267">
        <f t="shared" si="197"/>
        <v>83850.661095668765</v>
      </c>
      <c r="AI363" s="267">
        <f t="shared" si="197"/>
        <v>89774.835580428407</v>
      </c>
      <c r="AJ363" s="267">
        <f t="shared" si="197"/>
        <v>88621.782984546953</v>
      </c>
      <c r="AK363" s="267">
        <f t="shared" si="197"/>
        <v>91038.608724375415</v>
      </c>
      <c r="AL363" s="267">
        <f t="shared" si="197"/>
        <v>101288.21485406572</v>
      </c>
      <c r="AM363" s="267">
        <f t="shared" si="197"/>
        <v>96370.541524519649</v>
      </c>
      <c r="AN363" s="267">
        <f t="shared" si="197"/>
        <v>97381.722537221067</v>
      </c>
      <c r="AO363" s="267">
        <f t="shared" si="197"/>
        <v>103573.96487511015</v>
      </c>
      <c r="AP363" s="267">
        <f t="shared" si="197"/>
        <v>102919.89317975807</v>
      </c>
      <c r="AQ363" s="267">
        <f t="shared" si="197"/>
        <v>105987.92073576365</v>
      </c>
      <c r="AR363" s="301"/>
    </row>
    <row r="364" spans="2:44" s="1" customFormat="1">
      <c r="B364" s="13" t="s">
        <v>232</v>
      </c>
      <c r="G364" s="7">
        <f>-$G$181</f>
        <v>6888</v>
      </c>
      <c r="H364" s="76">
        <f>+H$175-H$220-H$221</f>
        <v>22034.029756495551</v>
      </c>
      <c r="I364" s="76">
        <f t="shared" ref="I364:AQ364" si="198">+I$175-I$220-I$221</f>
        <v>22034.02975649554</v>
      </c>
      <c r="J364" s="76">
        <f t="shared" si="198"/>
        <v>22034.029756495551</v>
      </c>
      <c r="K364" s="76">
        <f t="shared" si="198"/>
        <v>22034.029756495551</v>
      </c>
      <c r="L364" s="76">
        <f t="shared" si="198"/>
        <v>22034.029756495551</v>
      </c>
      <c r="M364" s="76">
        <f t="shared" si="198"/>
        <v>22034.029756495554</v>
      </c>
      <c r="N364" s="76">
        <f t="shared" si="198"/>
        <v>22034.029756495544</v>
      </c>
      <c r="O364" s="76">
        <f t="shared" si="198"/>
        <v>22034.029756495551</v>
      </c>
      <c r="P364" s="76">
        <f t="shared" si="198"/>
        <v>22034.029756495544</v>
      </c>
      <c r="Q364" s="76">
        <f t="shared" si="198"/>
        <v>22034.029756495547</v>
      </c>
      <c r="R364" s="76">
        <f t="shared" si="198"/>
        <v>22034.029756495547</v>
      </c>
      <c r="S364" s="76">
        <f t="shared" si="198"/>
        <v>22034.029756495551</v>
      </c>
      <c r="T364" s="76">
        <f t="shared" si="198"/>
        <v>22034.029756495554</v>
      </c>
      <c r="U364" s="76">
        <f t="shared" si="198"/>
        <v>22034.029756495547</v>
      </c>
      <c r="V364" s="76">
        <f t="shared" si="198"/>
        <v>22034.029756495547</v>
      </c>
      <c r="W364" s="76">
        <f t="shared" si="198"/>
        <v>22034.029756495547</v>
      </c>
      <c r="X364" s="76">
        <f t="shared" si="198"/>
        <v>22034.029756495547</v>
      </c>
      <c r="Y364" s="76">
        <f t="shared" si="198"/>
        <v>22034.029756495547</v>
      </c>
      <c r="Z364" s="76">
        <f t="shared" si="198"/>
        <v>22034.029756495547</v>
      </c>
      <c r="AA364" s="267">
        <f t="shared" si="198"/>
        <v>22034.029756495547</v>
      </c>
      <c r="AB364" s="267">
        <f t="shared" si="198"/>
        <v>22034.029756495547</v>
      </c>
      <c r="AC364" s="267">
        <f t="shared" si="198"/>
        <v>22034.029756495547</v>
      </c>
      <c r="AD364" s="267">
        <f t="shared" si="198"/>
        <v>22034.029756495551</v>
      </c>
      <c r="AE364" s="267">
        <f t="shared" si="198"/>
        <v>22034.029756495547</v>
      </c>
      <c r="AF364" s="267">
        <f t="shared" si="198"/>
        <v>22034.029756495544</v>
      </c>
      <c r="AG364" s="267">
        <f t="shared" si="198"/>
        <v>0</v>
      </c>
      <c r="AH364" s="267">
        <f t="shared" si="198"/>
        <v>0</v>
      </c>
      <c r="AI364" s="267">
        <f t="shared" si="198"/>
        <v>0</v>
      </c>
      <c r="AJ364" s="267">
        <f t="shared" si="198"/>
        <v>0</v>
      </c>
      <c r="AK364" s="267">
        <f t="shared" si="198"/>
        <v>0</v>
      </c>
      <c r="AL364" s="267">
        <f t="shared" si="198"/>
        <v>0</v>
      </c>
      <c r="AM364" s="267">
        <f t="shared" si="198"/>
        <v>0</v>
      </c>
      <c r="AN364" s="267">
        <f t="shared" si="198"/>
        <v>0</v>
      </c>
      <c r="AO364" s="267">
        <f t="shared" si="198"/>
        <v>0</v>
      </c>
      <c r="AP364" s="267">
        <f t="shared" si="198"/>
        <v>0</v>
      </c>
      <c r="AQ364" s="267">
        <f t="shared" si="198"/>
        <v>0</v>
      </c>
      <c r="AR364" s="301"/>
    </row>
    <row r="365" spans="2:44" s="1" customFormat="1" ht="13.8" thickBot="1">
      <c r="B365" s="13" t="s">
        <v>231</v>
      </c>
      <c r="H365" s="76">
        <f>+H355</f>
        <v>17353.709229555661</v>
      </c>
      <c r="I365" s="75">
        <f t="shared" ref="I365:AQ365" si="199">+I355</f>
        <v>17353.709229555661</v>
      </c>
      <c r="J365" s="75">
        <f t="shared" si="199"/>
        <v>17353.709229555661</v>
      </c>
      <c r="K365" s="75">
        <f t="shared" si="199"/>
        <v>17401.253638403759</v>
      </c>
      <c r="L365" s="75">
        <f t="shared" si="199"/>
        <v>17353.709229555661</v>
      </c>
      <c r="M365" s="75">
        <f t="shared" si="199"/>
        <v>17353.709229555661</v>
      </c>
      <c r="N365" s="75">
        <f t="shared" si="199"/>
        <v>17353.709229555661</v>
      </c>
      <c r="O365" s="75">
        <f t="shared" si="199"/>
        <v>17401.253638403759</v>
      </c>
      <c r="P365" s="75">
        <f t="shared" si="199"/>
        <v>17353.709229555661</v>
      </c>
      <c r="Q365" s="75">
        <f t="shared" si="199"/>
        <v>17353.709229555661</v>
      </c>
      <c r="R365" s="75">
        <f t="shared" si="199"/>
        <v>17353.709229555661</v>
      </c>
      <c r="S365" s="75">
        <f t="shared" si="199"/>
        <v>17401.253638403759</v>
      </c>
      <c r="T365" s="75">
        <f t="shared" si="199"/>
        <v>17353.709229555661</v>
      </c>
      <c r="U365" s="75">
        <f t="shared" si="199"/>
        <v>0</v>
      </c>
      <c r="V365" s="75">
        <f t="shared" si="199"/>
        <v>0</v>
      </c>
      <c r="W365" s="75">
        <f t="shared" si="199"/>
        <v>0</v>
      </c>
      <c r="X365" s="75">
        <f t="shared" si="199"/>
        <v>0</v>
      </c>
      <c r="Y365" s="75">
        <f t="shared" si="199"/>
        <v>0</v>
      </c>
      <c r="Z365" s="75">
        <f t="shared" si="199"/>
        <v>0</v>
      </c>
      <c r="AA365" s="336">
        <f t="shared" si="199"/>
        <v>0</v>
      </c>
      <c r="AB365" s="336">
        <f t="shared" si="199"/>
        <v>0</v>
      </c>
      <c r="AC365" s="336">
        <f t="shared" si="199"/>
        <v>0</v>
      </c>
      <c r="AD365" s="336">
        <f t="shared" si="199"/>
        <v>0</v>
      </c>
      <c r="AE365" s="336">
        <f t="shared" si="199"/>
        <v>0</v>
      </c>
      <c r="AF365" s="336">
        <f t="shared" si="199"/>
        <v>0</v>
      </c>
      <c r="AG365" s="336">
        <f t="shared" si="199"/>
        <v>0</v>
      </c>
      <c r="AH365" s="336">
        <f t="shared" si="199"/>
        <v>0</v>
      </c>
      <c r="AI365" s="336">
        <f t="shared" si="199"/>
        <v>0</v>
      </c>
      <c r="AJ365" s="336">
        <f t="shared" si="199"/>
        <v>0</v>
      </c>
      <c r="AK365" s="336">
        <f t="shared" si="199"/>
        <v>0</v>
      </c>
      <c r="AL365" s="336">
        <f t="shared" si="199"/>
        <v>0</v>
      </c>
      <c r="AM365" s="336">
        <f t="shared" si="199"/>
        <v>0</v>
      </c>
      <c r="AN365" s="336">
        <f t="shared" si="199"/>
        <v>0</v>
      </c>
      <c r="AO365" s="336">
        <f t="shared" si="199"/>
        <v>0</v>
      </c>
      <c r="AP365" s="336">
        <f t="shared" si="199"/>
        <v>0</v>
      </c>
      <c r="AQ365" s="336">
        <f t="shared" si="199"/>
        <v>0</v>
      </c>
      <c r="AR365" s="301"/>
    </row>
    <row r="366" spans="2:44" s="1" customFormat="1" ht="13.8" thickBot="1">
      <c r="B366" s="13" t="s">
        <v>235</v>
      </c>
      <c r="C366" s="13"/>
      <c r="E366" s="13"/>
      <c r="G366" s="236">
        <f>SUM(G363:G365)</f>
        <v>6888</v>
      </c>
      <c r="H366" s="158">
        <f>SUM(H363:H365)</f>
        <v>93779.19538640567</v>
      </c>
      <c r="I366" s="158">
        <f t="shared" ref="I366:AQ366" si="200">SUM(I363:I365)</f>
        <v>91062.240616397743</v>
      </c>
      <c r="J366" s="158">
        <f t="shared" si="200"/>
        <v>92209.801222227747</v>
      </c>
      <c r="K366" s="158">
        <f t="shared" si="200"/>
        <v>98286.870088214695</v>
      </c>
      <c r="L366" s="158">
        <f t="shared" si="200"/>
        <v>97530.497684103466</v>
      </c>
      <c r="M366" s="158">
        <f t="shared" si="200"/>
        <v>100084.98711583226</v>
      </c>
      <c r="N366" s="158">
        <f t="shared" si="200"/>
        <v>99847.317538121235</v>
      </c>
      <c r="O366" s="158">
        <f t="shared" si="200"/>
        <v>92881.933758585248</v>
      </c>
      <c r="P366" s="158">
        <f t="shared" si="200"/>
        <v>92390.1134433595</v>
      </c>
      <c r="Q366" s="158">
        <f t="shared" si="200"/>
        <v>101861.11490172318</v>
      </c>
      <c r="R366" s="158">
        <f t="shared" si="200"/>
        <v>96454.617795998347</v>
      </c>
      <c r="S366" s="158">
        <f t="shared" si="200"/>
        <v>98136.805481457501</v>
      </c>
      <c r="T366" s="158">
        <f t="shared" si="200"/>
        <v>106131.90961173839</v>
      </c>
      <c r="U366" s="158">
        <f t="shared" si="200"/>
        <v>83790.702403544841</v>
      </c>
      <c r="V366" s="158">
        <f t="shared" si="200"/>
        <v>83674.275512268723</v>
      </c>
      <c r="W366" s="158">
        <f t="shared" si="200"/>
        <v>88931.381213481829</v>
      </c>
      <c r="X366" s="158">
        <f t="shared" si="200"/>
        <v>87653.34342289975</v>
      </c>
      <c r="Y366" s="158">
        <f t="shared" si="200"/>
        <v>89133.364696307282</v>
      </c>
      <c r="Z366" s="159">
        <f t="shared" si="200"/>
        <v>98460.318069532164</v>
      </c>
      <c r="AA366" s="267">
        <f t="shared" si="200"/>
        <v>93900.258872987382</v>
      </c>
      <c r="AB366" s="267">
        <f t="shared" si="200"/>
        <v>94372.719707408658</v>
      </c>
      <c r="AC366" s="267">
        <f t="shared" si="200"/>
        <v>99686.048660382541</v>
      </c>
      <c r="AD366" s="267">
        <f t="shared" si="200"/>
        <v>98495.395390138743</v>
      </c>
      <c r="AE366" s="267">
        <f t="shared" si="200"/>
        <v>100755.95338003294</v>
      </c>
      <c r="AF366" s="267">
        <f t="shared" si="200"/>
        <v>110272.98357319935</v>
      </c>
      <c r="AG366" s="267">
        <f t="shared" si="200"/>
        <v>82943.317922912349</v>
      </c>
      <c r="AH366" s="267">
        <f t="shared" si="200"/>
        <v>83850.661095668765</v>
      </c>
      <c r="AI366" s="267">
        <f t="shared" si="200"/>
        <v>89774.835580428407</v>
      </c>
      <c r="AJ366" s="267">
        <f t="shared" si="200"/>
        <v>88621.782984546953</v>
      </c>
      <c r="AK366" s="267">
        <f t="shared" si="200"/>
        <v>91038.608724375415</v>
      </c>
      <c r="AL366" s="267">
        <f t="shared" si="200"/>
        <v>101288.21485406572</v>
      </c>
      <c r="AM366" s="267">
        <f t="shared" si="200"/>
        <v>96370.541524519649</v>
      </c>
      <c r="AN366" s="267">
        <f t="shared" si="200"/>
        <v>97381.722537221067</v>
      </c>
      <c r="AO366" s="267">
        <f t="shared" si="200"/>
        <v>103573.96487511015</v>
      </c>
      <c r="AP366" s="267">
        <f t="shared" si="200"/>
        <v>102919.89317975807</v>
      </c>
      <c r="AQ366" s="267">
        <f t="shared" si="200"/>
        <v>105987.92073576365</v>
      </c>
      <c r="AR366" s="301"/>
    </row>
    <row r="367" spans="2:44" s="1" customFormat="1" ht="13.8" thickBot="1">
      <c r="B367" s="350" t="str">
        <f>CONCATENATE("NPV ",+$E$16*100," of Cf to Term (2036)")</f>
        <v>NPV 6.25 of Cf to Term (2036)</v>
      </c>
      <c r="C367" s="13"/>
      <c r="G367" s="343">
        <f>SUMPRODUCT(G$16:AQ$16,G366:AQ366)</f>
        <v>1356468.5503536342</v>
      </c>
      <c r="H367" s="85" t="str">
        <f>CONCATENATE(" = ",DOLLAR($G$303-G367,0)," in Savings or a ",ROUND(($G$303-G367)/$G$91,2)*100,"% Reduction in Stranded Investment")</f>
        <v xml:space="preserve"> = $128,158 in Savings or a 43% Reduction in Stranded Investment</v>
      </c>
      <c r="I367" s="344"/>
      <c r="J367" s="344"/>
      <c r="K367" s="344"/>
      <c r="L367" s="344"/>
      <c r="M367" s="345"/>
      <c r="N367" s="235"/>
      <c r="O367" s="235"/>
      <c r="P367" s="235"/>
      <c r="Q367" s="235"/>
      <c r="R367" s="235"/>
      <c r="S367" s="235"/>
      <c r="T367" s="235"/>
      <c r="U367" s="235"/>
      <c r="V367" s="235"/>
      <c r="W367" s="235"/>
      <c r="X367" s="235"/>
      <c r="Y367" s="235"/>
      <c r="Z367" s="235"/>
      <c r="AA367" s="260"/>
      <c r="AB367" s="260"/>
      <c r="AC367" s="260"/>
      <c r="AD367" s="260"/>
      <c r="AE367" s="260"/>
      <c r="AF367" s="260"/>
      <c r="AG367" s="260"/>
      <c r="AH367" s="260"/>
      <c r="AI367" s="260"/>
      <c r="AJ367" s="260"/>
      <c r="AK367" s="260"/>
      <c r="AL367" s="260"/>
      <c r="AM367" s="260"/>
      <c r="AN367" s="260"/>
      <c r="AO367" s="260"/>
      <c r="AP367" s="260"/>
      <c r="AQ367" s="260"/>
      <c r="AR367" s="301"/>
    </row>
    <row r="368" spans="2:44" s="1" customFormat="1">
      <c r="G368" s="7"/>
      <c r="H368" s="235"/>
      <c r="I368" s="235"/>
      <c r="J368" s="235"/>
      <c r="K368" s="235"/>
      <c r="L368" s="235"/>
      <c r="M368" s="235"/>
      <c r="N368" s="235"/>
      <c r="O368" s="235"/>
      <c r="P368" s="235"/>
      <c r="Q368" s="235"/>
      <c r="R368" s="235"/>
      <c r="S368" s="235"/>
      <c r="T368" s="235"/>
      <c r="U368" s="235"/>
      <c r="V368" s="235"/>
      <c r="W368" s="235"/>
      <c r="X368" s="235"/>
      <c r="Y368" s="235"/>
      <c r="Z368" s="235"/>
      <c r="AA368" s="260"/>
      <c r="AB368" s="260"/>
      <c r="AC368" s="260"/>
      <c r="AD368" s="260"/>
      <c r="AE368" s="260"/>
      <c r="AF368" s="260"/>
      <c r="AG368" s="260"/>
      <c r="AH368" s="260"/>
      <c r="AI368" s="260"/>
      <c r="AJ368" s="260"/>
      <c r="AK368" s="260"/>
      <c r="AL368" s="260"/>
      <c r="AM368" s="260"/>
      <c r="AN368" s="260"/>
      <c r="AO368" s="260"/>
      <c r="AP368" s="260"/>
      <c r="AQ368" s="260"/>
      <c r="AR368" s="301"/>
    </row>
    <row r="369" spans="1:44" s="1" customFormat="1">
      <c r="A369" s="297"/>
      <c r="B369" s="16" t="str">
        <f>+A350</f>
        <v>Market (Index) Plus Power Exchange on Full Output</v>
      </c>
      <c r="C369" s="13"/>
      <c r="D369" s="332"/>
      <c r="G369" s="33" t="s">
        <v>14</v>
      </c>
      <c r="H369" s="225">
        <f>+H366/H$25*1000</f>
        <v>48.248546967675594</v>
      </c>
      <c r="I369" s="225">
        <f t="shared" ref="I369:AQ369" si="201">+I366/I$25*1000</f>
        <v>46.850698337287575</v>
      </c>
      <c r="J369" s="225">
        <f t="shared" si="201"/>
        <v>47.44110787919616</v>
      </c>
      <c r="K369" s="225">
        <f t="shared" si="201"/>
        <v>50.429541662302718</v>
      </c>
      <c r="L369" s="225">
        <f t="shared" si="201"/>
        <v>50.178558036278332</v>
      </c>
      <c r="M369" s="225">
        <f t="shared" si="201"/>
        <v>51.492819721051376</v>
      </c>
      <c r="N369" s="225">
        <f t="shared" si="201"/>
        <v>51.370540875133273</v>
      </c>
      <c r="O369" s="225">
        <f t="shared" si="201"/>
        <v>47.656348645041056</v>
      </c>
      <c r="P369" s="225">
        <f t="shared" si="201"/>
        <v>47.533876884456603</v>
      </c>
      <c r="Q369" s="225">
        <f t="shared" si="201"/>
        <v>52.40662138617607</v>
      </c>
      <c r="R369" s="225">
        <f t="shared" si="201"/>
        <v>49.625027574655903</v>
      </c>
      <c r="S369" s="225">
        <f t="shared" si="201"/>
        <v>50.352545728545678</v>
      </c>
      <c r="T369" s="225">
        <f t="shared" si="201"/>
        <v>54.603906597532657</v>
      </c>
      <c r="U369" s="225">
        <f t="shared" si="201"/>
        <v>43.10955776187015</v>
      </c>
      <c r="V369" s="225">
        <f t="shared" si="201"/>
        <v>43.049657180415053</v>
      </c>
      <c r="W369" s="225">
        <f t="shared" si="201"/>
        <v>45.629378471063589</v>
      </c>
      <c r="X369" s="225">
        <f t="shared" si="201"/>
        <v>45.096851594726296</v>
      </c>
      <c r="Y369" s="225">
        <f t="shared" si="201"/>
        <v>45.858309140069174</v>
      </c>
      <c r="Z369" s="225">
        <f t="shared" si="201"/>
        <v>50.656942206168125</v>
      </c>
      <c r="AA369" s="225">
        <f t="shared" si="201"/>
        <v>48.178836223864351</v>
      </c>
      <c r="AB369" s="225">
        <f t="shared" si="201"/>
        <v>48.553909857177651</v>
      </c>
      <c r="AC369" s="225">
        <f t="shared" si="201"/>
        <v>51.287569497633818</v>
      </c>
      <c r="AD369" s="225">
        <f t="shared" si="201"/>
        <v>50.674989170036959</v>
      </c>
      <c r="AE369" s="225">
        <f t="shared" si="201"/>
        <v>51.696391838940649</v>
      </c>
      <c r="AF369" s="225">
        <f t="shared" si="201"/>
        <v>56.734451658224565</v>
      </c>
      <c r="AG369" s="225">
        <f t="shared" si="201"/>
        <v>42.673586118639321</v>
      </c>
      <c r="AH369" s="225">
        <f t="shared" si="201"/>
        <v>43.140405966113548</v>
      </c>
      <c r="AI369" s="225">
        <f t="shared" si="201"/>
        <v>46.062142451644185</v>
      </c>
      <c r="AJ369" s="225">
        <f t="shared" si="201"/>
        <v>45.595104981129985</v>
      </c>
      <c r="AK369" s="225">
        <f t="shared" si="201"/>
        <v>46.838539942800658</v>
      </c>
      <c r="AL369" s="225">
        <f t="shared" si="201"/>
        <v>52.111869498582124</v>
      </c>
      <c r="AM369" s="225">
        <f t="shared" si="201"/>
        <v>49.446301774260874</v>
      </c>
      <c r="AN369" s="225">
        <f t="shared" si="201"/>
        <v>50.102014570188636</v>
      </c>
      <c r="AO369" s="225">
        <f t="shared" si="201"/>
        <v>53.287867189672518</v>
      </c>
      <c r="AP369" s="225">
        <f t="shared" si="201"/>
        <v>52.951353224252024</v>
      </c>
      <c r="AQ369" s="225">
        <f t="shared" si="201"/>
        <v>54.380837029888561</v>
      </c>
      <c r="AR369" s="301"/>
    </row>
    <row r="370" spans="1:44" s="1" customFormat="1">
      <c r="G370" s="7"/>
      <c r="H370" s="235"/>
      <c r="I370" s="235"/>
      <c r="J370" s="235"/>
      <c r="K370" s="235"/>
      <c r="L370" s="235"/>
      <c r="M370" s="235"/>
      <c r="N370" s="235"/>
      <c r="O370" s="235"/>
      <c r="P370" s="235"/>
      <c r="Q370" s="235"/>
      <c r="R370" s="235"/>
      <c r="S370" s="235"/>
      <c r="T370" s="235"/>
      <c r="U370" s="235"/>
      <c r="V370" s="235"/>
      <c r="W370" s="235"/>
      <c r="X370" s="235"/>
      <c r="Y370" s="235"/>
      <c r="Z370" s="235"/>
      <c r="AA370" s="260"/>
      <c r="AB370" s="260"/>
      <c r="AC370" s="260"/>
      <c r="AD370" s="260"/>
      <c r="AE370" s="260"/>
      <c r="AF370" s="260"/>
      <c r="AG370" s="260"/>
      <c r="AH370" s="260"/>
      <c r="AI370" s="260"/>
      <c r="AJ370" s="260"/>
      <c r="AK370" s="260"/>
      <c r="AL370" s="260"/>
      <c r="AM370" s="260"/>
      <c r="AN370" s="260"/>
      <c r="AO370" s="260"/>
      <c r="AP370" s="260"/>
      <c r="AQ370" s="260"/>
      <c r="AR370" s="301"/>
    </row>
    <row r="371" spans="1:44" s="1" customFormat="1">
      <c r="A371" s="16" t="s">
        <v>237</v>
      </c>
      <c r="G371" s="7"/>
      <c r="H371" s="235"/>
      <c r="I371" s="235"/>
      <c r="J371" s="235"/>
      <c r="K371" s="235"/>
      <c r="L371" s="235"/>
      <c r="M371" s="235"/>
      <c r="N371" s="235"/>
      <c r="O371" s="235"/>
      <c r="P371" s="235"/>
      <c r="Q371" s="235"/>
      <c r="R371" s="235"/>
      <c r="S371" s="235"/>
      <c r="T371" s="235"/>
      <c r="U371" s="235"/>
      <c r="V371" s="235"/>
      <c r="W371" s="235"/>
      <c r="X371" s="235"/>
      <c r="Y371" s="235"/>
      <c r="Z371" s="235"/>
      <c r="AA371" s="260"/>
      <c r="AB371" s="260"/>
      <c r="AC371" s="260"/>
      <c r="AD371" s="260"/>
      <c r="AE371" s="260"/>
      <c r="AF371" s="260"/>
      <c r="AG371" s="260"/>
      <c r="AH371" s="260"/>
      <c r="AI371" s="260"/>
      <c r="AJ371" s="260"/>
      <c r="AK371" s="260"/>
      <c r="AL371" s="260"/>
      <c r="AM371" s="260"/>
      <c r="AN371" s="260"/>
      <c r="AO371" s="260"/>
      <c r="AP371" s="260"/>
      <c r="AQ371" s="260"/>
      <c r="AR371" s="301"/>
    </row>
    <row r="372" spans="1:44" s="1" customFormat="1">
      <c r="G372" s="7"/>
      <c r="H372" s="235"/>
      <c r="I372" s="235"/>
      <c r="J372" s="235"/>
      <c r="K372" s="235"/>
      <c r="L372" s="235"/>
      <c r="M372" s="235"/>
      <c r="N372" s="235"/>
      <c r="O372" s="235"/>
      <c r="P372" s="235"/>
      <c r="Q372" s="235"/>
      <c r="R372" s="235"/>
      <c r="S372" s="235"/>
      <c r="T372" s="235"/>
      <c r="U372" s="235"/>
      <c r="V372" s="235"/>
      <c r="W372" s="235"/>
      <c r="X372" s="235"/>
      <c r="Y372" s="235"/>
      <c r="Z372" s="235"/>
      <c r="AA372" s="260"/>
      <c r="AB372" s="260"/>
      <c r="AC372" s="260"/>
      <c r="AD372" s="260"/>
      <c r="AE372" s="260"/>
      <c r="AF372" s="260"/>
      <c r="AG372" s="260"/>
      <c r="AH372" s="260"/>
      <c r="AI372" s="260"/>
      <c r="AJ372" s="260"/>
      <c r="AK372" s="260"/>
      <c r="AL372" s="260"/>
      <c r="AM372" s="260"/>
      <c r="AN372" s="260"/>
      <c r="AO372" s="260"/>
      <c r="AP372" s="260"/>
      <c r="AQ372" s="260"/>
      <c r="AR372" s="301"/>
    </row>
    <row r="373" spans="1:44" s="1" customFormat="1">
      <c r="B373" s="16" t="s">
        <v>229</v>
      </c>
      <c r="G373" s="7"/>
      <c r="H373" s="235"/>
      <c r="I373" s="235"/>
      <c r="J373" s="235"/>
      <c r="K373" s="235"/>
      <c r="L373" s="235"/>
      <c r="M373" s="235"/>
      <c r="N373" s="235"/>
      <c r="O373" s="235"/>
      <c r="P373" s="235"/>
      <c r="Q373" s="235"/>
      <c r="R373" s="235"/>
      <c r="S373" s="235"/>
      <c r="T373" s="235"/>
      <c r="U373" s="235"/>
      <c r="V373" s="235"/>
      <c r="W373" s="235"/>
      <c r="X373" s="235"/>
      <c r="Y373" s="235"/>
      <c r="Z373" s="235"/>
      <c r="AA373" s="260"/>
      <c r="AB373" s="260"/>
      <c r="AC373" s="260"/>
      <c r="AD373" s="260"/>
      <c r="AE373" s="260"/>
      <c r="AF373" s="260"/>
      <c r="AG373" s="260"/>
      <c r="AH373" s="260"/>
      <c r="AI373" s="260"/>
      <c r="AJ373" s="260"/>
      <c r="AK373" s="260"/>
      <c r="AL373" s="260"/>
      <c r="AM373" s="260"/>
      <c r="AN373" s="260"/>
      <c r="AO373" s="260"/>
      <c r="AP373" s="260"/>
      <c r="AQ373" s="260"/>
      <c r="AR373" s="301"/>
    </row>
    <row r="374" spans="1:44" s="1" customFormat="1">
      <c r="B374" s="33" t="s">
        <v>241</v>
      </c>
      <c r="G374" s="78" t="s">
        <v>242</v>
      </c>
      <c r="H374" s="347">
        <v>45.800567822457545</v>
      </c>
      <c r="I374" s="334">
        <f t="shared" ref="I374:AQ374" si="202">IF(+I$13&lt;=$G$376,+H374,0)</f>
        <v>45.800567822457545</v>
      </c>
      <c r="J374" s="334">
        <f t="shared" si="202"/>
        <v>45.800567822457545</v>
      </c>
      <c r="K374" s="334">
        <f t="shared" si="202"/>
        <v>45.800567822457545</v>
      </c>
      <c r="L374" s="334">
        <f t="shared" si="202"/>
        <v>45.800567822457545</v>
      </c>
      <c r="M374" s="334">
        <f t="shared" si="202"/>
        <v>45.800567822457545</v>
      </c>
      <c r="N374" s="334">
        <f t="shared" si="202"/>
        <v>45.800567822457545</v>
      </c>
      <c r="O374" s="334">
        <f t="shared" si="202"/>
        <v>45.800567822457545</v>
      </c>
      <c r="P374" s="334">
        <f t="shared" si="202"/>
        <v>45.800567822457545</v>
      </c>
      <c r="Q374" s="334">
        <f t="shared" si="202"/>
        <v>45.800567822457545</v>
      </c>
      <c r="R374" s="334">
        <f t="shared" si="202"/>
        <v>45.800567822457545</v>
      </c>
      <c r="S374" s="334">
        <f t="shared" si="202"/>
        <v>45.800567822457545</v>
      </c>
      <c r="T374" s="334">
        <f t="shared" si="202"/>
        <v>45.800567822457545</v>
      </c>
      <c r="U374" s="334">
        <f t="shared" si="202"/>
        <v>0</v>
      </c>
      <c r="V374" s="334">
        <f t="shared" si="202"/>
        <v>0</v>
      </c>
      <c r="W374" s="334">
        <f t="shared" si="202"/>
        <v>0</v>
      </c>
      <c r="X374" s="334">
        <f t="shared" si="202"/>
        <v>0</v>
      </c>
      <c r="Y374" s="334">
        <f t="shared" si="202"/>
        <v>0</v>
      </c>
      <c r="Z374" s="334">
        <f t="shared" si="202"/>
        <v>0</v>
      </c>
      <c r="AA374" s="351">
        <f t="shared" si="202"/>
        <v>0</v>
      </c>
      <c r="AB374" s="351">
        <f t="shared" si="202"/>
        <v>0</v>
      </c>
      <c r="AC374" s="351">
        <f t="shared" si="202"/>
        <v>0</v>
      </c>
      <c r="AD374" s="351">
        <f t="shared" si="202"/>
        <v>0</v>
      </c>
      <c r="AE374" s="351">
        <f t="shared" si="202"/>
        <v>0</v>
      </c>
      <c r="AF374" s="351">
        <f t="shared" si="202"/>
        <v>0</v>
      </c>
      <c r="AG374" s="351">
        <f t="shared" si="202"/>
        <v>0</v>
      </c>
      <c r="AH374" s="351">
        <f t="shared" si="202"/>
        <v>0</v>
      </c>
      <c r="AI374" s="351">
        <f t="shared" si="202"/>
        <v>0</v>
      </c>
      <c r="AJ374" s="351">
        <f t="shared" si="202"/>
        <v>0</v>
      </c>
      <c r="AK374" s="351">
        <f t="shared" si="202"/>
        <v>0</v>
      </c>
      <c r="AL374" s="351">
        <f t="shared" si="202"/>
        <v>0</v>
      </c>
      <c r="AM374" s="351">
        <f t="shared" si="202"/>
        <v>0</v>
      </c>
      <c r="AN374" s="351">
        <f t="shared" si="202"/>
        <v>0</v>
      </c>
      <c r="AO374" s="351">
        <f t="shared" si="202"/>
        <v>0</v>
      </c>
      <c r="AP374" s="351">
        <f t="shared" si="202"/>
        <v>0</v>
      </c>
      <c r="AQ374" s="351">
        <f t="shared" si="202"/>
        <v>0</v>
      </c>
      <c r="AR374" s="301"/>
    </row>
    <row r="375" spans="1:44" s="1" customFormat="1" ht="13.8" thickBot="1">
      <c r="B375" s="33" t="s">
        <v>35</v>
      </c>
      <c r="G375" s="7"/>
      <c r="H375" s="348">
        <v>1</v>
      </c>
      <c r="I375" s="3">
        <f>+H375</f>
        <v>1</v>
      </c>
      <c r="J375" s="3">
        <f t="shared" ref="J375:AQ375" si="203">+I375</f>
        <v>1</v>
      </c>
      <c r="K375" s="3">
        <f t="shared" si="203"/>
        <v>1</v>
      </c>
      <c r="L375" s="3">
        <f t="shared" si="203"/>
        <v>1</v>
      </c>
      <c r="M375" s="3">
        <f t="shared" si="203"/>
        <v>1</v>
      </c>
      <c r="N375" s="3">
        <f t="shared" si="203"/>
        <v>1</v>
      </c>
      <c r="O375" s="3">
        <f t="shared" si="203"/>
        <v>1</v>
      </c>
      <c r="P375" s="3">
        <f t="shared" si="203"/>
        <v>1</v>
      </c>
      <c r="Q375" s="3">
        <f t="shared" si="203"/>
        <v>1</v>
      </c>
      <c r="R375" s="3">
        <f t="shared" si="203"/>
        <v>1</v>
      </c>
      <c r="S375" s="3">
        <f t="shared" si="203"/>
        <v>1</v>
      </c>
      <c r="T375" s="3">
        <f t="shared" si="203"/>
        <v>1</v>
      </c>
      <c r="U375" s="3">
        <f t="shared" si="203"/>
        <v>1</v>
      </c>
      <c r="V375" s="3">
        <f t="shared" si="203"/>
        <v>1</v>
      </c>
      <c r="W375" s="3">
        <f t="shared" si="203"/>
        <v>1</v>
      </c>
      <c r="X375" s="3">
        <f t="shared" si="203"/>
        <v>1</v>
      </c>
      <c r="Y375" s="3">
        <f t="shared" si="203"/>
        <v>1</v>
      </c>
      <c r="Z375" s="3">
        <f t="shared" si="203"/>
        <v>1</v>
      </c>
      <c r="AA375" s="352">
        <f t="shared" si="203"/>
        <v>1</v>
      </c>
      <c r="AB375" s="352">
        <f t="shared" si="203"/>
        <v>1</v>
      </c>
      <c r="AC375" s="352">
        <f t="shared" si="203"/>
        <v>1</v>
      </c>
      <c r="AD375" s="352">
        <f t="shared" si="203"/>
        <v>1</v>
      </c>
      <c r="AE375" s="352">
        <f t="shared" si="203"/>
        <v>1</v>
      </c>
      <c r="AF375" s="352">
        <f t="shared" si="203"/>
        <v>1</v>
      </c>
      <c r="AG375" s="352">
        <f t="shared" si="203"/>
        <v>1</v>
      </c>
      <c r="AH375" s="352">
        <f t="shared" si="203"/>
        <v>1</v>
      </c>
      <c r="AI375" s="352">
        <f t="shared" si="203"/>
        <v>1</v>
      </c>
      <c r="AJ375" s="352">
        <f t="shared" si="203"/>
        <v>1</v>
      </c>
      <c r="AK375" s="352">
        <f t="shared" si="203"/>
        <v>1</v>
      </c>
      <c r="AL375" s="352">
        <f t="shared" si="203"/>
        <v>1</v>
      </c>
      <c r="AM375" s="352">
        <f t="shared" si="203"/>
        <v>1</v>
      </c>
      <c r="AN375" s="352">
        <f t="shared" si="203"/>
        <v>1</v>
      </c>
      <c r="AO375" s="352">
        <f t="shared" si="203"/>
        <v>1</v>
      </c>
      <c r="AP375" s="352">
        <f t="shared" si="203"/>
        <v>1</v>
      </c>
      <c r="AQ375" s="352">
        <f t="shared" si="203"/>
        <v>1</v>
      </c>
      <c r="AR375" s="301"/>
    </row>
    <row r="376" spans="1:44" s="1" customFormat="1" ht="13.8" thickBot="1">
      <c r="B376" s="33" t="s">
        <v>33</v>
      </c>
      <c r="F376" s="24" t="s">
        <v>233</v>
      </c>
      <c r="G376" s="335">
        <v>13</v>
      </c>
      <c r="H376" s="349">
        <f t="shared" ref="H376:AQ376" si="204">+H374*H20*H375</f>
        <v>401212.97412472812</v>
      </c>
      <c r="I376" s="349">
        <f t="shared" si="204"/>
        <v>401212.97412472812</v>
      </c>
      <c r="J376" s="349">
        <f t="shared" si="204"/>
        <v>401212.97412472812</v>
      </c>
      <c r="K376" s="349">
        <f t="shared" si="204"/>
        <v>402312.18775246706</v>
      </c>
      <c r="L376" s="349">
        <f t="shared" si="204"/>
        <v>401212.97412472812</v>
      </c>
      <c r="M376" s="349">
        <f t="shared" si="204"/>
        <v>401212.97412472812</v>
      </c>
      <c r="N376" s="349">
        <f t="shared" si="204"/>
        <v>401212.97412472812</v>
      </c>
      <c r="O376" s="349">
        <f t="shared" si="204"/>
        <v>402312.18775246706</v>
      </c>
      <c r="P376" s="349">
        <f t="shared" si="204"/>
        <v>401212.97412472812</v>
      </c>
      <c r="Q376" s="349">
        <f t="shared" si="204"/>
        <v>401212.97412472812</v>
      </c>
      <c r="R376" s="349">
        <f t="shared" si="204"/>
        <v>401212.97412472812</v>
      </c>
      <c r="S376" s="349">
        <f t="shared" si="204"/>
        <v>402312.18775246706</v>
      </c>
      <c r="T376" s="349">
        <f t="shared" si="204"/>
        <v>401212.97412472812</v>
      </c>
      <c r="U376" s="349">
        <f t="shared" si="204"/>
        <v>0</v>
      </c>
      <c r="V376" s="349">
        <f t="shared" si="204"/>
        <v>0</v>
      </c>
      <c r="W376" s="349">
        <f t="shared" si="204"/>
        <v>0</v>
      </c>
      <c r="X376" s="349">
        <f t="shared" si="204"/>
        <v>0</v>
      </c>
      <c r="Y376" s="349">
        <f t="shared" si="204"/>
        <v>0</v>
      </c>
      <c r="Z376" s="349">
        <f t="shared" si="204"/>
        <v>0</v>
      </c>
      <c r="AA376" s="353">
        <f t="shared" si="204"/>
        <v>0</v>
      </c>
      <c r="AB376" s="353">
        <f t="shared" si="204"/>
        <v>0</v>
      </c>
      <c r="AC376" s="353">
        <f t="shared" si="204"/>
        <v>0</v>
      </c>
      <c r="AD376" s="353">
        <f t="shared" si="204"/>
        <v>0</v>
      </c>
      <c r="AE376" s="353">
        <f t="shared" si="204"/>
        <v>0</v>
      </c>
      <c r="AF376" s="353">
        <f t="shared" si="204"/>
        <v>0</v>
      </c>
      <c r="AG376" s="353">
        <f t="shared" si="204"/>
        <v>0</v>
      </c>
      <c r="AH376" s="353">
        <f t="shared" si="204"/>
        <v>0</v>
      </c>
      <c r="AI376" s="353">
        <f t="shared" si="204"/>
        <v>0</v>
      </c>
      <c r="AJ376" s="353">
        <f t="shared" si="204"/>
        <v>0</v>
      </c>
      <c r="AK376" s="353">
        <f t="shared" si="204"/>
        <v>0</v>
      </c>
      <c r="AL376" s="353">
        <f t="shared" si="204"/>
        <v>0</v>
      </c>
      <c r="AM376" s="353">
        <f t="shared" si="204"/>
        <v>0</v>
      </c>
      <c r="AN376" s="353">
        <f t="shared" si="204"/>
        <v>0</v>
      </c>
      <c r="AO376" s="353">
        <f t="shared" si="204"/>
        <v>0</v>
      </c>
      <c r="AP376" s="353">
        <f t="shared" si="204"/>
        <v>0</v>
      </c>
      <c r="AQ376" s="353">
        <f t="shared" si="204"/>
        <v>0</v>
      </c>
      <c r="AR376" s="301"/>
    </row>
    <row r="377" spans="1:44" s="1" customFormat="1" ht="13.8" thickBot="1">
      <c r="B377" s="33" t="str">
        <f>+A41</f>
        <v>Market Price - ERCOT 7x24 w/Wheeling (Enron-Mid)</v>
      </c>
      <c r="G377" s="78" t="s">
        <v>14</v>
      </c>
      <c r="H377" s="32">
        <f>+H41</f>
        <v>46.417554417891921</v>
      </c>
      <c r="I377" s="32">
        <f t="shared" ref="I377:AQ377" si="205">+I41</f>
        <v>40.821604026726071</v>
      </c>
      <c r="J377" s="32">
        <f t="shared" si="205"/>
        <v>39.864591825462767</v>
      </c>
      <c r="K377" s="32">
        <f t="shared" si="205"/>
        <v>38.946346757856972</v>
      </c>
      <c r="L377" s="32">
        <f t="shared" si="205"/>
        <v>39.737616563069409</v>
      </c>
      <c r="M377" s="32">
        <f t="shared" si="205"/>
        <v>40.85666795270209</v>
      </c>
      <c r="N377" s="32">
        <f t="shared" si="205"/>
        <v>42.278921070344005</v>
      </c>
      <c r="O377" s="32">
        <f t="shared" si="205"/>
        <v>43.749168288525453</v>
      </c>
      <c r="P377" s="32">
        <f t="shared" si="205"/>
        <v>45.519523944011901</v>
      </c>
      <c r="Q377" s="32">
        <f t="shared" si="205"/>
        <v>46.711794457396053</v>
      </c>
      <c r="R377" s="32">
        <f t="shared" si="205"/>
        <v>48.137791294252203</v>
      </c>
      <c r="S377" s="32">
        <f t="shared" si="205"/>
        <v>49.290676705846842</v>
      </c>
      <c r="T377" s="32">
        <f t="shared" si="205"/>
        <v>50.201553783510498</v>
      </c>
      <c r="U377" s="32">
        <f t="shared" si="205"/>
        <v>51.146403141386998</v>
      </c>
      <c r="V377" s="32">
        <f t="shared" si="205"/>
        <v>51.707822075092302</v>
      </c>
      <c r="W377" s="32">
        <f t="shared" si="205"/>
        <v>51.994616913152022</v>
      </c>
      <c r="X377" s="32">
        <f t="shared" si="205"/>
        <v>52.212894911227437</v>
      </c>
      <c r="Y377" s="32">
        <f t="shared" si="205"/>
        <v>52.320924870271774</v>
      </c>
      <c r="Z377" s="32">
        <f t="shared" si="205"/>
        <v>51.715533156793896</v>
      </c>
      <c r="AA377" s="328">
        <f t="shared" si="205"/>
        <v>51.718672658266108</v>
      </c>
      <c r="AB377" s="328">
        <f t="shared" si="205"/>
        <v>51.721812350328442</v>
      </c>
      <c r="AC377" s="328">
        <f t="shared" si="205"/>
        <v>51.724952232992457</v>
      </c>
      <c r="AD377" s="328">
        <f t="shared" si="205"/>
        <v>51.72809230626973</v>
      </c>
      <c r="AE377" s="328">
        <f t="shared" si="205"/>
        <v>51.731232570171834</v>
      </c>
      <c r="AF377" s="328">
        <f t="shared" si="205"/>
        <v>51.734373024710337</v>
      </c>
      <c r="AG377" s="328">
        <f t="shared" si="205"/>
        <v>51.737513669896813</v>
      </c>
      <c r="AH377" s="328">
        <f t="shared" si="205"/>
        <v>51.740654505742839</v>
      </c>
      <c r="AI377" s="328">
        <f t="shared" si="205"/>
        <v>51.743795532259988</v>
      </c>
      <c r="AJ377" s="328">
        <f t="shared" si="205"/>
        <v>51.746936749459834</v>
      </c>
      <c r="AK377" s="328">
        <f t="shared" si="205"/>
        <v>51.750078157353954</v>
      </c>
      <c r="AL377" s="328">
        <f t="shared" si="205"/>
        <v>51.753219755953928</v>
      </c>
      <c r="AM377" s="328">
        <f t="shared" si="205"/>
        <v>51.756361545271325</v>
      </c>
      <c r="AN377" s="328">
        <f t="shared" si="205"/>
        <v>51.759503525317733</v>
      </c>
      <c r="AO377" s="328">
        <f t="shared" si="205"/>
        <v>51.76264569610472</v>
      </c>
      <c r="AP377" s="328">
        <f t="shared" si="205"/>
        <v>51.765788057643874</v>
      </c>
      <c r="AQ377" s="328">
        <f t="shared" si="205"/>
        <v>51.768930609946771</v>
      </c>
      <c r="AR377" s="301"/>
    </row>
    <row r="378" spans="1:44" s="1" customFormat="1" ht="13.8" thickBot="1">
      <c r="B378" s="33" t="s">
        <v>245</v>
      </c>
      <c r="G378" s="7"/>
      <c r="H378" s="338">
        <f>+H376*H377/1000</f>
        <v>18623.325059598828</v>
      </c>
      <c r="I378" s="339">
        <f>+I376*I377/1000</f>
        <v>16378.157160104744</v>
      </c>
      <c r="J378" s="339">
        <f t="shared" ref="J378:AQ378" si="206">+J376*J377/1000</f>
        <v>15994.191448562242</v>
      </c>
      <c r="K378" s="339">
        <f t="shared" si="206"/>
        <v>15668.589969119641</v>
      </c>
      <c r="L378" s="339">
        <f t="shared" si="206"/>
        <v>15943.247325897135</v>
      </c>
      <c r="M378" s="339">
        <f t="shared" si="206"/>
        <v>16392.225262130072</v>
      </c>
      <c r="N378" s="339">
        <f t="shared" si="206"/>
        <v>16962.851665417351</v>
      </c>
      <c r="O378" s="339">
        <f t="shared" si="206"/>
        <v>17600.823606507529</v>
      </c>
      <c r="P378" s="339">
        <f t="shared" si="206"/>
        <v>18263.02358231879</v>
      </c>
      <c r="Q378" s="339">
        <f t="shared" si="206"/>
        <v>18741.377980954858</v>
      </c>
      <c r="R378" s="339">
        <f t="shared" si="206"/>
        <v>19313.506412962372</v>
      </c>
      <c r="S378" s="339">
        <f t="shared" si="206"/>
        <v>19830.239981328807</v>
      </c>
      <c r="T378" s="339">
        <f t="shared" si="206"/>
        <v>20141.514699164745</v>
      </c>
      <c r="U378" s="339">
        <f t="shared" si="206"/>
        <v>0</v>
      </c>
      <c r="V378" s="339">
        <f t="shared" si="206"/>
        <v>0</v>
      </c>
      <c r="W378" s="339">
        <f t="shared" si="206"/>
        <v>0</v>
      </c>
      <c r="X378" s="339">
        <f t="shared" si="206"/>
        <v>0</v>
      </c>
      <c r="Y378" s="339">
        <f t="shared" si="206"/>
        <v>0</v>
      </c>
      <c r="Z378" s="340">
        <f t="shared" si="206"/>
        <v>0</v>
      </c>
      <c r="AA378" s="277">
        <f t="shared" si="206"/>
        <v>0</v>
      </c>
      <c r="AB378" s="277">
        <f t="shared" si="206"/>
        <v>0</v>
      </c>
      <c r="AC378" s="277">
        <f t="shared" si="206"/>
        <v>0</v>
      </c>
      <c r="AD378" s="277">
        <f t="shared" si="206"/>
        <v>0</v>
      </c>
      <c r="AE378" s="277">
        <f t="shared" si="206"/>
        <v>0</v>
      </c>
      <c r="AF378" s="277">
        <f t="shared" si="206"/>
        <v>0</v>
      </c>
      <c r="AG378" s="277">
        <f t="shared" si="206"/>
        <v>0</v>
      </c>
      <c r="AH378" s="277">
        <f t="shared" si="206"/>
        <v>0</v>
      </c>
      <c r="AI378" s="277">
        <f t="shared" si="206"/>
        <v>0</v>
      </c>
      <c r="AJ378" s="277">
        <f t="shared" si="206"/>
        <v>0</v>
      </c>
      <c r="AK378" s="277">
        <f t="shared" si="206"/>
        <v>0</v>
      </c>
      <c r="AL378" s="277">
        <f t="shared" si="206"/>
        <v>0</v>
      </c>
      <c r="AM378" s="277">
        <f t="shared" si="206"/>
        <v>0</v>
      </c>
      <c r="AN378" s="277">
        <f t="shared" si="206"/>
        <v>0</v>
      </c>
      <c r="AO378" s="277">
        <f t="shared" si="206"/>
        <v>0</v>
      </c>
      <c r="AP378" s="277">
        <f t="shared" si="206"/>
        <v>0</v>
      </c>
      <c r="AQ378" s="277">
        <f t="shared" si="206"/>
        <v>0</v>
      </c>
      <c r="AR378" s="301"/>
    </row>
    <row r="379" spans="1:44" s="1" customFormat="1" ht="13.8" thickBot="1">
      <c r="B379" s="13" t="str">
        <f>CONCATENATE("NPV ",$E$328*100," to Seller to Term Selected")</f>
        <v>NPV 9 to Seller to Term Selected</v>
      </c>
      <c r="G379" s="239">
        <f>SUMPRODUCT(H$328:AQ$328,H378:AQ378)</f>
        <v>129999.9999999999</v>
      </c>
      <c r="H379" s="235"/>
      <c r="I379" s="235"/>
      <c r="J379" s="235"/>
      <c r="K379" s="235"/>
      <c r="L379" s="235"/>
      <c r="M379" s="235"/>
      <c r="N379" s="235"/>
      <c r="O379" s="235"/>
      <c r="P379" s="235"/>
      <c r="Q379" s="235"/>
      <c r="R379" s="235"/>
      <c r="S379" s="235"/>
      <c r="T379" s="235"/>
      <c r="U379" s="235"/>
      <c r="V379" s="235"/>
      <c r="W379" s="235"/>
      <c r="X379" s="235"/>
      <c r="Y379" s="235"/>
      <c r="Z379" s="235"/>
      <c r="AA379" s="260"/>
      <c r="AB379" s="260"/>
      <c r="AC379" s="260"/>
      <c r="AD379" s="260"/>
      <c r="AE379" s="260"/>
      <c r="AF379" s="260"/>
      <c r="AG379" s="260"/>
      <c r="AH379" s="260"/>
      <c r="AI379" s="260"/>
      <c r="AJ379" s="260"/>
      <c r="AK379" s="260"/>
      <c r="AL379" s="260"/>
      <c r="AM379" s="260"/>
      <c r="AN379" s="260"/>
      <c r="AO379" s="260"/>
      <c r="AP379" s="260"/>
      <c r="AQ379" s="260"/>
      <c r="AR379" s="301"/>
    </row>
    <row r="380" spans="1:44" s="1" customFormat="1">
      <c r="B380" s="33"/>
      <c r="G380" s="7"/>
      <c r="H380" s="235"/>
      <c r="I380" s="235"/>
      <c r="J380" s="235"/>
      <c r="K380" s="235"/>
      <c r="L380" s="235"/>
      <c r="M380" s="235"/>
      <c r="N380" s="235"/>
      <c r="O380" s="235"/>
      <c r="P380" s="235"/>
      <c r="Q380" s="235"/>
      <c r="R380" s="235"/>
      <c r="S380" s="235"/>
      <c r="T380" s="235"/>
      <c r="U380" s="235"/>
      <c r="V380" s="235"/>
      <c r="W380" s="235"/>
      <c r="X380" s="235"/>
      <c r="Y380" s="235"/>
      <c r="Z380" s="235"/>
      <c r="AA380" s="260"/>
      <c r="AB380" s="260"/>
      <c r="AC380" s="260"/>
      <c r="AD380" s="260"/>
      <c r="AE380" s="260"/>
      <c r="AF380" s="260"/>
      <c r="AG380" s="260"/>
      <c r="AH380" s="260"/>
      <c r="AI380" s="260"/>
      <c r="AJ380" s="260"/>
      <c r="AK380" s="260"/>
      <c r="AL380" s="260"/>
      <c r="AM380" s="260"/>
      <c r="AN380" s="260"/>
      <c r="AO380" s="260"/>
      <c r="AP380" s="260"/>
      <c r="AQ380" s="260"/>
      <c r="AR380" s="301"/>
    </row>
    <row r="381" spans="1:44" s="1" customFormat="1">
      <c r="B381" s="13" t="s">
        <v>234</v>
      </c>
      <c r="G381" s="7">
        <f>+$G$100</f>
        <v>130000</v>
      </c>
      <c r="H381" s="235"/>
      <c r="I381" s="235"/>
      <c r="J381" s="235"/>
      <c r="K381" s="235"/>
      <c r="L381" s="235"/>
      <c r="M381" s="235"/>
      <c r="N381" s="235"/>
      <c r="O381" s="235"/>
      <c r="P381" s="235"/>
      <c r="Q381" s="235"/>
      <c r="R381" s="235"/>
      <c r="S381" s="235"/>
      <c r="T381" s="235"/>
      <c r="U381" s="235"/>
      <c r="V381" s="235"/>
      <c r="W381" s="235"/>
      <c r="X381" s="235"/>
      <c r="Y381" s="235"/>
      <c r="Z381" s="235"/>
      <c r="AA381" s="260"/>
      <c r="AB381" s="260"/>
      <c r="AC381" s="260"/>
      <c r="AD381" s="260"/>
      <c r="AE381" s="260"/>
      <c r="AF381" s="260"/>
      <c r="AG381" s="260"/>
      <c r="AH381" s="260"/>
      <c r="AI381" s="260"/>
      <c r="AJ381" s="260"/>
      <c r="AK381" s="260"/>
      <c r="AL381" s="260"/>
      <c r="AM381" s="260"/>
      <c r="AN381" s="260"/>
      <c r="AO381" s="260"/>
      <c r="AP381" s="260"/>
      <c r="AQ381" s="260"/>
      <c r="AR381" s="301"/>
    </row>
    <row r="382" spans="1:44" s="1" customFormat="1" ht="13.8" thickBot="1">
      <c r="B382" s="13"/>
      <c r="G382" s="7"/>
      <c r="H382" s="235"/>
      <c r="I382" s="235"/>
      <c r="J382" s="235"/>
      <c r="K382" s="235"/>
      <c r="L382" s="235"/>
      <c r="M382" s="235"/>
      <c r="N382" s="235"/>
      <c r="O382" s="235"/>
      <c r="P382" s="235"/>
      <c r="Q382" s="235"/>
      <c r="R382" s="235"/>
      <c r="S382" s="235"/>
      <c r="T382" s="235"/>
      <c r="U382" s="235"/>
      <c r="V382" s="235"/>
      <c r="W382" s="235"/>
      <c r="X382" s="235"/>
      <c r="Y382" s="235"/>
      <c r="Z382" s="235"/>
      <c r="AA382" s="260"/>
      <c r="AB382" s="260"/>
      <c r="AC382" s="260"/>
      <c r="AD382" s="260"/>
      <c r="AE382" s="260"/>
      <c r="AF382" s="260"/>
      <c r="AG382" s="260"/>
      <c r="AH382" s="260"/>
      <c r="AI382" s="260"/>
      <c r="AJ382" s="260"/>
      <c r="AK382" s="260"/>
      <c r="AL382" s="260"/>
      <c r="AM382" s="260"/>
      <c r="AN382" s="260"/>
      <c r="AO382" s="260"/>
      <c r="AP382" s="260"/>
      <c r="AQ382" s="260"/>
      <c r="AR382" s="301"/>
    </row>
    <row r="383" spans="1:44" s="1" customFormat="1" ht="13.8" thickBot="1">
      <c r="B383" s="13" t="s">
        <v>228</v>
      </c>
      <c r="G383" s="240">
        <f>+G381-G379</f>
        <v>0</v>
      </c>
      <c r="H383" s="235"/>
      <c r="I383" s="235"/>
      <c r="J383" s="235"/>
      <c r="K383" s="235"/>
      <c r="L383" s="235"/>
      <c r="M383" s="235"/>
      <c r="N383" s="235"/>
      <c r="O383" s="235"/>
      <c r="P383" s="235"/>
      <c r="Q383" s="235"/>
      <c r="R383" s="235"/>
      <c r="S383" s="235"/>
      <c r="T383" s="235"/>
      <c r="U383" s="235"/>
      <c r="V383" s="235"/>
      <c r="W383" s="235"/>
      <c r="X383" s="235"/>
      <c r="Y383" s="235"/>
      <c r="Z383" s="235"/>
      <c r="AA383" s="260"/>
      <c r="AB383" s="260"/>
      <c r="AC383" s="260"/>
      <c r="AD383" s="260"/>
      <c r="AE383" s="260"/>
      <c r="AF383" s="260"/>
      <c r="AG383" s="260"/>
      <c r="AH383" s="260"/>
      <c r="AI383" s="260"/>
      <c r="AJ383" s="260"/>
      <c r="AK383" s="260"/>
      <c r="AL383" s="260"/>
      <c r="AM383" s="260"/>
      <c r="AN383" s="260"/>
      <c r="AO383" s="260"/>
      <c r="AP383" s="260"/>
      <c r="AQ383" s="260"/>
      <c r="AR383" s="301"/>
    </row>
    <row r="384" spans="1:44" s="1" customFormat="1">
      <c r="B384" s="33"/>
      <c r="G384" s="7"/>
      <c r="H384" s="235"/>
      <c r="I384" s="235"/>
      <c r="J384" s="235"/>
      <c r="K384" s="235"/>
      <c r="L384" s="235"/>
      <c r="M384" s="235"/>
      <c r="N384" s="235"/>
      <c r="O384" s="235"/>
      <c r="P384" s="235"/>
      <c r="Q384" s="235"/>
      <c r="R384" s="235"/>
      <c r="S384" s="235"/>
      <c r="T384" s="235"/>
      <c r="U384" s="235"/>
      <c r="V384" s="235"/>
      <c r="W384" s="235"/>
      <c r="X384" s="235"/>
      <c r="Y384" s="235"/>
      <c r="Z384" s="235"/>
      <c r="AA384" s="260"/>
      <c r="AB384" s="260"/>
      <c r="AC384" s="260"/>
      <c r="AD384" s="260"/>
      <c r="AE384" s="260"/>
      <c r="AF384" s="260"/>
      <c r="AG384" s="260"/>
      <c r="AH384" s="260"/>
      <c r="AI384" s="260"/>
      <c r="AJ384" s="260"/>
      <c r="AK384" s="260"/>
      <c r="AL384" s="260"/>
      <c r="AM384" s="260"/>
      <c r="AN384" s="260"/>
      <c r="AO384" s="260"/>
      <c r="AP384" s="260"/>
      <c r="AQ384" s="260"/>
      <c r="AR384" s="301"/>
    </row>
    <row r="385" spans="1:44" s="1" customFormat="1">
      <c r="B385" s="16" t="s">
        <v>224</v>
      </c>
      <c r="G385" s="7"/>
      <c r="H385" s="235"/>
      <c r="I385" s="235"/>
      <c r="J385" s="235"/>
      <c r="K385" s="235"/>
      <c r="L385" s="235"/>
      <c r="M385" s="235"/>
      <c r="N385" s="235"/>
      <c r="O385" s="235"/>
      <c r="P385" s="235"/>
      <c r="Q385" s="235"/>
      <c r="R385" s="235"/>
      <c r="S385" s="235"/>
      <c r="T385" s="235"/>
      <c r="U385" s="235"/>
      <c r="V385" s="235"/>
      <c r="W385" s="235"/>
      <c r="X385" s="235"/>
      <c r="Y385" s="235"/>
      <c r="Z385" s="235"/>
      <c r="AA385" s="260"/>
      <c r="AB385" s="260"/>
      <c r="AC385" s="260"/>
      <c r="AD385" s="260"/>
      <c r="AE385" s="260"/>
      <c r="AF385" s="260"/>
      <c r="AG385" s="260"/>
      <c r="AH385" s="260"/>
      <c r="AI385" s="260"/>
      <c r="AJ385" s="260"/>
      <c r="AK385" s="260"/>
      <c r="AL385" s="260"/>
      <c r="AM385" s="260"/>
      <c r="AN385" s="260"/>
      <c r="AO385" s="260"/>
      <c r="AP385" s="260"/>
      <c r="AQ385" s="260"/>
      <c r="AR385" s="301"/>
    </row>
    <row r="386" spans="1:44" s="1" customFormat="1">
      <c r="B386" s="13" t="s">
        <v>155</v>
      </c>
      <c r="G386" s="7"/>
      <c r="H386" s="76">
        <f>SUM(H$168:H$173)</f>
        <v>54391.456400354451</v>
      </c>
      <c r="I386" s="76">
        <f t="shared" ref="I386:AQ386" si="207">SUM(I$168:I$173)</f>
        <v>51674.501630346545</v>
      </c>
      <c r="J386" s="76">
        <f t="shared" si="207"/>
        <v>52822.062236176534</v>
      </c>
      <c r="K386" s="76">
        <f t="shared" si="207"/>
        <v>58851.586693315374</v>
      </c>
      <c r="L386" s="76">
        <f t="shared" si="207"/>
        <v>58142.758698052246</v>
      </c>
      <c r="M386" s="76">
        <f t="shared" si="207"/>
        <v>60697.248129781037</v>
      </c>
      <c r="N386" s="76">
        <f t="shared" si="207"/>
        <v>60459.578552070023</v>
      </c>
      <c r="O386" s="76">
        <f t="shared" si="207"/>
        <v>53446.650363685934</v>
      </c>
      <c r="P386" s="76">
        <f t="shared" si="207"/>
        <v>53002.374457308288</v>
      </c>
      <c r="Q386" s="76">
        <f t="shared" si="207"/>
        <v>62473.375915671961</v>
      </c>
      <c r="R386" s="76">
        <f t="shared" si="207"/>
        <v>57066.878809947135</v>
      </c>
      <c r="S386" s="76">
        <f t="shared" si="207"/>
        <v>58701.522086558201</v>
      </c>
      <c r="T386" s="76">
        <f t="shared" si="207"/>
        <v>66744.170625687169</v>
      </c>
      <c r="U386" s="76">
        <f t="shared" si="207"/>
        <v>61756.672647049294</v>
      </c>
      <c r="V386" s="76">
        <f t="shared" si="207"/>
        <v>61640.245755773176</v>
      </c>
      <c r="W386" s="76">
        <f t="shared" si="207"/>
        <v>66897.351456986275</v>
      </c>
      <c r="X386" s="76">
        <f t="shared" si="207"/>
        <v>65619.31366640421</v>
      </c>
      <c r="Y386" s="76">
        <f t="shared" si="207"/>
        <v>67099.334939811743</v>
      </c>
      <c r="Z386" s="76">
        <f t="shared" si="207"/>
        <v>76426.288313036624</v>
      </c>
      <c r="AA386" s="267">
        <f t="shared" si="207"/>
        <v>71866.229116491842</v>
      </c>
      <c r="AB386" s="267">
        <f t="shared" si="207"/>
        <v>72338.689950913118</v>
      </c>
      <c r="AC386" s="267">
        <f t="shared" si="207"/>
        <v>77652.018903887001</v>
      </c>
      <c r="AD386" s="267">
        <f t="shared" si="207"/>
        <v>76461.365633643189</v>
      </c>
      <c r="AE386" s="267">
        <f t="shared" si="207"/>
        <v>78721.923623537397</v>
      </c>
      <c r="AF386" s="267">
        <f t="shared" si="207"/>
        <v>88238.953816703812</v>
      </c>
      <c r="AG386" s="267">
        <f t="shared" si="207"/>
        <v>82943.317922912349</v>
      </c>
      <c r="AH386" s="267">
        <f t="shared" si="207"/>
        <v>83850.661095668765</v>
      </c>
      <c r="AI386" s="267">
        <f t="shared" si="207"/>
        <v>89774.835580428407</v>
      </c>
      <c r="AJ386" s="267">
        <f t="shared" si="207"/>
        <v>88621.782984546953</v>
      </c>
      <c r="AK386" s="267">
        <f t="shared" si="207"/>
        <v>91038.608724375415</v>
      </c>
      <c r="AL386" s="267">
        <f t="shared" si="207"/>
        <v>101288.21485406572</v>
      </c>
      <c r="AM386" s="267">
        <f t="shared" si="207"/>
        <v>96370.541524519649</v>
      </c>
      <c r="AN386" s="267">
        <f t="shared" si="207"/>
        <v>97381.722537221067</v>
      </c>
      <c r="AO386" s="267">
        <f t="shared" si="207"/>
        <v>103573.96487511015</v>
      </c>
      <c r="AP386" s="267">
        <f t="shared" si="207"/>
        <v>102919.89317975807</v>
      </c>
      <c r="AQ386" s="267">
        <f t="shared" si="207"/>
        <v>105987.92073576365</v>
      </c>
      <c r="AR386" s="301"/>
    </row>
    <row r="387" spans="1:44" s="1" customFormat="1">
      <c r="B387" s="13" t="s">
        <v>232</v>
      </c>
      <c r="F387" s="314"/>
      <c r="G387" s="7">
        <f>-$G$181</f>
        <v>6888</v>
      </c>
      <c r="H387" s="76">
        <f>+H$175-H$220-H$221</f>
        <v>22034.029756495551</v>
      </c>
      <c r="I387" s="76">
        <f t="shared" ref="I387:AQ387" si="208">+I$175-I$220-I$221</f>
        <v>22034.02975649554</v>
      </c>
      <c r="J387" s="76">
        <f t="shared" si="208"/>
        <v>22034.029756495551</v>
      </c>
      <c r="K387" s="76">
        <f t="shared" si="208"/>
        <v>22034.029756495551</v>
      </c>
      <c r="L387" s="76">
        <f t="shared" si="208"/>
        <v>22034.029756495551</v>
      </c>
      <c r="M387" s="76">
        <f t="shared" si="208"/>
        <v>22034.029756495554</v>
      </c>
      <c r="N387" s="76">
        <f t="shared" si="208"/>
        <v>22034.029756495544</v>
      </c>
      <c r="O387" s="76">
        <f t="shared" si="208"/>
        <v>22034.029756495551</v>
      </c>
      <c r="P387" s="76">
        <f t="shared" si="208"/>
        <v>22034.029756495544</v>
      </c>
      <c r="Q387" s="76">
        <f t="shared" si="208"/>
        <v>22034.029756495547</v>
      </c>
      <c r="R387" s="76">
        <f t="shared" si="208"/>
        <v>22034.029756495547</v>
      </c>
      <c r="S387" s="76">
        <f t="shared" si="208"/>
        <v>22034.029756495551</v>
      </c>
      <c r="T387" s="76">
        <f t="shared" si="208"/>
        <v>22034.029756495554</v>
      </c>
      <c r="U387" s="76">
        <f t="shared" si="208"/>
        <v>22034.029756495547</v>
      </c>
      <c r="V387" s="76">
        <f t="shared" si="208"/>
        <v>22034.029756495547</v>
      </c>
      <c r="W387" s="76">
        <f t="shared" si="208"/>
        <v>22034.029756495547</v>
      </c>
      <c r="X387" s="76">
        <f t="shared" si="208"/>
        <v>22034.029756495547</v>
      </c>
      <c r="Y387" s="76">
        <f t="shared" si="208"/>
        <v>22034.029756495547</v>
      </c>
      <c r="Z387" s="76">
        <f t="shared" si="208"/>
        <v>22034.029756495547</v>
      </c>
      <c r="AA387" s="267">
        <f t="shared" si="208"/>
        <v>22034.029756495547</v>
      </c>
      <c r="AB387" s="267">
        <f t="shared" si="208"/>
        <v>22034.029756495547</v>
      </c>
      <c r="AC387" s="267">
        <f t="shared" si="208"/>
        <v>22034.029756495547</v>
      </c>
      <c r="AD387" s="267">
        <f t="shared" si="208"/>
        <v>22034.029756495551</v>
      </c>
      <c r="AE387" s="267">
        <f t="shared" si="208"/>
        <v>22034.029756495547</v>
      </c>
      <c r="AF387" s="267">
        <f t="shared" si="208"/>
        <v>22034.029756495544</v>
      </c>
      <c r="AG387" s="267">
        <f t="shared" si="208"/>
        <v>0</v>
      </c>
      <c r="AH387" s="267">
        <f t="shared" si="208"/>
        <v>0</v>
      </c>
      <c r="AI387" s="267">
        <f t="shared" si="208"/>
        <v>0</v>
      </c>
      <c r="AJ387" s="267">
        <f t="shared" si="208"/>
        <v>0</v>
      </c>
      <c r="AK387" s="267">
        <f t="shared" si="208"/>
        <v>0</v>
      </c>
      <c r="AL387" s="267">
        <f t="shared" si="208"/>
        <v>0</v>
      </c>
      <c r="AM387" s="267">
        <f t="shared" si="208"/>
        <v>0</v>
      </c>
      <c r="AN387" s="267">
        <f t="shared" si="208"/>
        <v>0</v>
      </c>
      <c r="AO387" s="267">
        <f t="shared" si="208"/>
        <v>0</v>
      </c>
      <c r="AP387" s="267">
        <f t="shared" si="208"/>
        <v>0</v>
      </c>
      <c r="AQ387" s="267">
        <f t="shared" si="208"/>
        <v>0</v>
      </c>
      <c r="AR387" s="301"/>
    </row>
    <row r="388" spans="1:44" s="1" customFormat="1" ht="13.8" thickBot="1">
      <c r="B388" s="13" t="s">
        <v>246</v>
      </c>
      <c r="G388" s="7"/>
      <c r="H388" s="7">
        <f>+H378</f>
        <v>18623.325059598828</v>
      </c>
      <c r="I388" s="7">
        <f t="shared" ref="I388:AQ388" si="209">+I378</f>
        <v>16378.157160104744</v>
      </c>
      <c r="J388" s="7">
        <f t="shared" si="209"/>
        <v>15994.191448562242</v>
      </c>
      <c r="K388" s="7">
        <f t="shared" si="209"/>
        <v>15668.589969119641</v>
      </c>
      <c r="L388" s="7">
        <f t="shared" si="209"/>
        <v>15943.247325897135</v>
      </c>
      <c r="M388" s="7">
        <f t="shared" si="209"/>
        <v>16392.225262130072</v>
      </c>
      <c r="N388" s="7">
        <f t="shared" si="209"/>
        <v>16962.851665417351</v>
      </c>
      <c r="O388" s="7">
        <f t="shared" si="209"/>
        <v>17600.823606507529</v>
      </c>
      <c r="P388" s="7">
        <f t="shared" si="209"/>
        <v>18263.02358231879</v>
      </c>
      <c r="Q388" s="7">
        <f t="shared" si="209"/>
        <v>18741.377980954858</v>
      </c>
      <c r="R388" s="7">
        <f t="shared" si="209"/>
        <v>19313.506412962372</v>
      </c>
      <c r="S388" s="7">
        <f t="shared" si="209"/>
        <v>19830.239981328807</v>
      </c>
      <c r="T388" s="7">
        <f t="shared" si="209"/>
        <v>20141.514699164745</v>
      </c>
      <c r="U388" s="7">
        <f t="shared" si="209"/>
        <v>0</v>
      </c>
      <c r="V388" s="7">
        <f t="shared" si="209"/>
        <v>0</v>
      </c>
      <c r="W388" s="7">
        <f t="shared" si="209"/>
        <v>0</v>
      </c>
      <c r="X388" s="7">
        <f t="shared" si="209"/>
        <v>0</v>
      </c>
      <c r="Y388" s="7">
        <f t="shared" si="209"/>
        <v>0</v>
      </c>
      <c r="Z388" s="7">
        <f t="shared" si="209"/>
        <v>0</v>
      </c>
      <c r="AA388" s="277">
        <f t="shared" si="209"/>
        <v>0</v>
      </c>
      <c r="AB388" s="277">
        <f t="shared" si="209"/>
        <v>0</v>
      </c>
      <c r="AC388" s="277">
        <f t="shared" si="209"/>
        <v>0</v>
      </c>
      <c r="AD388" s="277">
        <f t="shared" si="209"/>
        <v>0</v>
      </c>
      <c r="AE388" s="277">
        <f t="shared" si="209"/>
        <v>0</v>
      </c>
      <c r="AF388" s="277">
        <f t="shared" si="209"/>
        <v>0</v>
      </c>
      <c r="AG388" s="277">
        <f t="shared" si="209"/>
        <v>0</v>
      </c>
      <c r="AH388" s="277">
        <f t="shared" si="209"/>
        <v>0</v>
      </c>
      <c r="AI388" s="277">
        <f t="shared" si="209"/>
        <v>0</v>
      </c>
      <c r="AJ388" s="277">
        <f t="shared" si="209"/>
        <v>0</v>
      </c>
      <c r="AK388" s="277">
        <f t="shared" si="209"/>
        <v>0</v>
      </c>
      <c r="AL388" s="277">
        <f t="shared" si="209"/>
        <v>0</v>
      </c>
      <c r="AM388" s="277">
        <f t="shared" si="209"/>
        <v>0</v>
      </c>
      <c r="AN388" s="277">
        <f t="shared" si="209"/>
        <v>0</v>
      </c>
      <c r="AO388" s="277">
        <f t="shared" si="209"/>
        <v>0</v>
      </c>
      <c r="AP388" s="277">
        <f t="shared" si="209"/>
        <v>0</v>
      </c>
      <c r="AQ388" s="277">
        <f t="shared" si="209"/>
        <v>0</v>
      </c>
      <c r="AR388" s="301"/>
    </row>
    <row r="389" spans="1:44" s="1" customFormat="1" ht="13.8" thickBot="1">
      <c r="B389" s="13" t="s">
        <v>235</v>
      </c>
      <c r="G389" s="236">
        <f t="shared" ref="G389:AQ389" si="210">SUM(G386:G388)</f>
        <v>6888</v>
      </c>
      <c r="H389" s="158">
        <f t="shared" si="210"/>
        <v>95048.811216448841</v>
      </c>
      <c r="I389" s="158">
        <f t="shared" si="210"/>
        <v>90086.688546946825</v>
      </c>
      <c r="J389" s="158">
        <f t="shared" si="210"/>
        <v>90850.283441234322</v>
      </c>
      <c r="K389" s="158">
        <f t="shared" si="210"/>
        <v>96554.206418930567</v>
      </c>
      <c r="L389" s="158">
        <f t="shared" si="210"/>
        <v>96120.03578044493</v>
      </c>
      <c r="M389" s="158">
        <f t="shared" si="210"/>
        <v>99123.503148406671</v>
      </c>
      <c r="N389" s="158">
        <f t="shared" si="210"/>
        <v>99456.459973982914</v>
      </c>
      <c r="O389" s="158">
        <f t="shared" si="210"/>
        <v>93081.503726689014</v>
      </c>
      <c r="P389" s="158">
        <f t="shared" si="210"/>
        <v>93299.427796122618</v>
      </c>
      <c r="Q389" s="158">
        <f t="shared" si="210"/>
        <v>103248.78365312237</v>
      </c>
      <c r="R389" s="158">
        <f t="shared" si="210"/>
        <v>98414.414979405061</v>
      </c>
      <c r="S389" s="158">
        <f t="shared" si="210"/>
        <v>100565.79182438256</v>
      </c>
      <c r="T389" s="158">
        <f t="shared" si="210"/>
        <v>108919.71508134747</v>
      </c>
      <c r="U389" s="158">
        <f t="shared" si="210"/>
        <v>83790.702403544841</v>
      </c>
      <c r="V389" s="158">
        <f t="shared" si="210"/>
        <v>83674.275512268723</v>
      </c>
      <c r="W389" s="158">
        <f t="shared" si="210"/>
        <v>88931.381213481829</v>
      </c>
      <c r="X389" s="158">
        <f t="shared" si="210"/>
        <v>87653.34342289975</v>
      </c>
      <c r="Y389" s="158">
        <f t="shared" si="210"/>
        <v>89133.364696307282</v>
      </c>
      <c r="Z389" s="159">
        <f t="shared" si="210"/>
        <v>98460.318069532164</v>
      </c>
      <c r="AA389" s="267">
        <f t="shared" si="210"/>
        <v>93900.258872987382</v>
      </c>
      <c r="AB389" s="267">
        <f t="shared" si="210"/>
        <v>94372.719707408658</v>
      </c>
      <c r="AC389" s="267">
        <f t="shared" si="210"/>
        <v>99686.048660382541</v>
      </c>
      <c r="AD389" s="267">
        <f t="shared" si="210"/>
        <v>98495.395390138743</v>
      </c>
      <c r="AE389" s="267">
        <f t="shared" si="210"/>
        <v>100755.95338003294</v>
      </c>
      <c r="AF389" s="267">
        <f t="shared" si="210"/>
        <v>110272.98357319935</v>
      </c>
      <c r="AG389" s="267">
        <f t="shared" si="210"/>
        <v>82943.317922912349</v>
      </c>
      <c r="AH389" s="267">
        <f t="shared" si="210"/>
        <v>83850.661095668765</v>
      </c>
      <c r="AI389" s="267">
        <f t="shared" si="210"/>
        <v>89774.835580428407</v>
      </c>
      <c r="AJ389" s="267">
        <f t="shared" si="210"/>
        <v>88621.782984546953</v>
      </c>
      <c r="AK389" s="267">
        <f t="shared" si="210"/>
        <v>91038.608724375415</v>
      </c>
      <c r="AL389" s="267">
        <f t="shared" si="210"/>
        <v>101288.21485406572</v>
      </c>
      <c r="AM389" s="267">
        <f t="shared" si="210"/>
        <v>96370.541524519649</v>
      </c>
      <c r="AN389" s="267">
        <f t="shared" si="210"/>
        <v>97381.722537221067</v>
      </c>
      <c r="AO389" s="267">
        <f t="shared" si="210"/>
        <v>103573.96487511015</v>
      </c>
      <c r="AP389" s="267">
        <f t="shared" si="210"/>
        <v>102919.89317975807</v>
      </c>
      <c r="AQ389" s="267">
        <f t="shared" si="210"/>
        <v>105987.92073576365</v>
      </c>
      <c r="AR389" s="301"/>
    </row>
    <row r="390" spans="1:44" s="1" customFormat="1" ht="13.8" thickBot="1">
      <c r="B390" s="350" t="str">
        <f>CONCATENATE("NPV ",+$E$16*100," of Cf to Term (2036)")</f>
        <v>NPV 6.25 of Cf to Term (2036)</v>
      </c>
      <c r="G390" s="343">
        <f>SUMPRODUCT(G$16:AQ$16,G389:AQ389)</f>
        <v>1357194.4205766344</v>
      </c>
      <c r="H390" s="85" t="str">
        <f>CONCATENATE(" = ",DOLLAR($G$303-G390,0)," in Savings or a ",ROUND(($G$303-G390)/$G$91,2)*100,"% Reduction in Stranded Investment")</f>
        <v xml:space="preserve"> = $127,432 in Savings or a 43% Reduction in Stranded Investment</v>
      </c>
      <c r="I390" s="344"/>
      <c r="J390" s="344"/>
      <c r="K390" s="344"/>
      <c r="L390" s="344"/>
      <c r="M390" s="345"/>
      <c r="N390" s="235"/>
      <c r="O390" s="235"/>
      <c r="P390" s="235"/>
      <c r="Q390" s="235"/>
      <c r="R390" s="235"/>
      <c r="S390" s="235"/>
      <c r="T390" s="235"/>
      <c r="U390" s="235"/>
      <c r="V390" s="235"/>
      <c r="W390" s="235"/>
      <c r="X390" s="235"/>
      <c r="Y390" s="235"/>
      <c r="Z390" s="235"/>
      <c r="AA390" s="260"/>
      <c r="AB390" s="260"/>
      <c r="AC390" s="260"/>
      <c r="AD390" s="260"/>
      <c r="AE390" s="260"/>
      <c r="AF390" s="260"/>
      <c r="AG390" s="260"/>
      <c r="AH390" s="260"/>
      <c r="AI390" s="260"/>
      <c r="AJ390" s="260"/>
      <c r="AK390" s="260"/>
      <c r="AL390" s="260"/>
      <c r="AM390" s="260"/>
      <c r="AN390" s="260"/>
      <c r="AO390" s="260"/>
      <c r="AP390" s="260"/>
      <c r="AQ390" s="260"/>
      <c r="AR390" s="301"/>
    </row>
    <row r="391" spans="1:44" s="1" customFormat="1">
      <c r="B391" s="33"/>
      <c r="G391" s="7"/>
      <c r="H391" s="235"/>
      <c r="I391" s="235"/>
      <c r="J391" s="235"/>
      <c r="K391" s="235"/>
      <c r="L391" s="235"/>
      <c r="M391" s="235"/>
      <c r="N391" s="235"/>
      <c r="O391" s="235"/>
      <c r="P391" s="235"/>
      <c r="Q391" s="235"/>
      <c r="R391" s="235"/>
      <c r="S391" s="235"/>
      <c r="T391" s="235"/>
      <c r="U391" s="235"/>
      <c r="V391" s="235"/>
      <c r="W391" s="235"/>
      <c r="X391" s="235"/>
      <c r="Y391" s="235"/>
      <c r="Z391" s="235"/>
      <c r="AA391" s="260"/>
      <c r="AB391" s="260"/>
      <c r="AC391" s="260"/>
      <c r="AD391" s="260"/>
      <c r="AE391" s="260"/>
      <c r="AF391" s="260"/>
      <c r="AG391" s="260"/>
      <c r="AH391" s="260"/>
      <c r="AI391" s="260"/>
      <c r="AJ391" s="260"/>
      <c r="AK391" s="260"/>
      <c r="AL391" s="260"/>
      <c r="AM391" s="260"/>
      <c r="AN391" s="260"/>
      <c r="AO391" s="260"/>
      <c r="AP391" s="260"/>
      <c r="AQ391" s="260"/>
      <c r="AR391" s="301"/>
    </row>
    <row r="392" spans="1:44" s="1" customFormat="1">
      <c r="A392" s="297"/>
      <c r="B392" s="16" t="str">
        <f>+A371</f>
        <v>Production Payment on Partial Output</v>
      </c>
      <c r="C392" s="13"/>
      <c r="D392" s="332"/>
      <c r="G392" s="33" t="s">
        <v>14</v>
      </c>
      <c r="H392" s="225">
        <f>+H389/H$25*1000</f>
        <v>48.901752817377549</v>
      </c>
      <c r="I392" s="225">
        <f t="shared" ref="I392:AQ392" si="211">+I389/I$25*1000</f>
        <v>46.348785630014135</v>
      </c>
      <c r="J392" s="225">
        <f t="shared" si="211"/>
        <v>46.741648289685116</v>
      </c>
      <c r="K392" s="225">
        <f t="shared" si="211"/>
        <v>49.540537519445195</v>
      </c>
      <c r="L392" s="225">
        <f t="shared" si="211"/>
        <v>49.452888156894282</v>
      </c>
      <c r="M392" s="225">
        <f t="shared" si="211"/>
        <v>50.998144924900103</v>
      </c>
      <c r="N392" s="225">
        <f t="shared" si="211"/>
        <v>51.169448197132617</v>
      </c>
      <c r="O392" s="225">
        <f t="shared" si="211"/>
        <v>47.758745048670562</v>
      </c>
      <c r="P392" s="225">
        <f t="shared" si="211"/>
        <v>48.0017108861976</v>
      </c>
      <c r="Q392" s="225">
        <f t="shared" si="211"/>
        <v>53.120564395087456</v>
      </c>
      <c r="R392" s="225">
        <f t="shared" si="211"/>
        <v>50.633325481895405</v>
      </c>
      <c r="S392" s="225">
        <f t="shared" si="211"/>
        <v>51.598822752809085</v>
      </c>
      <c r="T392" s="225">
        <f t="shared" si="211"/>
        <v>56.038207271396992</v>
      </c>
      <c r="U392" s="225">
        <f t="shared" si="211"/>
        <v>43.10955776187015</v>
      </c>
      <c r="V392" s="225">
        <f t="shared" si="211"/>
        <v>43.049657180415053</v>
      </c>
      <c r="W392" s="225">
        <f t="shared" si="211"/>
        <v>45.629378471063589</v>
      </c>
      <c r="X392" s="225">
        <f t="shared" si="211"/>
        <v>45.096851594726296</v>
      </c>
      <c r="Y392" s="225">
        <f t="shared" si="211"/>
        <v>45.858309140069174</v>
      </c>
      <c r="Z392" s="225">
        <f t="shared" si="211"/>
        <v>50.656942206168125</v>
      </c>
      <c r="AA392" s="225">
        <f t="shared" si="211"/>
        <v>48.178836223864351</v>
      </c>
      <c r="AB392" s="225">
        <f t="shared" si="211"/>
        <v>48.553909857177651</v>
      </c>
      <c r="AC392" s="225">
        <f t="shared" si="211"/>
        <v>51.287569497633818</v>
      </c>
      <c r="AD392" s="225">
        <f t="shared" si="211"/>
        <v>50.674989170036959</v>
      </c>
      <c r="AE392" s="225">
        <f t="shared" si="211"/>
        <v>51.696391838940649</v>
      </c>
      <c r="AF392" s="225">
        <f t="shared" si="211"/>
        <v>56.734451658224565</v>
      </c>
      <c r="AG392" s="225">
        <f t="shared" si="211"/>
        <v>42.673586118639321</v>
      </c>
      <c r="AH392" s="225">
        <f t="shared" si="211"/>
        <v>43.140405966113548</v>
      </c>
      <c r="AI392" s="225">
        <f t="shared" si="211"/>
        <v>46.062142451644185</v>
      </c>
      <c r="AJ392" s="225">
        <f t="shared" si="211"/>
        <v>45.595104981129985</v>
      </c>
      <c r="AK392" s="225">
        <f t="shared" si="211"/>
        <v>46.838539942800658</v>
      </c>
      <c r="AL392" s="225">
        <f t="shared" si="211"/>
        <v>52.111869498582124</v>
      </c>
      <c r="AM392" s="225">
        <f t="shared" si="211"/>
        <v>49.446301774260874</v>
      </c>
      <c r="AN392" s="225">
        <f t="shared" si="211"/>
        <v>50.102014570188636</v>
      </c>
      <c r="AO392" s="225">
        <f t="shared" si="211"/>
        <v>53.287867189672518</v>
      </c>
      <c r="AP392" s="225">
        <f t="shared" si="211"/>
        <v>52.951353224252024</v>
      </c>
      <c r="AQ392" s="225">
        <f t="shared" si="211"/>
        <v>54.380837029888561</v>
      </c>
      <c r="AR392" s="301"/>
    </row>
    <row r="393" spans="1:44" s="1" customFormat="1">
      <c r="A393" s="297"/>
      <c r="B393" s="16"/>
      <c r="C393" s="13"/>
      <c r="D393" s="332"/>
      <c r="G393" s="33"/>
      <c r="H393" s="354"/>
      <c r="I393" s="354"/>
      <c r="J393" s="354"/>
      <c r="K393" s="354"/>
      <c r="L393" s="354"/>
      <c r="M393" s="354"/>
      <c r="N393" s="354"/>
      <c r="O393" s="354"/>
      <c r="P393" s="354"/>
      <c r="Q393" s="354"/>
      <c r="R393" s="354"/>
      <c r="S393" s="354"/>
      <c r="T393" s="354"/>
      <c r="U393" s="354"/>
      <c r="V393" s="354"/>
      <c r="W393" s="354"/>
      <c r="X393" s="354"/>
      <c r="Y393" s="354"/>
      <c r="Z393" s="354"/>
      <c r="AA393" s="254"/>
      <c r="AB393" s="254"/>
      <c r="AC393" s="254"/>
      <c r="AD393" s="254"/>
      <c r="AE393" s="254"/>
      <c r="AF393" s="254"/>
      <c r="AG393" s="254"/>
      <c r="AH393" s="254"/>
      <c r="AI393" s="254"/>
      <c r="AJ393" s="254"/>
      <c r="AK393" s="254"/>
      <c r="AL393" s="254"/>
      <c r="AM393" s="254"/>
      <c r="AN393" s="254"/>
      <c r="AO393" s="254"/>
      <c r="AP393" s="254"/>
      <c r="AQ393" s="254"/>
      <c r="AR393" s="301"/>
    </row>
    <row r="394" spans="1:44" s="1" customFormat="1" ht="13.8" thickBot="1">
      <c r="G394" s="11" t="str">
        <f>+G$9</f>
        <v>t = 0</v>
      </c>
      <c r="H394" s="11">
        <f>+Z9+1</f>
        <v>2020</v>
      </c>
      <c r="I394" s="11">
        <f t="shared" ref="I394:X394" si="212">+H394+1</f>
        <v>2021</v>
      </c>
      <c r="J394" s="11">
        <f t="shared" si="212"/>
        <v>2022</v>
      </c>
      <c r="K394" s="11">
        <f t="shared" si="212"/>
        <v>2023</v>
      </c>
      <c r="L394" s="11">
        <f t="shared" si="212"/>
        <v>2024</v>
      </c>
      <c r="M394" s="11">
        <f t="shared" si="212"/>
        <v>2025</v>
      </c>
      <c r="N394" s="11">
        <f t="shared" si="212"/>
        <v>2026</v>
      </c>
      <c r="O394" s="11">
        <f t="shared" si="212"/>
        <v>2027</v>
      </c>
      <c r="P394" s="11">
        <f t="shared" si="212"/>
        <v>2028</v>
      </c>
      <c r="Q394" s="11">
        <f t="shared" si="212"/>
        <v>2029</v>
      </c>
      <c r="R394" s="11">
        <f t="shared" si="212"/>
        <v>2030</v>
      </c>
      <c r="S394" s="11">
        <f t="shared" si="212"/>
        <v>2031</v>
      </c>
      <c r="T394" s="11">
        <f t="shared" si="212"/>
        <v>2032</v>
      </c>
      <c r="U394" s="11">
        <f t="shared" si="212"/>
        <v>2033</v>
      </c>
      <c r="V394" s="11">
        <f t="shared" si="212"/>
        <v>2034</v>
      </c>
      <c r="W394" s="11">
        <f t="shared" si="212"/>
        <v>2035</v>
      </c>
      <c r="X394" s="11">
        <f t="shared" si="212"/>
        <v>2036</v>
      </c>
      <c r="AA394" s="254"/>
      <c r="AB394" s="254"/>
      <c r="AC394" s="254"/>
      <c r="AD394" s="254"/>
      <c r="AE394" s="254"/>
      <c r="AF394" s="254"/>
      <c r="AG394" s="254"/>
      <c r="AH394" s="254"/>
      <c r="AI394" s="254"/>
      <c r="AJ394" s="254"/>
      <c r="AK394" s="254"/>
      <c r="AL394" s="254"/>
      <c r="AM394" s="254"/>
      <c r="AN394" s="254"/>
      <c r="AO394" s="254"/>
      <c r="AP394" s="254"/>
      <c r="AQ394" s="254"/>
      <c r="AR394" s="301"/>
    </row>
    <row r="395" spans="1:44" s="1" customFormat="1">
      <c r="AA395" s="254"/>
      <c r="AB395" s="254"/>
      <c r="AC395" s="254"/>
      <c r="AD395" s="254"/>
      <c r="AE395" s="254"/>
      <c r="AF395" s="254"/>
      <c r="AG395" s="254"/>
      <c r="AH395" s="254"/>
      <c r="AI395" s="254"/>
      <c r="AJ395" s="254"/>
      <c r="AK395" s="254"/>
      <c r="AL395" s="254"/>
      <c r="AM395" s="254"/>
      <c r="AN395" s="254"/>
      <c r="AO395" s="254"/>
      <c r="AP395" s="254"/>
      <c r="AQ395" s="254"/>
      <c r="AR395" s="301"/>
    </row>
    <row r="396" spans="1:44" s="1" customFormat="1" ht="15.6">
      <c r="A396" s="29" t="s">
        <v>247</v>
      </c>
      <c r="F396" s="10" t="s">
        <v>6</v>
      </c>
      <c r="H396" s="14">
        <f>+$Z$12+366</f>
        <v>44196</v>
      </c>
      <c r="I396" s="14">
        <f>+H396+365</f>
        <v>44561</v>
      </c>
      <c r="J396" s="14">
        <f>+I396+365</f>
        <v>44926</v>
      </c>
      <c r="K396" s="14">
        <f>+J396+365</f>
        <v>45291</v>
      </c>
      <c r="L396" s="14">
        <f>+K396+366</f>
        <v>45657</v>
      </c>
      <c r="M396" s="14">
        <f>+L396+365</f>
        <v>46022</v>
      </c>
      <c r="N396" s="14">
        <f>+M396+365</f>
        <v>46387</v>
      </c>
      <c r="O396" s="14">
        <f>+N396+365</f>
        <v>46752</v>
      </c>
      <c r="P396" s="14">
        <f>+O396+366</f>
        <v>47118</v>
      </c>
      <c r="Q396" s="14">
        <f>+P396+365</f>
        <v>47483</v>
      </c>
      <c r="R396" s="14">
        <f>+Q396+365</f>
        <v>47848</v>
      </c>
      <c r="S396" s="14">
        <f>+R396+365</f>
        <v>48213</v>
      </c>
      <c r="T396" s="14">
        <f>+S396+366</f>
        <v>48579</v>
      </c>
      <c r="U396" s="14">
        <f>+T396+365</f>
        <v>48944</v>
      </c>
      <c r="V396" s="14">
        <f>+U396+365</f>
        <v>49309</v>
      </c>
      <c r="W396" s="14">
        <f>+V396+365</f>
        <v>49674</v>
      </c>
      <c r="X396" s="14">
        <f>+W396+366</f>
        <v>50040</v>
      </c>
      <c r="Y396" s="14"/>
      <c r="Z396" s="14"/>
      <c r="AA396" s="255"/>
      <c r="AB396" s="254"/>
      <c r="AC396" s="254"/>
      <c r="AD396" s="254"/>
      <c r="AE396" s="254"/>
      <c r="AF396" s="254"/>
      <c r="AG396" s="254"/>
      <c r="AH396" s="254"/>
      <c r="AI396" s="254"/>
      <c r="AJ396" s="254"/>
      <c r="AK396" s="254"/>
      <c r="AL396" s="254"/>
      <c r="AM396" s="254"/>
      <c r="AN396" s="254"/>
      <c r="AO396" s="254"/>
      <c r="AP396" s="254"/>
      <c r="AQ396" s="254"/>
      <c r="AR396" s="301"/>
    </row>
    <row r="397" spans="1:44" s="1" customFormat="1">
      <c r="F397" s="10" t="s">
        <v>4</v>
      </c>
      <c r="H397" s="4">
        <f>+Z13+1</f>
        <v>20</v>
      </c>
      <c r="I397" s="4">
        <f t="shared" ref="I397:X397" si="213">+H397+1</f>
        <v>21</v>
      </c>
      <c r="J397" s="4">
        <f t="shared" si="213"/>
        <v>22</v>
      </c>
      <c r="K397" s="4">
        <f t="shared" si="213"/>
        <v>23</v>
      </c>
      <c r="L397" s="4">
        <f t="shared" si="213"/>
        <v>24</v>
      </c>
      <c r="M397" s="4">
        <f t="shared" si="213"/>
        <v>25</v>
      </c>
      <c r="N397" s="4">
        <f t="shared" si="213"/>
        <v>26</v>
      </c>
      <c r="O397" s="4">
        <f t="shared" si="213"/>
        <v>27</v>
      </c>
      <c r="P397" s="4">
        <f t="shared" si="213"/>
        <v>28</v>
      </c>
      <c r="Q397" s="4">
        <f t="shared" si="213"/>
        <v>29</v>
      </c>
      <c r="R397" s="4">
        <f t="shared" si="213"/>
        <v>30</v>
      </c>
      <c r="S397" s="4">
        <f t="shared" si="213"/>
        <v>31</v>
      </c>
      <c r="T397" s="4">
        <f t="shared" si="213"/>
        <v>32</v>
      </c>
      <c r="U397" s="4">
        <f t="shared" si="213"/>
        <v>33</v>
      </c>
      <c r="V397" s="4">
        <f t="shared" si="213"/>
        <v>34</v>
      </c>
      <c r="W397" s="4">
        <f t="shared" si="213"/>
        <v>35</v>
      </c>
      <c r="X397" s="4">
        <f t="shared" si="213"/>
        <v>36</v>
      </c>
      <c r="AA397" s="254"/>
      <c r="AB397" s="254"/>
      <c r="AC397" s="254"/>
      <c r="AD397" s="254"/>
      <c r="AE397" s="254"/>
      <c r="AF397" s="254"/>
      <c r="AG397" s="254"/>
      <c r="AH397" s="254"/>
      <c r="AI397" s="254"/>
      <c r="AJ397" s="254"/>
      <c r="AK397" s="254"/>
      <c r="AL397" s="254"/>
      <c r="AM397" s="254"/>
      <c r="AN397" s="254"/>
      <c r="AO397" s="254"/>
      <c r="AP397" s="254"/>
      <c r="AQ397" s="254"/>
      <c r="AR397" s="301"/>
    </row>
    <row r="398" spans="1:44" s="1" customFormat="1">
      <c r="F398" s="10" t="s">
        <v>5</v>
      </c>
      <c r="H398" s="5">
        <f t="shared" ref="H398:X398" si="214">1/(1+$E$16)^H$397</f>
        <v>0.29745496716483116</v>
      </c>
      <c r="I398" s="5">
        <f t="shared" si="214"/>
        <v>0.27995761615513515</v>
      </c>
      <c r="J398" s="5">
        <f t="shared" si="214"/>
        <v>0.26348952108718604</v>
      </c>
      <c r="K398" s="5">
        <f t="shared" si="214"/>
        <v>0.2479901374938222</v>
      </c>
      <c r="L398" s="5">
        <f t="shared" si="214"/>
        <v>0.23340248234712674</v>
      </c>
      <c r="M398" s="5">
        <f t="shared" si="214"/>
        <v>0.21967292456200166</v>
      </c>
      <c r="N398" s="5">
        <f t="shared" si="214"/>
        <v>0.20675098782306039</v>
      </c>
      <c r="O398" s="5">
        <f t="shared" si="214"/>
        <v>0.19458916500993917</v>
      </c>
      <c r="P398" s="5">
        <f t="shared" si="214"/>
        <v>0.18314274353876628</v>
      </c>
      <c r="Q398" s="5">
        <f t="shared" si="214"/>
        <v>0.17236964097766239</v>
      </c>
      <c r="R398" s="5">
        <f t="shared" si="214"/>
        <v>0.16223025033191754</v>
      </c>
      <c r="S398" s="5">
        <f t="shared" si="214"/>
        <v>0.15268729443004003</v>
      </c>
      <c r="T398" s="5">
        <f t="shared" si="214"/>
        <v>0.14370568887533181</v>
      </c>
      <c r="U398" s="5">
        <f t="shared" si="214"/>
        <v>0.1352524130591358</v>
      </c>
      <c r="V398" s="5">
        <f t="shared" si="214"/>
        <v>0.12729638876153959</v>
      </c>
      <c r="W398" s="5">
        <f t="shared" si="214"/>
        <v>0.11980836589321374</v>
      </c>
      <c r="X398" s="5">
        <f t="shared" si="214"/>
        <v>0.1127608149583188</v>
      </c>
      <c r="AA398" s="254"/>
      <c r="AB398" s="254"/>
      <c r="AC398" s="254"/>
      <c r="AD398" s="254"/>
      <c r="AE398" s="254"/>
      <c r="AF398" s="254"/>
      <c r="AG398" s="254"/>
      <c r="AH398" s="254"/>
      <c r="AI398" s="254"/>
      <c r="AJ398" s="254"/>
      <c r="AK398" s="254"/>
      <c r="AL398" s="254"/>
      <c r="AM398" s="254"/>
      <c r="AN398" s="254"/>
      <c r="AO398" s="254"/>
      <c r="AP398" s="254"/>
      <c r="AQ398" s="254"/>
      <c r="AR398" s="301"/>
    </row>
    <row r="399" spans="1:44" s="1" customFormat="1">
      <c r="F399" s="41"/>
      <c r="AA399" s="254"/>
      <c r="AB399" s="254"/>
      <c r="AC399" s="254"/>
      <c r="AD399" s="254"/>
      <c r="AE399" s="254"/>
      <c r="AF399" s="254"/>
      <c r="AG399" s="254"/>
      <c r="AH399" s="254"/>
      <c r="AI399" s="254"/>
      <c r="AJ399" s="254"/>
      <c r="AK399" s="254"/>
      <c r="AL399" s="254"/>
      <c r="AM399" s="254"/>
      <c r="AN399" s="254"/>
      <c r="AO399" s="254"/>
      <c r="AP399" s="254"/>
      <c r="AQ399" s="254"/>
      <c r="AR399" s="301"/>
    </row>
    <row r="400" spans="1:44" s="1" customFormat="1">
      <c r="F400" s="41"/>
      <c r="AA400" s="254"/>
      <c r="AB400" s="254"/>
      <c r="AC400" s="254"/>
      <c r="AD400" s="254"/>
      <c r="AE400" s="254"/>
      <c r="AF400" s="254"/>
      <c r="AG400" s="254"/>
      <c r="AH400" s="254"/>
      <c r="AI400" s="254"/>
      <c r="AJ400" s="254"/>
      <c r="AK400" s="254"/>
      <c r="AL400" s="254"/>
      <c r="AM400" s="254"/>
      <c r="AN400" s="254"/>
      <c r="AO400" s="254"/>
      <c r="AP400" s="254"/>
      <c r="AQ400" s="254"/>
      <c r="AR400" s="301"/>
    </row>
    <row r="401" spans="1:44" s="1" customFormat="1">
      <c r="A401" s="13"/>
      <c r="E401" s="41"/>
      <c r="F401" s="41"/>
      <c r="AA401" s="254"/>
      <c r="AB401" s="254"/>
      <c r="AC401" s="254"/>
      <c r="AD401" s="254"/>
      <c r="AE401" s="254"/>
      <c r="AF401" s="254"/>
      <c r="AG401" s="254"/>
      <c r="AH401" s="254"/>
      <c r="AI401" s="254"/>
      <c r="AJ401" s="254"/>
      <c r="AK401" s="254"/>
      <c r="AL401" s="254"/>
      <c r="AM401" s="254"/>
      <c r="AN401" s="254"/>
      <c r="AO401" s="254"/>
      <c r="AP401" s="254"/>
      <c r="AQ401" s="254"/>
      <c r="AR401" s="301"/>
    </row>
    <row r="402" spans="1:44" s="1" customFormat="1">
      <c r="B402" s="16" t="s">
        <v>32</v>
      </c>
      <c r="H402" s="101">
        <v>8784</v>
      </c>
      <c r="I402" s="101">
        <v>8760</v>
      </c>
      <c r="J402" s="101">
        <v>8760</v>
      </c>
      <c r="K402" s="101">
        <v>8760</v>
      </c>
      <c r="L402" s="101">
        <v>8784</v>
      </c>
      <c r="M402" s="101">
        <v>8760</v>
      </c>
      <c r="N402" s="101">
        <v>8760</v>
      </c>
      <c r="O402" s="101">
        <v>8760</v>
      </c>
      <c r="P402" s="101">
        <v>8784</v>
      </c>
      <c r="Q402" s="101">
        <v>8760</v>
      </c>
      <c r="R402" s="101">
        <v>8760</v>
      </c>
      <c r="S402" s="101">
        <v>8760</v>
      </c>
      <c r="T402" s="101">
        <v>8784</v>
      </c>
      <c r="U402" s="101">
        <v>8760</v>
      </c>
      <c r="V402" s="101">
        <v>8760</v>
      </c>
      <c r="W402" s="101">
        <v>8760</v>
      </c>
      <c r="X402" s="101">
        <v>8784</v>
      </c>
      <c r="AA402" s="254"/>
      <c r="AB402" s="254"/>
      <c r="AC402" s="254"/>
      <c r="AD402" s="254"/>
      <c r="AE402" s="254"/>
      <c r="AF402" s="254"/>
      <c r="AG402" s="254"/>
      <c r="AH402" s="254"/>
      <c r="AI402" s="254"/>
      <c r="AJ402" s="254"/>
      <c r="AK402" s="254"/>
      <c r="AL402" s="254"/>
      <c r="AM402" s="254"/>
      <c r="AN402" s="254"/>
      <c r="AO402" s="254"/>
      <c r="AP402" s="254"/>
      <c r="AQ402" s="254"/>
      <c r="AR402" s="301"/>
    </row>
    <row r="403" spans="1:44" s="1" customFormat="1">
      <c r="B403" s="13"/>
      <c r="E403" s="41"/>
      <c r="F403" s="41"/>
      <c r="AA403" s="254"/>
      <c r="AB403" s="254"/>
      <c r="AC403" s="254"/>
      <c r="AD403" s="254"/>
      <c r="AE403" s="254"/>
      <c r="AF403" s="254"/>
      <c r="AG403" s="254"/>
      <c r="AH403" s="254"/>
      <c r="AI403" s="254"/>
      <c r="AJ403" s="254"/>
      <c r="AK403" s="254"/>
      <c r="AL403" s="254"/>
      <c r="AM403" s="254"/>
      <c r="AN403" s="254"/>
      <c r="AO403" s="254"/>
      <c r="AP403" s="254"/>
      <c r="AQ403" s="254"/>
      <c r="AR403" s="301"/>
    </row>
    <row r="404" spans="1:44" s="1" customFormat="1">
      <c r="B404" s="16" t="s">
        <v>34</v>
      </c>
      <c r="AA404" s="254"/>
      <c r="AB404" s="254"/>
      <c r="AC404" s="254"/>
      <c r="AD404" s="254"/>
      <c r="AE404" s="254"/>
      <c r="AF404" s="254"/>
      <c r="AG404" s="254"/>
      <c r="AH404" s="254"/>
      <c r="AI404" s="254"/>
      <c r="AJ404" s="254"/>
      <c r="AK404" s="254"/>
      <c r="AL404" s="254"/>
      <c r="AM404" s="254"/>
      <c r="AN404" s="254"/>
      <c r="AO404" s="254"/>
      <c r="AP404" s="254"/>
      <c r="AQ404" s="254"/>
      <c r="AR404" s="301"/>
    </row>
    <row r="405" spans="1:44" s="1" customFormat="1">
      <c r="B405" s="13" t="s">
        <v>31</v>
      </c>
      <c r="H405" s="101">
        <v>258000</v>
      </c>
      <c r="I405" s="101">
        <v>258000</v>
      </c>
      <c r="J405" s="101">
        <v>258000</v>
      </c>
      <c r="K405" s="101">
        <v>258000</v>
      </c>
      <c r="L405" s="101">
        <v>258000</v>
      </c>
      <c r="M405" s="101">
        <v>258000</v>
      </c>
      <c r="N405" s="101">
        <v>258000</v>
      </c>
      <c r="O405" s="101">
        <v>258000</v>
      </c>
      <c r="P405" s="101">
        <v>258000</v>
      </c>
      <c r="Q405" s="101">
        <v>258000</v>
      </c>
      <c r="R405" s="101">
        <v>258000</v>
      </c>
      <c r="S405" s="101">
        <v>258000</v>
      </c>
      <c r="T405" s="101">
        <v>258000</v>
      </c>
      <c r="U405" s="101">
        <v>258000</v>
      </c>
      <c r="V405" s="101">
        <v>258000</v>
      </c>
      <c r="W405" s="101">
        <v>258000</v>
      </c>
      <c r="X405" s="101">
        <v>258000</v>
      </c>
      <c r="AA405" s="254"/>
      <c r="AB405" s="254"/>
      <c r="AC405" s="254"/>
      <c r="AD405" s="254"/>
      <c r="AE405" s="254"/>
      <c r="AF405" s="254"/>
      <c r="AG405" s="254"/>
      <c r="AH405" s="254"/>
      <c r="AI405" s="254"/>
      <c r="AJ405" s="254"/>
      <c r="AK405" s="254"/>
      <c r="AL405" s="254"/>
      <c r="AM405" s="254"/>
      <c r="AN405" s="254"/>
      <c r="AO405" s="254"/>
      <c r="AP405" s="254"/>
      <c r="AQ405" s="254"/>
      <c r="AR405" s="301"/>
    </row>
    <row r="406" spans="1:44" s="1" customFormat="1">
      <c r="B406" s="13" t="s">
        <v>35</v>
      </c>
      <c r="H406" s="241">
        <f>+Z24</f>
        <v>0.86</v>
      </c>
      <c r="I406" s="241">
        <f>+H406</f>
        <v>0.86</v>
      </c>
      <c r="J406" s="241">
        <f t="shared" ref="J406:X406" si="215">+I406</f>
        <v>0.86</v>
      </c>
      <c r="K406" s="241">
        <f t="shared" si="215"/>
        <v>0.86</v>
      </c>
      <c r="L406" s="241">
        <f t="shared" si="215"/>
        <v>0.86</v>
      </c>
      <c r="M406" s="241">
        <f t="shared" si="215"/>
        <v>0.86</v>
      </c>
      <c r="N406" s="241">
        <f t="shared" si="215"/>
        <v>0.86</v>
      </c>
      <c r="O406" s="241">
        <f t="shared" si="215"/>
        <v>0.86</v>
      </c>
      <c r="P406" s="241">
        <f t="shared" si="215"/>
        <v>0.86</v>
      </c>
      <c r="Q406" s="241">
        <f t="shared" si="215"/>
        <v>0.86</v>
      </c>
      <c r="R406" s="241">
        <f t="shared" si="215"/>
        <v>0.86</v>
      </c>
      <c r="S406" s="241">
        <f t="shared" si="215"/>
        <v>0.86</v>
      </c>
      <c r="T406" s="241">
        <f t="shared" si="215"/>
        <v>0.86</v>
      </c>
      <c r="U406" s="241">
        <f t="shared" si="215"/>
        <v>0.86</v>
      </c>
      <c r="V406" s="241">
        <f t="shared" si="215"/>
        <v>0.86</v>
      </c>
      <c r="W406" s="241">
        <f t="shared" si="215"/>
        <v>0.86</v>
      </c>
      <c r="X406" s="241">
        <f t="shared" si="215"/>
        <v>0.86</v>
      </c>
      <c r="AA406" s="254"/>
      <c r="AB406" s="254"/>
      <c r="AC406" s="254"/>
      <c r="AD406" s="254"/>
      <c r="AE406" s="254"/>
      <c r="AF406" s="254"/>
      <c r="AG406" s="254"/>
      <c r="AH406" s="254"/>
      <c r="AI406" s="254"/>
      <c r="AJ406" s="254"/>
      <c r="AK406" s="254"/>
      <c r="AL406" s="254"/>
      <c r="AM406" s="254"/>
      <c r="AN406" s="254"/>
      <c r="AO406" s="254"/>
      <c r="AP406" s="254"/>
      <c r="AQ406" s="254"/>
      <c r="AR406" s="301"/>
    </row>
    <row r="407" spans="1:44" s="1" customFormat="1">
      <c r="B407" s="13" t="s">
        <v>33</v>
      </c>
      <c r="G407" s="77" t="s">
        <v>67</v>
      </c>
      <c r="H407" s="46">
        <f t="shared" ref="H407:X407" si="216">+H402*H405*H406/1000</f>
        <v>1948993.92</v>
      </c>
      <c r="I407" s="46">
        <f t="shared" si="216"/>
        <v>1943668.8</v>
      </c>
      <c r="J407" s="46">
        <f t="shared" si="216"/>
        <v>1943668.8</v>
      </c>
      <c r="K407" s="46">
        <f t="shared" si="216"/>
        <v>1943668.8</v>
      </c>
      <c r="L407" s="46">
        <f t="shared" si="216"/>
        <v>1948993.92</v>
      </c>
      <c r="M407" s="46">
        <f t="shared" si="216"/>
        <v>1943668.8</v>
      </c>
      <c r="N407" s="46">
        <f t="shared" si="216"/>
        <v>1943668.8</v>
      </c>
      <c r="O407" s="46">
        <f t="shared" si="216"/>
        <v>1943668.8</v>
      </c>
      <c r="P407" s="46">
        <f t="shared" si="216"/>
        <v>1948993.92</v>
      </c>
      <c r="Q407" s="46">
        <f t="shared" si="216"/>
        <v>1943668.8</v>
      </c>
      <c r="R407" s="46">
        <f t="shared" si="216"/>
        <v>1943668.8</v>
      </c>
      <c r="S407" s="46">
        <f t="shared" si="216"/>
        <v>1943668.8</v>
      </c>
      <c r="T407" s="46">
        <f t="shared" si="216"/>
        <v>1948993.92</v>
      </c>
      <c r="U407" s="46">
        <f t="shared" si="216"/>
        <v>1943668.8</v>
      </c>
      <c r="V407" s="46">
        <f t="shared" si="216"/>
        <v>1943668.8</v>
      </c>
      <c r="W407" s="46">
        <f t="shared" si="216"/>
        <v>1943668.8</v>
      </c>
      <c r="X407" s="46">
        <f t="shared" si="216"/>
        <v>1948993.92</v>
      </c>
      <c r="AA407" s="254"/>
      <c r="AB407" s="254"/>
      <c r="AC407" s="254"/>
      <c r="AD407" s="254"/>
      <c r="AE407" s="254"/>
      <c r="AF407" s="254"/>
      <c r="AG407" s="254"/>
      <c r="AH407" s="254"/>
      <c r="AI407" s="254"/>
      <c r="AJ407" s="254"/>
      <c r="AK407" s="254"/>
      <c r="AL407" s="254"/>
      <c r="AM407" s="254"/>
      <c r="AN407" s="254"/>
      <c r="AO407" s="254"/>
      <c r="AP407" s="254"/>
      <c r="AQ407" s="254"/>
      <c r="AR407" s="301"/>
    </row>
    <row r="408" spans="1:44" s="1" customFormat="1">
      <c r="A408" s="13"/>
      <c r="AA408" s="254"/>
      <c r="AB408" s="254"/>
      <c r="AC408" s="254"/>
      <c r="AD408" s="254"/>
      <c r="AE408" s="254"/>
      <c r="AF408" s="254"/>
      <c r="AG408" s="254"/>
      <c r="AH408" s="254"/>
      <c r="AI408" s="254"/>
      <c r="AJ408" s="254"/>
      <c r="AK408" s="254"/>
      <c r="AL408" s="254"/>
      <c r="AM408" s="254"/>
      <c r="AN408" s="254"/>
      <c r="AO408" s="254"/>
      <c r="AP408" s="254"/>
      <c r="AQ408" s="254"/>
      <c r="AR408" s="301"/>
    </row>
    <row r="409" spans="1:44" s="1" customFormat="1">
      <c r="A409" s="16"/>
      <c r="B409" s="16" t="s">
        <v>173</v>
      </c>
      <c r="C409" s="13"/>
      <c r="D409" s="13"/>
      <c r="E409" s="13"/>
      <c r="N409" s="63"/>
      <c r="AA409" s="254"/>
      <c r="AB409" s="254"/>
      <c r="AC409" s="254"/>
      <c r="AD409" s="254"/>
      <c r="AE409" s="254"/>
      <c r="AF409" s="254"/>
      <c r="AG409" s="254"/>
      <c r="AH409" s="254"/>
      <c r="AI409" s="254"/>
      <c r="AJ409" s="254"/>
      <c r="AK409" s="254"/>
      <c r="AL409" s="254"/>
      <c r="AM409" s="254"/>
      <c r="AN409" s="254"/>
      <c r="AO409" s="254"/>
      <c r="AP409" s="254"/>
      <c r="AQ409" s="254"/>
      <c r="AR409" s="301"/>
    </row>
    <row r="410" spans="1:44" s="1" customFormat="1">
      <c r="A410" s="16"/>
      <c r="B410" s="13" t="s">
        <v>31</v>
      </c>
      <c r="C410" s="13"/>
      <c r="D410" s="13"/>
      <c r="E410" s="13"/>
      <c r="G410" s="77" t="s">
        <v>66</v>
      </c>
      <c r="H410" s="31">
        <f>+H405</f>
        <v>258000</v>
      </c>
      <c r="I410" s="31">
        <f t="shared" ref="I410:X410" si="217">+I405</f>
        <v>258000</v>
      </c>
      <c r="J410" s="31">
        <f t="shared" si="217"/>
        <v>258000</v>
      </c>
      <c r="K410" s="31">
        <f t="shared" si="217"/>
        <v>258000</v>
      </c>
      <c r="L410" s="31">
        <f t="shared" si="217"/>
        <v>258000</v>
      </c>
      <c r="M410" s="31">
        <f t="shared" si="217"/>
        <v>258000</v>
      </c>
      <c r="N410" s="31">
        <f t="shared" si="217"/>
        <v>258000</v>
      </c>
      <c r="O410" s="31">
        <f t="shared" si="217"/>
        <v>258000</v>
      </c>
      <c r="P410" s="31">
        <f t="shared" si="217"/>
        <v>258000</v>
      </c>
      <c r="Q410" s="31">
        <f t="shared" si="217"/>
        <v>258000</v>
      </c>
      <c r="R410" s="31">
        <f t="shared" si="217"/>
        <v>258000</v>
      </c>
      <c r="S410" s="31">
        <f t="shared" si="217"/>
        <v>258000</v>
      </c>
      <c r="T410" s="31">
        <f t="shared" si="217"/>
        <v>258000</v>
      </c>
      <c r="U410" s="31">
        <f t="shared" si="217"/>
        <v>258000</v>
      </c>
      <c r="V410" s="31">
        <f t="shared" si="217"/>
        <v>258000</v>
      </c>
      <c r="W410" s="31">
        <f t="shared" si="217"/>
        <v>258000</v>
      </c>
      <c r="X410" s="31">
        <f t="shared" si="217"/>
        <v>258000</v>
      </c>
      <c r="AA410" s="254"/>
      <c r="AB410" s="254"/>
      <c r="AC410" s="254"/>
      <c r="AD410" s="254"/>
      <c r="AE410" s="254"/>
      <c r="AF410" s="254"/>
      <c r="AG410" s="254"/>
      <c r="AH410" s="254"/>
      <c r="AI410" s="254"/>
      <c r="AJ410" s="254"/>
      <c r="AK410" s="254"/>
      <c r="AL410" s="254"/>
      <c r="AM410" s="254"/>
      <c r="AN410" s="254"/>
      <c r="AO410" s="254"/>
      <c r="AP410" s="254"/>
      <c r="AQ410" s="254"/>
      <c r="AR410" s="301"/>
    </row>
    <row r="411" spans="1:44" s="1" customFormat="1" ht="13.8" thickBot="1">
      <c r="A411" s="16"/>
      <c r="B411" s="13" t="s">
        <v>64</v>
      </c>
      <c r="C411" s="13"/>
      <c r="D411" s="13"/>
      <c r="E411" s="13"/>
      <c r="G411" s="77" t="s">
        <v>175</v>
      </c>
      <c r="H411" s="104">
        <v>0.5</v>
      </c>
      <c r="I411" s="104">
        <v>0.5</v>
      </c>
      <c r="J411" s="104">
        <v>0.5</v>
      </c>
      <c r="K411" s="104">
        <v>0.5</v>
      </c>
      <c r="L411" s="104">
        <v>0.5</v>
      </c>
      <c r="M411" s="104">
        <v>0.5</v>
      </c>
      <c r="N411" s="104">
        <v>0.5</v>
      </c>
      <c r="O411" s="104">
        <v>0.5</v>
      </c>
      <c r="P411" s="104">
        <v>0.5</v>
      </c>
      <c r="Q411" s="104">
        <v>0.5</v>
      </c>
      <c r="R411" s="104">
        <v>0.5</v>
      </c>
      <c r="S411" s="104">
        <v>0.5</v>
      </c>
      <c r="T411" s="104">
        <v>0.5</v>
      </c>
      <c r="U411" s="104">
        <v>0.5</v>
      </c>
      <c r="V411" s="104">
        <v>0.5</v>
      </c>
      <c r="W411" s="104">
        <v>0.5</v>
      </c>
      <c r="X411" s="104">
        <v>0.5</v>
      </c>
      <c r="AA411" s="254"/>
      <c r="AB411" s="254"/>
      <c r="AC411" s="254"/>
      <c r="AD411" s="254"/>
      <c r="AE411" s="254"/>
      <c r="AF411" s="254"/>
      <c r="AG411" s="254"/>
      <c r="AH411" s="254"/>
      <c r="AI411" s="254"/>
      <c r="AJ411" s="254"/>
      <c r="AK411" s="254"/>
      <c r="AL411" s="254"/>
      <c r="AM411" s="254"/>
      <c r="AN411" s="254"/>
      <c r="AO411" s="254"/>
      <c r="AP411" s="254"/>
      <c r="AQ411" s="254"/>
      <c r="AR411" s="301"/>
    </row>
    <row r="412" spans="1:44" s="1" customFormat="1" ht="13.8" thickBot="1">
      <c r="A412" s="13"/>
      <c r="B412" s="13" t="s">
        <v>15</v>
      </c>
      <c r="C412" s="13"/>
      <c r="D412" s="13"/>
      <c r="E412" s="13"/>
      <c r="H412" s="219">
        <f>+H410*H411*0.012</f>
        <v>1548</v>
      </c>
      <c r="I412" s="220">
        <f t="shared" ref="I412:X412" si="218">+I410*I411*0.012</f>
        <v>1548</v>
      </c>
      <c r="J412" s="220">
        <f t="shared" si="218"/>
        <v>1548</v>
      </c>
      <c r="K412" s="220">
        <f t="shared" si="218"/>
        <v>1548</v>
      </c>
      <c r="L412" s="220">
        <f t="shared" si="218"/>
        <v>1548</v>
      </c>
      <c r="M412" s="220">
        <f t="shared" si="218"/>
        <v>1548</v>
      </c>
      <c r="N412" s="220">
        <f t="shared" si="218"/>
        <v>1548</v>
      </c>
      <c r="O412" s="220">
        <f t="shared" si="218"/>
        <v>1548</v>
      </c>
      <c r="P412" s="220">
        <f t="shared" si="218"/>
        <v>1548</v>
      </c>
      <c r="Q412" s="220">
        <f t="shared" si="218"/>
        <v>1548</v>
      </c>
      <c r="R412" s="220">
        <f t="shared" si="218"/>
        <v>1548</v>
      </c>
      <c r="S412" s="220">
        <f t="shared" si="218"/>
        <v>1548</v>
      </c>
      <c r="T412" s="220">
        <f t="shared" si="218"/>
        <v>1548</v>
      </c>
      <c r="U412" s="220">
        <f t="shared" si="218"/>
        <v>1548</v>
      </c>
      <c r="V412" s="220">
        <f t="shared" si="218"/>
        <v>1548</v>
      </c>
      <c r="W412" s="220">
        <f t="shared" si="218"/>
        <v>1548</v>
      </c>
      <c r="X412" s="221">
        <f t="shared" si="218"/>
        <v>1548</v>
      </c>
      <c r="AA412" s="254"/>
      <c r="AB412" s="254"/>
      <c r="AC412" s="254"/>
      <c r="AD412" s="254"/>
      <c r="AE412" s="254"/>
      <c r="AF412" s="254"/>
      <c r="AG412" s="254"/>
      <c r="AH412" s="254"/>
      <c r="AI412" s="254"/>
      <c r="AJ412" s="254"/>
      <c r="AK412" s="254"/>
      <c r="AL412" s="254"/>
      <c r="AM412" s="254"/>
      <c r="AN412" s="254"/>
      <c r="AO412" s="254"/>
      <c r="AP412" s="254"/>
      <c r="AQ412" s="254"/>
      <c r="AR412" s="301"/>
    </row>
    <row r="413" spans="1:44" s="1" customFormat="1" ht="13.8" thickBot="1">
      <c r="A413" s="13"/>
      <c r="B413" s="350" t="str">
        <f>CONCATENATE("NPV ",+$E$16*100," of Cf to Term (2036)")</f>
        <v>NPV 6.25 of Cf to Term (2036)</v>
      </c>
      <c r="C413" s="13"/>
      <c r="D413" s="81"/>
      <c r="E413" s="13"/>
      <c r="G413" s="239">
        <f>SUMPRODUCT(H$398:X$398,H412:X412)</f>
        <v>5034.9650510220563</v>
      </c>
      <c r="AA413" s="254"/>
      <c r="AB413" s="254"/>
      <c r="AC413" s="254"/>
      <c r="AD413" s="254"/>
      <c r="AE413" s="254"/>
      <c r="AF413" s="254"/>
      <c r="AG413" s="254"/>
      <c r="AH413" s="254"/>
      <c r="AI413" s="254"/>
      <c r="AJ413" s="254"/>
      <c r="AK413" s="254"/>
      <c r="AL413" s="254"/>
      <c r="AM413" s="254"/>
      <c r="AN413" s="254"/>
      <c r="AO413" s="254"/>
      <c r="AP413" s="254"/>
      <c r="AQ413" s="254"/>
      <c r="AR413" s="301"/>
    </row>
    <row r="414" spans="1:44" s="1" customFormat="1"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78"/>
      <c r="AB414" s="278"/>
      <c r="AC414" s="278"/>
      <c r="AD414" s="278"/>
      <c r="AE414" s="278"/>
      <c r="AF414" s="278"/>
      <c r="AG414" s="278"/>
      <c r="AH414" s="278"/>
      <c r="AI414" s="278"/>
      <c r="AJ414" s="278"/>
      <c r="AK414" s="278"/>
      <c r="AL414" s="254"/>
      <c r="AM414" s="254"/>
      <c r="AN414" s="254"/>
      <c r="AO414" s="254"/>
      <c r="AP414" s="254"/>
      <c r="AQ414" s="254"/>
      <c r="AR414" s="301"/>
    </row>
    <row r="415" spans="1:44" s="1" customFormat="1"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78"/>
      <c r="AB415" s="278"/>
      <c r="AC415" s="278"/>
      <c r="AD415" s="278"/>
      <c r="AE415" s="278"/>
      <c r="AF415" s="278"/>
      <c r="AG415" s="278"/>
      <c r="AH415" s="278"/>
      <c r="AI415" s="278"/>
      <c r="AJ415" s="278"/>
      <c r="AK415" s="278"/>
      <c r="AL415" s="254"/>
      <c r="AM415" s="254"/>
      <c r="AN415" s="254"/>
      <c r="AO415" s="254"/>
      <c r="AP415" s="254"/>
      <c r="AQ415" s="254"/>
      <c r="AR415" s="301"/>
    </row>
    <row r="416" spans="1:44" s="1" customFormat="1">
      <c r="B416" s="16" t="s">
        <v>174</v>
      </c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78"/>
      <c r="AB416" s="278"/>
      <c r="AC416" s="278"/>
      <c r="AD416" s="278"/>
      <c r="AE416" s="278"/>
      <c r="AF416" s="278"/>
      <c r="AG416" s="278"/>
      <c r="AH416" s="278"/>
      <c r="AI416" s="278"/>
      <c r="AJ416" s="278"/>
      <c r="AK416" s="278"/>
      <c r="AL416" s="254"/>
      <c r="AM416" s="254"/>
      <c r="AN416" s="254"/>
      <c r="AO416" s="254"/>
      <c r="AP416" s="254"/>
      <c r="AQ416" s="254"/>
      <c r="AR416" s="301"/>
    </row>
    <row r="417" spans="1:44" s="1" customFormat="1">
      <c r="B417" s="33" t="s">
        <v>166</v>
      </c>
      <c r="D417" s="13"/>
      <c r="E417" s="13"/>
      <c r="G417" s="73" t="s">
        <v>71</v>
      </c>
      <c r="H417" s="242">
        <f>+Z80*1.05</f>
        <v>0.123510018822172</v>
      </c>
      <c r="I417" s="242">
        <f>+H417*1.05</f>
        <v>0.1296855197632806</v>
      </c>
      <c r="J417" s="242">
        <f t="shared" ref="J417:X417" si="219">+I417*1.05</f>
        <v>0.13616979575144464</v>
      </c>
      <c r="K417" s="242">
        <f t="shared" si="219"/>
        <v>0.14297828553901687</v>
      </c>
      <c r="L417" s="242">
        <f t="shared" si="219"/>
        <v>0.15012719981596773</v>
      </c>
      <c r="M417" s="242">
        <f t="shared" si="219"/>
        <v>0.15763355980676613</v>
      </c>
      <c r="N417" s="242">
        <f t="shared" si="219"/>
        <v>0.16551523779710445</v>
      </c>
      <c r="O417" s="242">
        <f t="shared" si="219"/>
        <v>0.17379099968695969</v>
      </c>
      <c r="P417" s="242">
        <f t="shared" si="219"/>
        <v>0.18248054967130767</v>
      </c>
      <c r="Q417" s="242">
        <f t="shared" si="219"/>
        <v>0.19160457715487306</v>
      </c>
      <c r="R417" s="242">
        <f t="shared" si="219"/>
        <v>0.20118480601261671</v>
      </c>
      <c r="S417" s="242">
        <f t="shared" si="219"/>
        <v>0.21124404631324756</v>
      </c>
      <c r="T417" s="242">
        <f t="shared" si="219"/>
        <v>0.22180624862890994</v>
      </c>
      <c r="U417" s="242">
        <f t="shared" si="219"/>
        <v>0.23289656106035544</v>
      </c>
      <c r="V417" s="242">
        <f t="shared" si="219"/>
        <v>0.24454138911337323</v>
      </c>
      <c r="W417" s="242">
        <f t="shared" si="219"/>
        <v>0.2567684585690419</v>
      </c>
      <c r="X417" s="242">
        <f t="shared" si="219"/>
        <v>0.26960688149749401</v>
      </c>
      <c r="Y417" s="25"/>
      <c r="Z417" s="25"/>
      <c r="AA417" s="278"/>
      <c r="AB417" s="278"/>
      <c r="AC417" s="278"/>
      <c r="AD417" s="278"/>
      <c r="AE417" s="278"/>
      <c r="AF417" s="278"/>
      <c r="AG417" s="278"/>
      <c r="AH417" s="278"/>
      <c r="AI417" s="278"/>
      <c r="AJ417" s="278"/>
      <c r="AK417" s="278"/>
      <c r="AL417" s="254"/>
      <c r="AM417" s="254"/>
      <c r="AN417" s="254"/>
      <c r="AO417" s="254"/>
      <c r="AP417" s="254"/>
      <c r="AQ417" s="254"/>
      <c r="AR417" s="301"/>
    </row>
    <row r="418" spans="1:44" s="1" customFormat="1" ht="13.8" thickBot="1">
      <c r="B418" s="33" t="s">
        <v>165</v>
      </c>
      <c r="D418" s="13"/>
      <c r="E418" s="13"/>
      <c r="G418" s="73" t="s">
        <v>71</v>
      </c>
      <c r="H418" s="361">
        <f>+AA115</f>
        <v>6.6676205503195446E-2</v>
      </c>
      <c r="I418" s="361">
        <f t="shared" ref="I418:X418" si="220">+AB115</f>
        <v>6.8493663645206801E-2</v>
      </c>
      <c r="J418" s="361">
        <f t="shared" si="220"/>
        <v>7.0360662010346256E-2</v>
      </c>
      <c r="K418" s="361">
        <f t="shared" si="220"/>
        <v>7.2278550964628221E-2</v>
      </c>
      <c r="L418" s="361">
        <f t="shared" si="220"/>
        <v>7.4248717682306092E-2</v>
      </c>
      <c r="M418" s="361">
        <f t="shared" si="220"/>
        <v>7.6272587149190232E-2</v>
      </c>
      <c r="N418" s="361">
        <f t="shared" si="220"/>
        <v>7.835162319331429E-2</v>
      </c>
      <c r="O418" s="361">
        <f t="shared" si="220"/>
        <v>8.048732954369546E-2</v>
      </c>
      <c r="P418" s="361">
        <f t="shared" si="220"/>
        <v>8.2681250917954377E-2</v>
      </c>
      <c r="Q418" s="361">
        <f t="shared" si="220"/>
        <v>8.4934974139581287E-2</v>
      </c>
      <c r="R418" s="361">
        <f t="shared" si="220"/>
        <v>8.7250129285656716E-2</v>
      </c>
      <c r="S418" s="361">
        <f t="shared" si="220"/>
        <v>8.9628390865856569E-2</v>
      </c>
      <c r="T418" s="361">
        <f t="shared" si="220"/>
        <v>9.2071479033594611E-2</v>
      </c>
      <c r="U418" s="361">
        <f t="shared" si="220"/>
        <v>9.4581160830178174E-2</v>
      </c>
      <c r="V418" s="361">
        <f t="shared" si="220"/>
        <v>9.715925146287703E-2</v>
      </c>
      <c r="W418" s="361">
        <f t="shared" si="220"/>
        <v>9.9807615617829901E-2</v>
      </c>
      <c r="X418" s="361">
        <f t="shared" si="220"/>
        <v>0.10252816880873802</v>
      </c>
      <c r="Y418" s="25"/>
      <c r="Z418" s="25"/>
      <c r="AA418" s="278"/>
      <c r="AB418" s="278"/>
      <c r="AC418" s="278"/>
      <c r="AD418" s="278"/>
      <c r="AE418" s="278"/>
      <c r="AF418" s="278"/>
      <c r="AG418" s="278"/>
      <c r="AH418" s="278"/>
      <c r="AI418" s="278"/>
      <c r="AJ418" s="278"/>
      <c r="AK418" s="278"/>
      <c r="AL418" s="254"/>
      <c r="AM418" s="254"/>
      <c r="AN418" s="254"/>
      <c r="AO418" s="254"/>
      <c r="AP418" s="254"/>
      <c r="AQ418" s="254"/>
      <c r="AR418" s="301"/>
    </row>
    <row r="419" spans="1:44" s="1" customFormat="1">
      <c r="B419" s="33" t="s">
        <v>168</v>
      </c>
      <c r="D419" s="13"/>
      <c r="E419" s="13"/>
      <c r="G419" s="73" t="s">
        <v>71</v>
      </c>
      <c r="H419" s="68">
        <f>SUM(H415:H418)</f>
        <v>0.19018622432536744</v>
      </c>
      <c r="I419" s="68">
        <f t="shared" ref="I419:X419" si="221">SUM(I415:I418)</f>
        <v>0.19817918340848739</v>
      </c>
      <c r="J419" s="68">
        <f t="shared" si="221"/>
        <v>0.20653045776179091</v>
      </c>
      <c r="K419" s="68">
        <f t="shared" si="221"/>
        <v>0.21525683650364508</v>
      </c>
      <c r="L419" s="68">
        <f t="shared" si="221"/>
        <v>0.22437591749827382</v>
      </c>
      <c r="M419" s="68">
        <f t="shared" si="221"/>
        <v>0.23390614695595635</v>
      </c>
      <c r="N419" s="68">
        <f t="shared" si="221"/>
        <v>0.24386686099041874</v>
      </c>
      <c r="O419" s="68">
        <f t="shared" si="221"/>
        <v>0.25427832923065513</v>
      </c>
      <c r="P419" s="68">
        <f t="shared" si="221"/>
        <v>0.26516180058926203</v>
      </c>
      <c r="Q419" s="68">
        <f t="shared" si="221"/>
        <v>0.27653955129445434</v>
      </c>
      <c r="R419" s="68">
        <f t="shared" si="221"/>
        <v>0.28843493529827341</v>
      </c>
      <c r="S419" s="68">
        <f t="shared" si="221"/>
        <v>0.30087243717910411</v>
      </c>
      <c r="T419" s="68">
        <f t="shared" si="221"/>
        <v>0.31387772766250455</v>
      </c>
      <c r="U419" s="68">
        <f t="shared" si="221"/>
        <v>0.32747772189053359</v>
      </c>
      <c r="V419" s="68">
        <f t="shared" si="221"/>
        <v>0.34170064057625027</v>
      </c>
      <c r="W419" s="68">
        <f t="shared" si="221"/>
        <v>0.35657607418687182</v>
      </c>
      <c r="X419" s="68">
        <f t="shared" si="221"/>
        <v>0.37213505030623206</v>
      </c>
      <c r="Y419" s="25"/>
      <c r="Z419" s="25"/>
      <c r="AA419" s="278"/>
      <c r="AB419" s="278"/>
      <c r="AC419" s="278"/>
      <c r="AD419" s="278"/>
      <c r="AE419" s="278"/>
      <c r="AF419" s="278"/>
      <c r="AG419" s="278"/>
      <c r="AH419" s="278"/>
      <c r="AI419" s="278"/>
      <c r="AJ419" s="278"/>
      <c r="AK419" s="278"/>
      <c r="AL419" s="254"/>
      <c r="AM419" s="254"/>
      <c r="AN419" s="254"/>
      <c r="AO419" s="254"/>
      <c r="AP419" s="254"/>
      <c r="AQ419" s="254"/>
      <c r="AR419" s="301"/>
    </row>
    <row r="420" spans="1:44" s="1" customFormat="1">
      <c r="B420" s="33"/>
      <c r="D420" s="13"/>
      <c r="E420" s="13"/>
      <c r="G420" s="73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25"/>
      <c r="Z420" s="25"/>
      <c r="AA420" s="278"/>
      <c r="AB420" s="278"/>
      <c r="AC420" s="278"/>
      <c r="AD420" s="278"/>
      <c r="AE420" s="278"/>
      <c r="AF420" s="278"/>
      <c r="AG420" s="278"/>
      <c r="AH420" s="278"/>
      <c r="AI420" s="278"/>
      <c r="AJ420" s="278"/>
      <c r="AK420" s="278"/>
      <c r="AL420" s="254"/>
      <c r="AM420" s="254"/>
      <c r="AN420" s="254"/>
      <c r="AO420" s="254"/>
      <c r="AP420" s="254"/>
      <c r="AQ420" s="254"/>
      <c r="AR420" s="301"/>
    </row>
    <row r="421" spans="1:44" s="1" customFormat="1">
      <c r="B421" s="33" t="s">
        <v>111</v>
      </c>
      <c r="D421" s="13"/>
      <c r="E421" s="13"/>
      <c r="G421" s="74" t="s">
        <v>76</v>
      </c>
      <c r="H421" s="46">
        <f>+Z118</f>
        <v>7624.7807921560989</v>
      </c>
      <c r="I421" s="46">
        <f>+H421</f>
        <v>7624.7807921560989</v>
      </c>
      <c r="J421" s="46">
        <f t="shared" ref="J421:X421" si="222">+I421</f>
        <v>7624.7807921560989</v>
      </c>
      <c r="K421" s="46">
        <f t="shared" si="222"/>
        <v>7624.7807921560989</v>
      </c>
      <c r="L421" s="46">
        <f t="shared" si="222"/>
        <v>7624.7807921560989</v>
      </c>
      <c r="M421" s="46">
        <f t="shared" si="222"/>
        <v>7624.7807921560989</v>
      </c>
      <c r="N421" s="46">
        <f t="shared" si="222"/>
        <v>7624.7807921560989</v>
      </c>
      <c r="O421" s="46">
        <f t="shared" si="222"/>
        <v>7624.7807921560989</v>
      </c>
      <c r="P421" s="46">
        <f t="shared" si="222"/>
        <v>7624.7807921560989</v>
      </c>
      <c r="Q421" s="46">
        <f t="shared" si="222"/>
        <v>7624.7807921560989</v>
      </c>
      <c r="R421" s="46">
        <f t="shared" si="222"/>
        <v>7624.7807921560989</v>
      </c>
      <c r="S421" s="46">
        <f t="shared" si="222"/>
        <v>7624.7807921560989</v>
      </c>
      <c r="T421" s="46">
        <f t="shared" si="222"/>
        <v>7624.7807921560989</v>
      </c>
      <c r="U421" s="46">
        <f t="shared" si="222"/>
        <v>7624.7807921560989</v>
      </c>
      <c r="V421" s="46">
        <f t="shared" si="222"/>
        <v>7624.7807921560989</v>
      </c>
      <c r="W421" s="46">
        <f t="shared" si="222"/>
        <v>7624.7807921560989</v>
      </c>
      <c r="X421" s="46">
        <f t="shared" si="222"/>
        <v>7624.7807921560989</v>
      </c>
      <c r="Y421" s="25"/>
      <c r="Z421" s="25"/>
      <c r="AA421" s="278"/>
      <c r="AB421" s="278"/>
      <c r="AC421" s="278"/>
      <c r="AD421" s="278"/>
      <c r="AE421" s="278"/>
      <c r="AF421" s="278"/>
      <c r="AG421" s="278"/>
      <c r="AH421" s="278"/>
      <c r="AI421" s="278"/>
      <c r="AJ421" s="278"/>
      <c r="AK421" s="278"/>
      <c r="AL421" s="254"/>
      <c r="AM421" s="254"/>
      <c r="AN421" s="254"/>
      <c r="AO421" s="254"/>
      <c r="AP421" s="254"/>
      <c r="AQ421" s="254"/>
      <c r="AR421" s="301"/>
    </row>
    <row r="422" spans="1:44" s="1" customFormat="1">
      <c r="B422" s="33" t="s">
        <v>81</v>
      </c>
      <c r="D422" s="13"/>
      <c r="E422" s="13"/>
      <c r="G422" s="22" t="s">
        <v>67</v>
      </c>
      <c r="H422" s="25">
        <f>+H407</f>
        <v>1948993.92</v>
      </c>
      <c r="I422" s="25">
        <f t="shared" ref="I422:X422" si="223">+I407</f>
        <v>1943668.8</v>
      </c>
      <c r="J422" s="25">
        <f t="shared" si="223"/>
        <v>1943668.8</v>
      </c>
      <c r="K422" s="25">
        <f t="shared" si="223"/>
        <v>1943668.8</v>
      </c>
      <c r="L422" s="25">
        <f t="shared" si="223"/>
        <v>1948993.92</v>
      </c>
      <c r="M422" s="25">
        <f t="shared" si="223"/>
        <v>1943668.8</v>
      </c>
      <c r="N422" s="25">
        <f t="shared" si="223"/>
        <v>1943668.8</v>
      </c>
      <c r="O422" s="25">
        <f t="shared" si="223"/>
        <v>1943668.8</v>
      </c>
      <c r="P422" s="25">
        <f t="shared" si="223"/>
        <v>1948993.92</v>
      </c>
      <c r="Q422" s="25">
        <f t="shared" si="223"/>
        <v>1943668.8</v>
      </c>
      <c r="R422" s="25">
        <f t="shared" si="223"/>
        <v>1943668.8</v>
      </c>
      <c r="S422" s="25">
        <f t="shared" si="223"/>
        <v>1943668.8</v>
      </c>
      <c r="T422" s="25">
        <f t="shared" si="223"/>
        <v>1948993.92</v>
      </c>
      <c r="U422" s="25">
        <f t="shared" si="223"/>
        <v>1943668.8</v>
      </c>
      <c r="V422" s="25">
        <f t="shared" si="223"/>
        <v>1943668.8</v>
      </c>
      <c r="W422" s="25">
        <f t="shared" si="223"/>
        <v>1943668.8</v>
      </c>
      <c r="X422" s="25">
        <f t="shared" si="223"/>
        <v>1948993.92</v>
      </c>
      <c r="Y422" s="25"/>
      <c r="Z422" s="25"/>
      <c r="AA422" s="278"/>
      <c r="AB422" s="278"/>
      <c r="AC422" s="278"/>
      <c r="AD422" s="278"/>
      <c r="AE422" s="278"/>
      <c r="AF422" s="278"/>
      <c r="AG422" s="278"/>
      <c r="AH422" s="278"/>
      <c r="AI422" s="278"/>
      <c r="AJ422" s="278"/>
      <c r="AK422" s="278"/>
      <c r="AL422" s="254"/>
      <c r="AM422" s="254"/>
      <c r="AN422" s="254"/>
      <c r="AO422" s="254"/>
      <c r="AP422" s="254"/>
      <c r="AQ422" s="254"/>
      <c r="AR422" s="301"/>
    </row>
    <row r="423" spans="1:44" s="1" customFormat="1" ht="13.8" thickBot="1">
      <c r="B423" s="33" t="s">
        <v>163</v>
      </c>
      <c r="D423" s="13"/>
      <c r="E423" s="13"/>
      <c r="G423" s="74" t="s">
        <v>164</v>
      </c>
      <c r="H423" s="25">
        <f>H421*H422*1000/1000000</f>
        <v>14860651.405245019</v>
      </c>
      <c r="I423" s="25">
        <f t="shared" ref="I423:X423" si="224">I421*I422*1000/1000000</f>
        <v>14820048.532553095</v>
      </c>
      <c r="J423" s="25">
        <f t="shared" si="224"/>
        <v>14820048.532553095</v>
      </c>
      <c r="K423" s="25">
        <f t="shared" si="224"/>
        <v>14820048.532553095</v>
      </c>
      <c r="L423" s="25">
        <f t="shared" si="224"/>
        <v>14860651.405245019</v>
      </c>
      <c r="M423" s="25">
        <f t="shared" si="224"/>
        <v>14820048.532553095</v>
      </c>
      <c r="N423" s="25">
        <f t="shared" si="224"/>
        <v>14820048.532553095</v>
      </c>
      <c r="O423" s="25">
        <f t="shared" si="224"/>
        <v>14820048.532553095</v>
      </c>
      <c r="P423" s="25">
        <f t="shared" si="224"/>
        <v>14860651.405245019</v>
      </c>
      <c r="Q423" s="25">
        <f t="shared" si="224"/>
        <v>14820048.532553095</v>
      </c>
      <c r="R423" s="25">
        <f t="shared" si="224"/>
        <v>14820048.532553095</v>
      </c>
      <c r="S423" s="25">
        <f t="shared" si="224"/>
        <v>14820048.532553095</v>
      </c>
      <c r="T423" s="25">
        <f t="shared" si="224"/>
        <v>14860651.405245019</v>
      </c>
      <c r="U423" s="25">
        <f t="shared" si="224"/>
        <v>14820048.532553095</v>
      </c>
      <c r="V423" s="25">
        <f t="shared" si="224"/>
        <v>14820048.532553095</v>
      </c>
      <c r="W423" s="25">
        <f t="shared" si="224"/>
        <v>14820048.532553095</v>
      </c>
      <c r="X423" s="25">
        <f t="shared" si="224"/>
        <v>14860651.405245019</v>
      </c>
      <c r="Y423" s="6"/>
      <c r="Z423" s="6"/>
      <c r="AA423" s="272"/>
      <c r="AB423" s="272"/>
      <c r="AC423" s="272"/>
      <c r="AD423" s="272"/>
      <c r="AE423" s="272"/>
      <c r="AF423" s="272"/>
      <c r="AG423" s="272"/>
      <c r="AH423" s="272"/>
      <c r="AI423" s="272"/>
      <c r="AJ423" s="272"/>
      <c r="AK423" s="272"/>
      <c r="AL423" s="254"/>
      <c r="AM423" s="254"/>
      <c r="AN423" s="254"/>
      <c r="AO423" s="254"/>
      <c r="AP423" s="254"/>
      <c r="AQ423" s="254"/>
      <c r="AR423" s="301"/>
    </row>
    <row r="424" spans="1:44" s="1" customFormat="1" ht="13.8" thickBot="1">
      <c r="B424" s="33" t="s">
        <v>168</v>
      </c>
      <c r="C424" s="33"/>
      <c r="D424" s="33"/>
      <c r="E424" s="33"/>
      <c r="F424" s="35"/>
      <c r="G424" s="42"/>
      <c r="H424" s="236">
        <f>+H419*H423/1000</f>
        <v>2826.2911817790164</v>
      </c>
      <c r="I424" s="237">
        <f t="shared" ref="I424:X424" si="225">+I419*I423/1000</f>
        <v>2937.0251162555242</v>
      </c>
      <c r="J424" s="237">
        <f t="shared" si="225"/>
        <v>3060.7914074801488</v>
      </c>
      <c r="K424" s="237">
        <f t="shared" si="225"/>
        <v>3190.1167639478667</v>
      </c>
      <c r="L424" s="237">
        <f t="shared" si="225"/>
        <v>3334.3722936738632</v>
      </c>
      <c r="M424" s="237">
        <f t="shared" si="225"/>
        <v>3466.50044994977</v>
      </c>
      <c r="N424" s="237">
        <f t="shared" si="225"/>
        <v>3614.1187153593851</v>
      </c>
      <c r="O424" s="237">
        <f t="shared" si="225"/>
        <v>3768.4171799748233</v>
      </c>
      <c r="P424" s="237">
        <f t="shared" si="225"/>
        <v>3940.4770845441162</v>
      </c>
      <c r="Q424" s="237">
        <f t="shared" si="225"/>
        <v>4098.3295713542693</v>
      </c>
      <c r="R424" s="237">
        <f t="shared" si="225"/>
        <v>4274.6197396042235</v>
      </c>
      <c r="S424" s="237">
        <f t="shared" si="225"/>
        <v>4458.9441211018557</v>
      </c>
      <c r="T424" s="237">
        <f t="shared" si="225"/>
        <v>4664.4274946629121</v>
      </c>
      <c r="U424" s="237">
        <f t="shared" si="225"/>
        <v>4853.2357317476326</v>
      </c>
      <c r="V424" s="237">
        <f t="shared" si="225"/>
        <v>5064.02007694451</v>
      </c>
      <c r="W424" s="237">
        <f t="shared" si="225"/>
        <v>5284.4747249966931</v>
      </c>
      <c r="X424" s="238">
        <f t="shared" si="225"/>
        <v>5530.1692582742326</v>
      </c>
      <c r="Y424" s="6"/>
      <c r="Z424" s="6"/>
      <c r="AA424" s="272"/>
      <c r="AB424" s="272"/>
      <c r="AC424" s="272"/>
      <c r="AD424" s="272"/>
      <c r="AE424" s="272"/>
      <c r="AF424" s="272"/>
      <c r="AG424" s="272"/>
      <c r="AH424" s="272"/>
      <c r="AI424" s="272"/>
      <c r="AJ424" s="272"/>
      <c r="AK424" s="272"/>
      <c r="AL424" s="254"/>
      <c r="AM424" s="254"/>
      <c r="AN424" s="254"/>
      <c r="AO424" s="254"/>
      <c r="AP424" s="254"/>
      <c r="AQ424" s="254"/>
      <c r="AR424" s="301"/>
    </row>
    <row r="425" spans="1:44" s="1" customFormat="1" ht="13.8" thickBot="1">
      <c r="B425" s="350" t="str">
        <f>CONCATENATE("NPV ",+$E$16*100," of Cf to Term (2036)")</f>
        <v>NPV 6.25 of Cf to Term (2036)</v>
      </c>
      <c r="C425" s="13"/>
      <c r="D425" s="81"/>
      <c r="G425" s="239">
        <f>SUMPRODUCT(H$398:X$398,H424:X424)</f>
        <v>12311.256564709742</v>
      </c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272"/>
      <c r="AB425" s="272"/>
      <c r="AC425" s="272"/>
      <c r="AD425" s="272"/>
      <c r="AE425" s="272"/>
      <c r="AF425" s="272"/>
      <c r="AG425" s="272"/>
      <c r="AH425" s="272"/>
      <c r="AI425" s="272"/>
      <c r="AJ425" s="272"/>
      <c r="AK425" s="272"/>
      <c r="AL425" s="254"/>
      <c r="AM425" s="254"/>
      <c r="AN425" s="254"/>
      <c r="AO425" s="254"/>
      <c r="AP425" s="254"/>
      <c r="AQ425" s="254"/>
      <c r="AR425" s="301"/>
    </row>
    <row r="426" spans="1:44" s="1" customFormat="1"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272"/>
      <c r="AB426" s="272"/>
      <c r="AC426" s="272"/>
      <c r="AD426" s="272"/>
      <c r="AE426" s="272"/>
      <c r="AF426" s="272"/>
      <c r="AG426" s="272"/>
      <c r="AH426" s="272"/>
      <c r="AI426" s="272"/>
      <c r="AJ426" s="272"/>
      <c r="AK426" s="272"/>
      <c r="AL426" s="254"/>
      <c r="AM426" s="254"/>
      <c r="AN426" s="254"/>
      <c r="AO426" s="254"/>
      <c r="AP426" s="254"/>
      <c r="AQ426" s="254"/>
      <c r="AR426" s="301"/>
    </row>
    <row r="427" spans="1:44" s="1" customFormat="1" ht="13.8" thickBot="1"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272"/>
      <c r="AB427" s="272"/>
      <c r="AC427" s="272"/>
      <c r="AD427" s="272"/>
      <c r="AE427" s="272"/>
      <c r="AF427" s="272"/>
      <c r="AG427" s="272"/>
      <c r="AH427" s="272"/>
      <c r="AI427" s="272"/>
      <c r="AJ427" s="272"/>
      <c r="AK427" s="272"/>
      <c r="AL427" s="254"/>
      <c r="AM427" s="254"/>
      <c r="AN427" s="254"/>
      <c r="AO427" s="254"/>
      <c r="AP427" s="254"/>
      <c r="AQ427" s="254"/>
      <c r="AR427" s="301"/>
    </row>
    <row r="428" spans="1:44" s="1" customFormat="1" ht="13.8" thickBot="1">
      <c r="B428" s="21" t="s">
        <v>167</v>
      </c>
      <c r="G428" s="240">
        <f>+G413+G425</f>
        <v>17346.221615731796</v>
      </c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272"/>
      <c r="AB428" s="272"/>
      <c r="AC428" s="272"/>
      <c r="AD428" s="272"/>
      <c r="AE428" s="272"/>
      <c r="AF428" s="272"/>
      <c r="AG428" s="272"/>
      <c r="AH428" s="272"/>
      <c r="AI428" s="272"/>
      <c r="AJ428" s="272"/>
      <c r="AK428" s="272"/>
      <c r="AL428" s="254"/>
      <c r="AM428" s="254"/>
      <c r="AN428" s="254"/>
      <c r="AO428" s="254"/>
      <c r="AP428" s="254"/>
      <c r="AQ428" s="254"/>
      <c r="AR428" s="301"/>
    </row>
    <row r="429" spans="1:44" s="1" customFormat="1"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272"/>
      <c r="AB429" s="272"/>
      <c r="AC429" s="272"/>
      <c r="AD429" s="272"/>
      <c r="AE429" s="272"/>
      <c r="AF429" s="272"/>
      <c r="AG429" s="272"/>
      <c r="AH429" s="272"/>
      <c r="AI429" s="272"/>
      <c r="AJ429" s="272"/>
      <c r="AK429" s="272"/>
      <c r="AL429" s="254"/>
      <c r="AM429" s="254"/>
      <c r="AN429" s="254"/>
      <c r="AO429" s="254"/>
      <c r="AP429" s="254"/>
      <c r="AQ429" s="254"/>
      <c r="AR429" s="301"/>
    </row>
    <row r="430" spans="1:44" s="1" customFormat="1" ht="13.8" thickBot="1">
      <c r="AA430" s="272"/>
      <c r="AB430" s="272"/>
      <c r="AC430" s="272"/>
      <c r="AD430" s="272"/>
      <c r="AE430" s="272"/>
      <c r="AF430" s="272"/>
      <c r="AG430" s="272"/>
      <c r="AH430" s="272"/>
      <c r="AI430" s="272"/>
      <c r="AJ430" s="272"/>
      <c r="AK430" s="272"/>
      <c r="AL430" s="272"/>
      <c r="AM430" s="272"/>
      <c r="AN430" s="272"/>
      <c r="AO430" s="272"/>
      <c r="AP430" s="272"/>
      <c r="AQ430" s="272"/>
      <c r="AR430" s="301"/>
    </row>
    <row r="431" spans="1:44" s="1" customFormat="1" ht="16.2" thickBot="1">
      <c r="A431" s="29" t="s">
        <v>135</v>
      </c>
      <c r="E431" s="195"/>
      <c r="F431" s="196"/>
      <c r="G431" s="443" t="s">
        <v>35</v>
      </c>
      <c r="H431" s="444"/>
      <c r="I431" s="444"/>
      <c r="J431" s="444"/>
      <c r="K431" s="444"/>
      <c r="L431" s="444"/>
      <c r="M431" s="444"/>
      <c r="N431" s="444"/>
      <c r="O431" s="444"/>
      <c r="P431" s="444"/>
      <c r="Q431" s="444"/>
      <c r="R431" s="444"/>
      <c r="S431" s="444"/>
      <c r="T431" s="444"/>
      <c r="U431" s="444"/>
      <c r="V431" s="444"/>
      <c r="W431" s="444"/>
      <c r="X431" s="444"/>
      <c r="Y431" s="444"/>
      <c r="Z431" s="445"/>
      <c r="AA431" s="272"/>
      <c r="AB431" s="272"/>
      <c r="AC431" s="272"/>
      <c r="AD431" s="272"/>
      <c r="AE431" s="272"/>
      <c r="AF431" s="272"/>
      <c r="AG431" s="272"/>
      <c r="AH431" s="272"/>
      <c r="AI431" s="272"/>
      <c r="AJ431" s="272"/>
      <c r="AK431" s="272"/>
      <c r="AL431" s="272"/>
      <c r="AM431" s="272"/>
      <c r="AN431" s="272"/>
      <c r="AO431" s="272"/>
      <c r="AP431" s="272"/>
      <c r="AQ431" s="272"/>
      <c r="AR431" s="301"/>
    </row>
    <row r="432" spans="1:44" s="1" customFormat="1" ht="13.8" thickBot="1">
      <c r="E432" s="197" t="s">
        <v>136</v>
      </c>
      <c r="F432" s="198">
        <f>+G182</f>
        <v>128160.94074734487</v>
      </c>
      <c r="G432" s="210">
        <v>1</v>
      </c>
      <c r="H432" s="217">
        <v>0.99</v>
      </c>
      <c r="I432" s="217">
        <v>0.98</v>
      </c>
      <c r="J432" s="217">
        <v>0.97</v>
      </c>
      <c r="K432" s="217">
        <v>0.96</v>
      </c>
      <c r="L432" s="217">
        <v>0.95</v>
      </c>
      <c r="M432" s="217">
        <v>0.94</v>
      </c>
      <c r="N432" s="217">
        <v>0.93</v>
      </c>
      <c r="O432" s="217">
        <v>0.92</v>
      </c>
      <c r="P432" s="217">
        <v>0.91</v>
      </c>
      <c r="Q432" s="217">
        <v>0.9</v>
      </c>
      <c r="R432" s="217">
        <v>0.89</v>
      </c>
      <c r="S432" s="217">
        <v>0.88</v>
      </c>
      <c r="T432" s="217">
        <v>0.87</v>
      </c>
      <c r="U432" s="217">
        <v>0.86</v>
      </c>
      <c r="V432" s="217">
        <v>0.85</v>
      </c>
      <c r="W432" s="217">
        <v>0.84</v>
      </c>
      <c r="X432" s="217">
        <v>0.83</v>
      </c>
      <c r="Y432" s="217">
        <v>0.82</v>
      </c>
      <c r="Z432" s="218">
        <v>0.81</v>
      </c>
      <c r="AA432" s="272"/>
      <c r="AB432" s="272"/>
      <c r="AC432" s="272"/>
      <c r="AD432" s="272"/>
      <c r="AE432" s="272"/>
      <c r="AF432" s="272"/>
      <c r="AG432" s="272"/>
      <c r="AH432" s="272"/>
      <c r="AI432" s="272"/>
      <c r="AJ432" s="272"/>
      <c r="AK432" s="272"/>
      <c r="AL432" s="272"/>
      <c r="AM432" s="272"/>
      <c r="AN432" s="272"/>
      <c r="AO432" s="272"/>
      <c r="AP432" s="272"/>
      <c r="AQ432" s="272"/>
      <c r="AR432" s="301"/>
    </row>
    <row r="433" spans="5:44" s="1" customFormat="1">
      <c r="E433" s="440" t="s">
        <v>134</v>
      </c>
      <c r="F433" s="214">
        <v>0</v>
      </c>
      <c r="G433" s="199">
        <f t="dataTable" ref="G433:Z447" dt2D="1" dtr="0" r1="H24" r2="G171" ca="1"/>
        <v>112956.18673411733</v>
      </c>
      <c r="H433" s="200">
        <v>112971.99209895963</v>
      </c>
      <c r="I433" s="200">
        <v>112987.79746380169</v>
      </c>
      <c r="J433" s="200">
        <v>113003.60282864538</v>
      </c>
      <c r="K433" s="200">
        <v>113019.40819348837</v>
      </c>
      <c r="L433" s="200">
        <v>113035.21355833206</v>
      </c>
      <c r="M433" s="200">
        <v>113051.01892317436</v>
      </c>
      <c r="N433" s="200">
        <v>113066.82428801712</v>
      </c>
      <c r="O433" s="200">
        <v>113082.62965286081</v>
      </c>
      <c r="P433" s="200">
        <v>113098.43501770333</v>
      </c>
      <c r="Q433" s="200">
        <v>113114.24038254586</v>
      </c>
      <c r="R433" s="200">
        <v>113130.04574738955</v>
      </c>
      <c r="S433" s="200">
        <v>113145.85111223208</v>
      </c>
      <c r="T433" s="200">
        <v>113161.65647707577</v>
      </c>
      <c r="U433" s="200">
        <v>113177.46184191853</v>
      </c>
      <c r="V433" s="200">
        <v>113193.26720676082</v>
      </c>
      <c r="W433" s="200">
        <v>113209.07257160451</v>
      </c>
      <c r="X433" s="200">
        <v>113224.87793644704</v>
      </c>
      <c r="Y433" s="200">
        <v>113240.68330129026</v>
      </c>
      <c r="Z433" s="201">
        <v>113256.48866613256</v>
      </c>
      <c r="AA433" s="272"/>
      <c r="AB433" s="272"/>
      <c r="AC433" s="272"/>
      <c r="AD433" s="272"/>
      <c r="AE433" s="272"/>
      <c r="AF433" s="272"/>
      <c r="AG433" s="272"/>
      <c r="AH433" s="272"/>
      <c r="AI433" s="272"/>
      <c r="AJ433" s="272"/>
      <c r="AK433" s="272"/>
      <c r="AL433" s="272"/>
      <c r="AM433" s="272"/>
      <c r="AN433" s="272"/>
      <c r="AO433" s="272"/>
      <c r="AP433" s="272"/>
      <c r="AQ433" s="272"/>
      <c r="AR433" s="301"/>
    </row>
    <row r="434" spans="5:44" s="1" customFormat="1">
      <c r="E434" s="441"/>
      <c r="F434" s="215">
        <v>5.0000000000000001E-3</v>
      </c>
      <c r="G434" s="202">
        <v>115859.96171578858</v>
      </c>
      <c r="H434" s="28">
        <v>115846.72933081421</v>
      </c>
      <c r="I434" s="28">
        <v>115833.49694584031</v>
      </c>
      <c r="J434" s="28">
        <v>115820.26456086733</v>
      </c>
      <c r="K434" s="28">
        <v>115807.0321758939</v>
      </c>
      <c r="L434" s="28">
        <v>115793.79979091976</v>
      </c>
      <c r="M434" s="28">
        <v>115780.56740594562</v>
      </c>
      <c r="N434" s="28">
        <v>115767.33502097218</v>
      </c>
      <c r="O434" s="28">
        <v>115754.10263599828</v>
      </c>
      <c r="P434" s="28">
        <v>115740.87025102437</v>
      </c>
      <c r="Q434" s="28">
        <v>115727.63786605094</v>
      </c>
      <c r="R434" s="28">
        <v>115714.40548107703</v>
      </c>
      <c r="S434" s="28">
        <v>115701.1730961029</v>
      </c>
      <c r="T434" s="28">
        <v>115687.94071112969</v>
      </c>
      <c r="U434" s="28">
        <v>115674.70832615555</v>
      </c>
      <c r="V434" s="28">
        <v>115661.47594118211</v>
      </c>
      <c r="W434" s="28">
        <v>115648.24355620891</v>
      </c>
      <c r="X434" s="28">
        <v>115635.01117123454</v>
      </c>
      <c r="Y434" s="28">
        <v>115621.77878626133</v>
      </c>
      <c r="Z434" s="203">
        <v>115608.54640128789</v>
      </c>
      <c r="AA434" s="272"/>
      <c r="AB434" s="272"/>
      <c r="AC434" s="272"/>
      <c r="AD434" s="272"/>
      <c r="AE434" s="272"/>
      <c r="AF434" s="272"/>
      <c r="AG434" s="272"/>
      <c r="AH434" s="272"/>
      <c r="AI434" s="272"/>
      <c r="AJ434" s="272"/>
      <c r="AK434" s="272"/>
      <c r="AL434" s="272"/>
      <c r="AM434" s="272"/>
      <c r="AN434" s="272"/>
      <c r="AO434" s="272"/>
      <c r="AP434" s="272"/>
      <c r="AQ434" s="272"/>
      <c r="AR434" s="301"/>
    </row>
    <row r="435" spans="5:44" s="1" customFormat="1">
      <c r="E435" s="441"/>
      <c r="F435" s="215">
        <v>0.01</v>
      </c>
      <c r="G435" s="202">
        <v>118763.73669746029</v>
      </c>
      <c r="H435" s="28">
        <v>118721.46656266972</v>
      </c>
      <c r="I435" s="28">
        <v>118679.19642787939</v>
      </c>
      <c r="J435" s="28">
        <v>118636.92629308952</v>
      </c>
      <c r="K435" s="28">
        <v>118594.65615829825</v>
      </c>
      <c r="L435" s="28">
        <v>118552.38602350745</v>
      </c>
      <c r="M435" s="28">
        <v>118510.11588871758</v>
      </c>
      <c r="N435" s="28">
        <v>118467.84575392678</v>
      </c>
      <c r="O435" s="28">
        <v>118425.57561913645</v>
      </c>
      <c r="P435" s="28">
        <v>118383.30548434542</v>
      </c>
      <c r="Q435" s="28">
        <v>118341.03534955578</v>
      </c>
      <c r="R435" s="28">
        <v>118298.76521476544</v>
      </c>
      <c r="S435" s="28">
        <v>118256.49507997488</v>
      </c>
      <c r="T435" s="28">
        <v>118214.22494518361</v>
      </c>
      <c r="U435" s="28">
        <v>118171.95481039397</v>
      </c>
      <c r="V435" s="28">
        <v>118129.68467560387</v>
      </c>
      <c r="W435" s="28">
        <v>118087.41454081237</v>
      </c>
      <c r="X435" s="28">
        <v>118045.14440602274</v>
      </c>
      <c r="Y435" s="28">
        <v>118002.87427123194</v>
      </c>
      <c r="Z435" s="203">
        <v>117960.60413644253</v>
      </c>
      <c r="AA435" s="272"/>
      <c r="AB435" s="272"/>
      <c r="AC435" s="272"/>
      <c r="AD435" s="272"/>
      <c r="AE435" s="272"/>
      <c r="AF435" s="272"/>
      <c r="AG435" s="272"/>
      <c r="AH435" s="272"/>
      <c r="AI435" s="272"/>
      <c r="AJ435" s="272"/>
      <c r="AK435" s="272"/>
      <c r="AL435" s="272"/>
      <c r="AM435" s="272"/>
      <c r="AN435" s="272"/>
      <c r="AO435" s="272"/>
      <c r="AP435" s="272"/>
      <c r="AQ435" s="272"/>
      <c r="AR435" s="301"/>
    </row>
    <row r="436" spans="5:44" s="1" customFormat="1">
      <c r="E436" s="441"/>
      <c r="F436" s="215">
        <v>1.4999999999999999E-2</v>
      </c>
      <c r="G436" s="202">
        <v>121667.51167913247</v>
      </c>
      <c r="H436" s="28">
        <v>121596.20379452477</v>
      </c>
      <c r="I436" s="28">
        <v>121524.89590991754</v>
      </c>
      <c r="J436" s="28">
        <v>121453.58802531054</v>
      </c>
      <c r="K436" s="28">
        <v>121382.28014070331</v>
      </c>
      <c r="L436" s="28">
        <v>121310.97225609631</v>
      </c>
      <c r="M436" s="28">
        <v>121239.66437148908</v>
      </c>
      <c r="N436" s="28">
        <v>121168.35648688185</v>
      </c>
      <c r="O436" s="28">
        <v>121097.04860227439</v>
      </c>
      <c r="P436" s="28">
        <v>121025.74071766715</v>
      </c>
      <c r="Q436" s="28">
        <v>120954.43283305992</v>
      </c>
      <c r="R436" s="28">
        <v>120883.12494845362</v>
      </c>
      <c r="S436" s="28">
        <v>120811.81706384546</v>
      </c>
      <c r="T436" s="28">
        <v>120740.50917923893</v>
      </c>
      <c r="U436" s="28">
        <v>120669.2012946317</v>
      </c>
      <c r="V436" s="28">
        <v>120597.89341002423</v>
      </c>
      <c r="W436" s="28">
        <v>120526.58552541747</v>
      </c>
      <c r="X436" s="28">
        <v>120455.27764080954</v>
      </c>
      <c r="Y436" s="28">
        <v>120383.96975620347</v>
      </c>
      <c r="Z436" s="203">
        <v>120312.66187159531</v>
      </c>
      <c r="AA436" s="272"/>
      <c r="AB436" s="272"/>
      <c r="AC436" s="272"/>
      <c r="AD436" s="272"/>
      <c r="AE436" s="272"/>
      <c r="AF436" s="272"/>
      <c r="AG436" s="272"/>
      <c r="AH436" s="272"/>
      <c r="AI436" s="272"/>
      <c r="AJ436" s="272"/>
      <c r="AK436" s="272"/>
      <c r="AL436" s="272"/>
      <c r="AM436" s="272"/>
      <c r="AN436" s="272"/>
      <c r="AO436" s="272"/>
      <c r="AP436" s="272"/>
      <c r="AQ436" s="272"/>
      <c r="AR436" s="301"/>
    </row>
    <row r="437" spans="5:44" s="1" customFormat="1">
      <c r="E437" s="441"/>
      <c r="F437" s="215">
        <v>0.02</v>
      </c>
      <c r="G437" s="202">
        <v>124571.28666080325</v>
      </c>
      <c r="H437" s="28">
        <v>124470.94102638052</v>
      </c>
      <c r="I437" s="28">
        <v>124370.59539195593</v>
      </c>
      <c r="J437" s="28">
        <v>124270.2497575325</v>
      </c>
      <c r="K437" s="28">
        <v>124169.9041231086</v>
      </c>
      <c r="L437" s="28">
        <v>124069.55848868447</v>
      </c>
      <c r="M437" s="28">
        <v>123969.21285426081</v>
      </c>
      <c r="N437" s="28">
        <v>123868.86721983692</v>
      </c>
      <c r="O437" s="28">
        <v>123768.52158541186</v>
      </c>
      <c r="P437" s="28">
        <v>123668.17595098913</v>
      </c>
      <c r="Q437" s="28">
        <v>123567.83031656547</v>
      </c>
      <c r="R437" s="28">
        <v>123467.48468214157</v>
      </c>
      <c r="S437" s="28">
        <v>123367.13904771791</v>
      </c>
      <c r="T437" s="28">
        <v>123266.79341329378</v>
      </c>
      <c r="U437" s="28">
        <v>123166.44777886919</v>
      </c>
      <c r="V437" s="28">
        <v>123066.10214444576</v>
      </c>
      <c r="W437" s="28">
        <v>122965.7565100214</v>
      </c>
      <c r="X437" s="28">
        <v>122865.4108755975</v>
      </c>
      <c r="Y437" s="28">
        <v>122765.06524117384</v>
      </c>
      <c r="Z437" s="203">
        <v>122664.71960674948</v>
      </c>
      <c r="AA437" s="272"/>
      <c r="AB437" s="272"/>
      <c r="AC437" s="272"/>
      <c r="AD437" s="272"/>
      <c r="AE437" s="272"/>
      <c r="AF437" s="272"/>
      <c r="AG437" s="272"/>
      <c r="AH437" s="272"/>
      <c r="AI437" s="272"/>
      <c r="AJ437" s="272"/>
      <c r="AK437" s="272"/>
      <c r="AL437" s="272"/>
      <c r="AM437" s="272"/>
      <c r="AN437" s="272"/>
      <c r="AO437" s="272"/>
      <c r="AP437" s="272"/>
      <c r="AQ437" s="272"/>
      <c r="AR437" s="301"/>
    </row>
    <row r="438" spans="5:44" s="1" customFormat="1">
      <c r="E438" s="441"/>
      <c r="F438" s="215">
        <v>2.5000000000000001E-2</v>
      </c>
      <c r="G438" s="202">
        <v>127475.06164247566</v>
      </c>
      <c r="H438" s="204">
        <v>127345.67825823533</v>
      </c>
      <c r="I438" s="204">
        <v>127216.29487399478</v>
      </c>
      <c r="J438" s="204">
        <v>127086.91148975445</v>
      </c>
      <c r="K438" s="28">
        <v>126957.52810551389</v>
      </c>
      <c r="L438" s="28">
        <v>126828.1447212731</v>
      </c>
      <c r="M438" s="28">
        <v>126698.76133703138</v>
      </c>
      <c r="N438" s="28">
        <v>126569.37795279128</v>
      </c>
      <c r="O438" s="28">
        <v>126439.99456855142</v>
      </c>
      <c r="P438" s="28">
        <v>126310.6111843111</v>
      </c>
      <c r="Q438" s="28">
        <v>126181.22780006938</v>
      </c>
      <c r="R438" s="28">
        <v>126051.84441582975</v>
      </c>
      <c r="S438" s="28">
        <v>125922.46103158873</v>
      </c>
      <c r="T438" s="28">
        <v>125793.0776473484</v>
      </c>
      <c r="U438" s="28">
        <v>125663.69426310691</v>
      </c>
      <c r="V438" s="28">
        <v>125534.31087886658</v>
      </c>
      <c r="W438" s="28">
        <v>125404.92749462579</v>
      </c>
      <c r="X438" s="28">
        <v>125275.54411038477</v>
      </c>
      <c r="Y438" s="28">
        <v>125146.16072614514</v>
      </c>
      <c r="Z438" s="203">
        <v>125016.77734190458</v>
      </c>
      <c r="AA438" s="272"/>
      <c r="AB438" s="272"/>
      <c r="AC438" s="272"/>
      <c r="AD438" s="272"/>
      <c r="AE438" s="272"/>
      <c r="AF438" s="272"/>
      <c r="AG438" s="272"/>
      <c r="AH438" s="272"/>
      <c r="AI438" s="272"/>
      <c r="AJ438" s="272"/>
      <c r="AK438" s="272"/>
      <c r="AL438" s="272"/>
      <c r="AM438" s="272"/>
      <c r="AN438" s="272"/>
      <c r="AO438" s="272"/>
      <c r="AP438" s="272"/>
      <c r="AQ438" s="272"/>
      <c r="AR438" s="301"/>
    </row>
    <row r="439" spans="5:44" s="1" customFormat="1">
      <c r="E439" s="441"/>
      <c r="F439" s="215">
        <v>0.03</v>
      </c>
      <c r="G439" s="202">
        <v>130378.83662414784</v>
      </c>
      <c r="H439" s="28">
        <v>130220.41549009108</v>
      </c>
      <c r="I439" s="28">
        <v>130061.99435603269</v>
      </c>
      <c r="J439" s="28">
        <v>129903.57322197594</v>
      </c>
      <c r="K439" s="28">
        <v>129745.15208791825</v>
      </c>
      <c r="L439" s="28">
        <v>129586.7309538608</v>
      </c>
      <c r="M439" s="28">
        <v>129428.30981980404</v>
      </c>
      <c r="N439" s="28">
        <v>129269.88868574682</v>
      </c>
      <c r="O439" s="28">
        <v>129111.46755169006</v>
      </c>
      <c r="P439" s="28">
        <v>128953.04641763074</v>
      </c>
      <c r="Q439" s="28">
        <v>128794.62528357492</v>
      </c>
      <c r="R439" s="28">
        <v>128636.2041495177</v>
      </c>
      <c r="S439" s="28">
        <v>128477.78301546047</v>
      </c>
      <c r="T439" s="28">
        <v>128319.36188140255</v>
      </c>
      <c r="U439" s="28">
        <v>128160.94074734487</v>
      </c>
      <c r="V439" s="28">
        <v>128002.51961328834</v>
      </c>
      <c r="W439" s="28">
        <v>127844.09847923042</v>
      </c>
      <c r="X439" s="28">
        <v>127685.67734517273</v>
      </c>
      <c r="Y439" s="28">
        <v>127527.25621111528</v>
      </c>
      <c r="Z439" s="203">
        <v>127368.83507705829</v>
      </c>
      <c r="AA439" s="272"/>
      <c r="AB439" s="272"/>
      <c r="AC439" s="272"/>
      <c r="AD439" s="272"/>
      <c r="AE439" s="272"/>
      <c r="AF439" s="272"/>
      <c r="AG439" s="272"/>
      <c r="AH439" s="272"/>
      <c r="AI439" s="272"/>
      <c r="AJ439" s="272"/>
      <c r="AK439" s="272"/>
      <c r="AL439" s="272"/>
      <c r="AM439" s="272"/>
      <c r="AN439" s="272"/>
      <c r="AO439" s="272"/>
      <c r="AP439" s="272"/>
      <c r="AQ439" s="272"/>
      <c r="AR439" s="301"/>
    </row>
    <row r="440" spans="5:44" s="1" customFormat="1">
      <c r="E440" s="441"/>
      <c r="F440" s="215">
        <v>3.5000000000000003E-2</v>
      </c>
      <c r="G440" s="202">
        <v>133282.61160581978</v>
      </c>
      <c r="H440" s="28">
        <v>133095.15272194636</v>
      </c>
      <c r="I440" s="28">
        <v>132907.69383807061</v>
      </c>
      <c r="J440" s="28">
        <v>132720.23495419696</v>
      </c>
      <c r="K440" s="28">
        <v>132532.77607032401</v>
      </c>
      <c r="L440" s="28">
        <v>132345.31718644919</v>
      </c>
      <c r="M440" s="28">
        <v>132157.85830257577</v>
      </c>
      <c r="N440" s="28">
        <v>131970.39941870212</v>
      </c>
      <c r="O440" s="28">
        <v>131782.9405348266</v>
      </c>
      <c r="P440" s="28">
        <v>131595.48165095295</v>
      </c>
      <c r="Q440" s="28">
        <v>131408.02276707976</v>
      </c>
      <c r="R440" s="28">
        <v>131220.56388320564</v>
      </c>
      <c r="S440" s="28">
        <v>131033.10499933106</v>
      </c>
      <c r="T440" s="28">
        <v>130845.64611545764</v>
      </c>
      <c r="U440" s="28">
        <v>130658.18723158306</v>
      </c>
      <c r="V440" s="28">
        <v>130470.72834770847</v>
      </c>
      <c r="W440" s="28">
        <v>130283.26946383505</v>
      </c>
      <c r="X440" s="28">
        <v>130095.81057996047</v>
      </c>
      <c r="Y440" s="28">
        <v>129908.35169608728</v>
      </c>
      <c r="Z440" s="203">
        <v>129720.89281221316</v>
      </c>
      <c r="AA440" s="272"/>
      <c r="AB440" s="272"/>
      <c r="AC440" s="272"/>
      <c r="AD440" s="272"/>
      <c r="AE440" s="272"/>
      <c r="AF440" s="272"/>
      <c r="AG440" s="272"/>
      <c r="AH440" s="272"/>
      <c r="AI440" s="272"/>
      <c r="AJ440" s="272"/>
      <c r="AK440" s="272"/>
      <c r="AL440" s="272"/>
      <c r="AM440" s="272"/>
      <c r="AN440" s="272"/>
      <c r="AO440" s="272"/>
      <c r="AP440" s="272"/>
      <c r="AQ440" s="272"/>
      <c r="AR440" s="301"/>
    </row>
    <row r="441" spans="5:44" s="1" customFormat="1">
      <c r="E441" s="441"/>
      <c r="F441" s="215">
        <v>0.04</v>
      </c>
      <c r="G441" s="202">
        <v>136186.38658749172</v>
      </c>
      <c r="H441" s="28">
        <v>135969.88995380071</v>
      </c>
      <c r="I441" s="28">
        <v>135753.3933201097</v>
      </c>
      <c r="J441" s="28">
        <v>135536.89668641938</v>
      </c>
      <c r="K441" s="28">
        <v>135320.40005272906</v>
      </c>
      <c r="L441" s="28">
        <v>135103.90341903782</v>
      </c>
      <c r="M441" s="28">
        <v>134887.40678534657</v>
      </c>
      <c r="N441" s="28">
        <v>134670.91015165625</v>
      </c>
      <c r="O441" s="28">
        <v>134454.41351796524</v>
      </c>
      <c r="P441" s="28">
        <v>134237.91688427399</v>
      </c>
      <c r="Q441" s="28">
        <v>134021.42025058344</v>
      </c>
      <c r="R441" s="28">
        <v>133804.92361689359</v>
      </c>
      <c r="S441" s="28">
        <v>133588.42698320281</v>
      </c>
      <c r="T441" s="28">
        <v>133371.93034951272</v>
      </c>
      <c r="U441" s="28">
        <v>133155.43371582078</v>
      </c>
      <c r="V441" s="28">
        <v>132938.93708213</v>
      </c>
      <c r="W441" s="28">
        <v>132722.44044843898</v>
      </c>
      <c r="X441" s="28">
        <v>132505.9438147489</v>
      </c>
      <c r="Y441" s="28">
        <v>132289.44718105812</v>
      </c>
      <c r="Z441" s="203">
        <v>132072.95054736687</v>
      </c>
      <c r="AA441" s="272"/>
      <c r="AB441" s="272"/>
      <c r="AC441" s="272"/>
      <c r="AD441" s="272"/>
      <c r="AE441" s="272"/>
      <c r="AF441" s="272"/>
      <c r="AG441" s="272"/>
      <c r="AH441" s="272"/>
      <c r="AI441" s="272"/>
      <c r="AJ441" s="272"/>
      <c r="AK441" s="272"/>
      <c r="AL441" s="272"/>
      <c r="AM441" s="272"/>
      <c r="AN441" s="272"/>
      <c r="AO441" s="272"/>
      <c r="AP441" s="272"/>
      <c r="AQ441" s="272"/>
      <c r="AR441" s="301"/>
    </row>
    <row r="442" spans="5:44" s="1" customFormat="1">
      <c r="E442" s="441"/>
      <c r="F442" s="215">
        <v>4.4999999999999998E-2</v>
      </c>
      <c r="G442" s="202">
        <v>139090.16156916367</v>
      </c>
      <c r="H442" s="28">
        <v>138844.62718565576</v>
      </c>
      <c r="I442" s="28">
        <v>138599.09280214808</v>
      </c>
      <c r="J442" s="28">
        <v>138353.55841864133</v>
      </c>
      <c r="K442" s="28">
        <v>138108.02403513342</v>
      </c>
      <c r="L442" s="28">
        <v>137862.48965162644</v>
      </c>
      <c r="M442" s="28">
        <v>137616.9552681183</v>
      </c>
      <c r="N442" s="28">
        <v>137371.42088461155</v>
      </c>
      <c r="O442" s="28">
        <v>137125.88650110341</v>
      </c>
      <c r="P442" s="28">
        <v>136880.35211759596</v>
      </c>
      <c r="Q442" s="28">
        <v>136634.81773408875</v>
      </c>
      <c r="R442" s="28">
        <v>136389.28335058223</v>
      </c>
      <c r="S442" s="28">
        <v>136143.74896707362</v>
      </c>
      <c r="T442" s="28">
        <v>135898.21458356618</v>
      </c>
      <c r="U442" s="28">
        <v>135652.68020005827</v>
      </c>
      <c r="V442" s="28">
        <v>135407.14581655152</v>
      </c>
      <c r="W442" s="28">
        <v>135161.61143304384</v>
      </c>
      <c r="X442" s="28">
        <v>134916.07704953733</v>
      </c>
      <c r="Y442" s="28">
        <v>134670.54266602849</v>
      </c>
      <c r="Z442" s="203">
        <v>134425.00828252034</v>
      </c>
      <c r="AA442" s="272"/>
      <c r="AB442" s="272"/>
      <c r="AC442" s="272"/>
      <c r="AD442" s="272"/>
      <c r="AE442" s="272"/>
      <c r="AF442" s="272"/>
      <c r="AG442" s="272"/>
      <c r="AH442" s="272"/>
      <c r="AI442" s="272"/>
      <c r="AJ442" s="272"/>
      <c r="AK442" s="272"/>
      <c r="AL442" s="272"/>
      <c r="AM442" s="272"/>
      <c r="AN442" s="272"/>
      <c r="AO442" s="272"/>
      <c r="AP442" s="272"/>
      <c r="AQ442" s="272"/>
      <c r="AR442" s="301"/>
    </row>
    <row r="443" spans="5:44" s="1" customFormat="1">
      <c r="E443" s="441"/>
      <c r="F443" s="215">
        <v>0.05</v>
      </c>
      <c r="G443" s="202">
        <v>141993.93655083585</v>
      </c>
      <c r="H443" s="28">
        <v>141719.36441751081</v>
      </c>
      <c r="I443" s="28">
        <v>141444.7922841867</v>
      </c>
      <c r="J443" s="28">
        <v>141170.22015086259</v>
      </c>
      <c r="K443" s="28">
        <v>140895.64801753848</v>
      </c>
      <c r="L443" s="28">
        <v>140621.07588421414</v>
      </c>
      <c r="M443" s="28">
        <v>140346.50375089026</v>
      </c>
      <c r="N443" s="28">
        <v>140071.93161756569</v>
      </c>
      <c r="O443" s="28">
        <v>139797.35948424111</v>
      </c>
      <c r="P443" s="28">
        <v>139522.78735091747</v>
      </c>
      <c r="Q443" s="28">
        <v>139248.21521759313</v>
      </c>
      <c r="R443" s="28">
        <v>138973.64308426995</v>
      </c>
      <c r="S443" s="28">
        <v>138699.07095094491</v>
      </c>
      <c r="T443" s="28">
        <v>138424.49881762057</v>
      </c>
      <c r="U443" s="28">
        <v>138149.92668429576</v>
      </c>
      <c r="V443" s="28">
        <v>137875.35455097212</v>
      </c>
      <c r="W443" s="28">
        <v>137600.78241764707</v>
      </c>
      <c r="X443" s="28">
        <v>137326.21028432366</v>
      </c>
      <c r="Y443" s="28">
        <v>137051.63815100002</v>
      </c>
      <c r="Z443" s="203">
        <v>136777.06601767498</v>
      </c>
      <c r="AA443" s="272"/>
      <c r="AB443" s="272"/>
      <c r="AC443" s="272"/>
      <c r="AD443" s="272"/>
      <c r="AE443" s="272"/>
      <c r="AF443" s="272"/>
      <c r="AG443" s="272"/>
      <c r="AH443" s="272"/>
      <c r="AI443" s="272"/>
      <c r="AJ443" s="272"/>
      <c r="AK443" s="272"/>
      <c r="AL443" s="272"/>
      <c r="AM443" s="272"/>
      <c r="AN443" s="272"/>
      <c r="AO443" s="272"/>
      <c r="AP443" s="272"/>
      <c r="AQ443" s="272"/>
      <c r="AR443" s="301"/>
    </row>
    <row r="444" spans="5:44" s="1" customFormat="1">
      <c r="E444" s="441"/>
      <c r="F444" s="215">
        <v>5.5E-2</v>
      </c>
      <c r="G444" s="202">
        <v>144897.71153250663</v>
      </c>
      <c r="H444" s="28">
        <v>144594.10164936818</v>
      </c>
      <c r="I444" s="28">
        <v>144290.49176622485</v>
      </c>
      <c r="J444" s="28">
        <v>143986.88188308501</v>
      </c>
      <c r="K444" s="28">
        <v>143683.27199994377</v>
      </c>
      <c r="L444" s="28">
        <v>143379.6621168023</v>
      </c>
      <c r="M444" s="28">
        <v>143076.05223366152</v>
      </c>
      <c r="N444" s="28">
        <v>142772.44235052122</v>
      </c>
      <c r="O444" s="28">
        <v>142468.83246737975</v>
      </c>
      <c r="P444" s="28">
        <v>142165.22258423897</v>
      </c>
      <c r="Q444" s="28">
        <v>141861.61270109797</v>
      </c>
      <c r="R444" s="28">
        <v>141558.0028179572</v>
      </c>
      <c r="S444" s="28">
        <v>141254.39293481549</v>
      </c>
      <c r="T444" s="28">
        <v>140950.78305167495</v>
      </c>
      <c r="U444" s="28">
        <v>140647.17316853511</v>
      </c>
      <c r="V444" s="28">
        <v>140343.56328539387</v>
      </c>
      <c r="W444" s="28">
        <v>140039.95340225217</v>
      </c>
      <c r="X444" s="28">
        <v>139736.34351911163</v>
      </c>
      <c r="Y444" s="28">
        <v>139432.73363597109</v>
      </c>
      <c r="Z444" s="203">
        <v>139129.12375282939</v>
      </c>
      <c r="AA444" s="272"/>
      <c r="AB444" s="272"/>
      <c r="AC444" s="272"/>
      <c r="AD444" s="272"/>
      <c r="AE444" s="272"/>
      <c r="AF444" s="272"/>
      <c r="AG444" s="272"/>
      <c r="AH444" s="272"/>
      <c r="AI444" s="272"/>
      <c r="AJ444" s="272"/>
      <c r="AK444" s="272"/>
      <c r="AL444" s="272"/>
      <c r="AM444" s="272"/>
      <c r="AN444" s="272"/>
      <c r="AO444" s="272"/>
      <c r="AP444" s="272"/>
      <c r="AQ444" s="272"/>
      <c r="AR444" s="301"/>
    </row>
    <row r="445" spans="5:44" s="1" customFormat="1">
      <c r="E445" s="441"/>
      <c r="F445" s="215">
        <v>0.06</v>
      </c>
      <c r="G445" s="202">
        <v>147801.48651417904</v>
      </c>
      <c r="H445" s="28">
        <v>147468.83888122183</v>
      </c>
      <c r="I445" s="28">
        <v>147136.19124826393</v>
      </c>
      <c r="J445" s="28">
        <v>146803.54361530649</v>
      </c>
      <c r="K445" s="28">
        <v>146470.89598234813</v>
      </c>
      <c r="L445" s="28">
        <v>146138.24834939092</v>
      </c>
      <c r="M445" s="28">
        <v>145805.60071643326</v>
      </c>
      <c r="N445" s="28">
        <v>145472.95308347605</v>
      </c>
      <c r="O445" s="28">
        <v>145140.30545051838</v>
      </c>
      <c r="P445" s="28">
        <v>144807.65781756002</v>
      </c>
      <c r="Q445" s="28">
        <v>144475.01018460258</v>
      </c>
      <c r="R445" s="28">
        <v>144142.36255164538</v>
      </c>
      <c r="S445" s="28">
        <v>143809.71491868701</v>
      </c>
      <c r="T445" s="28">
        <v>143477.06728573027</v>
      </c>
      <c r="U445" s="28">
        <v>143144.41965277237</v>
      </c>
      <c r="V445" s="28">
        <v>142811.7720198147</v>
      </c>
      <c r="W445" s="28">
        <v>142479.12438685633</v>
      </c>
      <c r="X445" s="28">
        <v>142146.47675390006</v>
      </c>
      <c r="Y445" s="28">
        <v>141813.82912094123</v>
      </c>
      <c r="Z445" s="203">
        <v>141481.18148798402</v>
      </c>
      <c r="AA445" s="272"/>
      <c r="AB445" s="272"/>
      <c r="AC445" s="272"/>
      <c r="AD445" s="272"/>
      <c r="AE445" s="272"/>
      <c r="AF445" s="272"/>
      <c r="AG445" s="272"/>
      <c r="AH445" s="272"/>
      <c r="AI445" s="272"/>
      <c r="AJ445" s="272"/>
      <c r="AK445" s="272"/>
      <c r="AL445" s="272"/>
      <c r="AM445" s="272"/>
      <c r="AN445" s="272"/>
      <c r="AO445" s="272"/>
      <c r="AP445" s="272"/>
      <c r="AQ445" s="272"/>
      <c r="AR445" s="301"/>
    </row>
    <row r="446" spans="5:44" s="1" customFormat="1">
      <c r="E446" s="441"/>
      <c r="F446" s="215">
        <v>6.5000000000000002E-2</v>
      </c>
      <c r="G446" s="202">
        <v>150705.26149585098</v>
      </c>
      <c r="H446" s="28">
        <v>150343.57611307665</v>
      </c>
      <c r="I446" s="28">
        <v>149981.89073030232</v>
      </c>
      <c r="J446" s="28">
        <v>149620.20534752845</v>
      </c>
      <c r="K446" s="28">
        <v>149258.51996475342</v>
      </c>
      <c r="L446" s="28">
        <v>148896.83458197932</v>
      </c>
      <c r="M446" s="28">
        <v>148535.14919920475</v>
      </c>
      <c r="N446" s="28">
        <v>148173.46381643112</v>
      </c>
      <c r="O446" s="28">
        <v>147811.77843365539</v>
      </c>
      <c r="P446" s="28">
        <v>147450.09305088129</v>
      </c>
      <c r="Q446" s="28">
        <v>147088.40766810765</v>
      </c>
      <c r="R446" s="28">
        <v>146726.72228533286</v>
      </c>
      <c r="S446" s="28">
        <v>146365.03690255829</v>
      </c>
      <c r="T446" s="28">
        <v>146003.35151978442</v>
      </c>
      <c r="U446" s="28">
        <v>145641.66613700963</v>
      </c>
      <c r="V446" s="28">
        <v>145279.98075423576</v>
      </c>
      <c r="W446" s="28">
        <v>144918.29537146096</v>
      </c>
      <c r="X446" s="28">
        <v>144556.60998868709</v>
      </c>
      <c r="Y446" s="28">
        <v>144194.92460591183</v>
      </c>
      <c r="Z446" s="203">
        <v>143833.23922313796</v>
      </c>
      <c r="AA446" s="272"/>
      <c r="AB446" s="272"/>
      <c r="AC446" s="272"/>
      <c r="AD446" s="272"/>
      <c r="AE446" s="272"/>
      <c r="AF446" s="272"/>
      <c r="AG446" s="272"/>
      <c r="AH446" s="272"/>
      <c r="AI446" s="272"/>
      <c r="AJ446" s="272"/>
      <c r="AK446" s="272"/>
      <c r="AL446" s="272"/>
      <c r="AM446" s="272"/>
      <c r="AN446" s="272"/>
      <c r="AO446" s="272"/>
      <c r="AP446" s="272"/>
      <c r="AQ446" s="272"/>
      <c r="AR446" s="301"/>
    </row>
    <row r="447" spans="5:44" s="1" customFormat="1" ht="13.8" thickBot="1">
      <c r="E447" s="442"/>
      <c r="F447" s="216">
        <v>7.0000000000000007E-2</v>
      </c>
      <c r="G447" s="205">
        <v>153609.03647752269</v>
      </c>
      <c r="H447" s="206">
        <v>153218.3133449317</v>
      </c>
      <c r="I447" s="206">
        <v>152827.5902123407</v>
      </c>
      <c r="J447" s="206">
        <v>152436.8670797504</v>
      </c>
      <c r="K447" s="206">
        <v>152046.14394715847</v>
      </c>
      <c r="L447" s="206">
        <v>151655.42081456725</v>
      </c>
      <c r="M447" s="206">
        <v>151264.69768197695</v>
      </c>
      <c r="N447" s="206">
        <v>150873.97454938549</v>
      </c>
      <c r="O447" s="206">
        <v>150483.25141679402</v>
      </c>
      <c r="P447" s="206">
        <v>150092.52828420303</v>
      </c>
      <c r="Q447" s="206">
        <v>149701.80515161157</v>
      </c>
      <c r="R447" s="206">
        <v>149311.08201902173</v>
      </c>
      <c r="S447" s="206">
        <v>148920.35888643027</v>
      </c>
      <c r="T447" s="206">
        <v>148529.63575383835</v>
      </c>
      <c r="U447" s="206">
        <v>148138.91262124828</v>
      </c>
      <c r="V447" s="206">
        <v>147748.18948865682</v>
      </c>
      <c r="W447" s="206">
        <v>147357.46635606606</v>
      </c>
      <c r="X447" s="206">
        <v>146966.74322347459</v>
      </c>
      <c r="Y447" s="206">
        <v>146576.02009088383</v>
      </c>
      <c r="Z447" s="207">
        <v>146185.29695829214</v>
      </c>
      <c r="AA447" s="272"/>
      <c r="AB447" s="272"/>
      <c r="AC447" s="272"/>
      <c r="AD447" s="272"/>
      <c r="AE447" s="272"/>
      <c r="AF447" s="272"/>
      <c r="AG447" s="272"/>
      <c r="AH447" s="272"/>
      <c r="AI447" s="272"/>
      <c r="AJ447" s="272"/>
      <c r="AK447" s="272"/>
      <c r="AL447" s="272"/>
      <c r="AM447" s="272"/>
      <c r="AN447" s="272"/>
      <c r="AO447" s="272"/>
      <c r="AP447" s="272"/>
      <c r="AQ447" s="272"/>
      <c r="AR447" s="301"/>
    </row>
    <row r="448" spans="5:44" s="1" customFormat="1" ht="13.8" thickBot="1">
      <c r="AA448" s="272"/>
      <c r="AB448" s="272"/>
      <c r="AC448" s="272"/>
      <c r="AD448" s="272"/>
      <c r="AE448" s="272"/>
      <c r="AF448" s="272"/>
      <c r="AG448" s="272"/>
      <c r="AH448" s="272"/>
      <c r="AI448" s="272"/>
      <c r="AJ448" s="272"/>
      <c r="AK448" s="272"/>
      <c r="AL448" s="272"/>
      <c r="AM448" s="272"/>
      <c r="AN448" s="272"/>
      <c r="AO448" s="272"/>
      <c r="AP448" s="272"/>
      <c r="AQ448" s="272"/>
      <c r="AR448" s="301"/>
    </row>
    <row r="449" spans="3:44" s="1" customFormat="1" ht="13.8" thickBot="1">
      <c r="E449" s="195"/>
      <c r="F449" s="196"/>
      <c r="G449" s="443" t="s">
        <v>35</v>
      </c>
      <c r="H449" s="444"/>
      <c r="I449" s="444"/>
      <c r="J449" s="444"/>
      <c r="K449" s="444"/>
      <c r="L449" s="444"/>
      <c r="M449" s="444"/>
      <c r="N449" s="444"/>
      <c r="O449" s="444"/>
      <c r="P449" s="444"/>
      <c r="Q449" s="444"/>
      <c r="R449" s="444"/>
      <c r="S449" s="444"/>
      <c r="T449" s="444"/>
      <c r="U449" s="444"/>
      <c r="V449" s="444"/>
      <c r="W449" s="444"/>
      <c r="X449" s="444"/>
      <c r="Y449" s="444"/>
      <c r="Z449" s="445"/>
      <c r="AA449" s="272"/>
      <c r="AB449" s="272"/>
      <c r="AC449" s="272"/>
      <c r="AD449" s="272"/>
      <c r="AE449" s="272"/>
      <c r="AF449" s="272"/>
      <c r="AG449" s="272"/>
      <c r="AH449" s="272"/>
      <c r="AI449" s="272"/>
      <c r="AJ449" s="272"/>
      <c r="AK449" s="272"/>
      <c r="AL449" s="272"/>
      <c r="AM449" s="272"/>
      <c r="AN449" s="272"/>
      <c r="AO449" s="272"/>
      <c r="AP449" s="272"/>
      <c r="AQ449" s="272"/>
      <c r="AR449" s="301"/>
    </row>
    <row r="450" spans="3:44" s="1" customFormat="1" ht="13.8" thickBot="1">
      <c r="E450" s="208" t="s">
        <v>136</v>
      </c>
      <c r="F450" s="209">
        <f>+G182</f>
        <v>128160.94074734487</v>
      </c>
      <c r="G450" s="210">
        <v>1</v>
      </c>
      <c r="H450" s="217">
        <v>0.99</v>
      </c>
      <c r="I450" s="217">
        <v>0.98</v>
      </c>
      <c r="J450" s="217">
        <v>0.97</v>
      </c>
      <c r="K450" s="217">
        <v>0.96</v>
      </c>
      <c r="L450" s="217">
        <v>0.95</v>
      </c>
      <c r="M450" s="217">
        <v>0.94</v>
      </c>
      <c r="N450" s="217">
        <v>0.93</v>
      </c>
      <c r="O450" s="217">
        <v>0.92</v>
      </c>
      <c r="P450" s="217">
        <v>0.91</v>
      </c>
      <c r="Q450" s="217">
        <v>0.9</v>
      </c>
      <c r="R450" s="217">
        <v>0.89</v>
      </c>
      <c r="S450" s="217">
        <v>0.88</v>
      </c>
      <c r="T450" s="217">
        <v>0.87</v>
      </c>
      <c r="U450" s="217">
        <v>0.86</v>
      </c>
      <c r="V450" s="217">
        <v>0.85</v>
      </c>
      <c r="W450" s="217">
        <v>0.84</v>
      </c>
      <c r="X450" s="217">
        <v>0.83</v>
      </c>
      <c r="Y450" s="217">
        <v>0.82</v>
      </c>
      <c r="Z450" s="218">
        <v>0.81</v>
      </c>
      <c r="AA450" s="272"/>
      <c r="AB450" s="272"/>
      <c r="AC450" s="272"/>
      <c r="AD450" s="272"/>
      <c r="AE450" s="272"/>
      <c r="AF450" s="272"/>
      <c r="AG450" s="272"/>
      <c r="AH450" s="272"/>
      <c r="AI450" s="272"/>
      <c r="AJ450" s="272"/>
      <c r="AK450" s="272"/>
      <c r="AL450" s="272"/>
      <c r="AM450" s="272"/>
      <c r="AN450" s="272"/>
      <c r="AO450" s="272"/>
      <c r="AP450" s="272"/>
      <c r="AQ450" s="272"/>
      <c r="AR450" s="301"/>
    </row>
    <row r="451" spans="3:44" s="1" customFormat="1">
      <c r="E451" s="440" t="s">
        <v>25</v>
      </c>
      <c r="F451" s="211">
        <v>5.2499999999999998E-2</v>
      </c>
      <c r="G451" s="199">
        <f t="dataTable" ref="G451:Z465" dt2D="1" dtr="0" r1="H24" r2="E12"/>
        <v>177874.28984096739</v>
      </c>
      <c r="H451" s="200">
        <v>177685.29847228364</v>
      </c>
      <c r="I451" s="200">
        <v>177496.30710360059</v>
      </c>
      <c r="J451" s="200">
        <v>177307.3157349173</v>
      </c>
      <c r="K451" s="200">
        <v>177118.32436623448</v>
      </c>
      <c r="L451" s="200">
        <v>176929.33299755072</v>
      </c>
      <c r="M451" s="200">
        <v>176740.34162886767</v>
      </c>
      <c r="N451" s="200">
        <v>176551.35026018461</v>
      </c>
      <c r="O451" s="200">
        <v>176362.35889150179</v>
      </c>
      <c r="P451" s="200">
        <v>176173.3675228192</v>
      </c>
      <c r="Q451" s="200">
        <v>175984.37615413428</v>
      </c>
      <c r="R451" s="200">
        <v>175795.38478545239</v>
      </c>
      <c r="S451" s="200">
        <v>175606.39341676817</v>
      </c>
      <c r="T451" s="200">
        <v>175417.40204808582</v>
      </c>
      <c r="U451" s="200">
        <v>175228.41067940323</v>
      </c>
      <c r="V451" s="200">
        <v>175039.41931071808</v>
      </c>
      <c r="W451" s="200">
        <v>174850.42794203549</v>
      </c>
      <c r="X451" s="200">
        <v>174661.43657335266</v>
      </c>
      <c r="Y451" s="200">
        <v>174472.44520466938</v>
      </c>
      <c r="Z451" s="201">
        <v>174283.45383598655</v>
      </c>
      <c r="AA451" s="272"/>
      <c r="AB451" s="272"/>
      <c r="AC451" s="272"/>
      <c r="AD451" s="272"/>
      <c r="AE451" s="272"/>
      <c r="AF451" s="272"/>
      <c r="AG451" s="272"/>
      <c r="AH451" s="272"/>
      <c r="AI451" s="272"/>
      <c r="AJ451" s="272"/>
      <c r="AK451" s="272"/>
      <c r="AL451" s="272"/>
      <c r="AM451" s="272"/>
      <c r="AN451" s="272"/>
      <c r="AO451" s="272"/>
      <c r="AP451" s="272"/>
      <c r="AQ451" s="272"/>
      <c r="AR451" s="301"/>
    </row>
    <row r="452" spans="3:44" s="1" customFormat="1">
      <c r="C452" s="21"/>
      <c r="E452" s="441"/>
      <c r="F452" s="212">
        <v>5.3749999999999999E-2</v>
      </c>
      <c r="G452" s="202">
        <v>170629.23171255528</v>
      </c>
      <c r="H452" s="28">
        <v>170444.9595694025</v>
      </c>
      <c r="I452" s="28">
        <v>170260.68742625066</v>
      </c>
      <c r="J452" s="28">
        <v>170076.41528309812</v>
      </c>
      <c r="K452" s="28">
        <v>169892.14313994534</v>
      </c>
      <c r="L452" s="28">
        <v>169707.87099679373</v>
      </c>
      <c r="M452" s="28">
        <v>169523.59885364072</v>
      </c>
      <c r="N452" s="28">
        <v>169339.32671048865</v>
      </c>
      <c r="O452" s="28">
        <v>169155.05456733634</v>
      </c>
      <c r="P452" s="28">
        <v>168970.78242418356</v>
      </c>
      <c r="Q452" s="28">
        <v>168786.51028103149</v>
      </c>
      <c r="R452" s="28">
        <v>168602.23813787871</v>
      </c>
      <c r="S452" s="28">
        <v>168417.96599472663</v>
      </c>
      <c r="T452" s="28">
        <v>168233.69385157386</v>
      </c>
      <c r="U452" s="28">
        <v>168049.42170842295</v>
      </c>
      <c r="V452" s="28">
        <v>167865.14956526947</v>
      </c>
      <c r="W452" s="28">
        <v>167680.8774221174</v>
      </c>
      <c r="X452" s="28">
        <v>167496.60527896578</v>
      </c>
      <c r="Y452" s="28">
        <v>167312.33313581301</v>
      </c>
      <c r="Z452" s="203">
        <v>167128.0609926607</v>
      </c>
      <c r="AA452" s="272"/>
      <c r="AB452" s="272"/>
      <c r="AC452" s="272"/>
      <c r="AD452" s="272"/>
      <c r="AE452" s="272"/>
      <c r="AF452" s="272"/>
      <c r="AG452" s="272"/>
      <c r="AH452" s="272"/>
      <c r="AI452" s="272"/>
      <c r="AJ452" s="272"/>
      <c r="AK452" s="272"/>
      <c r="AL452" s="272"/>
      <c r="AM452" s="272"/>
      <c r="AN452" s="272"/>
      <c r="AO452" s="272"/>
      <c r="AP452" s="272"/>
      <c r="AQ452" s="272"/>
      <c r="AR452" s="301"/>
    </row>
    <row r="453" spans="3:44" s="1" customFormat="1">
      <c r="E453" s="441"/>
      <c r="F453" s="212">
        <v>5.5E-2</v>
      </c>
      <c r="G453" s="202">
        <v>163544.52658595704</v>
      </c>
      <c r="H453" s="28">
        <v>163364.85025577387</v>
      </c>
      <c r="I453" s="28">
        <v>163185.17392559047</v>
      </c>
      <c r="J453" s="28">
        <v>163005.49759540753</v>
      </c>
      <c r="K453" s="28">
        <v>162825.82126522483</v>
      </c>
      <c r="L453" s="28">
        <v>162646.1449350426</v>
      </c>
      <c r="M453" s="28">
        <v>162466.46860485943</v>
      </c>
      <c r="N453" s="28">
        <v>162286.79227467673</v>
      </c>
      <c r="O453" s="28">
        <v>162107.11594449426</v>
      </c>
      <c r="P453" s="28">
        <v>161927.43961431039</v>
      </c>
      <c r="Q453" s="28">
        <v>161747.76328412723</v>
      </c>
      <c r="R453" s="28">
        <v>161568.08695394499</v>
      </c>
      <c r="S453" s="28">
        <v>161388.41062376183</v>
      </c>
      <c r="T453" s="28">
        <v>161208.73429357819</v>
      </c>
      <c r="U453" s="28">
        <v>161029.05796339596</v>
      </c>
      <c r="V453" s="28">
        <v>160849.38163321279</v>
      </c>
      <c r="W453" s="28">
        <v>160669.70530303055</v>
      </c>
      <c r="X453" s="28">
        <v>160490.02897284692</v>
      </c>
      <c r="Y453" s="28">
        <v>160310.35264266422</v>
      </c>
      <c r="Z453" s="203">
        <v>160130.67631248198</v>
      </c>
      <c r="AA453" s="272"/>
      <c r="AB453" s="272"/>
      <c r="AC453" s="272"/>
      <c r="AD453" s="272"/>
      <c r="AE453" s="272"/>
      <c r="AF453" s="272"/>
      <c r="AG453" s="272"/>
      <c r="AH453" s="272"/>
      <c r="AI453" s="272"/>
      <c r="AJ453" s="272"/>
      <c r="AK453" s="272"/>
      <c r="AL453" s="272"/>
      <c r="AM453" s="272"/>
      <c r="AN453" s="272"/>
      <c r="AO453" s="272"/>
      <c r="AP453" s="272"/>
      <c r="AQ453" s="272"/>
      <c r="AR453" s="301"/>
    </row>
    <row r="454" spans="3:44" s="1" customFormat="1">
      <c r="E454" s="441"/>
      <c r="F454" s="212">
        <v>5.6250000000000001E-2</v>
      </c>
      <c r="G454" s="202">
        <v>156615.82762203366</v>
      </c>
      <c r="H454" s="28">
        <v>156440.62745718518</v>
      </c>
      <c r="I454" s="28">
        <v>156265.42729233764</v>
      </c>
      <c r="J454" s="28">
        <v>156090.22712748963</v>
      </c>
      <c r="K454" s="28">
        <v>155915.02696264139</v>
      </c>
      <c r="L454" s="28">
        <v>155739.82679779269</v>
      </c>
      <c r="M454" s="28">
        <v>155564.62663294445</v>
      </c>
      <c r="N454" s="28">
        <v>155389.42646809714</v>
      </c>
      <c r="O454" s="28">
        <v>155214.22630324843</v>
      </c>
      <c r="P454" s="28">
        <v>155039.02613840043</v>
      </c>
      <c r="Q454" s="28">
        <v>154863.82597355102</v>
      </c>
      <c r="R454" s="28">
        <v>154688.62580870325</v>
      </c>
      <c r="S454" s="28">
        <v>154513.42564385431</v>
      </c>
      <c r="T454" s="28">
        <v>154338.2254790077</v>
      </c>
      <c r="U454" s="28">
        <v>154163.02531415806</v>
      </c>
      <c r="V454" s="28">
        <v>153987.82514931075</v>
      </c>
      <c r="W454" s="28">
        <v>153812.62498446205</v>
      </c>
      <c r="X454" s="28">
        <v>153637.42481961427</v>
      </c>
      <c r="Y454" s="28">
        <v>153462.22465476533</v>
      </c>
      <c r="Z454" s="203">
        <v>153287.02448991733</v>
      </c>
      <c r="AA454" s="272"/>
      <c r="AB454" s="272"/>
      <c r="AC454" s="272"/>
      <c r="AD454" s="272"/>
      <c r="AE454" s="272"/>
      <c r="AF454" s="272"/>
      <c r="AG454" s="272"/>
      <c r="AH454" s="272"/>
      <c r="AI454" s="272"/>
      <c r="AJ454" s="272"/>
      <c r="AK454" s="272"/>
      <c r="AL454" s="272"/>
      <c r="AM454" s="272"/>
      <c r="AN454" s="272"/>
      <c r="AO454" s="272"/>
      <c r="AP454" s="272"/>
      <c r="AQ454" s="272"/>
      <c r="AR454" s="301"/>
    </row>
    <row r="455" spans="3:44" s="1" customFormat="1">
      <c r="E455" s="441"/>
      <c r="F455" s="212">
        <v>5.7500000000000002E-2</v>
      </c>
      <c r="G455" s="202">
        <v>149838.92453855486</v>
      </c>
      <c r="H455" s="28">
        <v>149668.08452619053</v>
      </c>
      <c r="I455" s="28">
        <v>149497.24451382877</v>
      </c>
      <c r="J455" s="28">
        <v>149326.40450146468</v>
      </c>
      <c r="K455" s="28">
        <v>149155.56448910199</v>
      </c>
      <c r="L455" s="28">
        <v>148984.7244767379</v>
      </c>
      <c r="M455" s="28">
        <v>148813.88446437521</v>
      </c>
      <c r="N455" s="28">
        <v>148643.04445201182</v>
      </c>
      <c r="O455" s="28">
        <v>148472.20443964866</v>
      </c>
      <c r="P455" s="28">
        <v>148301.36442728527</v>
      </c>
      <c r="Q455" s="28">
        <v>148130.52441492188</v>
      </c>
      <c r="R455" s="28">
        <v>147959.68440255895</v>
      </c>
      <c r="S455" s="28">
        <v>147788.84439019556</v>
      </c>
      <c r="T455" s="28">
        <v>147618.00437783264</v>
      </c>
      <c r="U455" s="28">
        <v>147447.16436546855</v>
      </c>
      <c r="V455" s="28">
        <v>147276.32435310539</v>
      </c>
      <c r="W455" s="28">
        <v>147105.48434074339</v>
      </c>
      <c r="X455" s="28">
        <v>146934.64432837931</v>
      </c>
      <c r="Y455" s="28">
        <v>146763.80431601591</v>
      </c>
      <c r="Z455" s="203">
        <v>146592.96430365299</v>
      </c>
      <c r="AA455" s="272"/>
      <c r="AB455" s="272"/>
      <c r="AC455" s="272"/>
      <c r="AD455" s="272"/>
      <c r="AE455" s="272"/>
      <c r="AF455" s="272"/>
      <c r="AG455" s="272"/>
      <c r="AH455" s="272"/>
      <c r="AI455" s="272"/>
      <c r="AJ455" s="272"/>
      <c r="AK455" s="272"/>
      <c r="AL455" s="272"/>
      <c r="AM455" s="272"/>
      <c r="AN455" s="272"/>
      <c r="AO455" s="272"/>
      <c r="AP455" s="272"/>
      <c r="AQ455" s="272"/>
      <c r="AR455" s="301"/>
    </row>
    <row r="456" spans="3:44" s="1" customFormat="1">
      <c r="E456" s="441"/>
      <c r="F456" s="212">
        <v>5.8749999999999997E-2</v>
      </c>
      <c r="G456" s="202">
        <v>143209.73881227127</v>
      </c>
      <c r="H456" s="204">
        <v>143043.14644912095</v>
      </c>
      <c r="I456" s="204">
        <v>142876.55408597039</v>
      </c>
      <c r="J456" s="204">
        <v>142709.9617228196</v>
      </c>
      <c r="K456" s="28">
        <v>142543.36935967044</v>
      </c>
      <c r="L456" s="28">
        <v>142376.77699652012</v>
      </c>
      <c r="M456" s="28">
        <v>142210.18463336979</v>
      </c>
      <c r="N456" s="28">
        <v>142043.592270219</v>
      </c>
      <c r="O456" s="28">
        <v>141876.99990706868</v>
      </c>
      <c r="P456" s="28">
        <v>141710.40754391951</v>
      </c>
      <c r="Q456" s="28">
        <v>141543.81518076872</v>
      </c>
      <c r="R456" s="28">
        <v>141377.2228176191</v>
      </c>
      <c r="S456" s="28">
        <v>141210.63045446808</v>
      </c>
      <c r="T456" s="28">
        <v>141044.03809131752</v>
      </c>
      <c r="U456" s="28">
        <v>140877.44572816766</v>
      </c>
      <c r="V456" s="28">
        <v>140710.8533650178</v>
      </c>
      <c r="W456" s="28">
        <v>140544.26100186724</v>
      </c>
      <c r="X456" s="28">
        <v>140377.66863871738</v>
      </c>
      <c r="Y456" s="28">
        <v>140211.07627556636</v>
      </c>
      <c r="Z456" s="203">
        <v>140044.48391241604</v>
      </c>
      <c r="AA456" s="272"/>
      <c r="AB456" s="272"/>
      <c r="AC456" s="272"/>
      <c r="AD456" s="272"/>
      <c r="AE456" s="272"/>
      <c r="AF456" s="272"/>
      <c r="AG456" s="272"/>
      <c r="AH456" s="272"/>
      <c r="AI456" s="272"/>
      <c r="AJ456" s="272"/>
      <c r="AK456" s="272"/>
      <c r="AL456" s="272"/>
      <c r="AM456" s="272"/>
      <c r="AN456" s="272"/>
      <c r="AO456" s="272"/>
      <c r="AP456" s="272"/>
      <c r="AQ456" s="272"/>
      <c r="AR456" s="301"/>
    </row>
    <row r="457" spans="3:44" s="1" customFormat="1">
      <c r="E457" s="441"/>
      <c r="F457" s="212">
        <v>0.06</v>
      </c>
      <c r="G457" s="202">
        <v>136724.31906471099</v>
      </c>
      <c r="H457" s="28">
        <v>136561.86523660645</v>
      </c>
      <c r="I457" s="28">
        <v>136399.41140850075</v>
      </c>
      <c r="J457" s="28">
        <v>136236.95758039597</v>
      </c>
      <c r="K457" s="28">
        <v>136074.50375229027</v>
      </c>
      <c r="L457" s="28">
        <v>135912.0499241841</v>
      </c>
      <c r="M457" s="28">
        <v>135749.5960960791</v>
      </c>
      <c r="N457" s="28">
        <v>135587.14226797409</v>
      </c>
      <c r="O457" s="28">
        <v>135424.68843986769</v>
      </c>
      <c r="P457" s="28">
        <v>135262.23461176292</v>
      </c>
      <c r="Q457" s="28">
        <v>135099.78078365652</v>
      </c>
      <c r="R457" s="28">
        <v>134937.32695555175</v>
      </c>
      <c r="S457" s="28">
        <v>134774.87312744511</v>
      </c>
      <c r="T457" s="28">
        <v>134612.41929934011</v>
      </c>
      <c r="U457" s="28">
        <v>134449.96547123441</v>
      </c>
      <c r="V457" s="28">
        <v>134287.51164312894</v>
      </c>
      <c r="W457" s="28">
        <v>134125.0578150237</v>
      </c>
      <c r="X457" s="28">
        <v>133962.60398691823</v>
      </c>
      <c r="Y457" s="28">
        <v>133800.15015881252</v>
      </c>
      <c r="Z457" s="203">
        <v>133637.69633070682</v>
      </c>
      <c r="AA457" s="272"/>
      <c r="AB457" s="272"/>
      <c r="AC457" s="272"/>
      <c r="AD457" s="272"/>
      <c r="AE457" s="272"/>
      <c r="AF457" s="272"/>
      <c r="AG457" s="272"/>
      <c r="AH457" s="272"/>
      <c r="AI457" s="272"/>
      <c r="AJ457" s="272"/>
      <c r="AK457" s="272"/>
      <c r="AL457" s="272"/>
      <c r="AM457" s="272"/>
      <c r="AN457" s="272"/>
      <c r="AO457" s="272"/>
      <c r="AP457" s="272"/>
      <c r="AQ457" s="272"/>
      <c r="AR457" s="301"/>
    </row>
    <row r="458" spans="3:44" s="1" customFormat="1">
      <c r="E458" s="441"/>
      <c r="F458" s="212">
        <v>6.1249999999999999E-2</v>
      </c>
      <c r="G458" s="202">
        <v>130378.83662414784</v>
      </c>
      <c r="H458" s="28">
        <v>130220.41549009108</v>
      </c>
      <c r="I458" s="28">
        <v>130061.99435603269</v>
      </c>
      <c r="J458" s="28">
        <v>129903.57322197594</v>
      </c>
      <c r="K458" s="28">
        <v>129745.15208791825</v>
      </c>
      <c r="L458" s="28">
        <v>129586.7309538608</v>
      </c>
      <c r="M458" s="28">
        <v>129428.30981980404</v>
      </c>
      <c r="N458" s="28">
        <v>129269.88868574682</v>
      </c>
      <c r="O458" s="28">
        <v>129111.46755169006</v>
      </c>
      <c r="P458" s="28">
        <v>128953.04641763074</v>
      </c>
      <c r="Q458" s="28">
        <v>128794.62528357492</v>
      </c>
      <c r="R458" s="28">
        <v>128636.2041495177</v>
      </c>
      <c r="S458" s="28">
        <v>128477.78301546047</v>
      </c>
      <c r="T458" s="28">
        <v>128319.36188140255</v>
      </c>
      <c r="U458" s="28">
        <v>128160.94074734487</v>
      </c>
      <c r="V458" s="28">
        <v>128002.51961328834</v>
      </c>
      <c r="W458" s="28">
        <v>127844.09847923042</v>
      </c>
      <c r="X458" s="28">
        <v>127685.67734517273</v>
      </c>
      <c r="Y458" s="28">
        <v>127527.25621111528</v>
      </c>
      <c r="Z458" s="203">
        <v>127368.83507705829</v>
      </c>
      <c r="AA458" s="272"/>
      <c r="AB458" s="272"/>
      <c r="AC458" s="272"/>
      <c r="AD458" s="272"/>
      <c r="AE458" s="272"/>
      <c r="AF458" s="272"/>
      <c r="AG458" s="272"/>
      <c r="AH458" s="272"/>
      <c r="AI458" s="272"/>
      <c r="AJ458" s="272"/>
      <c r="AK458" s="272"/>
      <c r="AL458" s="272"/>
      <c r="AM458" s="272"/>
      <c r="AN458" s="272"/>
      <c r="AO458" s="272"/>
      <c r="AP458" s="272"/>
      <c r="AQ458" s="272"/>
      <c r="AR458" s="301"/>
    </row>
    <row r="459" spans="3:44" s="1" customFormat="1">
      <c r="E459" s="441"/>
      <c r="F459" s="212">
        <v>6.25E-2</v>
      </c>
      <c r="G459" s="202">
        <v>124169.58125654818</v>
      </c>
      <c r="H459" s="28">
        <v>124015.09013714152</v>
      </c>
      <c r="I459" s="28">
        <v>123860.59901773185</v>
      </c>
      <c r="J459" s="28">
        <v>123706.10789832566</v>
      </c>
      <c r="K459" s="28">
        <v>123551.61677891738</v>
      </c>
      <c r="L459" s="28">
        <v>123397.12565950933</v>
      </c>
      <c r="M459" s="28">
        <v>123242.63454010175</v>
      </c>
      <c r="N459" s="28">
        <v>123088.1434206937</v>
      </c>
      <c r="O459" s="28">
        <v>122933.65230128542</v>
      </c>
      <c r="P459" s="28">
        <v>122779.1611818783</v>
      </c>
      <c r="Q459" s="28">
        <v>122624.67006247048</v>
      </c>
      <c r="R459" s="28">
        <v>122470.17894306267</v>
      </c>
      <c r="S459" s="28">
        <v>122315.68782365439</v>
      </c>
      <c r="T459" s="28">
        <v>122161.19670424727</v>
      </c>
      <c r="U459" s="28">
        <v>122006.70558483922</v>
      </c>
      <c r="V459" s="28">
        <v>121852.21446543187</v>
      </c>
      <c r="W459" s="28">
        <v>121697.72334602289</v>
      </c>
      <c r="X459" s="28">
        <v>121543.23222661624</v>
      </c>
      <c r="Y459" s="28">
        <v>121388.74110720796</v>
      </c>
      <c r="Z459" s="203">
        <v>121234.24998780014</v>
      </c>
      <c r="AA459" s="272"/>
      <c r="AB459" s="272"/>
      <c r="AC459" s="272"/>
      <c r="AD459" s="272"/>
      <c r="AE459" s="272"/>
      <c r="AF459" s="272"/>
      <c r="AG459" s="272"/>
      <c r="AH459" s="272"/>
      <c r="AI459" s="272"/>
      <c r="AJ459" s="272"/>
      <c r="AK459" s="272"/>
      <c r="AL459" s="272"/>
      <c r="AM459" s="272"/>
      <c r="AN459" s="272"/>
      <c r="AO459" s="272"/>
      <c r="AP459" s="272"/>
      <c r="AQ459" s="272"/>
      <c r="AR459" s="301"/>
    </row>
    <row r="460" spans="3:44" s="1" customFormat="1">
      <c r="E460" s="441"/>
      <c r="F460" s="212">
        <v>6.3750000000000001E-2</v>
      </c>
      <c r="G460" s="202">
        <v>118092.9570586374</v>
      </c>
      <c r="H460" s="28">
        <v>117942.29632868618</v>
      </c>
      <c r="I460" s="28">
        <v>117791.63559873588</v>
      </c>
      <c r="J460" s="28">
        <v>117640.97486878512</v>
      </c>
      <c r="K460" s="28">
        <v>117490.31413883413</v>
      </c>
      <c r="L460" s="28">
        <v>117339.65340888454</v>
      </c>
      <c r="M460" s="28">
        <v>117188.99267893261</v>
      </c>
      <c r="N460" s="28">
        <v>117038.33194898325</v>
      </c>
      <c r="O460" s="28">
        <v>116887.67121903249</v>
      </c>
      <c r="P460" s="28">
        <v>116737.0104890808</v>
      </c>
      <c r="Q460" s="28">
        <v>116586.34975913051</v>
      </c>
      <c r="R460" s="28">
        <v>116435.68902917998</v>
      </c>
      <c r="S460" s="28">
        <v>116285.02829922922</v>
      </c>
      <c r="T460" s="28">
        <v>116134.36756927916</v>
      </c>
      <c r="U460" s="28">
        <v>115983.70683932817</v>
      </c>
      <c r="V460" s="28">
        <v>115833.04610937694</v>
      </c>
      <c r="W460" s="28">
        <v>115682.38537942665</v>
      </c>
      <c r="X460" s="28">
        <v>115531.72464947542</v>
      </c>
      <c r="Y460" s="28">
        <v>115381.0639195249</v>
      </c>
      <c r="Z460" s="203">
        <v>115230.40318957577</v>
      </c>
      <c r="AA460" s="272"/>
      <c r="AB460" s="272"/>
      <c r="AC460" s="272"/>
      <c r="AD460" s="272"/>
      <c r="AE460" s="272"/>
      <c r="AF460" s="272"/>
      <c r="AG460" s="272"/>
      <c r="AH460" s="272"/>
      <c r="AI460" s="272"/>
      <c r="AJ460" s="272"/>
      <c r="AK460" s="272"/>
      <c r="AL460" s="272"/>
      <c r="AM460" s="272"/>
      <c r="AN460" s="272"/>
      <c r="AO460" s="272"/>
      <c r="AP460" s="272"/>
      <c r="AQ460" s="272"/>
      <c r="AR460" s="301"/>
    </row>
    <row r="461" spans="3:44" s="1" customFormat="1">
      <c r="E461" s="441"/>
      <c r="F461" s="212">
        <v>6.5000000000000002E-2</v>
      </c>
      <c r="G461" s="202">
        <v>112145.47850645101</v>
      </c>
      <c r="H461" s="28">
        <v>111998.55149159417</v>
      </c>
      <c r="I461" s="28">
        <v>111851.62447673711</v>
      </c>
      <c r="J461" s="28">
        <v>111704.69746188074</v>
      </c>
      <c r="K461" s="28">
        <v>111557.77044702368</v>
      </c>
      <c r="L461" s="28">
        <v>111410.84343216685</v>
      </c>
      <c r="M461" s="28">
        <v>111263.91641731025</v>
      </c>
      <c r="N461" s="28">
        <v>111116.98940245318</v>
      </c>
      <c r="O461" s="28">
        <v>110970.06238759682</v>
      </c>
      <c r="P461" s="28">
        <v>110823.13537273975</v>
      </c>
      <c r="Q461" s="28">
        <v>110676.20835788292</v>
      </c>
      <c r="R461" s="28">
        <v>110529.28134302679</v>
      </c>
      <c r="S461" s="28">
        <v>110382.35432816995</v>
      </c>
      <c r="T461" s="28">
        <v>110235.42731331289</v>
      </c>
      <c r="U461" s="28">
        <v>110088.50029845582</v>
      </c>
      <c r="V461" s="28">
        <v>109941.57328360039</v>
      </c>
      <c r="W461" s="28">
        <v>109794.64626874239</v>
      </c>
      <c r="X461" s="28">
        <v>109647.71925388649</v>
      </c>
      <c r="Y461" s="28">
        <v>109500.79223902943</v>
      </c>
      <c r="Z461" s="203">
        <v>109353.86522417259</v>
      </c>
      <c r="AA461" s="272"/>
      <c r="AB461" s="272"/>
      <c r="AC461" s="272"/>
      <c r="AD461" s="272"/>
      <c r="AE461" s="272"/>
      <c r="AF461" s="272"/>
      <c r="AG461" s="272"/>
      <c r="AH461" s="272"/>
      <c r="AI461" s="272"/>
      <c r="AJ461" s="272"/>
      <c r="AK461" s="272"/>
      <c r="AL461" s="272"/>
      <c r="AM461" s="272"/>
      <c r="AN461" s="272"/>
      <c r="AO461" s="272"/>
      <c r="AP461" s="272"/>
      <c r="AQ461" s="272"/>
      <c r="AR461" s="301"/>
    </row>
    <row r="462" spans="3:44" s="1" customFormat="1">
      <c r="E462" s="441"/>
      <c r="F462" s="212">
        <v>6.6250000000000003E-2</v>
      </c>
      <c r="G462" s="202">
        <v>106323.76665310492</v>
      </c>
      <c r="H462" s="28">
        <v>106180.47953028418</v>
      </c>
      <c r="I462" s="28">
        <v>106037.19240746275</v>
      </c>
      <c r="J462" s="28">
        <v>105893.90528464015</v>
      </c>
      <c r="K462" s="28">
        <v>105750.61816181894</v>
      </c>
      <c r="L462" s="28">
        <v>105607.33103899797</v>
      </c>
      <c r="M462" s="28">
        <v>105464.04391617631</v>
      </c>
      <c r="N462" s="28">
        <v>105320.75679335557</v>
      </c>
      <c r="O462" s="28">
        <v>105177.46967053437</v>
      </c>
      <c r="P462" s="28">
        <v>105034.18254771247</v>
      </c>
      <c r="Q462" s="28">
        <v>104890.8954248915</v>
      </c>
      <c r="R462" s="28">
        <v>104747.60830206936</v>
      </c>
      <c r="S462" s="28">
        <v>104604.32117924863</v>
      </c>
      <c r="T462" s="28">
        <v>104461.03405642742</v>
      </c>
      <c r="U462" s="28">
        <v>104317.74693360552</v>
      </c>
      <c r="V462" s="28">
        <v>104174.45981078502</v>
      </c>
      <c r="W462" s="28">
        <v>104031.17268796358</v>
      </c>
      <c r="X462" s="28">
        <v>103887.88556514238</v>
      </c>
      <c r="Y462" s="28">
        <v>103744.59844232071</v>
      </c>
      <c r="Z462" s="203">
        <v>103601.31131949974</v>
      </c>
      <c r="AA462" s="272"/>
      <c r="AB462" s="272"/>
      <c r="AC462" s="272"/>
      <c r="AD462" s="272"/>
      <c r="AE462" s="272"/>
      <c r="AF462" s="272"/>
      <c r="AG462" s="272"/>
      <c r="AH462" s="272"/>
      <c r="AI462" s="272"/>
      <c r="AJ462" s="272"/>
      <c r="AK462" s="272"/>
      <c r="AL462" s="272"/>
      <c r="AM462" s="272"/>
      <c r="AN462" s="272"/>
      <c r="AO462" s="272"/>
      <c r="AP462" s="272"/>
      <c r="AQ462" s="272"/>
      <c r="AR462" s="301"/>
    </row>
    <row r="463" spans="3:44" s="1" customFormat="1">
      <c r="E463" s="441"/>
      <c r="F463" s="212">
        <v>6.7500000000000004E-2</v>
      </c>
      <c r="G463" s="202">
        <v>100624.54546972271</v>
      </c>
      <c r="H463" s="28">
        <v>100484.80717135686</v>
      </c>
      <c r="I463" s="28">
        <v>100345.06887299125</v>
      </c>
      <c r="J463" s="28">
        <v>100205.33057462657</v>
      </c>
      <c r="K463" s="28">
        <v>100065.59227626026</v>
      </c>
      <c r="L463" s="28">
        <v>99925.853977895109</v>
      </c>
      <c r="M463" s="28">
        <v>99786.115679529263</v>
      </c>
      <c r="N463" s="28">
        <v>99646.377381164115</v>
      </c>
      <c r="O463" s="28">
        <v>99506.639082798501</v>
      </c>
      <c r="P463" s="28">
        <v>99366.900784434052</v>
      </c>
      <c r="Q463" s="28">
        <v>99227.162486067973</v>
      </c>
      <c r="R463" s="28">
        <v>99087.42418770236</v>
      </c>
      <c r="S463" s="28">
        <v>98947.685889336513</v>
      </c>
      <c r="T463" s="28">
        <v>98807.947590971133</v>
      </c>
      <c r="U463" s="28">
        <v>98668.209292605286</v>
      </c>
      <c r="V463" s="28">
        <v>98528.47099423944</v>
      </c>
      <c r="W463" s="28">
        <v>98388.732695874758</v>
      </c>
      <c r="X463" s="28">
        <v>98248.994397509377</v>
      </c>
      <c r="Y463" s="28">
        <v>98109.256099143066</v>
      </c>
      <c r="Z463" s="203">
        <v>97969.517800777685</v>
      </c>
      <c r="AA463" s="272"/>
      <c r="AB463" s="272"/>
      <c r="AC463" s="272"/>
      <c r="AD463" s="272"/>
      <c r="AE463" s="272"/>
      <c r="AF463" s="272"/>
      <c r="AG463" s="272"/>
      <c r="AH463" s="272"/>
      <c r="AI463" s="272"/>
      <c r="AJ463" s="272"/>
      <c r="AK463" s="272"/>
      <c r="AL463" s="272"/>
      <c r="AM463" s="272"/>
      <c r="AN463" s="272"/>
      <c r="AO463" s="272"/>
      <c r="AP463" s="272"/>
      <c r="AQ463" s="272"/>
      <c r="AR463" s="301"/>
    </row>
    <row r="464" spans="3:44" s="1" customFormat="1">
      <c r="E464" s="441"/>
      <c r="F464" s="212">
        <v>6.8750000000000006E-2</v>
      </c>
      <c r="G464" s="202">
        <v>95044.638323746389</v>
      </c>
      <c r="H464" s="28">
        <v>94908.360445460072</v>
      </c>
      <c r="I464" s="28">
        <v>94772.082567175617</v>
      </c>
      <c r="J464" s="28">
        <v>94635.80468889093</v>
      </c>
      <c r="K464" s="28">
        <v>94499.526810605777</v>
      </c>
      <c r="L464" s="28">
        <v>94363.248932320392</v>
      </c>
      <c r="M464" s="28">
        <v>94226.971054035472</v>
      </c>
      <c r="N464" s="28">
        <v>94090.693175749853</v>
      </c>
      <c r="O464" s="28">
        <v>93954.415297466097</v>
      </c>
      <c r="P464" s="28">
        <v>93818.137419180712</v>
      </c>
      <c r="Q464" s="28">
        <v>93681.859540895093</v>
      </c>
      <c r="R464" s="28">
        <v>93545.581662610872</v>
      </c>
      <c r="S464" s="28">
        <v>93409.303784325486</v>
      </c>
      <c r="T464" s="28">
        <v>93273.025906040333</v>
      </c>
      <c r="U464" s="28">
        <v>93136.74802775518</v>
      </c>
      <c r="V464" s="28">
        <v>93000.470149470726</v>
      </c>
      <c r="W464" s="28">
        <v>92864.192271185108</v>
      </c>
      <c r="X464" s="28">
        <v>92727.914392899955</v>
      </c>
      <c r="Y464" s="28">
        <v>92591.636514615035</v>
      </c>
      <c r="Z464" s="203">
        <v>92455.358636330348</v>
      </c>
      <c r="AA464" s="272"/>
      <c r="AB464" s="272"/>
      <c r="AC464" s="272"/>
      <c r="AD464" s="272"/>
      <c r="AE464" s="272"/>
      <c r="AF464" s="272"/>
      <c r="AG464" s="272"/>
      <c r="AH464" s="272"/>
      <c r="AI464" s="272"/>
      <c r="AJ464" s="272"/>
      <c r="AK464" s="272"/>
      <c r="AL464" s="272"/>
      <c r="AM464" s="272"/>
      <c r="AN464" s="272"/>
      <c r="AO464" s="272"/>
      <c r="AP464" s="272"/>
      <c r="AQ464" s="272"/>
      <c r="AR464" s="301"/>
    </row>
    <row r="465" spans="5:44" s="1" customFormat="1" ht="13.8" thickBot="1">
      <c r="E465" s="442"/>
      <c r="F465" s="213">
        <v>7.0000000000000007E-2</v>
      </c>
      <c r="G465" s="205">
        <v>89580.9645890994</v>
      </c>
      <c r="H465" s="206">
        <v>89448.061300858855</v>
      </c>
      <c r="I465" s="206">
        <v>89315.158012617612</v>
      </c>
      <c r="J465" s="206">
        <v>89182.254724376602</v>
      </c>
      <c r="K465" s="206">
        <v>89049.351436135126</v>
      </c>
      <c r="L465" s="206">
        <v>88916.448147894582</v>
      </c>
      <c r="M465" s="206">
        <v>88783.544859653339</v>
      </c>
      <c r="N465" s="206">
        <v>88650.641571411863</v>
      </c>
      <c r="O465" s="206">
        <v>88517.73828317062</v>
      </c>
      <c r="P465" s="206">
        <v>88384.834994929144</v>
      </c>
      <c r="Q465" s="206">
        <v>88251.9317066886</v>
      </c>
      <c r="R465" s="206">
        <v>88119.028418448055</v>
      </c>
      <c r="S465" s="206">
        <v>87986.125130207278</v>
      </c>
      <c r="T465" s="206">
        <v>87853.221841966035</v>
      </c>
      <c r="U465" s="206">
        <v>87720.318553724792</v>
      </c>
      <c r="V465" s="206">
        <v>87587.41526548285</v>
      </c>
      <c r="W465" s="206">
        <v>87454.511977242539</v>
      </c>
      <c r="X465" s="206">
        <v>87321.608689001296</v>
      </c>
      <c r="Y465" s="206">
        <v>87188.705400760984</v>
      </c>
      <c r="Z465" s="207">
        <v>87055.802112519043</v>
      </c>
      <c r="AA465" s="272"/>
      <c r="AB465" s="272"/>
      <c r="AC465" s="272"/>
      <c r="AD465" s="272"/>
      <c r="AE465" s="272"/>
      <c r="AF465" s="272"/>
      <c r="AG465" s="272"/>
      <c r="AH465" s="272"/>
      <c r="AI465" s="272"/>
      <c r="AJ465" s="272"/>
      <c r="AK465" s="272"/>
      <c r="AL465" s="272"/>
      <c r="AM465" s="272"/>
      <c r="AN465" s="272"/>
      <c r="AO465" s="272"/>
      <c r="AP465" s="272"/>
      <c r="AQ465" s="272"/>
      <c r="AR465" s="301"/>
    </row>
    <row r="466" spans="5:44" s="1" customFormat="1" ht="13.8" thickBot="1">
      <c r="AA466" s="272"/>
      <c r="AB466" s="272"/>
      <c r="AC466" s="272"/>
      <c r="AD466" s="272"/>
      <c r="AE466" s="272"/>
      <c r="AF466" s="272"/>
      <c r="AG466" s="272"/>
      <c r="AH466" s="272"/>
      <c r="AI466" s="272"/>
      <c r="AJ466" s="272"/>
      <c r="AK466" s="272"/>
      <c r="AL466" s="272"/>
      <c r="AM466" s="272"/>
      <c r="AN466" s="272"/>
      <c r="AO466" s="272"/>
      <c r="AP466" s="272"/>
      <c r="AQ466" s="272"/>
      <c r="AR466" s="301"/>
    </row>
    <row r="467" spans="5:44" s="1" customFormat="1" ht="13.8" thickBot="1">
      <c r="E467" s="195"/>
      <c r="F467" s="196"/>
      <c r="G467" s="443" t="s">
        <v>35</v>
      </c>
      <c r="H467" s="444"/>
      <c r="I467" s="444"/>
      <c r="J467" s="444"/>
      <c r="K467" s="444"/>
      <c r="L467" s="444"/>
      <c r="M467" s="444"/>
      <c r="N467" s="444"/>
      <c r="O467" s="444"/>
      <c r="P467" s="444"/>
      <c r="Q467" s="444"/>
      <c r="R467" s="444"/>
      <c r="S467" s="444"/>
      <c r="T467" s="444"/>
      <c r="U467" s="444"/>
      <c r="V467" s="444"/>
      <c r="W467" s="444"/>
      <c r="X467" s="444"/>
      <c r="Y467" s="444"/>
      <c r="Z467" s="445"/>
      <c r="AA467" s="272"/>
      <c r="AB467" s="272"/>
      <c r="AC467" s="272"/>
      <c r="AD467" s="272"/>
      <c r="AE467" s="272"/>
      <c r="AF467" s="272"/>
      <c r="AG467" s="272"/>
      <c r="AH467" s="272"/>
      <c r="AI467" s="272"/>
      <c r="AJ467" s="272"/>
      <c r="AK467" s="272"/>
      <c r="AL467" s="272"/>
      <c r="AM467" s="272"/>
      <c r="AN467" s="272"/>
      <c r="AO467" s="272"/>
      <c r="AP467" s="272"/>
      <c r="AQ467" s="272"/>
      <c r="AR467" s="301"/>
    </row>
    <row r="468" spans="5:44" s="1" customFormat="1" ht="13.8" thickBot="1">
      <c r="E468" s="208" t="s">
        <v>136</v>
      </c>
      <c r="F468" s="209">
        <f>+G182</f>
        <v>128160.94074734487</v>
      </c>
      <c r="G468" s="210">
        <v>1</v>
      </c>
      <c r="H468" s="217">
        <v>0.99</v>
      </c>
      <c r="I468" s="217">
        <v>0.98</v>
      </c>
      <c r="J468" s="217">
        <v>0.97</v>
      </c>
      <c r="K468" s="217">
        <v>0.96</v>
      </c>
      <c r="L468" s="217">
        <v>0.95</v>
      </c>
      <c r="M468" s="217">
        <v>0.94</v>
      </c>
      <c r="N468" s="217">
        <v>0.93</v>
      </c>
      <c r="O468" s="217">
        <v>0.92</v>
      </c>
      <c r="P468" s="217">
        <v>0.91</v>
      </c>
      <c r="Q468" s="217">
        <v>0.9</v>
      </c>
      <c r="R468" s="217">
        <v>0.89</v>
      </c>
      <c r="S468" s="217">
        <v>0.88</v>
      </c>
      <c r="T468" s="217">
        <v>0.87</v>
      </c>
      <c r="U468" s="217">
        <v>0.86</v>
      </c>
      <c r="V468" s="217">
        <v>0.85</v>
      </c>
      <c r="W468" s="217">
        <v>0.84</v>
      </c>
      <c r="X468" s="217">
        <v>0.83</v>
      </c>
      <c r="Y468" s="217">
        <v>0.82</v>
      </c>
      <c r="Z468" s="218">
        <v>0.81</v>
      </c>
      <c r="AA468" s="272"/>
      <c r="AB468" s="272"/>
      <c r="AC468" s="272"/>
      <c r="AD468" s="272"/>
      <c r="AE468" s="272"/>
      <c r="AF468" s="272"/>
      <c r="AG468" s="272"/>
      <c r="AH468" s="272"/>
      <c r="AI468" s="272"/>
      <c r="AJ468" s="272"/>
      <c r="AK468" s="272"/>
      <c r="AL468" s="272"/>
      <c r="AM468" s="272"/>
      <c r="AN468" s="272"/>
      <c r="AO468" s="272"/>
      <c r="AP468" s="272"/>
      <c r="AQ468" s="272"/>
      <c r="AR468" s="301"/>
    </row>
    <row r="469" spans="5:44" s="1" customFormat="1">
      <c r="E469" s="446" t="s">
        <v>149</v>
      </c>
      <c r="F469" s="211">
        <v>-7.0000000000000007E-2</v>
      </c>
      <c r="G469" s="199">
        <f t="dataTable" ref="G469:Z483" dt2D="1" dtr="0" r1="H24" r2="G173" ca="1"/>
        <v>121184.56505930144</v>
      </c>
      <c r="H469" s="200">
        <v>121026.14392524422</v>
      </c>
      <c r="I469" s="200">
        <v>120867.72279118607</v>
      </c>
      <c r="J469" s="200">
        <v>120709.30165713001</v>
      </c>
      <c r="K469" s="200">
        <v>120550.88052307209</v>
      </c>
      <c r="L469" s="200">
        <v>120392.45938901464</v>
      </c>
      <c r="M469" s="200">
        <v>120234.03825495765</v>
      </c>
      <c r="N469" s="200">
        <v>120075.61712090019</v>
      </c>
      <c r="O469" s="200">
        <v>119917.1959868432</v>
      </c>
      <c r="P469" s="200">
        <v>119758.77485278412</v>
      </c>
      <c r="Q469" s="200">
        <v>119600.35371872876</v>
      </c>
      <c r="R469" s="200">
        <v>119441.9325846713</v>
      </c>
      <c r="S469" s="200">
        <v>119283.51145061408</v>
      </c>
      <c r="T469" s="200">
        <v>119125.09031655616</v>
      </c>
      <c r="U469" s="200">
        <v>118966.66918249847</v>
      </c>
      <c r="V469" s="200">
        <v>118808.24804844195</v>
      </c>
      <c r="W469" s="200">
        <v>118649.82691438403</v>
      </c>
      <c r="X469" s="200">
        <v>118491.40578032634</v>
      </c>
      <c r="Y469" s="200">
        <v>118332.98464626889</v>
      </c>
      <c r="Z469" s="201">
        <v>118174.5635122119</v>
      </c>
      <c r="AA469" s="272"/>
      <c r="AB469" s="272"/>
      <c r="AC469" s="272"/>
      <c r="AD469" s="272"/>
      <c r="AE469" s="272"/>
      <c r="AF469" s="272"/>
      <c r="AG469" s="272"/>
      <c r="AH469" s="272"/>
      <c r="AI469" s="272"/>
      <c r="AJ469" s="272"/>
      <c r="AK469" s="272"/>
      <c r="AL469" s="272"/>
      <c r="AM469" s="272"/>
      <c r="AN469" s="272"/>
      <c r="AO469" s="272"/>
      <c r="AP469" s="272"/>
      <c r="AQ469" s="272"/>
      <c r="AR469" s="301"/>
    </row>
    <row r="470" spans="5:44" s="1" customFormat="1">
      <c r="E470" s="447"/>
      <c r="F470" s="212">
        <v>-0.06</v>
      </c>
      <c r="G470" s="202">
        <v>122498.03242570814</v>
      </c>
      <c r="H470" s="28">
        <v>122339.61129165115</v>
      </c>
      <c r="I470" s="28">
        <v>122181.19015759276</v>
      </c>
      <c r="J470" s="28">
        <v>122022.76902353647</v>
      </c>
      <c r="K470" s="28">
        <v>121864.34788947855</v>
      </c>
      <c r="L470" s="28">
        <v>121705.92675542133</v>
      </c>
      <c r="M470" s="28">
        <v>121547.50562136434</v>
      </c>
      <c r="N470" s="28">
        <v>121389.08448730712</v>
      </c>
      <c r="O470" s="28">
        <v>121230.66335325013</v>
      </c>
      <c r="P470" s="28">
        <v>121072.24221919104</v>
      </c>
      <c r="Q470" s="28">
        <v>120913.82108513522</v>
      </c>
      <c r="R470" s="28">
        <v>120755.399951078</v>
      </c>
      <c r="S470" s="28">
        <v>120596.97881702078</v>
      </c>
      <c r="T470" s="28">
        <v>120438.55768296309</v>
      </c>
      <c r="U470" s="28">
        <v>120280.13654890517</v>
      </c>
      <c r="V470" s="28">
        <v>120121.71541484818</v>
      </c>
      <c r="W470" s="28">
        <v>119963.29428079049</v>
      </c>
      <c r="X470" s="28">
        <v>119804.87314673304</v>
      </c>
      <c r="Y470" s="28">
        <v>119646.45201267558</v>
      </c>
      <c r="Z470" s="203">
        <v>119488.03087861859</v>
      </c>
      <c r="AA470" s="272"/>
      <c r="AB470" s="272"/>
      <c r="AC470" s="272"/>
      <c r="AD470" s="272"/>
      <c r="AE470" s="272"/>
      <c r="AF470" s="272"/>
      <c r="AG470" s="272"/>
      <c r="AH470" s="272"/>
      <c r="AI470" s="272"/>
      <c r="AJ470" s="272"/>
      <c r="AK470" s="272"/>
      <c r="AL470" s="272"/>
      <c r="AM470" s="272"/>
      <c r="AN470" s="272"/>
      <c r="AO470" s="272"/>
      <c r="AP470" s="272"/>
      <c r="AQ470" s="272"/>
      <c r="AR470" s="301"/>
    </row>
    <row r="471" spans="5:44" s="1" customFormat="1">
      <c r="E471" s="447"/>
      <c r="F471" s="212">
        <v>-0.05</v>
      </c>
      <c r="G471" s="202">
        <v>123811.4997921146</v>
      </c>
      <c r="H471" s="28">
        <v>123653.07865805761</v>
      </c>
      <c r="I471" s="28">
        <v>123494.65752399969</v>
      </c>
      <c r="J471" s="28">
        <v>123336.23638994317</v>
      </c>
      <c r="K471" s="28">
        <v>123177.81525588501</v>
      </c>
      <c r="L471" s="28">
        <v>123019.39412182779</v>
      </c>
      <c r="M471" s="28">
        <v>122860.97298777057</v>
      </c>
      <c r="N471" s="28">
        <v>122702.55185371358</v>
      </c>
      <c r="O471" s="28">
        <v>122544.13071965682</v>
      </c>
      <c r="P471" s="28">
        <v>122385.70958559774</v>
      </c>
      <c r="Q471" s="28">
        <v>122227.28845154191</v>
      </c>
      <c r="R471" s="28">
        <v>122068.86731748446</v>
      </c>
      <c r="S471" s="28">
        <v>121910.44618342747</v>
      </c>
      <c r="T471" s="28">
        <v>121752.02504936978</v>
      </c>
      <c r="U471" s="28">
        <v>121593.60391531186</v>
      </c>
      <c r="V471" s="28">
        <v>121435.18278125487</v>
      </c>
      <c r="W471" s="28">
        <v>121276.76164719719</v>
      </c>
      <c r="X471" s="28">
        <v>121118.34051313973</v>
      </c>
      <c r="Y471" s="28">
        <v>120959.91937908228</v>
      </c>
      <c r="Z471" s="203">
        <v>120801.49824502505</v>
      </c>
      <c r="AA471" s="272"/>
      <c r="AB471" s="272"/>
      <c r="AC471" s="272"/>
      <c r="AD471" s="272"/>
      <c r="AE471" s="272"/>
      <c r="AF471" s="272"/>
      <c r="AG471" s="272"/>
      <c r="AH471" s="272"/>
      <c r="AI471" s="272"/>
      <c r="AJ471" s="272"/>
      <c r="AK471" s="272"/>
      <c r="AL471" s="272"/>
      <c r="AM471" s="272"/>
      <c r="AN471" s="272"/>
      <c r="AO471" s="272"/>
      <c r="AP471" s="272"/>
      <c r="AQ471" s="272"/>
      <c r="AR471" s="301"/>
    </row>
    <row r="472" spans="5:44" s="1" customFormat="1">
      <c r="E472" s="447"/>
      <c r="F472" s="212">
        <v>-0.04</v>
      </c>
      <c r="G472" s="202">
        <v>125124.96715852106</v>
      </c>
      <c r="H472" s="28">
        <v>124966.54602446407</v>
      </c>
      <c r="I472" s="28">
        <v>124808.12489040615</v>
      </c>
      <c r="J472" s="28">
        <v>124649.70375635009</v>
      </c>
      <c r="K472" s="28">
        <v>124491.28262229194</v>
      </c>
      <c r="L472" s="28">
        <v>124332.86148823448</v>
      </c>
      <c r="M472" s="28">
        <v>124174.44035417773</v>
      </c>
      <c r="N472" s="28">
        <v>124016.01922012027</v>
      </c>
      <c r="O472" s="28">
        <v>123857.59808606328</v>
      </c>
      <c r="P472" s="28">
        <v>123699.17695200443</v>
      </c>
      <c r="Q472" s="28">
        <v>123540.75581794861</v>
      </c>
      <c r="R472" s="28">
        <v>123382.33468389115</v>
      </c>
      <c r="S472" s="28">
        <v>123223.91354983416</v>
      </c>
      <c r="T472" s="28">
        <v>123065.49241577624</v>
      </c>
      <c r="U472" s="28">
        <v>122907.07128171809</v>
      </c>
      <c r="V472" s="28">
        <v>122748.65014766157</v>
      </c>
      <c r="W472" s="28">
        <v>122590.22901360388</v>
      </c>
      <c r="X472" s="28">
        <v>122431.80787954642</v>
      </c>
      <c r="Y472" s="28">
        <v>122273.38674548897</v>
      </c>
      <c r="Z472" s="203">
        <v>122114.96561143198</v>
      </c>
      <c r="AA472" s="272"/>
      <c r="AB472" s="272"/>
      <c r="AC472" s="272"/>
      <c r="AD472" s="272"/>
      <c r="AE472" s="272"/>
      <c r="AF472" s="272"/>
      <c r="AG472" s="272"/>
      <c r="AH472" s="272"/>
      <c r="AI472" s="272"/>
      <c r="AJ472" s="272"/>
      <c r="AK472" s="272"/>
      <c r="AL472" s="272"/>
      <c r="AM472" s="272"/>
      <c r="AN472" s="272"/>
      <c r="AO472" s="272"/>
      <c r="AP472" s="272"/>
      <c r="AQ472" s="272"/>
      <c r="AR472" s="301"/>
    </row>
    <row r="473" spans="5:44" s="1" customFormat="1">
      <c r="E473" s="447"/>
      <c r="F473" s="212">
        <v>-0.03</v>
      </c>
      <c r="G473" s="202">
        <v>126438.43452492775</v>
      </c>
      <c r="H473" s="28">
        <v>126280.013390871</v>
      </c>
      <c r="I473" s="28">
        <v>126121.59225681238</v>
      </c>
      <c r="J473" s="28">
        <v>125963.17112275655</v>
      </c>
      <c r="K473" s="28">
        <v>125804.74998869863</v>
      </c>
      <c r="L473" s="28">
        <v>125646.32885464095</v>
      </c>
      <c r="M473" s="28">
        <v>125487.90772058442</v>
      </c>
      <c r="N473" s="28">
        <v>125329.48658652697</v>
      </c>
      <c r="O473" s="28">
        <v>125171.06545246975</v>
      </c>
      <c r="P473" s="28">
        <v>125012.64431841089</v>
      </c>
      <c r="Q473" s="28">
        <v>124854.22318435553</v>
      </c>
      <c r="R473" s="28">
        <v>124695.80205029785</v>
      </c>
      <c r="S473" s="28">
        <v>124537.38091624086</v>
      </c>
      <c r="T473" s="28">
        <v>124378.95978218294</v>
      </c>
      <c r="U473" s="28">
        <v>124220.53864812525</v>
      </c>
      <c r="V473" s="28">
        <v>124062.1175140678</v>
      </c>
      <c r="W473" s="28">
        <v>123903.69638001034</v>
      </c>
      <c r="X473" s="28">
        <v>123745.27524595289</v>
      </c>
      <c r="Y473" s="28">
        <v>123586.85411189566</v>
      </c>
      <c r="Z473" s="203">
        <v>123428.43297783844</v>
      </c>
      <c r="AA473" s="272"/>
      <c r="AB473" s="272"/>
      <c r="AC473" s="272"/>
      <c r="AD473" s="272"/>
      <c r="AE473" s="272"/>
      <c r="AF473" s="272"/>
      <c r="AG473" s="272"/>
      <c r="AH473" s="272"/>
      <c r="AI473" s="272"/>
      <c r="AJ473" s="272"/>
      <c r="AK473" s="272"/>
      <c r="AL473" s="272"/>
      <c r="AM473" s="272"/>
      <c r="AN473" s="272"/>
      <c r="AO473" s="272"/>
      <c r="AP473" s="272"/>
      <c r="AQ473" s="272"/>
      <c r="AR473" s="301"/>
    </row>
    <row r="474" spans="5:44" s="1" customFormat="1">
      <c r="E474" s="447"/>
      <c r="F474" s="212">
        <v>-0.02</v>
      </c>
      <c r="G474" s="202">
        <v>127751.90189133445</v>
      </c>
      <c r="H474" s="204">
        <v>127593.48075727769</v>
      </c>
      <c r="I474" s="204">
        <v>127435.05962321931</v>
      </c>
      <c r="J474" s="204">
        <v>127276.63848916302</v>
      </c>
      <c r="K474" s="28">
        <v>127118.21735510533</v>
      </c>
      <c r="L474" s="28">
        <v>126959.79622104787</v>
      </c>
      <c r="M474" s="28">
        <v>126801.37508699065</v>
      </c>
      <c r="N474" s="28">
        <v>126642.95395293343</v>
      </c>
      <c r="O474" s="28">
        <v>126484.53281887644</v>
      </c>
      <c r="P474" s="28">
        <v>126326.11168481736</v>
      </c>
      <c r="Q474" s="28">
        <v>126167.690550762</v>
      </c>
      <c r="R474" s="28">
        <v>126009.26941670454</v>
      </c>
      <c r="S474" s="28">
        <v>125850.84828264732</v>
      </c>
      <c r="T474" s="28">
        <v>125692.4271485894</v>
      </c>
      <c r="U474" s="28">
        <v>125534.00601453148</v>
      </c>
      <c r="V474" s="28">
        <v>125375.58488047495</v>
      </c>
      <c r="W474" s="28">
        <v>125217.16374641703</v>
      </c>
      <c r="X474" s="28">
        <v>125058.74261235958</v>
      </c>
      <c r="Y474" s="28">
        <v>124900.32147830189</v>
      </c>
      <c r="Z474" s="203">
        <v>124741.9003442449</v>
      </c>
      <c r="AA474" s="272"/>
      <c r="AB474" s="272"/>
      <c r="AC474" s="272"/>
      <c r="AD474" s="272"/>
      <c r="AE474" s="272"/>
      <c r="AF474" s="272"/>
      <c r="AG474" s="272"/>
      <c r="AH474" s="272"/>
      <c r="AI474" s="272"/>
      <c r="AJ474" s="272"/>
      <c r="AK474" s="272"/>
      <c r="AL474" s="272"/>
      <c r="AM474" s="272"/>
      <c r="AN474" s="272"/>
      <c r="AO474" s="272"/>
      <c r="AP474" s="272"/>
      <c r="AQ474" s="272"/>
      <c r="AR474" s="301"/>
    </row>
    <row r="475" spans="5:44" s="1" customFormat="1">
      <c r="E475" s="447"/>
      <c r="F475" s="212">
        <v>-0.01</v>
      </c>
      <c r="G475" s="202">
        <v>129065.36925774091</v>
      </c>
      <c r="H475" s="28">
        <v>128906.94812368439</v>
      </c>
      <c r="I475" s="28">
        <v>128748.52698962577</v>
      </c>
      <c r="J475" s="28">
        <v>128590.10585556948</v>
      </c>
      <c r="K475" s="28">
        <v>128431.68472151179</v>
      </c>
      <c r="L475" s="28">
        <v>128273.26358745457</v>
      </c>
      <c r="M475" s="28">
        <v>128114.84245339781</v>
      </c>
      <c r="N475" s="28">
        <v>127956.42131934036</v>
      </c>
      <c r="O475" s="28">
        <v>127798.00018528313</v>
      </c>
      <c r="P475" s="28">
        <v>127639.57905122405</v>
      </c>
      <c r="Q475" s="28">
        <v>127481.15791716846</v>
      </c>
      <c r="R475" s="28">
        <v>127322.736783111</v>
      </c>
      <c r="S475" s="28">
        <v>127164.31564905425</v>
      </c>
      <c r="T475" s="28">
        <v>127005.89451499609</v>
      </c>
      <c r="U475" s="28">
        <v>126847.47338093817</v>
      </c>
      <c r="V475" s="28">
        <v>126689.05224688118</v>
      </c>
      <c r="W475" s="28">
        <v>126530.63111282396</v>
      </c>
      <c r="X475" s="28">
        <v>126372.20997876581</v>
      </c>
      <c r="Y475" s="28">
        <v>126213.78884470859</v>
      </c>
      <c r="Z475" s="203">
        <v>126055.3677106516</v>
      </c>
      <c r="AA475" s="272"/>
      <c r="AB475" s="272"/>
      <c r="AC475" s="272"/>
      <c r="AD475" s="272"/>
      <c r="AE475" s="272"/>
      <c r="AF475" s="272"/>
      <c r="AG475" s="272"/>
      <c r="AH475" s="272"/>
      <c r="AI475" s="272"/>
      <c r="AJ475" s="272"/>
      <c r="AK475" s="272"/>
      <c r="AL475" s="272"/>
      <c r="AM475" s="272"/>
      <c r="AN475" s="272"/>
      <c r="AO475" s="272"/>
      <c r="AP475" s="272"/>
      <c r="AQ475" s="272"/>
      <c r="AR475" s="301"/>
    </row>
    <row r="476" spans="5:44" s="1" customFormat="1">
      <c r="E476" s="447"/>
      <c r="F476" s="212">
        <v>0</v>
      </c>
      <c r="G476" s="202">
        <v>130378.83662414784</v>
      </c>
      <c r="H476" s="28">
        <v>130220.41549009108</v>
      </c>
      <c r="I476" s="28">
        <v>130061.99435603269</v>
      </c>
      <c r="J476" s="28">
        <v>129903.57322197594</v>
      </c>
      <c r="K476" s="28">
        <v>129745.15208791825</v>
      </c>
      <c r="L476" s="28">
        <v>129586.7309538608</v>
      </c>
      <c r="M476" s="28">
        <v>129428.30981980404</v>
      </c>
      <c r="N476" s="28">
        <v>129269.88868574682</v>
      </c>
      <c r="O476" s="28">
        <v>129111.46755169006</v>
      </c>
      <c r="P476" s="28">
        <v>128953.04641763074</v>
      </c>
      <c r="Q476" s="28">
        <v>128794.62528357492</v>
      </c>
      <c r="R476" s="28">
        <v>128636.2041495177</v>
      </c>
      <c r="S476" s="28">
        <v>128477.78301546047</v>
      </c>
      <c r="T476" s="28">
        <v>128319.36188140255</v>
      </c>
      <c r="U476" s="28">
        <v>128160.94074734487</v>
      </c>
      <c r="V476" s="28">
        <v>128002.51961328834</v>
      </c>
      <c r="W476" s="28">
        <v>127844.09847923042</v>
      </c>
      <c r="X476" s="28">
        <v>127685.67734517273</v>
      </c>
      <c r="Y476" s="28">
        <v>127527.25621111528</v>
      </c>
      <c r="Z476" s="203">
        <v>127368.83507705829</v>
      </c>
      <c r="AA476" s="272"/>
      <c r="AB476" s="272"/>
      <c r="AC476" s="272"/>
      <c r="AD476" s="272"/>
      <c r="AE476" s="272"/>
      <c r="AF476" s="272"/>
      <c r="AG476" s="272"/>
      <c r="AH476" s="272"/>
      <c r="AI476" s="272"/>
      <c r="AJ476" s="272"/>
      <c r="AK476" s="272"/>
      <c r="AL476" s="272"/>
      <c r="AM476" s="272"/>
      <c r="AN476" s="272"/>
      <c r="AO476" s="272"/>
      <c r="AP476" s="272"/>
      <c r="AQ476" s="272"/>
      <c r="AR476" s="301"/>
    </row>
    <row r="477" spans="5:44" s="1" customFormat="1">
      <c r="E477" s="447"/>
      <c r="F477" s="212">
        <v>0.01</v>
      </c>
      <c r="G477" s="202">
        <v>131692.30399055453</v>
      </c>
      <c r="H477" s="28">
        <v>131533.88285649754</v>
      </c>
      <c r="I477" s="28">
        <v>131375.46172243915</v>
      </c>
      <c r="J477" s="28">
        <v>131217.0405883831</v>
      </c>
      <c r="K477" s="28">
        <v>131058.61945432494</v>
      </c>
      <c r="L477" s="28">
        <v>130900.19832026772</v>
      </c>
      <c r="M477" s="28">
        <v>130741.77718621073</v>
      </c>
      <c r="N477" s="28">
        <v>130583.35605215328</v>
      </c>
      <c r="O477" s="28">
        <v>130424.93491809629</v>
      </c>
      <c r="P477" s="28">
        <v>130266.51378403767</v>
      </c>
      <c r="Q477" s="28">
        <v>130108.09264998185</v>
      </c>
      <c r="R477" s="28">
        <v>129949.67151592416</v>
      </c>
      <c r="S477" s="28">
        <v>129791.25038186717</v>
      </c>
      <c r="T477" s="28">
        <v>129632.82924780948</v>
      </c>
      <c r="U477" s="28">
        <v>129474.40811375156</v>
      </c>
      <c r="V477" s="28">
        <v>129315.98697969457</v>
      </c>
      <c r="W477" s="28">
        <v>129157.56584563688</v>
      </c>
      <c r="X477" s="28">
        <v>128999.1447115792</v>
      </c>
      <c r="Y477" s="28">
        <v>128840.72357752197</v>
      </c>
      <c r="Z477" s="203">
        <v>128682.30244346522</v>
      </c>
      <c r="AA477" s="272"/>
      <c r="AB477" s="272"/>
      <c r="AC477" s="272"/>
      <c r="AD477" s="272"/>
      <c r="AE477" s="272"/>
      <c r="AF477" s="272"/>
      <c r="AG477" s="272"/>
      <c r="AH477" s="272"/>
      <c r="AI477" s="272"/>
      <c r="AJ477" s="272"/>
      <c r="AK477" s="272"/>
      <c r="AL477" s="272"/>
      <c r="AM477" s="272"/>
      <c r="AN477" s="272"/>
      <c r="AO477" s="272"/>
      <c r="AP477" s="272"/>
      <c r="AQ477" s="272"/>
      <c r="AR477" s="301"/>
    </row>
    <row r="478" spans="5:44" s="1" customFormat="1">
      <c r="E478" s="447"/>
      <c r="F478" s="212">
        <v>0.02</v>
      </c>
      <c r="G478" s="202">
        <v>133005.77135696122</v>
      </c>
      <c r="H478" s="28">
        <v>132847.350222904</v>
      </c>
      <c r="I478" s="28">
        <v>132688.92908884562</v>
      </c>
      <c r="J478" s="28">
        <v>132530.50795478956</v>
      </c>
      <c r="K478" s="28">
        <v>132372.08682073164</v>
      </c>
      <c r="L478" s="28">
        <v>132213.66568667418</v>
      </c>
      <c r="M478" s="28">
        <v>132055.24455261696</v>
      </c>
      <c r="N478" s="28">
        <v>131896.82341855997</v>
      </c>
      <c r="O478" s="28">
        <v>131738.40228450322</v>
      </c>
      <c r="P478" s="28">
        <v>131579.98115044413</v>
      </c>
      <c r="Q478" s="28">
        <v>131421.56001638831</v>
      </c>
      <c r="R478" s="28">
        <v>131263.13888233085</v>
      </c>
      <c r="S478" s="28">
        <v>131104.71774827363</v>
      </c>
      <c r="T478" s="28">
        <v>130946.29661421617</v>
      </c>
      <c r="U478" s="28">
        <v>130787.87548015825</v>
      </c>
      <c r="V478" s="28">
        <v>130629.45434610127</v>
      </c>
      <c r="W478" s="28">
        <v>130471.03321204358</v>
      </c>
      <c r="X478" s="28">
        <v>130312.61207798612</v>
      </c>
      <c r="Y478" s="28">
        <v>130154.1909439282</v>
      </c>
      <c r="Z478" s="203">
        <v>129995.76980987145</v>
      </c>
      <c r="AA478" s="272"/>
      <c r="AB478" s="272"/>
      <c r="AC478" s="272"/>
      <c r="AD478" s="272"/>
      <c r="AE478" s="272"/>
      <c r="AF478" s="272"/>
      <c r="AG478" s="272"/>
      <c r="AH478" s="272"/>
      <c r="AI478" s="272"/>
      <c r="AJ478" s="272"/>
      <c r="AK478" s="272"/>
      <c r="AL478" s="272"/>
      <c r="AM478" s="272"/>
      <c r="AN478" s="272"/>
      <c r="AO478" s="272"/>
      <c r="AP478" s="272"/>
      <c r="AQ478" s="272"/>
      <c r="AR478" s="301"/>
    </row>
    <row r="479" spans="5:44" s="1" customFormat="1">
      <c r="E479" s="447"/>
      <c r="F479" s="212">
        <v>0.03</v>
      </c>
      <c r="G479" s="202">
        <v>134319.23872336769</v>
      </c>
      <c r="H479" s="28">
        <v>134160.81758931093</v>
      </c>
      <c r="I479" s="28">
        <v>134002.39645525254</v>
      </c>
      <c r="J479" s="28">
        <v>133843.97532119625</v>
      </c>
      <c r="K479" s="28">
        <v>133685.55418713856</v>
      </c>
      <c r="L479" s="28">
        <v>133527.13305308088</v>
      </c>
      <c r="M479" s="28">
        <v>133368.71191902366</v>
      </c>
      <c r="N479" s="28">
        <v>133210.29078496667</v>
      </c>
      <c r="O479" s="28">
        <v>133051.86965090968</v>
      </c>
      <c r="P479" s="28">
        <v>132893.44851685083</v>
      </c>
      <c r="Q479" s="28">
        <v>132735.02738279523</v>
      </c>
      <c r="R479" s="28">
        <v>132576.60624873778</v>
      </c>
      <c r="S479" s="28">
        <v>132418.18511468032</v>
      </c>
      <c r="T479" s="28">
        <v>132259.76398062264</v>
      </c>
      <c r="U479" s="28">
        <v>132101.34284656495</v>
      </c>
      <c r="V479" s="28">
        <v>131942.92171250796</v>
      </c>
      <c r="W479" s="28">
        <v>131784.5005784505</v>
      </c>
      <c r="X479" s="28">
        <v>131626.07944439258</v>
      </c>
      <c r="Y479" s="28">
        <v>131467.65831033536</v>
      </c>
      <c r="Z479" s="203">
        <v>131309.23717627814</v>
      </c>
      <c r="AA479" s="272"/>
      <c r="AB479" s="272"/>
      <c r="AC479" s="272"/>
      <c r="AD479" s="272"/>
      <c r="AE479" s="272"/>
      <c r="AF479" s="272"/>
      <c r="AG479" s="272"/>
      <c r="AH479" s="272"/>
      <c r="AI479" s="272"/>
      <c r="AJ479" s="272"/>
      <c r="AK479" s="272"/>
      <c r="AL479" s="272"/>
      <c r="AM479" s="272"/>
      <c r="AN479" s="272"/>
      <c r="AO479" s="272"/>
      <c r="AP479" s="272"/>
      <c r="AQ479" s="272"/>
      <c r="AR479" s="301"/>
    </row>
    <row r="480" spans="5:44" s="1" customFormat="1">
      <c r="E480" s="447"/>
      <c r="F480" s="212">
        <v>0.04</v>
      </c>
      <c r="G480" s="202">
        <v>135632.70608977415</v>
      </c>
      <c r="H480" s="28">
        <v>135474.28495571739</v>
      </c>
      <c r="I480" s="28">
        <v>135315.86382165924</v>
      </c>
      <c r="J480" s="28">
        <v>135157.44268760295</v>
      </c>
      <c r="K480" s="28">
        <v>134999.02155354503</v>
      </c>
      <c r="L480" s="28">
        <v>134840.60041948757</v>
      </c>
      <c r="M480" s="28">
        <v>134682.17928543035</v>
      </c>
      <c r="N480" s="28">
        <v>134523.75815137313</v>
      </c>
      <c r="O480" s="28">
        <v>134365.3370173166</v>
      </c>
      <c r="P480" s="28">
        <v>134206.91588325729</v>
      </c>
      <c r="Q480" s="28">
        <v>134048.49474920169</v>
      </c>
      <c r="R480" s="28">
        <v>133890.07361514424</v>
      </c>
      <c r="S480" s="28">
        <v>133731.65248108702</v>
      </c>
      <c r="T480" s="28">
        <v>133573.2313470291</v>
      </c>
      <c r="U480" s="28">
        <v>133414.81021297164</v>
      </c>
      <c r="V480" s="28">
        <v>133256.38907891465</v>
      </c>
      <c r="W480" s="28">
        <v>133097.9679448572</v>
      </c>
      <c r="X480" s="28">
        <v>132939.54681079928</v>
      </c>
      <c r="Y480" s="28">
        <v>132781.12567674159</v>
      </c>
      <c r="Z480" s="203">
        <v>132622.70454268483</v>
      </c>
      <c r="AA480" s="272"/>
      <c r="AB480" s="272"/>
      <c r="AC480" s="272"/>
      <c r="AD480" s="272"/>
      <c r="AE480" s="272"/>
      <c r="AF480" s="272"/>
      <c r="AG480" s="272"/>
      <c r="AH480" s="272"/>
      <c r="AI480" s="272"/>
      <c r="AJ480" s="272"/>
      <c r="AK480" s="272"/>
      <c r="AL480" s="272"/>
      <c r="AM480" s="272"/>
      <c r="AN480" s="272"/>
      <c r="AO480" s="272"/>
      <c r="AP480" s="272"/>
      <c r="AQ480" s="272"/>
      <c r="AR480" s="301"/>
    </row>
    <row r="481" spans="5:44" s="1" customFormat="1">
      <c r="E481" s="447"/>
      <c r="F481" s="212">
        <v>0.05</v>
      </c>
      <c r="G481" s="202">
        <v>136946.17345618107</v>
      </c>
      <c r="H481" s="28">
        <v>136787.75232212408</v>
      </c>
      <c r="I481" s="28">
        <v>136629.3311880657</v>
      </c>
      <c r="J481" s="28">
        <v>136470.91005400964</v>
      </c>
      <c r="K481" s="28">
        <v>136312.48891995149</v>
      </c>
      <c r="L481" s="28">
        <v>136154.06778589403</v>
      </c>
      <c r="M481" s="28">
        <v>135995.64665183751</v>
      </c>
      <c r="N481" s="28">
        <v>135837.22551777982</v>
      </c>
      <c r="O481" s="28">
        <v>135678.80438372283</v>
      </c>
      <c r="P481" s="28">
        <v>135520.38324966398</v>
      </c>
      <c r="Q481" s="28">
        <v>135361.96211560839</v>
      </c>
      <c r="R481" s="28">
        <v>135203.54098155093</v>
      </c>
      <c r="S481" s="28">
        <v>135045.11984749371</v>
      </c>
      <c r="T481" s="28">
        <v>134886.69871343602</v>
      </c>
      <c r="U481" s="28">
        <v>134728.27757937787</v>
      </c>
      <c r="V481" s="28">
        <v>134569.85644532088</v>
      </c>
      <c r="W481" s="28">
        <v>134411.43531126366</v>
      </c>
      <c r="X481" s="28">
        <v>134253.01417720574</v>
      </c>
      <c r="Y481" s="28">
        <v>134094.59304314828</v>
      </c>
      <c r="Z481" s="203">
        <v>133936.17190909153</v>
      </c>
      <c r="AA481" s="272"/>
      <c r="AB481" s="272"/>
      <c r="AC481" s="272"/>
      <c r="AD481" s="272"/>
      <c r="AE481" s="272"/>
      <c r="AF481" s="272"/>
      <c r="AG481" s="272"/>
      <c r="AH481" s="272"/>
      <c r="AI481" s="272"/>
      <c r="AJ481" s="272"/>
      <c r="AK481" s="272"/>
      <c r="AL481" s="272"/>
      <c r="AM481" s="272"/>
      <c r="AN481" s="272"/>
      <c r="AO481" s="272"/>
      <c r="AP481" s="272"/>
      <c r="AQ481" s="272"/>
      <c r="AR481" s="301"/>
    </row>
    <row r="482" spans="5:44" s="1" customFormat="1">
      <c r="E482" s="447"/>
      <c r="F482" s="212">
        <v>0.06</v>
      </c>
      <c r="G482" s="202">
        <v>138259.64082258777</v>
      </c>
      <c r="H482" s="28">
        <v>138101.21968853055</v>
      </c>
      <c r="I482" s="28">
        <v>137942.79855447239</v>
      </c>
      <c r="J482" s="28">
        <v>137784.37742041633</v>
      </c>
      <c r="K482" s="28">
        <v>137625.95628635818</v>
      </c>
      <c r="L482" s="28">
        <v>137467.53515230073</v>
      </c>
      <c r="M482" s="28">
        <v>137309.11401824374</v>
      </c>
      <c r="N482" s="28">
        <v>137150.69288418652</v>
      </c>
      <c r="O482" s="28">
        <v>136992.27175012953</v>
      </c>
      <c r="P482" s="28">
        <v>136833.85061607044</v>
      </c>
      <c r="Q482" s="28">
        <v>136675.42948201485</v>
      </c>
      <c r="R482" s="28">
        <v>136517.00834795763</v>
      </c>
      <c r="S482" s="28">
        <v>136358.58721390041</v>
      </c>
      <c r="T482" s="28">
        <v>136200.16607984249</v>
      </c>
      <c r="U482" s="28">
        <v>136041.74494578503</v>
      </c>
      <c r="V482" s="28">
        <v>135883.32381172758</v>
      </c>
      <c r="W482" s="28">
        <v>135724.90267767012</v>
      </c>
      <c r="X482" s="28">
        <v>135566.48154361267</v>
      </c>
      <c r="Y482" s="28">
        <v>135408.06040955544</v>
      </c>
      <c r="Z482" s="203">
        <v>135249.63927549822</v>
      </c>
      <c r="AA482" s="272"/>
      <c r="AB482" s="272"/>
      <c r="AC482" s="272"/>
      <c r="AD482" s="272"/>
      <c r="AE482" s="272"/>
      <c r="AF482" s="272"/>
      <c r="AG482" s="272"/>
      <c r="AH482" s="272"/>
      <c r="AI482" s="272"/>
      <c r="AJ482" s="272"/>
      <c r="AK482" s="272"/>
      <c r="AL482" s="272"/>
      <c r="AM482" s="272"/>
      <c r="AN482" s="272"/>
      <c r="AO482" s="272"/>
      <c r="AP482" s="272"/>
      <c r="AQ482" s="272"/>
      <c r="AR482" s="301"/>
    </row>
    <row r="483" spans="5:44" s="1" customFormat="1" ht="13.8" thickBot="1">
      <c r="E483" s="448"/>
      <c r="F483" s="213">
        <v>7.0000000000000007E-2</v>
      </c>
      <c r="G483" s="205">
        <v>139573.10818899423</v>
      </c>
      <c r="H483" s="206">
        <v>139414.68705493701</v>
      </c>
      <c r="I483" s="206">
        <v>139256.26592087909</v>
      </c>
      <c r="J483" s="206">
        <v>139097.8447868228</v>
      </c>
      <c r="K483" s="206">
        <v>138939.42365276488</v>
      </c>
      <c r="L483" s="206">
        <v>138781.00251870742</v>
      </c>
      <c r="M483" s="206">
        <v>138622.58138465043</v>
      </c>
      <c r="N483" s="206">
        <v>138464.16025059321</v>
      </c>
      <c r="O483" s="206">
        <v>138305.73911653645</v>
      </c>
      <c r="P483" s="206">
        <v>138147.31798247737</v>
      </c>
      <c r="Q483" s="206">
        <v>137988.89684842131</v>
      </c>
      <c r="R483" s="206">
        <v>137830.47571436432</v>
      </c>
      <c r="S483" s="206">
        <v>137672.05458030687</v>
      </c>
      <c r="T483" s="206">
        <v>137513.63344624895</v>
      </c>
      <c r="U483" s="206">
        <v>137355.21231219126</v>
      </c>
      <c r="V483" s="206">
        <v>137196.79117813427</v>
      </c>
      <c r="W483" s="206">
        <v>137038.37004407682</v>
      </c>
      <c r="X483" s="206">
        <v>136879.94891001913</v>
      </c>
      <c r="Y483" s="206">
        <v>136721.52777596167</v>
      </c>
      <c r="Z483" s="207">
        <v>136563.10664190468</v>
      </c>
      <c r="AA483" s="272"/>
      <c r="AB483" s="272"/>
      <c r="AC483" s="272"/>
      <c r="AD483" s="272"/>
      <c r="AE483" s="272"/>
      <c r="AF483" s="272"/>
      <c r="AG483" s="272"/>
      <c r="AH483" s="272"/>
      <c r="AI483" s="272"/>
      <c r="AJ483" s="272"/>
      <c r="AK483" s="272"/>
      <c r="AL483" s="272"/>
      <c r="AM483" s="272"/>
      <c r="AN483" s="272"/>
      <c r="AO483" s="272"/>
      <c r="AP483" s="272"/>
      <c r="AQ483" s="272"/>
      <c r="AR483" s="301"/>
    </row>
    <row r="484" spans="5:44" s="1" customFormat="1">
      <c r="AA484" s="272"/>
      <c r="AB484" s="272"/>
      <c r="AC484" s="272"/>
      <c r="AD484" s="272"/>
      <c r="AE484" s="272"/>
      <c r="AF484" s="272"/>
      <c r="AG484" s="272"/>
      <c r="AH484" s="272"/>
      <c r="AI484" s="272"/>
      <c r="AJ484" s="272"/>
      <c r="AK484" s="272"/>
      <c r="AL484" s="272"/>
      <c r="AM484" s="272"/>
      <c r="AN484" s="272"/>
      <c r="AO484" s="272"/>
      <c r="AP484" s="272"/>
      <c r="AQ484" s="272"/>
      <c r="AR484" s="301"/>
    </row>
    <row r="485" spans="5:44" s="1" customFormat="1">
      <c r="E485" s="230" t="s">
        <v>156</v>
      </c>
      <c r="F485" s="231">
        <f>+E13</f>
        <v>1.25E-3</v>
      </c>
      <c r="G485" s="21" t="s">
        <v>137</v>
      </c>
      <c r="AA485" s="272"/>
      <c r="AB485" s="272"/>
      <c r="AC485" s="272"/>
      <c r="AD485" s="272"/>
      <c r="AE485" s="272"/>
      <c r="AF485" s="272"/>
      <c r="AG485" s="272"/>
      <c r="AH485" s="272"/>
      <c r="AI485" s="272"/>
      <c r="AJ485" s="272"/>
      <c r="AK485" s="272"/>
      <c r="AL485" s="272"/>
      <c r="AM485" s="272"/>
      <c r="AN485" s="272"/>
      <c r="AO485" s="272"/>
      <c r="AP485" s="272"/>
      <c r="AQ485" s="272"/>
      <c r="AR485" s="301"/>
    </row>
    <row r="486" spans="5:44" s="1" customFormat="1">
      <c r="AA486" s="272"/>
      <c r="AB486" s="272"/>
      <c r="AC486" s="272"/>
      <c r="AD486" s="272"/>
      <c r="AE486" s="272"/>
      <c r="AF486" s="272"/>
      <c r="AG486" s="272"/>
      <c r="AH486" s="272"/>
      <c r="AI486" s="272"/>
      <c r="AJ486" s="272"/>
      <c r="AK486" s="272"/>
      <c r="AL486" s="272"/>
      <c r="AM486" s="272"/>
      <c r="AN486" s="272"/>
      <c r="AO486" s="272"/>
      <c r="AP486" s="272"/>
      <c r="AQ486" s="272"/>
      <c r="AR486" s="301"/>
    </row>
    <row r="487" spans="5:44" s="1" customFormat="1">
      <c r="AA487" s="254"/>
      <c r="AB487" s="254"/>
      <c r="AC487" s="254"/>
      <c r="AD487" s="254"/>
      <c r="AE487" s="254"/>
      <c r="AF487" s="254"/>
      <c r="AG487" s="254"/>
      <c r="AH487" s="254"/>
      <c r="AI487" s="254"/>
      <c r="AJ487" s="254"/>
      <c r="AK487" s="254"/>
      <c r="AL487" s="254"/>
      <c r="AM487" s="254"/>
      <c r="AN487" s="254"/>
      <c r="AO487" s="254"/>
      <c r="AP487" s="254"/>
      <c r="AQ487" s="254"/>
      <c r="AR487" s="305"/>
    </row>
    <row r="488" spans="5:44" s="1" customFormat="1" ht="13.8" thickBot="1">
      <c r="AA488" s="254"/>
      <c r="AB488" s="254"/>
      <c r="AC488" s="254"/>
      <c r="AD488" s="254"/>
      <c r="AE488" s="254"/>
      <c r="AF488" s="254"/>
      <c r="AG488" s="254"/>
      <c r="AH488" s="254"/>
      <c r="AI488" s="254"/>
      <c r="AJ488" s="254"/>
      <c r="AK488" s="254"/>
      <c r="AL488" s="254"/>
      <c r="AM488" s="254"/>
      <c r="AN488" s="254"/>
      <c r="AO488" s="254"/>
      <c r="AP488" s="254"/>
      <c r="AQ488" s="254"/>
      <c r="AR488" s="308" t="s">
        <v>189</v>
      </c>
    </row>
    <row r="489" spans="5:44" s="1" customFormat="1"/>
    <row r="490" spans="5:44" s="1" customFormat="1"/>
    <row r="491" spans="5:44" s="1" customFormat="1"/>
    <row r="492" spans="5:44" s="1" customFormat="1"/>
    <row r="493" spans="5:44" s="1" customFormat="1"/>
    <row r="494" spans="5:44" s="1" customFormat="1"/>
    <row r="495" spans="5:44" s="1" customFormat="1"/>
    <row r="496" spans="5:44" s="1" customFormat="1"/>
    <row r="497" spans="1:43" s="1" customFormat="1"/>
    <row r="498" spans="1:43" s="1" customFormat="1"/>
    <row r="499" spans="1:43" s="1" customFormat="1"/>
    <row r="500" spans="1:43" s="1" customFormat="1"/>
    <row r="501" spans="1:43" s="1" customFormat="1"/>
    <row r="502" spans="1:43" s="1" customFormat="1"/>
    <row r="503" spans="1:43" s="1" customFormat="1"/>
    <row r="504" spans="1:43" s="1" customFormat="1"/>
    <row r="505" spans="1:43" s="1" customFormat="1"/>
    <row r="506" spans="1:43" s="1" customFormat="1">
      <c r="A506" s="16" t="s">
        <v>273</v>
      </c>
    </row>
    <row r="507" spans="1:43" s="1" customFormat="1">
      <c r="A507" s="13"/>
    </row>
    <row r="508" spans="1:43" s="1" customFormat="1">
      <c r="A508" s="13" t="s">
        <v>265</v>
      </c>
      <c r="F508" s="7">
        <f>+G100</f>
        <v>130000</v>
      </c>
    </row>
    <row r="509" spans="1:43" s="1" customFormat="1">
      <c r="A509" s="13" t="s">
        <v>266</v>
      </c>
      <c r="F509" s="194">
        <f>+E324</f>
        <v>9.0000000000000011E-2</v>
      </c>
      <c r="H509" s="370">
        <f>+H324</f>
        <v>0.9174311926605504</v>
      </c>
      <c r="I509" s="370">
        <f t="shared" ref="I509:AQ509" si="226">+I324</f>
        <v>0.84167999326655996</v>
      </c>
      <c r="J509" s="370">
        <f t="shared" si="226"/>
        <v>0.77218348006106419</v>
      </c>
      <c r="K509" s="370">
        <f t="shared" si="226"/>
        <v>0.7084252110651964</v>
      </c>
      <c r="L509" s="370">
        <f t="shared" si="226"/>
        <v>0.64993138629834524</v>
      </c>
      <c r="M509" s="370">
        <f t="shared" si="226"/>
        <v>0.5962673268792158</v>
      </c>
      <c r="N509" s="370">
        <f t="shared" si="226"/>
        <v>0.54703424484331731</v>
      </c>
      <c r="O509" s="370">
        <f t="shared" si="226"/>
        <v>0.50186627967276809</v>
      </c>
      <c r="P509" s="370">
        <f t="shared" si="226"/>
        <v>0.46042777951630098</v>
      </c>
      <c r="Q509" s="370">
        <f t="shared" si="226"/>
        <v>0.42241080689568894</v>
      </c>
      <c r="R509" s="370">
        <f t="shared" si="226"/>
        <v>0.38753285036301738</v>
      </c>
      <c r="S509" s="370">
        <f t="shared" si="226"/>
        <v>0.35553472510368567</v>
      </c>
      <c r="T509" s="370">
        <f t="shared" si="226"/>
        <v>0.32617864688411524</v>
      </c>
      <c r="U509" s="370">
        <f t="shared" si="226"/>
        <v>0.29924646503129837</v>
      </c>
      <c r="V509" s="370">
        <f t="shared" si="226"/>
        <v>0.27453804131311776</v>
      </c>
      <c r="W509" s="370">
        <f t="shared" si="226"/>
        <v>0.2518697626725851</v>
      </c>
      <c r="X509" s="370">
        <f t="shared" si="226"/>
        <v>0.23107317676383954</v>
      </c>
      <c r="Y509" s="370">
        <f t="shared" si="226"/>
        <v>0.21199374015031147</v>
      </c>
      <c r="Z509" s="370">
        <f t="shared" si="226"/>
        <v>0.19448966986267105</v>
      </c>
      <c r="AA509" s="370">
        <f t="shared" si="226"/>
        <v>0.17843088978226704</v>
      </c>
      <c r="AB509" s="370">
        <f t="shared" si="226"/>
        <v>0.16369806402042844</v>
      </c>
      <c r="AC509" s="370">
        <f t="shared" si="226"/>
        <v>0.15018171011048481</v>
      </c>
      <c r="AD509" s="370">
        <f t="shared" si="226"/>
        <v>0.13778138542246313</v>
      </c>
      <c r="AE509" s="370">
        <f t="shared" si="226"/>
        <v>0.12640494075455333</v>
      </c>
      <c r="AF509" s="370">
        <f t="shared" si="226"/>
        <v>0.11596783555463605</v>
      </c>
      <c r="AG509" s="370">
        <f t="shared" si="226"/>
        <v>0.10639250968315234</v>
      </c>
      <c r="AH509" s="370">
        <f t="shared" si="226"/>
        <v>9.7607807048763609E-2</v>
      </c>
      <c r="AI509" s="370">
        <f t="shared" si="226"/>
        <v>8.954844683372809E-2</v>
      </c>
      <c r="AJ509" s="370">
        <f t="shared" si="226"/>
        <v>8.2154538379567044E-2</v>
      </c>
      <c r="AK509" s="370">
        <f t="shared" si="226"/>
        <v>7.5371136128043151E-2</v>
      </c>
      <c r="AL509" s="370">
        <f t="shared" si="226"/>
        <v>6.914783131013133E-2</v>
      </c>
      <c r="AM509" s="370">
        <f t="shared" si="226"/>
        <v>6.3438377348744343E-2</v>
      </c>
      <c r="AN509" s="370">
        <f t="shared" si="226"/>
        <v>5.8200346191508566E-2</v>
      </c>
      <c r="AO509" s="370">
        <f t="shared" si="226"/>
        <v>5.3394813019732625E-2</v>
      </c>
      <c r="AP509" s="370">
        <f t="shared" si="226"/>
        <v>4.8986066990580383E-2</v>
      </c>
      <c r="AQ509" s="370">
        <f t="shared" si="226"/>
        <v>4.4941345862917786E-2</v>
      </c>
    </row>
    <row r="510" spans="1:43" s="1" customFormat="1">
      <c r="A510" s="13" t="s">
        <v>264</v>
      </c>
      <c r="F510" s="101">
        <v>10</v>
      </c>
      <c r="G510" s="1" t="s">
        <v>274</v>
      </c>
      <c r="H510" s="368"/>
    </row>
    <row r="511" spans="1:43" s="1" customFormat="1">
      <c r="A511" s="13" t="s">
        <v>267</v>
      </c>
      <c r="F511" s="102">
        <v>0</v>
      </c>
      <c r="G511" s="1" t="s">
        <v>275</v>
      </c>
      <c r="H511" s="368"/>
    </row>
    <row r="512" spans="1:43" s="1" customFormat="1">
      <c r="A512" s="13" t="s">
        <v>268</v>
      </c>
      <c r="F512" s="101">
        <v>500</v>
      </c>
      <c r="G512" s="1" t="s">
        <v>276</v>
      </c>
      <c r="H512" s="368"/>
    </row>
    <row r="513" spans="1:43" s="1" customFormat="1">
      <c r="A513" s="13" t="s">
        <v>277</v>
      </c>
      <c r="F513" s="375">
        <v>2003</v>
      </c>
      <c r="H513" s="368"/>
    </row>
    <row r="514" spans="1:43" s="1" customFormat="1">
      <c r="A514" s="13" t="s">
        <v>278</v>
      </c>
      <c r="F514" s="315">
        <f>+F513+F510-1</f>
        <v>2012</v>
      </c>
      <c r="H514" s="368"/>
    </row>
    <row r="515" spans="1:43" s="1" customFormat="1">
      <c r="A515" s="13" t="s">
        <v>279</v>
      </c>
      <c r="F515" s="102">
        <v>0.9</v>
      </c>
      <c r="H515" s="368"/>
    </row>
    <row r="516" spans="1:43" s="1" customFormat="1">
      <c r="A516" s="13" t="s">
        <v>281</v>
      </c>
      <c r="F516" s="364">
        <v>6.100401247845344</v>
      </c>
      <c r="H516" s="368"/>
    </row>
    <row r="517" spans="1:43" s="1" customFormat="1">
      <c r="A517" s="13"/>
      <c r="G517" s="369"/>
      <c r="H517" s="365"/>
      <c r="I517" s="365"/>
    </row>
    <row r="518" spans="1:43" s="1" customFormat="1">
      <c r="A518" s="13" t="s">
        <v>269</v>
      </c>
      <c r="G518" s="369"/>
      <c r="H518" s="25">
        <f t="shared" ref="H518:AQ518" si="227">IF(+H9&gt;=$F$513,1,0)</f>
        <v>0</v>
      </c>
      <c r="I518" s="25">
        <f t="shared" si="227"/>
        <v>0</v>
      </c>
      <c r="J518" s="25">
        <f t="shared" si="227"/>
        <v>1</v>
      </c>
      <c r="K518" s="25">
        <f t="shared" si="227"/>
        <v>1</v>
      </c>
      <c r="L518" s="25">
        <f t="shared" si="227"/>
        <v>1</v>
      </c>
      <c r="M518" s="25">
        <f t="shared" si="227"/>
        <v>1</v>
      </c>
      <c r="N518" s="25">
        <f t="shared" si="227"/>
        <v>1</v>
      </c>
      <c r="O518" s="25">
        <f t="shared" si="227"/>
        <v>1</v>
      </c>
      <c r="P518" s="25">
        <f t="shared" si="227"/>
        <v>1</v>
      </c>
      <c r="Q518" s="25">
        <f t="shared" si="227"/>
        <v>1</v>
      </c>
      <c r="R518" s="25">
        <f t="shared" si="227"/>
        <v>1</v>
      </c>
      <c r="S518" s="25">
        <f t="shared" si="227"/>
        <v>1</v>
      </c>
      <c r="T518" s="25">
        <f t="shared" si="227"/>
        <v>1</v>
      </c>
      <c r="U518" s="25">
        <f t="shared" si="227"/>
        <v>1</v>
      </c>
      <c r="V518" s="25">
        <f t="shared" si="227"/>
        <v>1</v>
      </c>
      <c r="W518" s="25">
        <f t="shared" si="227"/>
        <v>1</v>
      </c>
      <c r="X518" s="25">
        <f t="shared" si="227"/>
        <v>1</v>
      </c>
      <c r="Y518" s="25">
        <f t="shared" si="227"/>
        <v>1</v>
      </c>
      <c r="Z518" s="25">
        <f t="shared" si="227"/>
        <v>1</v>
      </c>
      <c r="AA518" s="25">
        <f t="shared" si="227"/>
        <v>1</v>
      </c>
      <c r="AB518" s="25">
        <f t="shared" si="227"/>
        <v>1</v>
      </c>
      <c r="AC518" s="25">
        <f t="shared" si="227"/>
        <v>1</v>
      </c>
      <c r="AD518" s="25">
        <f t="shared" si="227"/>
        <v>1</v>
      </c>
      <c r="AE518" s="25">
        <f t="shared" si="227"/>
        <v>1</v>
      </c>
      <c r="AF518" s="25">
        <f t="shared" si="227"/>
        <v>1</v>
      </c>
      <c r="AG518" s="25">
        <f t="shared" si="227"/>
        <v>1</v>
      </c>
      <c r="AH518" s="25">
        <f t="shared" si="227"/>
        <v>1</v>
      </c>
      <c r="AI518" s="25">
        <f t="shared" si="227"/>
        <v>1</v>
      </c>
      <c r="AJ518" s="25">
        <f t="shared" si="227"/>
        <v>1</v>
      </c>
      <c r="AK518" s="25">
        <f t="shared" si="227"/>
        <v>1</v>
      </c>
      <c r="AL518" s="25">
        <f t="shared" si="227"/>
        <v>1</v>
      </c>
      <c r="AM518" s="25">
        <f t="shared" si="227"/>
        <v>1</v>
      </c>
      <c r="AN518" s="25">
        <f t="shared" si="227"/>
        <v>1</v>
      </c>
      <c r="AO518" s="25">
        <f t="shared" si="227"/>
        <v>1</v>
      </c>
      <c r="AP518" s="25">
        <f t="shared" si="227"/>
        <v>1</v>
      </c>
      <c r="AQ518" s="25">
        <f t="shared" si="227"/>
        <v>1</v>
      </c>
    </row>
    <row r="519" spans="1:43" s="1" customFormat="1">
      <c r="A519" s="13" t="s">
        <v>270</v>
      </c>
      <c r="G519" s="369"/>
      <c r="H519" s="25">
        <f t="shared" ref="H519:AQ519" si="228">IF(+H9&lt;=$F$514,1,0)</f>
        <v>1</v>
      </c>
      <c r="I519" s="25">
        <f t="shared" si="228"/>
        <v>1</v>
      </c>
      <c r="J519" s="25">
        <f t="shared" si="228"/>
        <v>1</v>
      </c>
      <c r="K519" s="25">
        <f t="shared" si="228"/>
        <v>1</v>
      </c>
      <c r="L519" s="25">
        <f t="shared" si="228"/>
        <v>1</v>
      </c>
      <c r="M519" s="25">
        <f t="shared" si="228"/>
        <v>1</v>
      </c>
      <c r="N519" s="25">
        <f t="shared" si="228"/>
        <v>1</v>
      </c>
      <c r="O519" s="25">
        <f t="shared" si="228"/>
        <v>1</v>
      </c>
      <c r="P519" s="25">
        <f t="shared" si="228"/>
        <v>1</v>
      </c>
      <c r="Q519" s="25">
        <f t="shared" si="228"/>
        <v>1</v>
      </c>
      <c r="R519" s="25">
        <f t="shared" si="228"/>
        <v>1</v>
      </c>
      <c r="S519" s="25">
        <f t="shared" si="228"/>
        <v>1</v>
      </c>
      <c r="T519" s="25">
        <f t="shared" si="228"/>
        <v>0</v>
      </c>
      <c r="U519" s="25">
        <f t="shared" si="228"/>
        <v>0</v>
      </c>
      <c r="V519" s="25">
        <f t="shared" si="228"/>
        <v>0</v>
      </c>
      <c r="W519" s="25">
        <f t="shared" si="228"/>
        <v>0</v>
      </c>
      <c r="X519" s="25">
        <f t="shared" si="228"/>
        <v>0</v>
      </c>
      <c r="Y519" s="25">
        <f t="shared" si="228"/>
        <v>0</v>
      </c>
      <c r="Z519" s="25">
        <f t="shared" si="228"/>
        <v>0</v>
      </c>
      <c r="AA519" s="25">
        <f t="shared" si="228"/>
        <v>0</v>
      </c>
      <c r="AB519" s="25">
        <f t="shared" si="228"/>
        <v>0</v>
      </c>
      <c r="AC519" s="25">
        <f t="shared" si="228"/>
        <v>0</v>
      </c>
      <c r="AD519" s="25">
        <f t="shared" si="228"/>
        <v>0</v>
      </c>
      <c r="AE519" s="25">
        <f t="shared" si="228"/>
        <v>0</v>
      </c>
      <c r="AF519" s="25">
        <f t="shared" si="228"/>
        <v>0</v>
      </c>
      <c r="AG519" s="25">
        <f t="shared" si="228"/>
        <v>0</v>
      </c>
      <c r="AH519" s="25">
        <f t="shared" si="228"/>
        <v>0</v>
      </c>
      <c r="AI519" s="25">
        <f t="shared" si="228"/>
        <v>0</v>
      </c>
      <c r="AJ519" s="25">
        <f t="shared" si="228"/>
        <v>0</v>
      </c>
      <c r="AK519" s="25">
        <f t="shared" si="228"/>
        <v>0</v>
      </c>
      <c r="AL519" s="25">
        <f t="shared" si="228"/>
        <v>0</v>
      </c>
      <c r="AM519" s="25">
        <f t="shared" si="228"/>
        <v>0</v>
      </c>
      <c r="AN519" s="25">
        <f t="shared" si="228"/>
        <v>0</v>
      </c>
      <c r="AO519" s="25">
        <f t="shared" si="228"/>
        <v>0</v>
      </c>
      <c r="AP519" s="25">
        <f t="shared" si="228"/>
        <v>0</v>
      </c>
      <c r="AQ519" s="25">
        <f t="shared" si="228"/>
        <v>0</v>
      </c>
    </row>
    <row r="520" spans="1:43" s="1" customFormat="1">
      <c r="A520" s="13"/>
      <c r="G520" s="369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</row>
    <row r="521" spans="1:43" s="1" customFormat="1">
      <c r="A521" s="13" t="s">
        <v>279</v>
      </c>
      <c r="G521" s="371" t="s">
        <v>67</v>
      </c>
      <c r="H521" s="25">
        <f t="shared" ref="H521:AQ521" si="229">IF(SUM(H518:H519)=2,+$F$512*H20*$F$515,0)</f>
        <v>0</v>
      </c>
      <c r="I521" s="25">
        <f t="shared" si="229"/>
        <v>0</v>
      </c>
      <c r="J521" s="25">
        <f t="shared" si="229"/>
        <v>3942000</v>
      </c>
      <c r="K521" s="25">
        <f t="shared" si="229"/>
        <v>3952800</v>
      </c>
      <c r="L521" s="25">
        <f t="shared" si="229"/>
        <v>3942000</v>
      </c>
      <c r="M521" s="25">
        <f t="shared" si="229"/>
        <v>3942000</v>
      </c>
      <c r="N521" s="25">
        <f t="shared" si="229"/>
        <v>3942000</v>
      </c>
      <c r="O521" s="25">
        <f t="shared" si="229"/>
        <v>3952800</v>
      </c>
      <c r="P521" s="25">
        <f t="shared" si="229"/>
        <v>3942000</v>
      </c>
      <c r="Q521" s="25">
        <f t="shared" si="229"/>
        <v>3942000</v>
      </c>
      <c r="R521" s="25">
        <f t="shared" si="229"/>
        <v>3942000</v>
      </c>
      <c r="S521" s="25">
        <f t="shared" si="229"/>
        <v>3952800</v>
      </c>
      <c r="T521" s="25">
        <f t="shared" si="229"/>
        <v>0</v>
      </c>
      <c r="U521" s="25">
        <f t="shared" si="229"/>
        <v>0</v>
      </c>
      <c r="V521" s="25">
        <f t="shared" si="229"/>
        <v>0</v>
      </c>
      <c r="W521" s="25">
        <f t="shared" si="229"/>
        <v>0</v>
      </c>
      <c r="X521" s="25">
        <f t="shared" si="229"/>
        <v>0</v>
      </c>
      <c r="Y521" s="25">
        <f t="shared" si="229"/>
        <v>0</v>
      </c>
      <c r="Z521" s="25">
        <f t="shared" si="229"/>
        <v>0</v>
      </c>
      <c r="AA521" s="25">
        <f t="shared" si="229"/>
        <v>0</v>
      </c>
      <c r="AB521" s="25">
        <f t="shared" si="229"/>
        <v>0</v>
      </c>
      <c r="AC521" s="25">
        <f t="shared" si="229"/>
        <v>0</v>
      </c>
      <c r="AD521" s="25">
        <f t="shared" si="229"/>
        <v>0</v>
      </c>
      <c r="AE521" s="25">
        <f t="shared" si="229"/>
        <v>0</v>
      </c>
      <c r="AF521" s="25">
        <f t="shared" si="229"/>
        <v>0</v>
      </c>
      <c r="AG521" s="25">
        <f t="shared" si="229"/>
        <v>0</v>
      </c>
      <c r="AH521" s="25">
        <f t="shared" si="229"/>
        <v>0</v>
      </c>
      <c r="AI521" s="25">
        <f t="shared" si="229"/>
        <v>0</v>
      </c>
      <c r="AJ521" s="25">
        <f t="shared" si="229"/>
        <v>0</v>
      </c>
      <c r="AK521" s="25">
        <f t="shared" si="229"/>
        <v>0</v>
      </c>
      <c r="AL521" s="25">
        <f t="shared" si="229"/>
        <v>0</v>
      </c>
      <c r="AM521" s="25">
        <f t="shared" si="229"/>
        <v>0</v>
      </c>
      <c r="AN521" s="25">
        <f t="shared" si="229"/>
        <v>0</v>
      </c>
      <c r="AO521" s="25">
        <f t="shared" si="229"/>
        <v>0</v>
      </c>
      <c r="AP521" s="25">
        <f t="shared" si="229"/>
        <v>0</v>
      </c>
      <c r="AQ521" s="25">
        <f t="shared" si="229"/>
        <v>0</v>
      </c>
    </row>
    <row r="522" spans="1:43" s="1" customFormat="1">
      <c r="A522" s="13"/>
      <c r="G522" s="371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</row>
    <row r="523" spans="1:43" s="1" customFormat="1">
      <c r="A523" s="13" t="s">
        <v>271</v>
      </c>
      <c r="F523" s="2"/>
      <c r="G523" s="371" t="s">
        <v>14</v>
      </c>
      <c r="H523" s="372">
        <f t="shared" ref="H523:AQ523" si="230">IF(SUM(H518:H519)=2,+$F$516,0)</f>
        <v>0</v>
      </c>
      <c r="I523" s="372">
        <f t="shared" si="230"/>
        <v>0</v>
      </c>
      <c r="J523" s="372">
        <f t="shared" si="230"/>
        <v>6.100401247845344</v>
      </c>
      <c r="K523" s="372">
        <f t="shared" si="230"/>
        <v>6.100401247845344</v>
      </c>
      <c r="L523" s="372">
        <f t="shared" si="230"/>
        <v>6.100401247845344</v>
      </c>
      <c r="M523" s="372">
        <f t="shared" si="230"/>
        <v>6.100401247845344</v>
      </c>
      <c r="N523" s="372">
        <f t="shared" si="230"/>
        <v>6.100401247845344</v>
      </c>
      <c r="O523" s="372">
        <f t="shared" si="230"/>
        <v>6.100401247845344</v>
      </c>
      <c r="P523" s="372">
        <f t="shared" si="230"/>
        <v>6.100401247845344</v>
      </c>
      <c r="Q523" s="372">
        <f t="shared" si="230"/>
        <v>6.100401247845344</v>
      </c>
      <c r="R523" s="372">
        <f t="shared" si="230"/>
        <v>6.100401247845344</v>
      </c>
      <c r="S523" s="372">
        <f t="shared" si="230"/>
        <v>6.100401247845344</v>
      </c>
      <c r="T523" s="372">
        <f t="shared" si="230"/>
        <v>0</v>
      </c>
      <c r="U523" s="372">
        <f t="shared" si="230"/>
        <v>0</v>
      </c>
      <c r="V523" s="372">
        <f t="shared" si="230"/>
        <v>0</v>
      </c>
      <c r="W523" s="372">
        <f t="shared" si="230"/>
        <v>0</v>
      </c>
      <c r="X523" s="372">
        <f t="shared" si="230"/>
        <v>0</v>
      </c>
      <c r="Y523" s="372">
        <f t="shared" si="230"/>
        <v>0</v>
      </c>
      <c r="Z523" s="372">
        <f t="shared" si="230"/>
        <v>0</v>
      </c>
      <c r="AA523" s="372">
        <f t="shared" si="230"/>
        <v>0</v>
      </c>
      <c r="AB523" s="372">
        <f t="shared" si="230"/>
        <v>0</v>
      </c>
      <c r="AC523" s="372">
        <f t="shared" si="230"/>
        <v>0</v>
      </c>
      <c r="AD523" s="372">
        <f t="shared" si="230"/>
        <v>0</v>
      </c>
      <c r="AE523" s="372">
        <f t="shared" si="230"/>
        <v>0</v>
      </c>
      <c r="AF523" s="372">
        <f t="shared" si="230"/>
        <v>0</v>
      </c>
      <c r="AG523" s="372">
        <f t="shared" si="230"/>
        <v>0</v>
      </c>
      <c r="AH523" s="372">
        <f t="shared" si="230"/>
        <v>0</v>
      </c>
      <c r="AI523" s="372">
        <f t="shared" si="230"/>
        <v>0</v>
      </c>
      <c r="AJ523" s="372">
        <f t="shared" si="230"/>
        <v>0</v>
      </c>
      <c r="AK523" s="372">
        <f t="shared" si="230"/>
        <v>0</v>
      </c>
      <c r="AL523" s="372">
        <f t="shared" si="230"/>
        <v>0</v>
      </c>
      <c r="AM523" s="372">
        <f t="shared" si="230"/>
        <v>0</v>
      </c>
      <c r="AN523" s="372">
        <f t="shared" si="230"/>
        <v>0</v>
      </c>
      <c r="AO523" s="372">
        <f t="shared" si="230"/>
        <v>0</v>
      </c>
      <c r="AP523" s="372">
        <f t="shared" si="230"/>
        <v>0</v>
      </c>
      <c r="AQ523" s="372">
        <f t="shared" si="230"/>
        <v>0</v>
      </c>
    </row>
    <row r="524" spans="1:43" s="330" customFormat="1" ht="13.8" thickBot="1">
      <c r="A524" s="13" t="s">
        <v>280</v>
      </c>
      <c r="B524" s="1"/>
      <c r="C524" s="1"/>
      <c r="D524" s="1"/>
      <c r="E524" s="1"/>
      <c r="F524" s="1"/>
      <c r="G524" s="371" t="s">
        <v>14</v>
      </c>
      <c r="H524" s="247">
        <f>IF(+H523=0,0,(SUM(G523:G524)*$F$511)+G524)</f>
        <v>0</v>
      </c>
      <c r="I524" s="247">
        <f t="shared" ref="I524:AQ524" si="231">IF(+I523=0,0,(SUM(H523:H524)*$F$511)+H524)</f>
        <v>0</v>
      </c>
      <c r="J524" s="247">
        <f t="shared" si="231"/>
        <v>0</v>
      </c>
      <c r="K524" s="247">
        <f t="shared" si="231"/>
        <v>0</v>
      </c>
      <c r="L524" s="247">
        <f t="shared" si="231"/>
        <v>0</v>
      </c>
      <c r="M524" s="247">
        <f t="shared" si="231"/>
        <v>0</v>
      </c>
      <c r="N524" s="247">
        <f t="shared" si="231"/>
        <v>0</v>
      </c>
      <c r="O524" s="247">
        <f t="shared" si="231"/>
        <v>0</v>
      </c>
      <c r="P524" s="247">
        <f t="shared" si="231"/>
        <v>0</v>
      </c>
      <c r="Q524" s="247">
        <f t="shared" si="231"/>
        <v>0</v>
      </c>
      <c r="R524" s="247">
        <f t="shared" si="231"/>
        <v>0</v>
      </c>
      <c r="S524" s="247">
        <f t="shared" si="231"/>
        <v>0</v>
      </c>
      <c r="T524" s="247">
        <f t="shared" si="231"/>
        <v>0</v>
      </c>
      <c r="U524" s="247">
        <f t="shared" si="231"/>
        <v>0</v>
      </c>
      <c r="V524" s="247">
        <f t="shared" si="231"/>
        <v>0</v>
      </c>
      <c r="W524" s="247">
        <f t="shared" si="231"/>
        <v>0</v>
      </c>
      <c r="X524" s="247">
        <f t="shared" si="231"/>
        <v>0</v>
      </c>
      <c r="Y524" s="247">
        <f t="shared" si="231"/>
        <v>0</v>
      </c>
      <c r="Z524" s="247">
        <f t="shared" si="231"/>
        <v>0</v>
      </c>
      <c r="AA524" s="247">
        <f t="shared" si="231"/>
        <v>0</v>
      </c>
      <c r="AB524" s="247">
        <f t="shared" si="231"/>
        <v>0</v>
      </c>
      <c r="AC524" s="247">
        <f t="shared" si="231"/>
        <v>0</v>
      </c>
      <c r="AD524" s="247">
        <f t="shared" si="231"/>
        <v>0</v>
      </c>
      <c r="AE524" s="247">
        <f t="shared" si="231"/>
        <v>0</v>
      </c>
      <c r="AF524" s="247">
        <f t="shared" si="231"/>
        <v>0</v>
      </c>
      <c r="AG524" s="247">
        <f t="shared" si="231"/>
        <v>0</v>
      </c>
      <c r="AH524" s="247">
        <f t="shared" si="231"/>
        <v>0</v>
      </c>
      <c r="AI524" s="247">
        <f t="shared" si="231"/>
        <v>0</v>
      </c>
      <c r="AJ524" s="247">
        <f t="shared" si="231"/>
        <v>0</v>
      </c>
      <c r="AK524" s="247">
        <f t="shared" si="231"/>
        <v>0</v>
      </c>
      <c r="AL524" s="247">
        <f t="shared" si="231"/>
        <v>0</v>
      </c>
      <c r="AM524" s="247">
        <f t="shared" si="231"/>
        <v>0</v>
      </c>
      <c r="AN524" s="247">
        <f t="shared" si="231"/>
        <v>0</v>
      </c>
      <c r="AO524" s="247">
        <f t="shared" si="231"/>
        <v>0</v>
      </c>
      <c r="AP524" s="247">
        <f t="shared" si="231"/>
        <v>0</v>
      </c>
      <c r="AQ524" s="247">
        <f t="shared" si="231"/>
        <v>0</v>
      </c>
    </row>
    <row r="525" spans="1:43" s="330" customFormat="1">
      <c r="A525" s="13"/>
      <c r="B525" s="1"/>
      <c r="C525" s="1"/>
      <c r="D525" s="1"/>
      <c r="E525" s="1"/>
      <c r="F525" s="1"/>
      <c r="G525" s="371" t="s">
        <v>14</v>
      </c>
      <c r="H525" s="372">
        <f>SUM(H523:H524)</f>
        <v>0</v>
      </c>
      <c r="I525" s="372">
        <f t="shared" ref="I525:AQ525" si="232">SUM(I523:I524)</f>
        <v>0</v>
      </c>
      <c r="J525" s="372">
        <f t="shared" si="232"/>
        <v>6.100401247845344</v>
      </c>
      <c r="K525" s="372">
        <f t="shared" si="232"/>
        <v>6.100401247845344</v>
      </c>
      <c r="L525" s="372">
        <f t="shared" si="232"/>
        <v>6.100401247845344</v>
      </c>
      <c r="M525" s="372">
        <f t="shared" si="232"/>
        <v>6.100401247845344</v>
      </c>
      <c r="N525" s="372">
        <f t="shared" si="232"/>
        <v>6.100401247845344</v>
      </c>
      <c r="O525" s="372">
        <f t="shared" si="232"/>
        <v>6.100401247845344</v>
      </c>
      <c r="P525" s="372">
        <f t="shared" si="232"/>
        <v>6.100401247845344</v>
      </c>
      <c r="Q525" s="372">
        <f t="shared" si="232"/>
        <v>6.100401247845344</v>
      </c>
      <c r="R525" s="372">
        <f t="shared" si="232"/>
        <v>6.100401247845344</v>
      </c>
      <c r="S525" s="372">
        <f t="shared" si="232"/>
        <v>6.100401247845344</v>
      </c>
      <c r="T525" s="372">
        <f t="shared" si="232"/>
        <v>0</v>
      </c>
      <c r="U525" s="372">
        <f t="shared" si="232"/>
        <v>0</v>
      </c>
      <c r="V525" s="372">
        <f t="shared" si="232"/>
        <v>0</v>
      </c>
      <c r="W525" s="372">
        <f t="shared" si="232"/>
        <v>0</v>
      </c>
      <c r="X525" s="372">
        <f t="shared" si="232"/>
        <v>0</v>
      </c>
      <c r="Y525" s="372">
        <f t="shared" si="232"/>
        <v>0</v>
      </c>
      <c r="Z525" s="372">
        <f t="shared" si="232"/>
        <v>0</v>
      </c>
      <c r="AA525" s="372">
        <f t="shared" si="232"/>
        <v>0</v>
      </c>
      <c r="AB525" s="372">
        <f t="shared" si="232"/>
        <v>0</v>
      </c>
      <c r="AC525" s="372">
        <f t="shared" si="232"/>
        <v>0</v>
      </c>
      <c r="AD525" s="372">
        <f t="shared" si="232"/>
        <v>0</v>
      </c>
      <c r="AE525" s="372">
        <f t="shared" si="232"/>
        <v>0</v>
      </c>
      <c r="AF525" s="372">
        <f t="shared" si="232"/>
        <v>0</v>
      </c>
      <c r="AG525" s="372">
        <f t="shared" si="232"/>
        <v>0</v>
      </c>
      <c r="AH525" s="372">
        <f t="shared" si="232"/>
        <v>0</v>
      </c>
      <c r="AI525" s="372">
        <f t="shared" si="232"/>
        <v>0</v>
      </c>
      <c r="AJ525" s="372">
        <f t="shared" si="232"/>
        <v>0</v>
      </c>
      <c r="AK525" s="372">
        <f t="shared" si="232"/>
        <v>0</v>
      </c>
      <c r="AL525" s="372">
        <f t="shared" si="232"/>
        <v>0</v>
      </c>
      <c r="AM525" s="372">
        <f t="shared" si="232"/>
        <v>0</v>
      </c>
      <c r="AN525" s="372">
        <f t="shared" si="232"/>
        <v>0</v>
      </c>
      <c r="AO525" s="372">
        <f t="shared" si="232"/>
        <v>0</v>
      </c>
      <c r="AP525" s="372">
        <f t="shared" si="232"/>
        <v>0</v>
      </c>
      <c r="AQ525" s="372">
        <f t="shared" si="232"/>
        <v>0</v>
      </c>
    </row>
    <row r="526" spans="1:43" s="1" customFormat="1" ht="13.8" thickBot="1">
      <c r="A526" s="13"/>
      <c r="G526" s="371"/>
      <c r="H526" s="247"/>
      <c r="I526" s="247"/>
      <c r="J526" s="247"/>
      <c r="K526" s="247"/>
      <c r="L526" s="247"/>
      <c r="M526" s="247"/>
      <c r="N526" s="247"/>
      <c r="O526" s="247"/>
      <c r="P526" s="247"/>
      <c r="Q526" s="247"/>
      <c r="R526" s="247"/>
      <c r="S526" s="247"/>
      <c r="T526" s="247"/>
      <c r="U526" s="247"/>
      <c r="V526" s="247"/>
      <c r="W526" s="247"/>
      <c r="X526" s="247"/>
      <c r="Y526" s="247"/>
      <c r="Z526" s="247"/>
      <c r="AA526" s="247"/>
      <c r="AB526" s="247"/>
      <c r="AC526" s="247"/>
      <c r="AD526" s="247"/>
      <c r="AE526" s="247"/>
      <c r="AF526" s="247"/>
      <c r="AG526" s="247"/>
      <c r="AH526" s="247"/>
      <c r="AI526" s="247"/>
      <c r="AJ526" s="247"/>
      <c r="AK526" s="247"/>
      <c r="AL526" s="247"/>
      <c r="AM526" s="247"/>
      <c r="AN526" s="247"/>
      <c r="AO526" s="247"/>
      <c r="AP526" s="247"/>
      <c r="AQ526" s="247"/>
    </row>
    <row r="527" spans="1:43" s="1" customFormat="1" ht="13.8" thickBot="1">
      <c r="A527" s="13" t="s">
        <v>272</v>
      </c>
      <c r="G527" s="371"/>
      <c r="H527" s="236">
        <f>+H521*H525/1000</f>
        <v>0</v>
      </c>
      <c r="I527" s="237">
        <f t="shared" ref="I527:AQ527" si="233">+I521*I525/1000</f>
        <v>0</v>
      </c>
      <c r="J527" s="237">
        <f t="shared" si="233"/>
        <v>24047.781719006343</v>
      </c>
      <c r="K527" s="237">
        <f t="shared" si="233"/>
        <v>24113.666052483073</v>
      </c>
      <c r="L527" s="237">
        <f t="shared" si="233"/>
        <v>24047.781719006343</v>
      </c>
      <c r="M527" s="237">
        <f t="shared" si="233"/>
        <v>24047.781719006343</v>
      </c>
      <c r="N527" s="237">
        <f t="shared" si="233"/>
        <v>24047.781719006343</v>
      </c>
      <c r="O527" s="237">
        <f t="shared" si="233"/>
        <v>24113.666052483073</v>
      </c>
      <c r="P527" s="237">
        <f t="shared" si="233"/>
        <v>24047.781719006343</v>
      </c>
      <c r="Q527" s="237">
        <f t="shared" si="233"/>
        <v>24047.781719006343</v>
      </c>
      <c r="R527" s="237">
        <f t="shared" si="233"/>
        <v>24047.781719006343</v>
      </c>
      <c r="S527" s="237">
        <f t="shared" si="233"/>
        <v>24113.666052483073</v>
      </c>
      <c r="T527" s="237">
        <f t="shared" si="233"/>
        <v>0</v>
      </c>
      <c r="U527" s="237">
        <f t="shared" si="233"/>
        <v>0</v>
      </c>
      <c r="V527" s="237">
        <f t="shared" si="233"/>
        <v>0</v>
      </c>
      <c r="W527" s="237">
        <f t="shared" si="233"/>
        <v>0</v>
      </c>
      <c r="X527" s="237">
        <f t="shared" si="233"/>
        <v>0</v>
      </c>
      <c r="Y527" s="237">
        <f t="shared" si="233"/>
        <v>0</v>
      </c>
      <c r="Z527" s="237">
        <f t="shared" si="233"/>
        <v>0</v>
      </c>
      <c r="AA527" s="237">
        <f t="shared" si="233"/>
        <v>0</v>
      </c>
      <c r="AB527" s="237">
        <f t="shared" si="233"/>
        <v>0</v>
      </c>
      <c r="AC527" s="237">
        <f t="shared" si="233"/>
        <v>0</v>
      </c>
      <c r="AD527" s="237">
        <f t="shared" si="233"/>
        <v>0</v>
      </c>
      <c r="AE527" s="237">
        <f t="shared" si="233"/>
        <v>0</v>
      </c>
      <c r="AF527" s="237">
        <f t="shared" si="233"/>
        <v>0</v>
      </c>
      <c r="AG527" s="237">
        <f t="shared" si="233"/>
        <v>0</v>
      </c>
      <c r="AH527" s="237">
        <f t="shared" si="233"/>
        <v>0</v>
      </c>
      <c r="AI527" s="237">
        <f t="shared" si="233"/>
        <v>0</v>
      </c>
      <c r="AJ527" s="237">
        <f t="shared" si="233"/>
        <v>0</v>
      </c>
      <c r="AK527" s="237">
        <f t="shared" si="233"/>
        <v>0</v>
      </c>
      <c r="AL527" s="237">
        <f t="shared" si="233"/>
        <v>0</v>
      </c>
      <c r="AM527" s="237">
        <f t="shared" si="233"/>
        <v>0</v>
      </c>
      <c r="AN527" s="237">
        <f t="shared" si="233"/>
        <v>0</v>
      </c>
      <c r="AO527" s="237">
        <f t="shared" si="233"/>
        <v>0</v>
      </c>
      <c r="AP527" s="237">
        <f t="shared" si="233"/>
        <v>0</v>
      </c>
      <c r="AQ527" s="238">
        <f t="shared" si="233"/>
        <v>0</v>
      </c>
    </row>
    <row r="528" spans="1:43" s="1" customFormat="1" ht="13.8" thickBot="1">
      <c r="A528" s="350" t="str">
        <f>CONCATENATE("NPV ",$F$509*100," of Cf to Term (2036)")</f>
        <v>NPV 9 of Cf to Term (2036)</v>
      </c>
      <c r="G528" s="373">
        <f>SUMPRODUCT(H$509:X$509,H527:X527)</f>
        <v>129999.99999999997</v>
      </c>
    </row>
    <row r="529" spans="1:43" s="1" customFormat="1">
      <c r="G529" s="371"/>
    </row>
    <row r="530" spans="1:43" s="1" customFormat="1">
      <c r="A530" s="25" t="s">
        <v>282</v>
      </c>
      <c r="G530" s="374" t="s">
        <v>65</v>
      </c>
      <c r="H530" s="2">
        <f>+H527/($F$512*12)</f>
        <v>0</v>
      </c>
      <c r="I530" s="2">
        <f t="shared" ref="I530:AQ530" si="234">+I527/($F$512*12)</f>
        <v>0</v>
      </c>
      <c r="J530" s="2">
        <f t="shared" si="234"/>
        <v>4.0079636198343902</v>
      </c>
      <c r="K530" s="2">
        <f t="shared" si="234"/>
        <v>4.0189443420805118</v>
      </c>
      <c r="L530" s="2">
        <f t="shared" si="234"/>
        <v>4.0079636198343902</v>
      </c>
      <c r="M530" s="2">
        <f t="shared" si="234"/>
        <v>4.0079636198343902</v>
      </c>
      <c r="N530" s="2">
        <f t="shared" si="234"/>
        <v>4.0079636198343902</v>
      </c>
      <c r="O530" s="2">
        <f t="shared" si="234"/>
        <v>4.0189443420805118</v>
      </c>
      <c r="P530" s="2">
        <f t="shared" si="234"/>
        <v>4.0079636198343902</v>
      </c>
      <c r="Q530" s="2">
        <f t="shared" si="234"/>
        <v>4.0079636198343902</v>
      </c>
      <c r="R530" s="2">
        <f t="shared" si="234"/>
        <v>4.0079636198343902</v>
      </c>
      <c r="S530" s="2">
        <f t="shared" si="234"/>
        <v>4.0189443420805118</v>
      </c>
      <c r="T530" s="2">
        <f t="shared" si="234"/>
        <v>0</v>
      </c>
      <c r="U530" s="2">
        <f t="shared" si="234"/>
        <v>0</v>
      </c>
      <c r="V530" s="2">
        <f t="shared" si="234"/>
        <v>0</v>
      </c>
      <c r="W530" s="2">
        <f t="shared" si="234"/>
        <v>0</v>
      </c>
      <c r="X530" s="2">
        <f t="shared" si="234"/>
        <v>0</v>
      </c>
      <c r="Y530" s="2">
        <f t="shared" si="234"/>
        <v>0</v>
      </c>
      <c r="Z530" s="2">
        <f t="shared" si="234"/>
        <v>0</v>
      </c>
      <c r="AA530" s="2">
        <f t="shared" si="234"/>
        <v>0</v>
      </c>
      <c r="AB530" s="2">
        <f t="shared" si="234"/>
        <v>0</v>
      </c>
      <c r="AC530" s="2">
        <f t="shared" si="234"/>
        <v>0</v>
      </c>
      <c r="AD530" s="2">
        <f t="shared" si="234"/>
        <v>0</v>
      </c>
      <c r="AE530" s="2">
        <f t="shared" si="234"/>
        <v>0</v>
      </c>
      <c r="AF530" s="2">
        <f t="shared" si="234"/>
        <v>0</v>
      </c>
      <c r="AG530" s="2">
        <f t="shared" si="234"/>
        <v>0</v>
      </c>
      <c r="AH530" s="2">
        <f t="shared" si="234"/>
        <v>0</v>
      </c>
      <c r="AI530" s="2">
        <f t="shared" si="234"/>
        <v>0</v>
      </c>
      <c r="AJ530" s="2">
        <f t="shared" si="234"/>
        <v>0</v>
      </c>
      <c r="AK530" s="2">
        <f t="shared" si="234"/>
        <v>0</v>
      </c>
      <c r="AL530" s="2">
        <f t="shared" si="234"/>
        <v>0</v>
      </c>
      <c r="AM530" s="2">
        <f t="shared" si="234"/>
        <v>0</v>
      </c>
      <c r="AN530" s="2">
        <f t="shared" si="234"/>
        <v>0</v>
      </c>
      <c r="AO530" s="2">
        <f t="shared" si="234"/>
        <v>0</v>
      </c>
      <c r="AP530" s="2">
        <f t="shared" si="234"/>
        <v>0</v>
      </c>
      <c r="AQ530" s="2">
        <f t="shared" si="234"/>
        <v>0</v>
      </c>
    </row>
    <row r="531" spans="1:43" s="1" customFormat="1">
      <c r="G531" s="371"/>
      <c r="I531" s="235"/>
      <c r="J531" s="235"/>
      <c r="K531" s="235"/>
      <c r="L531" s="235"/>
      <c r="M531" s="235"/>
      <c r="N531" s="235"/>
      <c r="O531" s="235"/>
      <c r="P531" s="235"/>
      <c r="Q531" s="235"/>
      <c r="R531" s="235"/>
      <c r="S531" s="235"/>
      <c r="T531" s="235"/>
    </row>
    <row r="532" spans="1:43" s="1" customFormat="1">
      <c r="G532" s="371"/>
    </row>
    <row r="533" spans="1:43" s="1" customFormat="1">
      <c r="G533" s="371"/>
      <c r="H533" s="235"/>
      <c r="I533" s="235"/>
      <c r="J533" s="25"/>
      <c r="K533" s="235"/>
      <c r="L533" s="235"/>
      <c r="M533" s="235"/>
      <c r="N533" s="235"/>
      <c r="O533" s="235"/>
      <c r="P533" s="235"/>
      <c r="Q533" s="235"/>
      <c r="R533" s="235"/>
      <c r="S533" s="235"/>
    </row>
    <row r="534" spans="1:43" s="1" customFormat="1">
      <c r="G534" s="371"/>
      <c r="J534" s="233">
        <f>+J9</f>
        <v>2003</v>
      </c>
      <c r="K534" s="233">
        <f t="shared" ref="K534:S534" si="235">+K9</f>
        <v>2004</v>
      </c>
      <c r="L534" s="233">
        <f t="shared" si="235"/>
        <v>2005</v>
      </c>
      <c r="M534" s="233">
        <f t="shared" si="235"/>
        <v>2006</v>
      </c>
      <c r="N534" s="233">
        <f t="shared" si="235"/>
        <v>2007</v>
      </c>
      <c r="O534" s="233">
        <f t="shared" si="235"/>
        <v>2008</v>
      </c>
      <c r="P534" s="233">
        <f t="shared" si="235"/>
        <v>2009</v>
      </c>
      <c r="Q534" s="233">
        <f t="shared" si="235"/>
        <v>2010</v>
      </c>
      <c r="R534" s="233">
        <f t="shared" si="235"/>
        <v>2011</v>
      </c>
      <c r="S534" s="233">
        <f t="shared" si="235"/>
        <v>2012</v>
      </c>
    </row>
    <row r="535" spans="1:43" s="1" customFormat="1">
      <c r="G535" s="371"/>
      <c r="H535" s="235"/>
      <c r="J535" s="235">
        <f>+J35</f>
        <v>29.951771706852913</v>
      </c>
      <c r="K535" s="235">
        <f t="shared" ref="K535:S535" si="236">+K35</f>
        <v>31.523412257672124</v>
      </c>
      <c r="L535" s="235">
        <f t="shared" si="236"/>
        <v>33.935229099445905</v>
      </c>
      <c r="M535" s="235">
        <f t="shared" si="236"/>
        <v>35.092072014523161</v>
      </c>
      <c r="N535" s="235">
        <f t="shared" si="236"/>
        <v>36.91360485180823</v>
      </c>
      <c r="O535" s="235">
        <f t="shared" si="236"/>
        <v>39.73241117254733</v>
      </c>
      <c r="P535" s="235">
        <f t="shared" si="236"/>
        <v>40.612389068550648</v>
      </c>
      <c r="Q535" s="235">
        <f t="shared" si="236"/>
        <v>41.659400526072069</v>
      </c>
      <c r="R535" s="235">
        <f t="shared" si="236"/>
        <v>42.886850640474215</v>
      </c>
      <c r="S535" s="235">
        <f t="shared" si="236"/>
        <v>43.641232880530993</v>
      </c>
    </row>
    <row r="536" spans="1:43" s="1" customFormat="1">
      <c r="J536" s="235">
        <f>+J45+J523</f>
        <v>40.085291520510296</v>
      </c>
      <c r="K536" s="235">
        <f t="shared" ref="K536:S536" si="237">+K45+K523</f>
        <v>42.075140413068894</v>
      </c>
      <c r="L536" s="235">
        <f t="shared" si="237"/>
        <v>43.597311275642454</v>
      </c>
      <c r="M536" s="235">
        <f t="shared" si="237"/>
        <v>45.374762959325082</v>
      </c>
      <c r="N536" s="235">
        <f t="shared" si="237"/>
        <v>46.675141311350117</v>
      </c>
      <c r="O536" s="235">
        <f t="shared" si="237"/>
        <v>48.373250772510545</v>
      </c>
      <c r="P536" s="235">
        <f t="shared" si="237"/>
        <v>50.344060413240598</v>
      </c>
      <c r="Q536" s="235">
        <f t="shared" si="237"/>
        <v>51.354398434049031</v>
      </c>
      <c r="R536" s="235">
        <f t="shared" si="237"/>
        <v>52.520377217598067</v>
      </c>
      <c r="S536" s="235">
        <f t="shared" si="237"/>
        <v>54.013986044071316</v>
      </c>
    </row>
    <row r="537" spans="1:43" s="1" customFormat="1"/>
    <row r="538" spans="1:43" s="1" customFormat="1"/>
    <row r="539" spans="1:43" s="1" customFormat="1"/>
    <row r="540" spans="1:43" s="1" customFormat="1"/>
    <row r="541" spans="1:43" s="1" customFormat="1"/>
    <row r="542" spans="1:43" s="1" customFormat="1"/>
    <row r="543" spans="1:43" s="1" customFormat="1"/>
    <row r="544" spans="1:43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</sheetData>
  <mergeCells count="13">
    <mergeCell ref="A6:Z6"/>
    <mergeCell ref="H66:M66"/>
    <mergeCell ref="N66:Z66"/>
    <mergeCell ref="H111:M111"/>
    <mergeCell ref="N111:Z111"/>
    <mergeCell ref="I105:I106"/>
    <mergeCell ref="J105:N106"/>
    <mergeCell ref="E433:E447"/>
    <mergeCell ref="G431:Z431"/>
    <mergeCell ref="G467:Z467"/>
    <mergeCell ref="E469:E483"/>
    <mergeCell ref="G449:Z449"/>
    <mergeCell ref="E451:E465"/>
  </mergeCells>
  <conditionalFormatting sqref="G433:Z447 G451:Z465 G469:Z483">
    <cfRule type="cellIs" dxfId="0" priority="1" stopIfTrue="1" operator="equal">
      <formula>$F$432</formula>
    </cfRule>
  </conditionalFormatting>
  <printOptions horizontalCentered="1"/>
  <pageMargins left="0" right="0" top="0" bottom="0" header="0.5" footer="0.25"/>
  <pageSetup paperSize="5" scale="62" orientation="landscape" verticalDpi="300" r:id="rId1"/>
  <headerFooter alignWithMargins="0">
    <oddFooter>&amp;L&amp;F, &amp;A&amp;CPage &amp;P&amp;R&amp;D</oddFooter>
  </headerFooter>
  <rowBreaks count="9" manualBreakCount="9">
    <brk id="57" max="25" man="1"/>
    <brk id="94" max="25" man="1"/>
    <brk id="152" max="25" man="1"/>
    <brk id="200" max="25" man="1"/>
    <brk id="231" max="25" man="1"/>
    <brk id="293" max="25" man="1"/>
    <brk id="318" max="25" man="1"/>
    <brk id="393" max="16383" man="1"/>
    <brk id="430" max="25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253"/>
  <sheetViews>
    <sheetView tabSelected="1" topLeftCell="A87" zoomScale="74" workbookViewId="0">
      <selection activeCell="A105" sqref="A105"/>
    </sheetView>
  </sheetViews>
  <sheetFormatPr defaultRowHeight="13.2"/>
  <cols>
    <col min="1" max="1" width="2.6640625" customWidth="1"/>
    <col min="2" max="2" width="4.109375" customWidth="1"/>
    <col min="3" max="3" width="1.6640625" customWidth="1"/>
    <col min="4" max="4" width="16.6640625" customWidth="1"/>
    <col min="5" max="5" width="4.6640625" customWidth="1"/>
    <col min="6" max="6" width="13.33203125" bestFit="1" customWidth="1"/>
    <col min="7" max="11" width="12.6640625" customWidth="1"/>
    <col min="12" max="14" width="11.5546875" customWidth="1"/>
    <col min="15" max="15" width="11.109375" customWidth="1"/>
    <col min="16" max="17" width="11.5546875" customWidth="1"/>
    <col min="18" max="18" width="11.109375" customWidth="1"/>
    <col min="19" max="19" width="10.44140625" customWidth="1"/>
    <col min="20" max="22" width="11.109375" customWidth="1"/>
    <col min="23" max="23" width="10.88671875" customWidth="1"/>
    <col min="24" max="27" width="11.109375" customWidth="1"/>
    <col min="28" max="28" width="11.5546875" customWidth="1"/>
    <col min="29" max="29" width="11.109375" customWidth="1"/>
    <col min="30" max="38" width="11.5546875" customWidth="1"/>
    <col min="39" max="39" width="11.109375" customWidth="1"/>
    <col min="40" max="44" width="11.5546875" customWidth="1"/>
    <col min="45" max="45" width="11.5546875" bestFit="1" customWidth="1"/>
    <col min="46" max="47" width="11.109375" bestFit="1" customWidth="1"/>
    <col min="48" max="48" width="11.5546875" bestFit="1" customWidth="1"/>
    <col min="49" max="51" width="11.109375" bestFit="1" customWidth="1"/>
  </cols>
  <sheetData>
    <row r="1" spans="1:51" s="1" customFormat="1" ht="17.399999999999999">
      <c r="A1" s="15" t="s">
        <v>114</v>
      </c>
      <c r="B1" s="13"/>
      <c r="AQ1" s="330"/>
      <c r="AR1" s="425"/>
      <c r="AS1" s="330"/>
    </row>
    <row r="2" spans="1:51" s="116" customFormat="1" ht="18.75" customHeight="1">
      <c r="A2" s="115" t="s">
        <v>113</v>
      </c>
      <c r="B2" s="115"/>
      <c r="Y2" s="1"/>
      <c r="Z2" s="1"/>
      <c r="AR2" s="425"/>
    </row>
    <row r="3" spans="1:51" s="290" customFormat="1" ht="12.75" customHeight="1" thickBot="1">
      <c r="A3" s="289"/>
      <c r="B3" s="289"/>
    </row>
    <row r="4" spans="1:51" s="35" customFormat="1" ht="13.8" thickTop="1">
      <c r="A4" s="45"/>
      <c r="AQ4" s="330"/>
      <c r="AR4" s="426"/>
      <c r="AS4" s="330"/>
      <c r="AT4" s="1"/>
      <c r="AU4" s="1"/>
      <c r="AV4" s="1"/>
      <c r="AW4" s="1"/>
    </row>
    <row r="5" spans="1:51" s="35" customFormat="1">
      <c r="A5" s="45"/>
      <c r="AQ5" s="330"/>
      <c r="AR5" s="426"/>
      <c r="AS5" s="330"/>
      <c r="AT5" s="1"/>
      <c r="AU5" s="1"/>
      <c r="AV5" s="1"/>
      <c r="AW5" s="1"/>
    </row>
    <row r="6" spans="1:51" s="35" customFormat="1" ht="17.399999999999999">
      <c r="A6" s="449" t="s">
        <v>218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  <c r="O6" s="450"/>
      <c r="P6" s="450"/>
      <c r="Q6" s="450"/>
      <c r="R6" s="450"/>
      <c r="S6" s="450"/>
      <c r="T6" s="450"/>
      <c r="U6" s="450"/>
      <c r="V6" s="450"/>
      <c r="W6" s="450"/>
      <c r="X6" s="450"/>
      <c r="Y6" s="450"/>
      <c r="Z6" s="450"/>
      <c r="AQ6" s="330"/>
      <c r="AR6" s="426"/>
      <c r="AS6" s="330"/>
      <c r="AT6" s="1"/>
      <c r="AU6" s="1"/>
      <c r="AV6" s="1"/>
      <c r="AW6" s="1"/>
    </row>
    <row r="7" spans="1:51" s="35" customFormat="1" ht="17.399999999999999">
      <c r="A7" s="292"/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Q7" s="330"/>
      <c r="AR7" s="426"/>
      <c r="AS7" s="330"/>
      <c r="AT7" s="1"/>
      <c r="AU7" s="1"/>
      <c r="AV7" s="1"/>
      <c r="AW7" s="1"/>
    </row>
    <row r="8" spans="1:51" s="35" customFormat="1">
      <c r="A8" s="45"/>
      <c r="AQ8" s="330"/>
      <c r="AR8" s="426"/>
      <c r="AS8" s="330"/>
      <c r="AT8" s="1"/>
      <c r="AU8" s="1"/>
      <c r="AV8" s="1"/>
      <c r="AW8" s="1"/>
    </row>
    <row r="9" spans="1:51" s="1" customFormat="1" ht="13.8" thickBot="1">
      <c r="H9" s="34" t="s">
        <v>22</v>
      </c>
      <c r="I9" s="424">
        <f>+Valuation!H9</f>
        <v>2001</v>
      </c>
      <c r="J9" s="11">
        <f>+I9+1</f>
        <v>2002</v>
      </c>
      <c r="K9" s="11">
        <f t="shared" ref="K9:AA9" si="0">+J9+1</f>
        <v>2003</v>
      </c>
      <c r="L9" s="11">
        <f t="shared" si="0"/>
        <v>2004</v>
      </c>
      <c r="M9" s="11">
        <f t="shared" si="0"/>
        <v>2005</v>
      </c>
      <c r="N9" s="11">
        <f t="shared" si="0"/>
        <v>2006</v>
      </c>
      <c r="O9" s="11">
        <f t="shared" si="0"/>
        <v>2007</v>
      </c>
      <c r="P9" s="11">
        <f t="shared" si="0"/>
        <v>2008</v>
      </c>
      <c r="Q9" s="11">
        <f t="shared" si="0"/>
        <v>2009</v>
      </c>
      <c r="R9" s="11">
        <f t="shared" si="0"/>
        <v>2010</v>
      </c>
      <c r="S9" s="11">
        <f t="shared" si="0"/>
        <v>2011</v>
      </c>
      <c r="T9" s="11">
        <f t="shared" si="0"/>
        <v>2012</v>
      </c>
      <c r="U9" s="11">
        <f t="shared" si="0"/>
        <v>2013</v>
      </c>
      <c r="V9" s="11">
        <f t="shared" si="0"/>
        <v>2014</v>
      </c>
      <c r="W9" s="11">
        <f t="shared" si="0"/>
        <v>2015</v>
      </c>
      <c r="X9" s="11">
        <f t="shared" si="0"/>
        <v>2016</v>
      </c>
      <c r="Y9" s="11">
        <f t="shared" si="0"/>
        <v>2017</v>
      </c>
      <c r="Z9" s="11">
        <f t="shared" si="0"/>
        <v>2018</v>
      </c>
      <c r="AA9" s="11">
        <f t="shared" si="0"/>
        <v>2019</v>
      </c>
      <c r="AB9" s="276">
        <f>+AA9+1</f>
        <v>2020</v>
      </c>
      <c r="AC9" s="276">
        <f t="shared" ref="AC9:AR9" si="1">+AB9+1</f>
        <v>2021</v>
      </c>
      <c r="AD9" s="276">
        <f t="shared" si="1"/>
        <v>2022</v>
      </c>
      <c r="AE9" s="276">
        <f t="shared" si="1"/>
        <v>2023</v>
      </c>
      <c r="AF9" s="276">
        <f t="shared" si="1"/>
        <v>2024</v>
      </c>
      <c r="AG9" s="276">
        <f t="shared" si="1"/>
        <v>2025</v>
      </c>
      <c r="AH9" s="276">
        <f t="shared" si="1"/>
        <v>2026</v>
      </c>
      <c r="AI9" s="276">
        <f t="shared" si="1"/>
        <v>2027</v>
      </c>
      <c r="AJ9" s="276">
        <f t="shared" si="1"/>
        <v>2028</v>
      </c>
      <c r="AK9" s="276">
        <f t="shared" si="1"/>
        <v>2029</v>
      </c>
      <c r="AL9" s="276">
        <f t="shared" si="1"/>
        <v>2030</v>
      </c>
      <c r="AM9" s="276">
        <f t="shared" si="1"/>
        <v>2031</v>
      </c>
      <c r="AN9" s="276">
        <f t="shared" si="1"/>
        <v>2032</v>
      </c>
      <c r="AO9" s="276">
        <f t="shared" si="1"/>
        <v>2033</v>
      </c>
      <c r="AP9" s="276">
        <f t="shared" si="1"/>
        <v>2034</v>
      </c>
      <c r="AQ9" s="276">
        <f t="shared" si="1"/>
        <v>2035</v>
      </c>
      <c r="AR9" s="276">
        <f t="shared" si="1"/>
        <v>2036</v>
      </c>
      <c r="AS9" s="330"/>
    </row>
    <row r="10" spans="1:51" s="1" customFormat="1" ht="13.8" thickBot="1"/>
    <row r="11" spans="1:51" s="1" customFormat="1">
      <c r="A11" s="408" t="s">
        <v>283</v>
      </c>
      <c r="B11" s="409"/>
      <c r="C11" s="409"/>
      <c r="D11" s="409"/>
      <c r="E11" s="409"/>
      <c r="F11" s="410">
        <v>3</v>
      </c>
      <c r="G11" s="10" t="s">
        <v>6</v>
      </c>
      <c r="H11" s="376">
        <f>+Valuation!G12</f>
        <v>36891</v>
      </c>
      <c r="I11" s="14">
        <f>+H11+365</f>
        <v>37256</v>
      </c>
      <c r="J11" s="14">
        <f>+I11+365</f>
        <v>37621</v>
      </c>
      <c r="K11" s="14">
        <f>+J11+365</f>
        <v>37986</v>
      </c>
      <c r="L11" s="14">
        <f>+K11+366</f>
        <v>38352</v>
      </c>
      <c r="M11" s="14">
        <f>+L11+365</f>
        <v>38717</v>
      </c>
      <c r="N11" s="14">
        <f>+M11+365</f>
        <v>39082</v>
      </c>
      <c r="O11" s="14">
        <f>+N11+365</f>
        <v>39447</v>
      </c>
      <c r="P11" s="14">
        <f>+O11+366</f>
        <v>39813</v>
      </c>
      <c r="Q11" s="14">
        <f>+P11+365</f>
        <v>40178</v>
      </c>
      <c r="R11" s="14">
        <f>+Q11+365</f>
        <v>40543</v>
      </c>
      <c r="S11" s="14">
        <f>+R11+365</f>
        <v>40908</v>
      </c>
      <c r="T11" s="14">
        <f>+S11+366</f>
        <v>41274</v>
      </c>
      <c r="U11" s="14">
        <f>+T11+365</f>
        <v>41639</v>
      </c>
      <c r="V11" s="14">
        <f>+U11+365</f>
        <v>42004</v>
      </c>
      <c r="W11" s="14">
        <f>+V11+365</f>
        <v>42369</v>
      </c>
      <c r="X11" s="14">
        <f>+W11+366</f>
        <v>42735</v>
      </c>
      <c r="Y11" s="14">
        <f>+X11+365</f>
        <v>43100</v>
      </c>
      <c r="Z11" s="14">
        <f>+Y11+365</f>
        <v>43465</v>
      </c>
      <c r="AA11" s="14">
        <f>+Z11+365</f>
        <v>43830</v>
      </c>
      <c r="AB11" s="14">
        <f>+AA11+366</f>
        <v>44196</v>
      </c>
      <c r="AC11" s="14">
        <f>+AB11+365</f>
        <v>44561</v>
      </c>
      <c r="AD11" s="14">
        <f>+AC11+365</f>
        <v>44926</v>
      </c>
      <c r="AE11" s="14">
        <f>+AD11+365</f>
        <v>45291</v>
      </c>
      <c r="AF11" s="14">
        <f>+AE11+366</f>
        <v>45657</v>
      </c>
      <c r="AG11" s="14">
        <f>+AF11+365</f>
        <v>46022</v>
      </c>
      <c r="AH11" s="14">
        <f>+AG11+365</f>
        <v>46387</v>
      </c>
      <c r="AI11" s="14">
        <f>+AH11+365</f>
        <v>46752</v>
      </c>
      <c r="AJ11" s="14">
        <f>+AI11+366</f>
        <v>47118</v>
      </c>
      <c r="AK11" s="14">
        <f>+AJ11+365</f>
        <v>47483</v>
      </c>
      <c r="AL11" s="14">
        <f>+AK11+365</f>
        <v>47848</v>
      </c>
      <c r="AM11" s="14">
        <f>+AL11+365</f>
        <v>48213</v>
      </c>
      <c r="AN11" s="14">
        <f>+AM11+366</f>
        <v>48579</v>
      </c>
      <c r="AO11" s="14">
        <f>+AN11+365</f>
        <v>48944</v>
      </c>
      <c r="AP11" s="14">
        <f>+AO11+365</f>
        <v>49309</v>
      </c>
      <c r="AQ11" s="14">
        <f>+AP11+365</f>
        <v>49674</v>
      </c>
      <c r="AR11" s="14">
        <f>+AQ11+366</f>
        <v>50040</v>
      </c>
      <c r="AS11" s="14"/>
      <c r="AT11" s="14"/>
      <c r="AU11" s="14"/>
      <c r="AV11" s="14"/>
      <c r="AW11" s="14"/>
      <c r="AX11" s="14"/>
      <c r="AY11" s="14"/>
    </row>
    <row r="12" spans="1:51" s="1" customFormat="1">
      <c r="A12" s="411" t="s">
        <v>284</v>
      </c>
      <c r="B12" s="412"/>
      <c r="C12" s="412"/>
      <c r="D12" s="412"/>
      <c r="E12" s="412"/>
      <c r="F12" s="413">
        <v>0.06</v>
      </c>
      <c r="G12" s="10" t="s">
        <v>4</v>
      </c>
      <c r="H12" s="4">
        <f>ROUND(YEARFRAC('Litigation Analysis'!$H$11,H11),0)</f>
        <v>0</v>
      </c>
      <c r="I12" s="4">
        <f>ROUND(YEARFRAC('Litigation Analysis'!$H$11,I11),0)</f>
        <v>1</v>
      </c>
      <c r="J12" s="4">
        <f>ROUND(YEARFRAC('Litigation Analysis'!$H$11,J11),0)</f>
        <v>2</v>
      </c>
      <c r="K12" s="4">
        <f>ROUND(YEARFRAC('Litigation Analysis'!$H$11,K11),0)</f>
        <v>3</v>
      </c>
      <c r="L12" s="4">
        <f>ROUND(YEARFRAC('Litigation Analysis'!$H$11,L11),0)</f>
        <v>4</v>
      </c>
      <c r="M12" s="4">
        <f>ROUND(YEARFRAC('Litigation Analysis'!$H$11,M11),0)</f>
        <v>5</v>
      </c>
      <c r="N12" s="4">
        <f>ROUND(YEARFRAC('Litigation Analysis'!$H$11,N11),0)</f>
        <v>6</v>
      </c>
      <c r="O12" s="4">
        <f>ROUND(YEARFRAC('Litigation Analysis'!$H$11,O11),0)</f>
        <v>7</v>
      </c>
      <c r="P12" s="4">
        <f>ROUND(YEARFRAC('Litigation Analysis'!$H$11,P11),0)</f>
        <v>8</v>
      </c>
      <c r="Q12" s="4">
        <f>ROUND(YEARFRAC('Litigation Analysis'!$H$11,Q11),0)</f>
        <v>9</v>
      </c>
      <c r="R12" s="4">
        <f>ROUND(YEARFRAC('Litigation Analysis'!$H$11,R11),0)</f>
        <v>10</v>
      </c>
      <c r="S12" s="4">
        <f>ROUND(YEARFRAC('Litigation Analysis'!$H$11,S11),0)</f>
        <v>11</v>
      </c>
      <c r="T12" s="4">
        <f>ROUND(YEARFRAC('Litigation Analysis'!$H$11,T11),0)</f>
        <v>12</v>
      </c>
      <c r="U12" s="4">
        <f>ROUND(YEARFRAC('Litigation Analysis'!$H$11,U11),0)</f>
        <v>13</v>
      </c>
      <c r="V12" s="4">
        <f>ROUND(YEARFRAC('Litigation Analysis'!$H$11,V11),0)</f>
        <v>14</v>
      </c>
      <c r="W12" s="4">
        <f>ROUND(YEARFRAC('Litigation Analysis'!$H$11,W11),0)</f>
        <v>15</v>
      </c>
      <c r="X12" s="4">
        <f>ROUND(YEARFRAC('Litigation Analysis'!$H$11,X11),0)</f>
        <v>16</v>
      </c>
      <c r="Y12" s="4">
        <f>ROUND(YEARFRAC('Litigation Analysis'!$H$11,Y11),0)</f>
        <v>17</v>
      </c>
      <c r="Z12" s="4">
        <f>ROUND(YEARFRAC('Litigation Analysis'!$H$11,Z11),0)</f>
        <v>18</v>
      </c>
      <c r="AA12" s="4">
        <f>ROUND(YEARFRAC('Litigation Analysis'!$H$11,AA11),0)</f>
        <v>19</v>
      </c>
      <c r="AB12" s="4">
        <f>ROUND(YEARFRAC('Litigation Analysis'!$H$11,AB11),0)</f>
        <v>20</v>
      </c>
      <c r="AC12" s="4">
        <f>ROUND(YEARFRAC('Litigation Analysis'!$H$11,AC11),0)</f>
        <v>21</v>
      </c>
      <c r="AD12" s="4">
        <f>ROUND(YEARFRAC('Litigation Analysis'!$H$11,AD11),0)</f>
        <v>22</v>
      </c>
      <c r="AE12" s="4">
        <f>ROUND(YEARFRAC('Litigation Analysis'!$H$11,AE11),0)</f>
        <v>23</v>
      </c>
      <c r="AF12" s="4">
        <f>ROUND(YEARFRAC('Litigation Analysis'!$H$11,AF11),0)</f>
        <v>24</v>
      </c>
      <c r="AG12" s="4">
        <f>ROUND(YEARFRAC('Litigation Analysis'!$H$11,AG11),0)</f>
        <v>25</v>
      </c>
      <c r="AH12" s="4">
        <f>ROUND(YEARFRAC('Litigation Analysis'!$H$11,AH11),0)</f>
        <v>26</v>
      </c>
      <c r="AI12" s="4">
        <f>ROUND(YEARFRAC('Litigation Analysis'!$H$11,AI11),0)</f>
        <v>27</v>
      </c>
      <c r="AJ12" s="4">
        <f>ROUND(YEARFRAC('Litigation Analysis'!$H$11,AJ11),0)</f>
        <v>28</v>
      </c>
      <c r="AK12" s="4">
        <f>ROUND(YEARFRAC('Litigation Analysis'!$H$11,AK11),0)</f>
        <v>29</v>
      </c>
      <c r="AL12" s="4">
        <f>ROUND(YEARFRAC('Litigation Analysis'!$H$11,AL11),0)</f>
        <v>30</v>
      </c>
      <c r="AM12" s="4">
        <f>ROUND(YEARFRAC('Litigation Analysis'!$H$11,AM11),0)</f>
        <v>31</v>
      </c>
      <c r="AN12" s="4">
        <f>ROUND(YEARFRAC('Litigation Analysis'!$H$11,AN11),0)</f>
        <v>32</v>
      </c>
      <c r="AO12" s="4">
        <f>ROUND(YEARFRAC('Litigation Analysis'!$H$11,AO11),0)</f>
        <v>33</v>
      </c>
      <c r="AP12" s="4">
        <f>ROUND(YEARFRAC('Litigation Analysis'!$H$11,AP11),0)</f>
        <v>34</v>
      </c>
      <c r="AQ12" s="4">
        <f>ROUND(YEARFRAC('Litigation Analysis'!$H$11,AQ11),0)</f>
        <v>35</v>
      </c>
      <c r="AR12" s="4">
        <f>ROUND(YEARFRAC('Litigation Analysis'!$H$11,AR11),0)</f>
        <v>36</v>
      </c>
    </row>
    <row r="13" spans="1:51" s="1" customFormat="1">
      <c r="A13" s="411" t="s">
        <v>285</v>
      </c>
      <c r="B13" s="412"/>
      <c r="C13" s="412"/>
      <c r="D13" s="412"/>
      <c r="E13" s="412"/>
      <c r="F13" s="413">
        <v>0.05</v>
      </c>
      <c r="G13" s="10" t="s">
        <v>5</v>
      </c>
      <c r="H13" s="5">
        <f t="shared" ref="H13:AR13" si="2">1/(1+$F$13)^H12</f>
        <v>1</v>
      </c>
      <c r="I13" s="5">
        <f t="shared" si="2"/>
        <v>0.95238095238095233</v>
      </c>
      <c r="J13" s="5">
        <f t="shared" si="2"/>
        <v>0.90702947845804982</v>
      </c>
      <c r="K13" s="5">
        <f t="shared" si="2"/>
        <v>0.86383759853147601</v>
      </c>
      <c r="L13" s="5">
        <f t="shared" si="2"/>
        <v>0.82270247479188197</v>
      </c>
      <c r="M13" s="5">
        <f t="shared" si="2"/>
        <v>0.78352616646845896</v>
      </c>
      <c r="N13" s="5">
        <f t="shared" si="2"/>
        <v>0.74621539663662761</v>
      </c>
      <c r="O13" s="5">
        <f t="shared" si="2"/>
        <v>0.71068133013012147</v>
      </c>
      <c r="P13" s="5">
        <f t="shared" si="2"/>
        <v>0.67683936202868722</v>
      </c>
      <c r="Q13" s="5">
        <f t="shared" si="2"/>
        <v>0.64460891621779726</v>
      </c>
      <c r="R13" s="5">
        <f t="shared" si="2"/>
        <v>0.61391325354075932</v>
      </c>
      <c r="S13" s="5">
        <f t="shared" si="2"/>
        <v>0.5846792890864374</v>
      </c>
      <c r="T13" s="5">
        <f t="shared" si="2"/>
        <v>0.5568374181775595</v>
      </c>
      <c r="U13" s="5">
        <f t="shared" si="2"/>
        <v>0.53032135064529462</v>
      </c>
      <c r="V13" s="5">
        <f t="shared" si="2"/>
        <v>0.50506795299551888</v>
      </c>
      <c r="W13" s="5">
        <f t="shared" si="2"/>
        <v>0.48101709809097021</v>
      </c>
      <c r="X13" s="5">
        <f t="shared" si="2"/>
        <v>0.45811152199140021</v>
      </c>
      <c r="Y13" s="5">
        <f t="shared" si="2"/>
        <v>0.43629668761085727</v>
      </c>
      <c r="Z13" s="5">
        <f t="shared" si="2"/>
        <v>0.41552065486748313</v>
      </c>
      <c r="AA13" s="5">
        <f t="shared" si="2"/>
        <v>0.39573395701665059</v>
      </c>
      <c r="AB13" s="5">
        <f t="shared" si="2"/>
        <v>0.37688948287300061</v>
      </c>
      <c r="AC13" s="5">
        <f t="shared" si="2"/>
        <v>0.35894236464095297</v>
      </c>
      <c r="AD13" s="5">
        <f t="shared" si="2"/>
        <v>0.3418498710866219</v>
      </c>
      <c r="AE13" s="5">
        <f t="shared" si="2"/>
        <v>0.32557130579678267</v>
      </c>
      <c r="AF13" s="5">
        <f t="shared" si="2"/>
        <v>0.31006791028265024</v>
      </c>
      <c r="AG13" s="5">
        <f t="shared" si="2"/>
        <v>0.29530277169776209</v>
      </c>
      <c r="AH13" s="5">
        <f t="shared" si="2"/>
        <v>0.28124073495024959</v>
      </c>
      <c r="AI13" s="5">
        <f t="shared" si="2"/>
        <v>0.2678483190002377</v>
      </c>
      <c r="AJ13" s="5">
        <f t="shared" si="2"/>
        <v>0.25509363714308358</v>
      </c>
      <c r="AK13" s="5">
        <f t="shared" si="2"/>
        <v>0.24294632108865097</v>
      </c>
      <c r="AL13" s="5">
        <f t="shared" si="2"/>
        <v>0.23137744865585813</v>
      </c>
      <c r="AM13" s="5">
        <f t="shared" si="2"/>
        <v>0.220359474910341</v>
      </c>
      <c r="AN13" s="5">
        <f t="shared" si="2"/>
        <v>0.20986616658127716</v>
      </c>
      <c r="AO13" s="5">
        <f t="shared" si="2"/>
        <v>0.19987253960121634</v>
      </c>
      <c r="AP13" s="5">
        <f t="shared" si="2"/>
        <v>0.19035479962020604</v>
      </c>
      <c r="AQ13" s="5">
        <f t="shared" si="2"/>
        <v>0.18129028535257716</v>
      </c>
      <c r="AR13" s="5">
        <f t="shared" si="2"/>
        <v>0.17265741462150208</v>
      </c>
    </row>
    <row r="14" spans="1:51" s="1" customFormat="1" ht="13.8" thickBot="1">
      <c r="A14" s="414" t="s">
        <v>286</v>
      </c>
      <c r="B14" s="415"/>
      <c r="C14" s="415"/>
      <c r="D14" s="415"/>
      <c r="E14" s="415"/>
      <c r="F14" s="416">
        <v>10000</v>
      </c>
    </row>
    <row r="15" spans="1:51" s="1" customFormat="1" ht="13.8" thickBot="1">
      <c r="A15" s="13"/>
    </row>
    <row r="16" spans="1:51" s="1" customFormat="1">
      <c r="A16" s="408" t="s">
        <v>308</v>
      </c>
      <c r="B16" s="417"/>
      <c r="C16" s="417"/>
      <c r="D16" s="417"/>
      <c r="E16" s="417"/>
      <c r="F16" s="421">
        <f>+Valuation!E12</f>
        <v>6.1249999999999999E-2</v>
      </c>
      <c r="G16" s="10"/>
      <c r="H16" s="376"/>
      <c r="I16" s="376"/>
      <c r="J16" s="376"/>
      <c r="K16" s="376"/>
      <c r="L16" s="376"/>
      <c r="M16" s="376"/>
      <c r="N16" s="376"/>
      <c r="O16" s="376"/>
      <c r="P16" s="376"/>
      <c r="Q16" s="376"/>
      <c r="R16" s="376"/>
      <c r="S16" s="376"/>
      <c r="T16" s="376"/>
      <c r="U16" s="376"/>
      <c r="V16" s="376"/>
      <c r="W16" s="376"/>
      <c r="X16" s="376"/>
      <c r="Y16" s="376"/>
      <c r="Z16" s="376"/>
      <c r="AA16" s="376"/>
      <c r="AB16" s="376"/>
      <c r="AC16" s="376"/>
      <c r="AD16" s="376"/>
      <c r="AE16" s="376"/>
      <c r="AF16" s="376"/>
      <c r="AG16" s="376"/>
      <c r="AH16" s="376"/>
      <c r="AI16" s="376"/>
      <c r="AJ16" s="376"/>
      <c r="AK16" s="376"/>
      <c r="AL16" s="376"/>
      <c r="AM16" s="376"/>
      <c r="AN16" s="376"/>
      <c r="AO16" s="376"/>
      <c r="AP16" s="376"/>
      <c r="AQ16" s="376"/>
      <c r="AR16" s="376"/>
    </row>
    <row r="17" spans="1:44" s="1" customFormat="1">
      <c r="A17" s="411" t="s">
        <v>309</v>
      </c>
      <c r="B17" s="412"/>
      <c r="C17" s="412"/>
      <c r="D17" s="412"/>
      <c r="E17" s="412"/>
      <c r="F17" s="422">
        <f>+Valuation!E13</f>
        <v>1.25E-3</v>
      </c>
      <c r="G17" s="10"/>
      <c r="H17" s="384"/>
      <c r="I17" s="384"/>
      <c r="J17" s="384"/>
      <c r="K17" s="384"/>
      <c r="L17" s="384"/>
      <c r="M17" s="384"/>
      <c r="N17" s="384"/>
      <c r="O17" s="384"/>
      <c r="P17" s="384"/>
      <c r="Q17" s="384"/>
      <c r="R17" s="384"/>
      <c r="S17" s="384"/>
      <c r="T17" s="384"/>
      <c r="U17" s="384"/>
      <c r="V17" s="384"/>
      <c r="W17" s="384"/>
      <c r="X17" s="384"/>
      <c r="Y17" s="384"/>
      <c r="Z17" s="384"/>
      <c r="AA17" s="384"/>
      <c r="AB17" s="384"/>
      <c r="AC17" s="384"/>
      <c r="AD17" s="384"/>
      <c r="AE17" s="384"/>
      <c r="AF17" s="384"/>
      <c r="AG17" s="384"/>
      <c r="AH17" s="384"/>
      <c r="AI17" s="384"/>
      <c r="AJ17" s="384"/>
      <c r="AK17" s="384"/>
      <c r="AL17" s="384"/>
      <c r="AM17" s="384"/>
      <c r="AN17" s="384"/>
      <c r="AO17" s="384"/>
      <c r="AP17" s="384"/>
      <c r="AQ17" s="384"/>
      <c r="AR17" s="384"/>
    </row>
    <row r="18" spans="1:44" s="1" customFormat="1" ht="13.8" thickBot="1">
      <c r="A18" s="414" t="s">
        <v>310</v>
      </c>
      <c r="B18" s="415"/>
      <c r="C18" s="415"/>
      <c r="D18" s="415"/>
      <c r="E18" s="415"/>
      <c r="F18" s="420">
        <f>+SUM(F16:F17)</f>
        <v>6.25E-2</v>
      </c>
      <c r="G18" s="10" t="s">
        <v>5</v>
      </c>
      <c r="H18" s="5">
        <f>1/(1+$F$18)^H12</f>
        <v>1</v>
      </c>
      <c r="I18" s="5">
        <f t="shared" ref="I18:AR18" si="3">1/(1+$F$18)^I12</f>
        <v>0.94117647058823528</v>
      </c>
      <c r="J18" s="5">
        <f t="shared" si="3"/>
        <v>0.88581314878892736</v>
      </c>
      <c r="K18" s="5">
        <f t="shared" si="3"/>
        <v>0.83370649297781396</v>
      </c>
      <c r="L18" s="5">
        <f t="shared" si="3"/>
        <v>0.78466493456735431</v>
      </c>
      <c r="M18" s="5">
        <f t="shared" si="3"/>
        <v>0.73850817371045108</v>
      </c>
      <c r="N18" s="5">
        <f t="shared" si="3"/>
        <v>0.69506651643336581</v>
      </c>
      <c r="O18" s="5">
        <f t="shared" si="3"/>
        <v>0.65418025076081487</v>
      </c>
      <c r="P18" s="5">
        <f t="shared" si="3"/>
        <v>0.61569905953959048</v>
      </c>
      <c r="Q18" s="5">
        <f t="shared" si="3"/>
        <v>0.57948146780196752</v>
      </c>
      <c r="R18" s="5">
        <f t="shared" si="3"/>
        <v>0.54539432263714582</v>
      </c>
      <c r="S18" s="5">
        <f t="shared" si="3"/>
        <v>0.51331230365849023</v>
      </c>
      <c r="T18" s="5">
        <f t="shared" si="3"/>
        <v>0.48311746226681429</v>
      </c>
      <c r="U18" s="5">
        <f t="shared" si="3"/>
        <v>0.45469878801582531</v>
      </c>
      <c r="V18" s="5">
        <f t="shared" si="3"/>
        <v>0.42795180048548259</v>
      </c>
      <c r="W18" s="5">
        <f t="shared" si="3"/>
        <v>0.40277816516280712</v>
      </c>
      <c r="X18" s="5">
        <f t="shared" si="3"/>
        <v>0.37908533191793609</v>
      </c>
      <c r="Y18" s="5">
        <f t="shared" si="3"/>
        <v>0.35678619474629281</v>
      </c>
      <c r="Z18" s="5">
        <f t="shared" si="3"/>
        <v>0.33579877152592269</v>
      </c>
      <c r="AA18" s="5">
        <f t="shared" si="3"/>
        <v>0.3160459026126331</v>
      </c>
      <c r="AB18" s="5">
        <f t="shared" si="3"/>
        <v>0.29745496716483116</v>
      </c>
      <c r="AC18" s="5">
        <f t="shared" si="3"/>
        <v>0.27995761615513515</v>
      </c>
      <c r="AD18" s="5">
        <f t="shared" si="3"/>
        <v>0.26348952108718604</v>
      </c>
      <c r="AE18" s="5">
        <f t="shared" si="3"/>
        <v>0.2479901374938222</v>
      </c>
      <c r="AF18" s="5">
        <f t="shared" si="3"/>
        <v>0.23340248234712674</v>
      </c>
      <c r="AG18" s="5">
        <f t="shared" si="3"/>
        <v>0.21967292456200166</v>
      </c>
      <c r="AH18" s="5">
        <f t="shared" si="3"/>
        <v>0.20675098782306039</v>
      </c>
      <c r="AI18" s="5">
        <f t="shared" si="3"/>
        <v>0.19458916500993917</v>
      </c>
      <c r="AJ18" s="5">
        <f t="shared" si="3"/>
        <v>0.18314274353876628</v>
      </c>
      <c r="AK18" s="5">
        <f t="shared" si="3"/>
        <v>0.17236964097766239</v>
      </c>
      <c r="AL18" s="5">
        <f t="shared" si="3"/>
        <v>0.16223025033191754</v>
      </c>
      <c r="AM18" s="5">
        <f t="shared" si="3"/>
        <v>0.15268729443004003</v>
      </c>
      <c r="AN18" s="5">
        <f t="shared" si="3"/>
        <v>0.14370568887533181</v>
      </c>
      <c r="AO18" s="5">
        <f t="shared" si="3"/>
        <v>0.1352524130591358</v>
      </c>
      <c r="AP18" s="5">
        <f t="shared" si="3"/>
        <v>0.12729638876153959</v>
      </c>
      <c r="AQ18" s="5">
        <f t="shared" si="3"/>
        <v>0.11980836589321374</v>
      </c>
      <c r="AR18" s="5">
        <f t="shared" si="3"/>
        <v>0.1127608149583188</v>
      </c>
    </row>
    <row r="19" spans="1:44" s="1" customFormat="1" ht="13.8" thickBot="1">
      <c r="A19" s="13"/>
    </row>
    <row r="20" spans="1:44" s="1" customFormat="1">
      <c r="A20" s="408" t="s">
        <v>358</v>
      </c>
      <c r="B20" s="417"/>
      <c r="C20" s="417"/>
      <c r="D20" s="417"/>
      <c r="E20" s="417"/>
      <c r="F20" s="418">
        <v>0.14000000000000001</v>
      </c>
      <c r="G20" s="10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76"/>
      <c r="AA20" s="376"/>
      <c r="AB20" s="376"/>
      <c r="AC20" s="376"/>
      <c r="AD20" s="376"/>
      <c r="AE20" s="376"/>
      <c r="AF20" s="376"/>
      <c r="AG20" s="376"/>
      <c r="AH20" s="376"/>
      <c r="AI20" s="376"/>
      <c r="AJ20" s="376"/>
      <c r="AK20" s="376"/>
      <c r="AL20" s="376"/>
      <c r="AM20" s="376"/>
      <c r="AN20" s="376"/>
      <c r="AO20" s="376"/>
      <c r="AP20" s="376"/>
      <c r="AQ20" s="376"/>
      <c r="AR20" s="376"/>
    </row>
    <row r="21" spans="1:44" s="1" customFormat="1">
      <c r="A21" s="411" t="s">
        <v>153</v>
      </c>
      <c r="B21" s="412"/>
      <c r="C21" s="412"/>
      <c r="D21" s="412"/>
      <c r="E21" s="412"/>
      <c r="F21" s="419">
        <v>0</v>
      </c>
      <c r="G21" s="10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84"/>
      <c r="AA21" s="384"/>
      <c r="AB21" s="384"/>
      <c r="AC21" s="384"/>
      <c r="AD21" s="384"/>
      <c r="AE21" s="384"/>
      <c r="AF21" s="384"/>
      <c r="AG21" s="384"/>
      <c r="AH21" s="384"/>
      <c r="AI21" s="384"/>
      <c r="AJ21" s="384"/>
      <c r="AK21" s="384"/>
      <c r="AL21" s="384"/>
      <c r="AM21" s="384"/>
      <c r="AN21" s="384"/>
      <c r="AO21" s="384"/>
      <c r="AP21" s="384"/>
      <c r="AQ21" s="384"/>
      <c r="AR21" s="384"/>
    </row>
    <row r="22" spans="1:44" s="1" customFormat="1" ht="13.8" thickBot="1">
      <c r="A22" s="414" t="s">
        <v>310</v>
      </c>
      <c r="B22" s="415"/>
      <c r="C22" s="415"/>
      <c r="D22" s="415"/>
      <c r="E22" s="415"/>
      <c r="F22" s="420">
        <f>+SUM(F20:F21)</f>
        <v>0.14000000000000001</v>
      </c>
      <c r="G22" s="10" t="s">
        <v>5</v>
      </c>
      <c r="H22" s="5">
        <f>1/(1+$F$22)^H12</f>
        <v>1</v>
      </c>
      <c r="I22" s="5">
        <f t="shared" ref="I22:AR22" si="4">1/(1+$F$22)^I12</f>
        <v>0.8771929824561403</v>
      </c>
      <c r="J22" s="5">
        <f t="shared" si="4"/>
        <v>0.76946752847029842</v>
      </c>
      <c r="K22" s="5">
        <f t="shared" si="4"/>
        <v>0.67497151620201612</v>
      </c>
      <c r="L22" s="5">
        <f t="shared" si="4"/>
        <v>0.59208027737018942</v>
      </c>
      <c r="M22" s="5">
        <f t="shared" si="4"/>
        <v>0.51936866435981521</v>
      </c>
      <c r="N22" s="5">
        <f t="shared" si="4"/>
        <v>0.45558654768404844</v>
      </c>
      <c r="O22" s="5">
        <f t="shared" si="4"/>
        <v>0.39963732252986695</v>
      </c>
      <c r="P22" s="5">
        <f t="shared" si="4"/>
        <v>0.35055905485076044</v>
      </c>
      <c r="Q22" s="5">
        <f t="shared" si="4"/>
        <v>0.3075079428515442</v>
      </c>
      <c r="R22" s="5">
        <f t="shared" si="4"/>
        <v>0.26974380951889843</v>
      </c>
      <c r="S22" s="5">
        <f t="shared" si="4"/>
        <v>0.23661737677096348</v>
      </c>
      <c r="T22" s="5">
        <f t="shared" si="4"/>
        <v>0.20755910243066969</v>
      </c>
      <c r="U22" s="5">
        <f t="shared" si="4"/>
        <v>0.18206938809707865</v>
      </c>
      <c r="V22" s="5">
        <f t="shared" si="4"/>
        <v>0.15970998955884091</v>
      </c>
      <c r="W22" s="5">
        <f t="shared" si="4"/>
        <v>0.1400964820691587</v>
      </c>
      <c r="X22" s="5">
        <f t="shared" si="4"/>
        <v>0.12289165093785848</v>
      </c>
      <c r="Y22" s="5">
        <f t="shared" si="4"/>
        <v>0.107799693805139</v>
      </c>
      <c r="Z22" s="5">
        <f t="shared" si="4"/>
        <v>9.4561134916788581E-2</v>
      </c>
      <c r="AA22" s="5">
        <f t="shared" si="4"/>
        <v>8.2948363962095248E-2</v>
      </c>
      <c r="AB22" s="5">
        <f t="shared" si="4"/>
        <v>7.2761722773767745E-2</v>
      </c>
      <c r="AC22" s="5">
        <f t="shared" si="4"/>
        <v>6.3826072608568193E-2</v>
      </c>
      <c r="AD22" s="5">
        <f t="shared" si="4"/>
        <v>5.5987782989972097E-2</v>
      </c>
      <c r="AE22" s="5">
        <f t="shared" si="4"/>
        <v>4.9112090342080778E-2</v>
      </c>
      <c r="AF22" s="5">
        <f t="shared" si="4"/>
        <v>4.3080781001825233E-2</v>
      </c>
      <c r="AG22" s="5">
        <f t="shared" si="4"/>
        <v>3.779015877353091E-2</v>
      </c>
      <c r="AH22" s="5">
        <f t="shared" si="4"/>
        <v>3.3149262082044648E-2</v>
      </c>
      <c r="AI22" s="5">
        <f t="shared" si="4"/>
        <v>2.9078300071968988E-2</v>
      </c>
      <c r="AJ22" s="5">
        <f t="shared" si="4"/>
        <v>2.5507280764885072E-2</v>
      </c>
      <c r="AK22" s="5">
        <f t="shared" si="4"/>
        <v>2.2374807688495677E-2</v>
      </c>
      <c r="AL22" s="5">
        <f t="shared" si="4"/>
        <v>1.9627024288154101E-2</v>
      </c>
      <c r="AM22" s="5">
        <f t="shared" si="4"/>
        <v>1.7216687972064999E-2</v>
      </c>
      <c r="AN22" s="5">
        <f t="shared" si="4"/>
        <v>1.5102357870232454E-2</v>
      </c>
      <c r="AO22" s="5">
        <f t="shared" si="4"/>
        <v>1.3247682342309167E-2</v>
      </c>
      <c r="AP22" s="5">
        <f t="shared" si="4"/>
        <v>1.1620773984481724E-2</v>
      </c>
      <c r="AQ22" s="5">
        <f t="shared" si="4"/>
        <v>1.019366138989625E-2</v>
      </c>
      <c r="AR22" s="5">
        <f t="shared" si="4"/>
        <v>8.9418082367510934E-3</v>
      </c>
    </row>
    <row r="23" spans="1:44" s="1" customFormat="1" ht="13.8" thickBot="1">
      <c r="A23" s="13"/>
    </row>
    <row r="24" spans="1:44" s="1" customFormat="1">
      <c r="A24" s="408" t="s">
        <v>359</v>
      </c>
      <c r="B24" s="417"/>
      <c r="C24" s="417"/>
      <c r="D24" s="417"/>
      <c r="E24" s="417"/>
      <c r="F24" s="418">
        <v>0.06</v>
      </c>
      <c r="G24" s="10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6"/>
      <c r="S24" s="376"/>
      <c r="T24" s="376"/>
      <c r="U24" s="376"/>
      <c r="V24" s="376"/>
      <c r="W24" s="376"/>
      <c r="X24" s="376"/>
      <c r="Y24" s="376"/>
      <c r="Z24" s="376"/>
      <c r="AA24" s="376"/>
      <c r="AB24" s="376"/>
      <c r="AC24" s="376"/>
      <c r="AD24" s="376"/>
      <c r="AE24" s="376"/>
      <c r="AF24" s="376"/>
      <c r="AG24" s="376"/>
      <c r="AH24" s="376"/>
      <c r="AI24" s="376"/>
      <c r="AJ24" s="376"/>
      <c r="AK24" s="376"/>
      <c r="AL24" s="376"/>
      <c r="AM24" s="376"/>
      <c r="AN24" s="376"/>
      <c r="AO24" s="376"/>
      <c r="AP24" s="376"/>
      <c r="AQ24" s="376"/>
      <c r="AR24" s="376"/>
    </row>
    <row r="25" spans="1:44" s="1" customFormat="1">
      <c r="A25" s="411" t="s">
        <v>153</v>
      </c>
      <c r="B25" s="412"/>
      <c r="C25" s="412"/>
      <c r="D25" s="412"/>
      <c r="E25" s="412"/>
      <c r="F25" s="419">
        <v>0</v>
      </c>
      <c r="G25" s="10"/>
      <c r="H25" s="384"/>
      <c r="I25" s="384"/>
      <c r="J25" s="384"/>
      <c r="K25" s="384"/>
      <c r="L25" s="384"/>
      <c r="M25" s="384"/>
      <c r="N25" s="384"/>
      <c r="O25" s="384"/>
      <c r="P25" s="384"/>
      <c r="Q25" s="384"/>
      <c r="R25" s="384"/>
      <c r="S25" s="384"/>
      <c r="T25" s="384"/>
      <c r="U25" s="384"/>
      <c r="V25" s="384"/>
      <c r="W25" s="384"/>
      <c r="X25" s="384"/>
      <c r="Y25" s="384"/>
      <c r="Z25" s="384"/>
      <c r="AA25" s="384"/>
      <c r="AB25" s="384"/>
      <c r="AC25" s="384"/>
      <c r="AD25" s="384"/>
      <c r="AE25" s="384"/>
      <c r="AF25" s="384"/>
      <c r="AG25" s="384"/>
      <c r="AH25" s="384"/>
      <c r="AI25" s="384"/>
      <c r="AJ25" s="384"/>
      <c r="AK25" s="384"/>
      <c r="AL25" s="384"/>
      <c r="AM25" s="384"/>
      <c r="AN25" s="384"/>
      <c r="AO25" s="384"/>
      <c r="AP25" s="384"/>
      <c r="AQ25" s="384"/>
      <c r="AR25" s="384"/>
    </row>
    <row r="26" spans="1:44" s="1" customFormat="1" ht="13.8" thickBot="1">
      <c r="A26" s="414" t="s">
        <v>310</v>
      </c>
      <c r="B26" s="415"/>
      <c r="C26" s="415"/>
      <c r="D26" s="415"/>
      <c r="E26" s="415"/>
      <c r="F26" s="420">
        <f>+SUM(F24:F25)</f>
        <v>0.06</v>
      </c>
      <c r="G26" s="10" t="s">
        <v>5</v>
      </c>
      <c r="H26" s="5">
        <f>1/(1+$F$26)^H12</f>
        <v>1</v>
      </c>
      <c r="I26" s="5">
        <f t="shared" ref="I26:AR26" si="5">1/(1+$F$26)^I12</f>
        <v>0.94339622641509424</v>
      </c>
      <c r="J26" s="5">
        <f t="shared" si="5"/>
        <v>0.88999644001423983</v>
      </c>
      <c r="K26" s="5">
        <f t="shared" si="5"/>
        <v>0.8396192830323016</v>
      </c>
      <c r="L26" s="5">
        <f t="shared" si="5"/>
        <v>0.79209366323802044</v>
      </c>
      <c r="M26" s="5">
        <f t="shared" si="5"/>
        <v>0.74725817286605689</v>
      </c>
      <c r="N26" s="5">
        <f t="shared" si="5"/>
        <v>0.70496054043967626</v>
      </c>
      <c r="O26" s="5">
        <f t="shared" si="5"/>
        <v>0.66505711362233599</v>
      </c>
      <c r="P26" s="5">
        <f t="shared" si="5"/>
        <v>0.62741237134182648</v>
      </c>
      <c r="Q26" s="5">
        <f t="shared" si="5"/>
        <v>0.59189846353002495</v>
      </c>
      <c r="R26" s="5">
        <f t="shared" si="5"/>
        <v>0.55839477691511785</v>
      </c>
      <c r="S26" s="5">
        <f t="shared" si="5"/>
        <v>0.52678752539162055</v>
      </c>
      <c r="T26" s="5">
        <f t="shared" si="5"/>
        <v>0.4969693635770005</v>
      </c>
      <c r="U26" s="5">
        <f t="shared" si="5"/>
        <v>0.46883902224245327</v>
      </c>
      <c r="V26" s="5">
        <f t="shared" si="5"/>
        <v>0.44230096437967292</v>
      </c>
      <c r="W26" s="5">
        <f t="shared" si="5"/>
        <v>0.41726506073554037</v>
      </c>
      <c r="X26" s="5">
        <f t="shared" si="5"/>
        <v>0.39364628371277405</v>
      </c>
      <c r="Y26" s="5">
        <f t="shared" si="5"/>
        <v>0.37136441859695657</v>
      </c>
      <c r="Z26" s="5">
        <f t="shared" si="5"/>
        <v>0.35034379112920433</v>
      </c>
      <c r="AA26" s="5">
        <f t="shared" si="5"/>
        <v>0.3305130104992493</v>
      </c>
      <c r="AB26" s="5">
        <f t="shared" si="5"/>
        <v>0.31180472688608429</v>
      </c>
      <c r="AC26" s="5">
        <f t="shared" si="5"/>
        <v>0.29415540272272095</v>
      </c>
      <c r="AD26" s="5">
        <f t="shared" si="5"/>
        <v>0.27750509690822728</v>
      </c>
      <c r="AE26" s="5">
        <f t="shared" si="5"/>
        <v>0.26179726123417668</v>
      </c>
      <c r="AF26" s="5">
        <f t="shared" si="5"/>
        <v>0.24697854833412897</v>
      </c>
      <c r="AG26" s="5">
        <f t="shared" si="5"/>
        <v>0.23299863050389524</v>
      </c>
      <c r="AH26" s="5">
        <f t="shared" si="5"/>
        <v>0.21981002877725966</v>
      </c>
      <c r="AI26" s="5">
        <f t="shared" si="5"/>
        <v>0.20736795167666003</v>
      </c>
      <c r="AJ26" s="5">
        <f t="shared" si="5"/>
        <v>0.1956301430911887</v>
      </c>
      <c r="AK26" s="5">
        <f t="shared" si="5"/>
        <v>0.18455673876527234</v>
      </c>
      <c r="AL26" s="5">
        <f t="shared" si="5"/>
        <v>0.17411013091063426</v>
      </c>
      <c r="AM26" s="5">
        <f t="shared" si="5"/>
        <v>0.16425484048173042</v>
      </c>
      <c r="AN26" s="5">
        <f t="shared" si="5"/>
        <v>0.15495739668087777</v>
      </c>
      <c r="AO26" s="5">
        <f t="shared" si="5"/>
        <v>0.14618622328384695</v>
      </c>
      <c r="AP26" s="5">
        <f t="shared" si="5"/>
        <v>0.1379115313998556</v>
      </c>
      <c r="AQ26" s="5">
        <f t="shared" si="5"/>
        <v>0.13010521830175056</v>
      </c>
      <c r="AR26" s="5">
        <f t="shared" si="5"/>
        <v>0.12274077198278353</v>
      </c>
    </row>
    <row r="27" spans="1:44" s="1" customFormat="1">
      <c r="A27" s="13"/>
    </row>
    <row r="28" spans="1:44" s="1" customFormat="1">
      <c r="A28" s="13"/>
    </row>
    <row r="29" spans="1:44" s="1" customFormat="1" ht="13.8" thickBot="1">
      <c r="A29" s="13"/>
    </row>
    <row r="30" spans="1:44" s="1" customFormat="1" ht="16.2" thickBot="1">
      <c r="A30" s="350" t="str">
        <f>CONCATENATE("Contract Cost - NPV ",$F$18*100," of Cf to Term (2036)")</f>
        <v>Contract Cost - NPV 6.25 of Cf to Term (2036)</v>
      </c>
      <c r="H30" s="36">
        <f>+Valuation!G74</f>
        <v>1484626.6976245791</v>
      </c>
      <c r="AN30" s="116"/>
      <c r="AO30" s="116"/>
    </row>
    <row r="31" spans="1:44" s="1" customFormat="1" ht="13.8" thickBot="1">
      <c r="A31" s="350" t="str">
        <f>CONCATENATE("Ownership Cost - NPV ",$F$18*100," of Cf to Term (2036)")</f>
        <v>Ownership Cost - NPV 6.25 of Cf to Term (2036)</v>
      </c>
      <c r="H31" s="36">
        <f>+Valuation!G178</f>
        <v>1349577.7568772342</v>
      </c>
    </row>
    <row r="32" spans="1:44" s="1" customFormat="1">
      <c r="A32" s="13"/>
      <c r="H32" s="6"/>
    </row>
    <row r="33" spans="1:27" s="1" customFormat="1">
      <c r="A33" s="16" t="s">
        <v>287</v>
      </c>
    </row>
    <row r="34" spans="1:27" s="1" customFormat="1">
      <c r="A34" s="13"/>
    </row>
    <row r="35" spans="1:27" s="1" customFormat="1">
      <c r="A35" s="13"/>
      <c r="B35" s="377" t="s">
        <v>31</v>
      </c>
      <c r="D35" s="330"/>
      <c r="H35" s="35" t="s">
        <v>66</v>
      </c>
      <c r="I35" s="46">
        <f>+Valuation!H23</f>
        <v>258000</v>
      </c>
      <c r="J35" s="46">
        <f>+Valuation!I23</f>
        <v>258000</v>
      </c>
      <c r="K35" s="46">
        <f>+Valuation!J23</f>
        <v>258000</v>
      </c>
      <c r="L35" s="46">
        <f>+Valuation!K23</f>
        <v>258000</v>
      </c>
      <c r="M35" s="46">
        <f>+Valuation!L23</f>
        <v>258000</v>
      </c>
      <c r="N35" s="46">
        <f>+Valuation!M23</f>
        <v>258000</v>
      </c>
      <c r="O35" s="46">
        <f>+Valuation!N23</f>
        <v>258000</v>
      </c>
      <c r="P35" s="46">
        <f>+Valuation!O23</f>
        <v>258000</v>
      </c>
      <c r="Q35" s="46">
        <f>+Valuation!P23</f>
        <v>258000</v>
      </c>
      <c r="R35" s="46">
        <f>+Valuation!Q23</f>
        <v>258000</v>
      </c>
      <c r="S35" s="46">
        <f>+Valuation!R23</f>
        <v>258000</v>
      </c>
      <c r="T35" s="46">
        <f>+Valuation!S23</f>
        <v>258000</v>
      </c>
      <c r="U35" s="46">
        <f>+Valuation!T23</f>
        <v>258000</v>
      </c>
      <c r="V35" s="46">
        <f>+Valuation!U23</f>
        <v>258000</v>
      </c>
      <c r="W35" s="46">
        <f>+Valuation!V23</f>
        <v>258000</v>
      </c>
      <c r="X35" s="46">
        <f>+Valuation!W23</f>
        <v>258000</v>
      </c>
      <c r="Y35" s="46">
        <f>+Valuation!X23</f>
        <v>258000</v>
      </c>
      <c r="Z35" s="46">
        <f>+Valuation!Y23</f>
        <v>258000</v>
      </c>
      <c r="AA35" s="46">
        <f>+Valuation!Z23</f>
        <v>258000</v>
      </c>
    </row>
    <row r="36" spans="1:27" s="1" customFormat="1" ht="13.8" thickBot="1">
      <c r="A36" s="13"/>
      <c r="B36" s="377" t="s">
        <v>288</v>
      </c>
      <c r="D36" s="330"/>
      <c r="I36" s="98">
        <v>12</v>
      </c>
      <c r="J36" s="66">
        <f>+I36</f>
        <v>12</v>
      </c>
      <c r="K36" s="66">
        <f t="shared" ref="K36:AA36" si="6">+J36</f>
        <v>12</v>
      </c>
      <c r="L36" s="66">
        <f t="shared" si="6"/>
        <v>12</v>
      </c>
      <c r="M36" s="66">
        <f t="shared" si="6"/>
        <v>12</v>
      </c>
      <c r="N36" s="66">
        <f t="shared" si="6"/>
        <v>12</v>
      </c>
      <c r="O36" s="66">
        <f t="shared" si="6"/>
        <v>12</v>
      </c>
      <c r="P36" s="66">
        <f t="shared" si="6"/>
        <v>12</v>
      </c>
      <c r="Q36" s="66">
        <f t="shared" si="6"/>
        <v>12</v>
      </c>
      <c r="R36" s="66">
        <f t="shared" si="6"/>
        <v>12</v>
      </c>
      <c r="S36" s="66">
        <f t="shared" si="6"/>
        <v>12</v>
      </c>
      <c r="T36" s="66">
        <f t="shared" si="6"/>
        <v>12</v>
      </c>
      <c r="U36" s="66">
        <f t="shared" si="6"/>
        <v>12</v>
      </c>
      <c r="V36" s="66">
        <f t="shared" si="6"/>
        <v>12</v>
      </c>
      <c r="W36" s="66">
        <f t="shared" si="6"/>
        <v>12</v>
      </c>
      <c r="X36" s="66">
        <f t="shared" si="6"/>
        <v>12</v>
      </c>
      <c r="Y36" s="66">
        <f t="shared" si="6"/>
        <v>12</v>
      </c>
      <c r="Z36" s="66">
        <f t="shared" si="6"/>
        <v>12</v>
      </c>
      <c r="AA36" s="66">
        <f t="shared" si="6"/>
        <v>12</v>
      </c>
    </row>
    <row r="37" spans="1:27" s="1" customFormat="1">
      <c r="A37" s="13"/>
      <c r="B37" s="13" t="s">
        <v>340</v>
      </c>
      <c r="H37" s="35" t="s">
        <v>66</v>
      </c>
      <c r="I37" s="25">
        <f t="shared" ref="I37:AA37" si="7">+I35*I36</f>
        <v>3096000</v>
      </c>
      <c r="J37" s="25">
        <f t="shared" si="7"/>
        <v>3096000</v>
      </c>
      <c r="K37" s="25">
        <f t="shared" si="7"/>
        <v>3096000</v>
      </c>
      <c r="L37" s="25">
        <f t="shared" si="7"/>
        <v>3096000</v>
      </c>
      <c r="M37" s="25">
        <f t="shared" si="7"/>
        <v>3096000</v>
      </c>
      <c r="N37" s="25">
        <f t="shared" si="7"/>
        <v>3096000</v>
      </c>
      <c r="O37" s="25">
        <f t="shared" si="7"/>
        <v>3096000</v>
      </c>
      <c r="P37" s="25">
        <f t="shared" si="7"/>
        <v>3096000</v>
      </c>
      <c r="Q37" s="25">
        <f t="shared" si="7"/>
        <v>3096000</v>
      </c>
      <c r="R37" s="25">
        <f t="shared" si="7"/>
        <v>3096000</v>
      </c>
      <c r="S37" s="25">
        <f t="shared" si="7"/>
        <v>3096000</v>
      </c>
      <c r="T37" s="25">
        <f t="shared" si="7"/>
        <v>3096000</v>
      </c>
      <c r="U37" s="25">
        <f t="shared" si="7"/>
        <v>3096000</v>
      </c>
      <c r="V37" s="25">
        <f t="shared" si="7"/>
        <v>3096000</v>
      </c>
      <c r="W37" s="25">
        <f t="shared" si="7"/>
        <v>3096000</v>
      </c>
      <c r="X37" s="25">
        <f t="shared" si="7"/>
        <v>3096000</v>
      </c>
      <c r="Y37" s="25">
        <f t="shared" si="7"/>
        <v>3096000</v>
      </c>
      <c r="Z37" s="25">
        <f t="shared" si="7"/>
        <v>3096000</v>
      </c>
      <c r="AA37" s="25">
        <f t="shared" si="7"/>
        <v>3096000</v>
      </c>
    </row>
    <row r="38" spans="1:27" s="1" customFormat="1">
      <c r="A38" s="13"/>
      <c r="B38" s="13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s="1" customFormat="1">
      <c r="A39" s="13"/>
      <c r="B39" s="13" t="s">
        <v>289</v>
      </c>
      <c r="H39" s="35" t="s">
        <v>65</v>
      </c>
      <c r="I39" s="60">
        <f>+Valuation!H63</f>
        <v>15.668217054263566</v>
      </c>
      <c r="J39" s="60">
        <f>+Valuation!I63</f>
        <v>16.151627906976746</v>
      </c>
      <c r="K39" s="60">
        <f>+Valuation!J63</f>
        <v>16.732680891472867</v>
      </c>
      <c r="L39" s="60">
        <f>+Valuation!K63</f>
        <v>17.319018100775192</v>
      </c>
      <c r="M39" s="60">
        <f>+Valuation!L63</f>
        <v>17.862997403100771</v>
      </c>
      <c r="N39" s="60">
        <f>+Valuation!M63</f>
        <v>18.464618875968995</v>
      </c>
      <c r="O39" s="60">
        <f>+Valuation!N63</f>
        <v>18.559999999999999</v>
      </c>
      <c r="P39" s="60">
        <f>+Valuation!O63</f>
        <v>19.03</v>
      </c>
      <c r="Q39" s="60">
        <f>+Valuation!P63</f>
        <v>19.690000000000001</v>
      </c>
      <c r="R39" s="60">
        <f>+Valuation!Q63</f>
        <v>20.260000000000002</v>
      </c>
      <c r="S39" s="60">
        <f>+Valuation!R63</f>
        <v>20.86</v>
      </c>
      <c r="T39" s="60">
        <f>+Valuation!S63</f>
        <v>21.52</v>
      </c>
      <c r="U39" s="60">
        <f>+Valuation!T63</f>
        <v>21.96</v>
      </c>
      <c r="V39" s="60">
        <f>+Valuation!U63</f>
        <v>22.01</v>
      </c>
      <c r="W39" s="60">
        <f>+Valuation!V63</f>
        <v>22.21</v>
      </c>
      <c r="X39" s="60">
        <f>+Valuation!W63</f>
        <v>22.26</v>
      </c>
      <c r="Y39" s="60">
        <f>+Valuation!X63</f>
        <v>23.13</v>
      </c>
      <c r="Z39" s="60">
        <f>+Valuation!Y63</f>
        <v>23.58</v>
      </c>
      <c r="AA39" s="60">
        <f>+Valuation!Z63</f>
        <v>24.07</v>
      </c>
    </row>
    <row r="40" spans="1:27" s="1" customFormat="1" ht="13.8" thickBot="1">
      <c r="A40" s="13"/>
      <c r="B40" s="13" t="s">
        <v>290</v>
      </c>
      <c r="H40" s="35" t="s">
        <v>65</v>
      </c>
      <c r="I40" s="104">
        <v>-3.42</v>
      </c>
      <c r="J40" s="104">
        <v>-5.95</v>
      </c>
      <c r="K40" s="104">
        <v>-2.65</v>
      </c>
      <c r="L40" s="104">
        <v>-2.74</v>
      </c>
      <c r="M40" s="104">
        <v>-5.33</v>
      </c>
      <c r="N40" s="104">
        <v>-4.45</v>
      </c>
      <c r="O40" s="104">
        <v>-3.19</v>
      </c>
      <c r="P40" s="104">
        <v>-10.45</v>
      </c>
      <c r="Q40" s="104">
        <v>-3.53</v>
      </c>
      <c r="R40" s="104">
        <v>-3.75</v>
      </c>
      <c r="S40" s="104">
        <v>-6.74</v>
      </c>
      <c r="T40" s="104">
        <v>-4.08</v>
      </c>
      <c r="U40" s="104">
        <v>-4.32</v>
      </c>
      <c r="V40" s="104">
        <v>-9.2100000000000009</v>
      </c>
      <c r="W40" s="104">
        <v>-4.7300000000000004</v>
      </c>
      <c r="X40" s="104">
        <v>-4.99</v>
      </c>
      <c r="Y40" s="104">
        <v>-10.49</v>
      </c>
      <c r="Z40" s="104">
        <v>-5.5</v>
      </c>
      <c r="AA40" s="104">
        <v>-8.8699999999999992</v>
      </c>
    </row>
    <row r="41" spans="1:27" s="1" customFormat="1">
      <c r="A41" s="13"/>
      <c r="B41" s="13" t="s">
        <v>291</v>
      </c>
      <c r="I41" s="2">
        <f t="shared" ref="I41:AA41" si="8">+I39+I40</f>
        <v>12.248217054263566</v>
      </c>
      <c r="J41" s="2">
        <f t="shared" si="8"/>
        <v>10.201627906976746</v>
      </c>
      <c r="K41" s="2">
        <f t="shared" si="8"/>
        <v>14.082680891472867</v>
      </c>
      <c r="L41" s="2">
        <f t="shared" si="8"/>
        <v>14.579018100775192</v>
      </c>
      <c r="M41" s="2">
        <f t="shared" si="8"/>
        <v>12.53299740310077</v>
      </c>
      <c r="N41" s="2">
        <f t="shared" si="8"/>
        <v>14.014618875968996</v>
      </c>
      <c r="O41" s="2">
        <f t="shared" si="8"/>
        <v>15.37</v>
      </c>
      <c r="P41" s="2">
        <f t="shared" si="8"/>
        <v>8.5800000000000018</v>
      </c>
      <c r="Q41" s="2">
        <f t="shared" si="8"/>
        <v>16.16</v>
      </c>
      <c r="R41" s="2">
        <f t="shared" si="8"/>
        <v>16.510000000000002</v>
      </c>
      <c r="S41" s="2">
        <f t="shared" si="8"/>
        <v>14.12</v>
      </c>
      <c r="T41" s="2">
        <f t="shared" si="8"/>
        <v>17.439999999999998</v>
      </c>
      <c r="U41" s="2">
        <f t="shared" si="8"/>
        <v>17.64</v>
      </c>
      <c r="V41" s="2">
        <f t="shared" si="8"/>
        <v>12.8</v>
      </c>
      <c r="W41" s="2">
        <f t="shared" si="8"/>
        <v>17.48</v>
      </c>
      <c r="X41" s="2">
        <f t="shared" si="8"/>
        <v>17.270000000000003</v>
      </c>
      <c r="Y41" s="2">
        <f t="shared" si="8"/>
        <v>12.639999999999999</v>
      </c>
      <c r="Z41" s="2">
        <f t="shared" si="8"/>
        <v>18.079999999999998</v>
      </c>
      <c r="AA41" s="2">
        <f t="shared" si="8"/>
        <v>15.200000000000001</v>
      </c>
    </row>
    <row r="42" spans="1:27" s="1" customFormat="1">
      <c r="A42" s="13"/>
      <c r="B42" s="13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  <c r="X42" s="378"/>
      <c r="Y42" s="378"/>
      <c r="Z42" s="378"/>
      <c r="AA42" s="378"/>
    </row>
    <row r="43" spans="1:27" s="1" customFormat="1">
      <c r="A43" s="13"/>
      <c r="B43" s="13" t="s">
        <v>292</v>
      </c>
      <c r="I43" s="6">
        <f t="shared" ref="I43:AA43" si="9">+I41*I37/1000</f>
        <v>37920.480000000003</v>
      </c>
      <c r="J43" s="6">
        <f t="shared" si="9"/>
        <v>31584.240000000009</v>
      </c>
      <c r="K43" s="6">
        <f t="shared" si="9"/>
        <v>43599.980040000002</v>
      </c>
      <c r="L43" s="6">
        <f t="shared" si="9"/>
        <v>45136.640039999991</v>
      </c>
      <c r="M43" s="6">
        <f t="shared" si="9"/>
        <v>38802.159959999983</v>
      </c>
      <c r="N43" s="6">
        <f t="shared" si="9"/>
        <v>43389.260040000016</v>
      </c>
      <c r="O43" s="6">
        <f t="shared" si="9"/>
        <v>47585.52</v>
      </c>
      <c r="P43" s="6">
        <f t="shared" si="9"/>
        <v>26563.680000000008</v>
      </c>
      <c r="Q43" s="6">
        <f t="shared" si="9"/>
        <v>50031.360000000001</v>
      </c>
      <c r="R43" s="6">
        <f t="shared" si="9"/>
        <v>51114.960000000006</v>
      </c>
      <c r="S43" s="6">
        <f t="shared" si="9"/>
        <v>43715.519999999997</v>
      </c>
      <c r="T43" s="6">
        <f t="shared" si="9"/>
        <v>53994.239999999991</v>
      </c>
      <c r="U43" s="6">
        <f t="shared" si="9"/>
        <v>54613.440000000002</v>
      </c>
      <c r="V43" s="6">
        <f t="shared" si="9"/>
        <v>39628.800000000003</v>
      </c>
      <c r="W43" s="6">
        <f t="shared" si="9"/>
        <v>54118.080000000002</v>
      </c>
      <c r="X43" s="6">
        <f t="shared" si="9"/>
        <v>53467.920000000006</v>
      </c>
      <c r="Y43" s="6">
        <f t="shared" si="9"/>
        <v>39133.439999999995</v>
      </c>
      <c r="Z43" s="6">
        <f t="shared" si="9"/>
        <v>55975.679999999993</v>
      </c>
      <c r="AA43" s="6">
        <f t="shared" si="9"/>
        <v>47059.199999999997</v>
      </c>
    </row>
    <row r="44" spans="1:27" s="1" customFormat="1">
      <c r="A44" s="13"/>
      <c r="B44" s="13" t="s">
        <v>293</v>
      </c>
      <c r="I44" s="6">
        <f t="shared" ref="I44:AA44" si="10">+I43*I13</f>
        <v>36114.742857142861</v>
      </c>
      <c r="J44" s="6">
        <f t="shared" si="10"/>
        <v>28647.836734693883</v>
      </c>
      <c r="K44" s="6">
        <f t="shared" si="10"/>
        <v>37663.302053773892</v>
      </c>
      <c r="L44" s="6">
        <f t="shared" si="10"/>
        <v>37134.025464698345</v>
      </c>
      <c r="M44" s="6">
        <f t="shared" si="10"/>
        <v>30402.507644154721</v>
      </c>
      <c r="N44" s="6">
        <f t="shared" si="10"/>
        <v>32377.73389051839</v>
      </c>
      <c r="O44" s="6">
        <f t="shared" si="10"/>
        <v>33818.140648533496</v>
      </c>
      <c r="P44" s="6">
        <f t="shared" si="10"/>
        <v>17979.344224334203</v>
      </c>
      <c r="Q44" s="6">
        <f t="shared" si="10"/>
        <v>32250.660746502454</v>
      </c>
      <c r="R44" s="6">
        <f t="shared" si="10"/>
        <v>31380.151398205773</v>
      </c>
      <c r="S44" s="6">
        <f t="shared" si="10"/>
        <v>25559.559155643936</v>
      </c>
      <c r="T44" s="6">
        <f t="shared" si="10"/>
        <v>30066.013198059503</v>
      </c>
      <c r="U44" s="6">
        <f t="shared" si="10"/>
        <v>28962.67326418576</v>
      </c>
      <c r="V44" s="6">
        <f t="shared" si="10"/>
        <v>20015.236895668819</v>
      </c>
      <c r="W44" s="6">
        <f t="shared" si="10"/>
        <v>26031.721795854974</v>
      </c>
      <c r="X44" s="6">
        <f t="shared" si="10"/>
        <v>24494.27020891443</v>
      </c>
      <c r="Y44" s="6">
        <f t="shared" si="10"/>
        <v>17073.790246818226</v>
      </c>
      <c r="Z44" s="6">
        <f t="shared" si="10"/>
        <v>23259.051210252674</v>
      </c>
      <c r="AA44" s="6">
        <f t="shared" si="10"/>
        <v>18622.923430037961</v>
      </c>
    </row>
    <row r="45" spans="1:27" s="1" customFormat="1" ht="13.8" thickBot="1">
      <c r="A45" s="13"/>
      <c r="B45" s="13" t="s">
        <v>294</v>
      </c>
      <c r="E45" s="379">
        <f>+F13*100</f>
        <v>5</v>
      </c>
      <c r="H45" s="25"/>
      <c r="I45" s="6">
        <f>IF(+I12=$F$11,SUM(J44:AA44)+SUM($I$44:I44),0)</f>
        <v>0</v>
      </c>
      <c r="J45" s="6">
        <f>IF(+J12=$F$11,SUM(K44:AB44)+SUM($I$44:J44),0)</f>
        <v>0</v>
      </c>
      <c r="K45" s="6">
        <v>362118.88607258146</v>
      </c>
      <c r="L45" s="6">
        <f>IF(+L12=$F$11,SUM(M44:AD44)+SUM($I$44:L44),0)</f>
        <v>0</v>
      </c>
      <c r="M45" s="6">
        <f>IF(+M12=$F$11,SUM(N44:AE44)+SUM($I$44:M44),0)</f>
        <v>0</v>
      </c>
      <c r="N45" s="6">
        <f>IF(+N12=$F$11,SUM(O44:AF44)+SUM($I$44:N44),0)</f>
        <v>0</v>
      </c>
      <c r="O45" s="6">
        <f>IF(+O12=$F$11,SUM(P44:AG44)+SUM($I$44:O44),0)</f>
        <v>0</v>
      </c>
      <c r="P45" s="6">
        <f>IF(+P12=$F$11,SUM(Q44:AH44)+SUM($I$44:P44),0)</f>
        <v>0</v>
      </c>
      <c r="Q45" s="6">
        <f>IF(+Q12=$F$11,SUM(R44:AI44)+SUM($I$44:Q44),0)</f>
        <v>0</v>
      </c>
      <c r="R45" s="6">
        <f>IF(+R12=$F$11,SUM(S44:AJ44)+SUM($I$44:R44),0)</f>
        <v>0</v>
      </c>
      <c r="S45" s="6">
        <f>IF(+S12=$F$11,SUM(T44:AK44)+SUM($I$44:S44),0)</f>
        <v>0</v>
      </c>
      <c r="T45" s="6">
        <f>IF(+T12=$F$11,SUM(U44:AL44)+SUM($I$44:T44),0)</f>
        <v>0</v>
      </c>
      <c r="U45" s="6">
        <f>IF(+U12=$F$11,SUM(V44:AM44)+SUM($I$44:U44),0)</f>
        <v>0</v>
      </c>
      <c r="V45" s="6">
        <f>IF(+V12=$F$11,SUM(W44:AN44)+SUM($I$44:V44),0)</f>
        <v>0</v>
      </c>
      <c r="W45" s="6">
        <f>IF(+W12=$F$11,SUM(X44:AO44)+SUM($I$44:W44),0)</f>
        <v>0</v>
      </c>
      <c r="X45" s="6">
        <f>IF(+X12=$F$11,SUM(Y44:AP44)+SUM($I$44:X44),0)</f>
        <v>0</v>
      </c>
      <c r="Y45" s="6">
        <f>IF(+Y12=$F$11,SUM(Z44:AQ44)+SUM($I$44:Y44),0)</f>
        <v>0</v>
      </c>
      <c r="Z45" s="6">
        <f>IF(+Z12=$F$11,SUM(AA44:AR44)+SUM($I$44:Z44),0)</f>
        <v>0</v>
      </c>
      <c r="AA45" s="6">
        <f>IF(+AA12=$F$11,SUM(AB44:AS44)+SUM($I$44:AA44),0)</f>
        <v>0</v>
      </c>
    </row>
    <row r="46" spans="1:27" s="1" customFormat="1" ht="13.8" thickBot="1">
      <c r="A46" s="13"/>
      <c r="B46" s="13" t="s">
        <v>295</v>
      </c>
      <c r="I46" s="236">
        <f>+I45*'Litigation Analysis'!I18</f>
        <v>0</v>
      </c>
      <c r="J46" s="237">
        <f>+J45*'Litigation Analysis'!J18</f>
        <v>0</v>
      </c>
      <c r="K46" s="237">
        <f>+K45*'Litigation Analysis'!K18</f>
        <v>301900.86654860445</v>
      </c>
      <c r="L46" s="237">
        <f>+L45*'Litigation Analysis'!L18</f>
        <v>0</v>
      </c>
      <c r="M46" s="237">
        <f>+M45*'Litigation Analysis'!M18</f>
        <v>0</v>
      </c>
      <c r="N46" s="237">
        <f>+N45*'Litigation Analysis'!N18</f>
        <v>0</v>
      </c>
      <c r="O46" s="237">
        <f>+O45*'Litigation Analysis'!O18</f>
        <v>0</v>
      </c>
      <c r="P46" s="237">
        <f>+P45*'Litigation Analysis'!P18</f>
        <v>0</v>
      </c>
      <c r="Q46" s="237">
        <f>+Q45*'Litigation Analysis'!Q18</f>
        <v>0</v>
      </c>
      <c r="R46" s="237">
        <f>+R45*'Litigation Analysis'!R18</f>
        <v>0</v>
      </c>
      <c r="S46" s="237">
        <f>+S45*'Litigation Analysis'!S18</f>
        <v>0</v>
      </c>
      <c r="T46" s="237">
        <f>+T45*'Litigation Analysis'!T18</f>
        <v>0</v>
      </c>
      <c r="U46" s="237">
        <f>+U45*'Litigation Analysis'!U18</f>
        <v>0</v>
      </c>
      <c r="V46" s="237">
        <f>+V45*'Litigation Analysis'!V18</f>
        <v>0</v>
      </c>
      <c r="W46" s="237">
        <f>+W45*'Litigation Analysis'!W18</f>
        <v>0</v>
      </c>
      <c r="X46" s="237">
        <f>+X45*'Litigation Analysis'!X18</f>
        <v>0</v>
      </c>
      <c r="Y46" s="237">
        <f>+Y45*'Litigation Analysis'!Y18</f>
        <v>0</v>
      </c>
      <c r="Z46" s="237">
        <f>+Z45*'Litigation Analysis'!Z18</f>
        <v>0</v>
      </c>
      <c r="AA46" s="238">
        <f>+AA45*'Litigation Analysis'!AA18</f>
        <v>0</v>
      </c>
    </row>
    <row r="47" spans="1:27" s="1" customFormat="1" ht="13.8" thickBot="1">
      <c r="A47" s="13"/>
      <c r="B47" s="350" t="str">
        <f>CONCATENATE("NPV ",$F$18*100," of Cf to Term (2036)")</f>
        <v>NPV 6.25 of Cf to Term (2036)</v>
      </c>
      <c r="D47" s="379"/>
      <c r="H47" s="240">
        <f>SUM(I46:AA46)</f>
        <v>301900.86654860445</v>
      </c>
    </row>
    <row r="48" spans="1:27" s="1" customFormat="1">
      <c r="A48" s="13"/>
      <c r="B48" s="13"/>
      <c r="K48" s="7"/>
    </row>
    <row r="49" spans="1:44" s="1" customFormat="1">
      <c r="A49" s="16" t="s">
        <v>296</v>
      </c>
      <c r="K49" s="7"/>
    </row>
    <row r="50" spans="1:44" s="1" customFormat="1">
      <c r="A50" s="13"/>
    </row>
    <row r="51" spans="1:44" s="1" customFormat="1">
      <c r="A51" s="13"/>
      <c r="B51" s="13" t="s">
        <v>337</v>
      </c>
      <c r="H51" s="35" t="s">
        <v>14</v>
      </c>
      <c r="I51" s="380">
        <f>+Valuation!H35</f>
        <v>37.242367045424324</v>
      </c>
      <c r="J51" s="380">
        <f>+Valuation!I35</f>
        <v>31.113730703956207</v>
      </c>
      <c r="K51" s="380">
        <f>+Valuation!J35</f>
        <v>29.951771706852913</v>
      </c>
      <c r="L51" s="380">
        <f>+Valuation!K35</f>
        <v>31.523412257672124</v>
      </c>
      <c r="M51" s="380">
        <f>+Valuation!L35</f>
        <v>33.935229099445905</v>
      </c>
      <c r="N51" s="380">
        <f>+Valuation!M35</f>
        <v>35.092072014523161</v>
      </c>
      <c r="O51" s="380">
        <f>+Valuation!N35</f>
        <v>36.91360485180823</v>
      </c>
      <c r="P51" s="380">
        <f>+Valuation!O35</f>
        <v>39.73241117254733</v>
      </c>
      <c r="Q51" s="380">
        <f>+Valuation!P35</f>
        <v>40.612389068550648</v>
      </c>
      <c r="R51" s="380">
        <f>+Valuation!Q35</f>
        <v>41.659400526072069</v>
      </c>
      <c r="S51" s="380">
        <f>+Valuation!R35</f>
        <v>42.886850640474215</v>
      </c>
      <c r="T51" s="380">
        <f>+Valuation!S35</f>
        <v>43.641232880530993</v>
      </c>
      <c r="U51" s="380">
        <f>+Valuation!T35</f>
        <v>44.600722026511448</v>
      </c>
      <c r="V51" s="380">
        <f>+Valuation!U35</f>
        <v>46.437335059612842</v>
      </c>
      <c r="W51" s="380">
        <f>+Valuation!V35</f>
        <v>45.134710212582107</v>
      </c>
      <c r="X51" s="380">
        <f>+Valuation!W35</f>
        <v>45.980703480541258</v>
      </c>
      <c r="Y51" s="380">
        <f>+Valuation!X35</f>
        <v>46.719347296062317</v>
      </c>
      <c r="Z51" s="380">
        <f>+Valuation!Y35</f>
        <v>47.291516630540663</v>
      </c>
      <c r="AA51" s="380">
        <f>+Valuation!Z35</f>
        <v>48.916753587034229</v>
      </c>
      <c r="AB51" s="380">
        <f>+Valuation!AA35</f>
        <v>49.912469419476565</v>
      </c>
      <c r="AC51" s="380">
        <f>+Valuation!AB35</f>
        <v>50.928453359392805</v>
      </c>
      <c r="AD51" s="380">
        <f>+Valuation!AC35</f>
        <v>51.965117970455417</v>
      </c>
      <c r="AE51" s="380">
        <f>+Valuation!AD35</f>
        <v>53.022884214199586</v>
      </c>
      <c r="AF51" s="380">
        <f>+Valuation!AE35</f>
        <v>54.102181620964316</v>
      </c>
      <c r="AG51" s="380">
        <f>+Valuation!AF35</f>
        <v>55.203448464313134</v>
      </c>
      <c r="AH51" s="380">
        <f>+Valuation!AG35</f>
        <v>56.327131939005142</v>
      </c>
      <c r="AI51" s="380">
        <f>+Valuation!AH35</f>
        <v>57.473688342588758</v>
      </c>
      <c r="AJ51" s="380">
        <f>+Valuation!AI35</f>
        <v>58.643583260691848</v>
      </c>
      <c r="AK51" s="380">
        <f>+Valuation!AJ35</f>
        <v>59.837291756083474</v>
      </c>
      <c r="AL51" s="380">
        <f>+Valuation!AK35</f>
        <v>61.055298561584074</v>
      </c>
      <c r="AM51" s="380">
        <f>+Valuation!AL35</f>
        <v>62.298098276902408</v>
      </c>
      <c r="AN51" s="380">
        <f>+Valuation!AM35</f>
        <v>63.566195569479127</v>
      </c>
      <c r="AO51" s="380">
        <f>+Valuation!AN35</f>
        <v>64.860105379418613</v>
      </c>
      <c r="AP51" s="380">
        <f>+Valuation!AO35</f>
        <v>66.180353128592301</v>
      </c>
      <c r="AQ51" s="380">
        <f>+Valuation!AP35</f>
        <v>67.527474933998263</v>
      </c>
      <c r="AR51" s="380">
        <f>+Valuation!AQ35</f>
        <v>68.902017825463929</v>
      </c>
    </row>
    <row r="52" spans="1:44" s="1" customFormat="1" ht="13.8" thickBot="1">
      <c r="A52" s="13"/>
      <c r="B52" s="13" t="s">
        <v>339</v>
      </c>
      <c r="H52" s="77" t="s">
        <v>67</v>
      </c>
      <c r="I52" s="381">
        <f>+Valuation!H25</f>
        <v>1943668.8</v>
      </c>
      <c r="J52" s="381">
        <f>+Valuation!I25</f>
        <v>1943668.8</v>
      </c>
      <c r="K52" s="381">
        <f>+Valuation!J25</f>
        <v>1943668.8</v>
      </c>
      <c r="L52" s="381">
        <f>+Valuation!K25</f>
        <v>1948993.92</v>
      </c>
      <c r="M52" s="381">
        <f>+Valuation!L25</f>
        <v>1943668.8</v>
      </c>
      <c r="N52" s="381">
        <f>+Valuation!M25</f>
        <v>1943668.8</v>
      </c>
      <c r="O52" s="381">
        <f>+Valuation!N25</f>
        <v>1943668.8</v>
      </c>
      <c r="P52" s="381">
        <f>+Valuation!O25</f>
        <v>1948993.92</v>
      </c>
      <c r="Q52" s="381">
        <f>+Valuation!P25</f>
        <v>1943668.8</v>
      </c>
      <c r="R52" s="381">
        <f>+Valuation!Q25</f>
        <v>1943668.8</v>
      </c>
      <c r="S52" s="381">
        <f>+Valuation!R25</f>
        <v>1943668.8</v>
      </c>
      <c r="T52" s="381">
        <f>+Valuation!S25</f>
        <v>1948993.92</v>
      </c>
      <c r="U52" s="381">
        <f>+Valuation!T25</f>
        <v>1943668.8</v>
      </c>
      <c r="V52" s="381">
        <f>+Valuation!U25</f>
        <v>1943668.8</v>
      </c>
      <c r="W52" s="381">
        <f>+Valuation!V25</f>
        <v>1943668.8</v>
      </c>
      <c r="X52" s="381">
        <f>+Valuation!W25</f>
        <v>1948993.92</v>
      </c>
      <c r="Y52" s="381">
        <f>+Valuation!X25</f>
        <v>1943668.8</v>
      </c>
      <c r="Z52" s="381">
        <f>+Valuation!Y25</f>
        <v>1943668.8</v>
      </c>
      <c r="AA52" s="381">
        <f>+Valuation!Z25</f>
        <v>1943668.8</v>
      </c>
      <c r="AB52" s="381">
        <f>+Valuation!AA25</f>
        <v>1948993.92</v>
      </c>
      <c r="AC52" s="381">
        <f>+Valuation!AB25</f>
        <v>1943668.8</v>
      </c>
      <c r="AD52" s="381">
        <f>+Valuation!AC25</f>
        <v>1943668.8</v>
      </c>
      <c r="AE52" s="381">
        <f>+Valuation!AD25</f>
        <v>1943668.8</v>
      </c>
      <c r="AF52" s="381">
        <f>+Valuation!AE25</f>
        <v>1948993.92</v>
      </c>
      <c r="AG52" s="381">
        <f>+Valuation!AF25</f>
        <v>1943668.8</v>
      </c>
      <c r="AH52" s="381">
        <f>+Valuation!AG25</f>
        <v>1943668.8</v>
      </c>
      <c r="AI52" s="381">
        <f>+Valuation!AH25</f>
        <v>1943668.8</v>
      </c>
      <c r="AJ52" s="381">
        <f>+Valuation!AI25</f>
        <v>1948993.92</v>
      </c>
      <c r="AK52" s="381">
        <f>+Valuation!AJ25</f>
        <v>1943668.8</v>
      </c>
      <c r="AL52" s="381">
        <f>+Valuation!AK25</f>
        <v>1943668.8</v>
      </c>
      <c r="AM52" s="381">
        <f>+Valuation!AL25</f>
        <v>1943668.8</v>
      </c>
      <c r="AN52" s="381">
        <f>+Valuation!AM25</f>
        <v>1948993.92</v>
      </c>
      <c r="AO52" s="381">
        <f>+Valuation!AN25</f>
        <v>1943668.8</v>
      </c>
      <c r="AP52" s="381">
        <f>+Valuation!AO25</f>
        <v>1943668.8</v>
      </c>
      <c r="AQ52" s="381">
        <f>+Valuation!AP25</f>
        <v>1943668.8</v>
      </c>
      <c r="AR52" s="381">
        <f>+Valuation!AQ25</f>
        <v>1948993.92</v>
      </c>
    </row>
    <row r="53" spans="1:44" s="1" customFormat="1">
      <c r="A53" s="13"/>
      <c r="B53" s="13" t="s">
        <v>297</v>
      </c>
      <c r="I53" s="6">
        <f t="shared" ref="I53:AA53" si="11">+I51*I52/1000</f>
        <v>72386.82686433944</v>
      </c>
      <c r="J53" s="6">
        <f t="shared" si="11"/>
        <v>60474.787620881718</v>
      </c>
      <c r="K53" s="6">
        <f t="shared" si="11"/>
        <v>58216.324171332752</v>
      </c>
      <c r="L53" s="6">
        <f t="shared" si="11"/>
        <v>61438.938827856444</v>
      </c>
      <c r="M53" s="6">
        <f t="shared" si="11"/>
        <v>65958.846021445104</v>
      </c>
      <c r="N53" s="6">
        <f t="shared" si="11"/>
        <v>68207.365501981811</v>
      </c>
      <c r="O53" s="6">
        <f t="shared" si="11"/>
        <v>71747.822045988272</v>
      </c>
      <c r="P53" s="6">
        <f t="shared" si="11"/>
        <v>77438.227802234818</v>
      </c>
      <c r="Q53" s="6">
        <f t="shared" si="11"/>
        <v>78937.033526002953</v>
      </c>
      <c r="R53" s="6">
        <f t="shared" si="11"/>
        <v>80972.077029229869</v>
      </c>
      <c r="S53" s="6">
        <f t="shared" si="11"/>
        <v>83357.833520149754</v>
      </c>
      <c r="T53" s="6">
        <f t="shared" si="11"/>
        <v>85056.497545458988</v>
      </c>
      <c r="U53" s="6">
        <f t="shared" si="11"/>
        <v>86689.031860403076</v>
      </c>
      <c r="V53" s="6">
        <f t="shared" si="11"/>
        <v>90258.79931051562</v>
      </c>
      <c r="W53" s="6">
        <f t="shared" si="11"/>
        <v>87726.928037237216</v>
      </c>
      <c r="X53" s="6">
        <f t="shared" si="11"/>
        <v>89616.111520897743</v>
      </c>
      <c r="Y53" s="6">
        <f t="shared" si="11"/>
        <v>90806.937695720684</v>
      </c>
      <c r="Z53" s="6">
        <f t="shared" si="11"/>
        <v>91919.045379463016</v>
      </c>
      <c r="AA53" s="6">
        <f t="shared" si="11"/>
        <v>95077.967744406516</v>
      </c>
      <c r="AB53" s="6">
        <f t="shared" ref="AB53:AM53" si="12">+AB51*AB52/1000</f>
        <v>97279.099430745744</v>
      </c>
      <c r="AC53" s="6">
        <f t="shared" si="12"/>
        <v>98988.045826906979</v>
      </c>
      <c r="AD53" s="6">
        <f t="shared" si="12"/>
        <v>101002.97848749351</v>
      </c>
      <c r="AE53" s="6">
        <f t="shared" si="12"/>
        <v>103058.92573315225</v>
      </c>
      <c r="AF53" s="6">
        <f t="shared" si="12"/>
        <v>105444.82303799519</v>
      </c>
      <c r="AG53" s="6">
        <f t="shared" si="12"/>
        <v>107297.22043249336</v>
      </c>
      <c r="AH53" s="6">
        <f t="shared" si="12"/>
        <v>109481.2889433278</v>
      </c>
      <c r="AI53" s="6">
        <f t="shared" si="12"/>
        <v>111709.81485241349</v>
      </c>
      <c r="AJ53" s="6">
        <f t="shared" si="12"/>
        <v>114295.98722210218</v>
      </c>
      <c r="AK53" s="6">
        <f t="shared" si="12"/>
        <v>116303.87706279667</v>
      </c>
      <c r="AL53" s="6">
        <f t="shared" si="12"/>
        <v>118671.27888883585</v>
      </c>
      <c r="AM53" s="6">
        <f t="shared" si="12"/>
        <v>121086.86992014897</v>
      </c>
      <c r="AN53" s="6">
        <f>+AN51*AN52/1000</f>
        <v>123890.12868244575</v>
      </c>
      <c r="AO53" s="6">
        <f>+AO51*AO52/1000</f>
        <v>126066.56319068812</v>
      </c>
      <c r="AP53" s="6">
        <f>+AP51*AP52/1000</f>
        <v>128632.68754902725</v>
      </c>
      <c r="AQ53" s="6">
        <f>+AQ51*AQ52/1000</f>
        <v>131251.0461719945</v>
      </c>
      <c r="AR53" s="6">
        <f>+AR51*AR52/1000</f>
        <v>134289.61381756084</v>
      </c>
    </row>
    <row r="54" spans="1:44" s="1" customFormat="1" ht="13.8" thickBot="1">
      <c r="A54" s="13"/>
      <c r="B54" s="13" t="s">
        <v>298</v>
      </c>
      <c r="I54" s="27">
        <f>+Valuation!H168+Valuation!H171</f>
        <v>54795.592644424389</v>
      </c>
      <c r="J54" s="27">
        <f>+Valuation!I168+Valuation!I171</f>
        <v>52090.816563999084</v>
      </c>
      <c r="K54" s="27">
        <f>+Valuation!J168+Valuation!J171</f>
        <v>53250.7951342917</v>
      </c>
      <c r="L54" s="27">
        <f>+Valuation!K168+Valuation!K171</f>
        <v>59293.012102396096</v>
      </c>
      <c r="M54" s="27">
        <f>+Valuation!L168+Valuation!L171</f>
        <v>58597.184885214585</v>
      </c>
      <c r="N54" s="27">
        <f>+Valuation!M168+Valuation!M171</f>
        <v>61164.966134924027</v>
      </c>
      <c r="O54" s="27">
        <f>+Valuation!N168+Valuation!N171</f>
        <v>60940.886618739794</v>
      </c>
      <c r="P54" s="27">
        <f>+Valuation!O168+Valuation!O171</f>
        <v>53941.870923026763</v>
      </c>
      <c r="Q54" s="27">
        <f>+Valuation!P168+Valuation!P171</f>
        <v>53511.843804798315</v>
      </c>
      <c r="R54" s="27">
        <f>+Valuation!Q168+Valuation!Q171</f>
        <v>62997.443905014283</v>
      </c>
      <c r="S54" s="27">
        <f>+Valuation!R168+Valuation!R171</f>
        <v>57605.919642559384</v>
      </c>
      <c r="T54" s="27">
        <f>+Valuation!S168+Valuation!S171</f>
        <v>59255.933507352966</v>
      </c>
      <c r="U54" s="27">
        <f>+Valuation!T168+Valuation!T171</f>
        <v>67314.40547783926</v>
      </c>
      <c r="V54" s="27">
        <f>+Valuation!U168+Valuation!U171</f>
        <v>62343.245781550024</v>
      </c>
      <c r="W54" s="27">
        <f>+Valuation!V168+Valuation!V171</f>
        <v>62243.697776770969</v>
      </c>
      <c r="X54" s="27">
        <f>+Valuation!W168+Valuation!W171</f>
        <v>67518.261464505747</v>
      </c>
      <c r="Y54" s="27">
        <f>+Valuation!X168+Valuation!X171</f>
        <v>66258.279030172271</v>
      </c>
      <c r="Z54" s="27">
        <f>+Valuation!Y168+Valuation!Y171</f>
        <v>67756.947432931571</v>
      </c>
      <c r="AA54" s="27">
        <f>+Valuation!Z168+Valuation!Z171</f>
        <v>77103.204182044894</v>
      </c>
      <c r="AB54" s="27">
        <f>+Valuation!AA168+Valuation!AA171</f>
        <v>71866.229116491842</v>
      </c>
      <c r="AC54" s="27">
        <f>+Valuation!AB168+Valuation!AB171</f>
        <v>72338.689950913118</v>
      </c>
      <c r="AD54" s="27">
        <f>+Valuation!AC168+Valuation!AC171</f>
        <v>77652.018903887001</v>
      </c>
      <c r="AE54" s="27">
        <f>+Valuation!AD168+Valuation!AD171</f>
        <v>76461.365633643189</v>
      </c>
      <c r="AF54" s="27">
        <f>+Valuation!AE168+Valuation!AE171</f>
        <v>78721.923623537397</v>
      </c>
      <c r="AG54" s="27">
        <f>+Valuation!AF168+Valuation!AF171</f>
        <v>88238.953816703812</v>
      </c>
      <c r="AH54" s="27">
        <f>+Valuation!AG168+Valuation!AG171</f>
        <v>82943.317922912349</v>
      </c>
      <c r="AI54" s="27">
        <f>+Valuation!AH168+Valuation!AH171</f>
        <v>83850.661095668765</v>
      </c>
      <c r="AJ54" s="27">
        <f>+Valuation!AI168+Valuation!AI171</f>
        <v>89774.835580428407</v>
      </c>
      <c r="AK54" s="27">
        <f>+Valuation!AJ168+Valuation!AJ171</f>
        <v>88621.782984546953</v>
      </c>
      <c r="AL54" s="27">
        <f>+Valuation!AK168+Valuation!AK171</f>
        <v>91038.608724375415</v>
      </c>
      <c r="AM54" s="27">
        <f>+Valuation!AL168+Valuation!AL171</f>
        <v>101288.21485406572</v>
      </c>
      <c r="AN54" s="27">
        <f>+Valuation!AM168+Valuation!AM171</f>
        <v>96370.541524519649</v>
      </c>
      <c r="AO54" s="27">
        <f>+Valuation!AN168+Valuation!AN171</f>
        <v>97381.722537221067</v>
      </c>
      <c r="AP54" s="27">
        <f>+Valuation!AO168+Valuation!AO171</f>
        <v>103573.96487511015</v>
      </c>
      <c r="AQ54" s="27">
        <f>+Valuation!AP168+Valuation!AP171</f>
        <v>102919.89317975807</v>
      </c>
      <c r="AR54" s="27">
        <f>+Valuation!AQ168+Valuation!AQ171</f>
        <v>105987.92073576365</v>
      </c>
    </row>
    <row r="55" spans="1:44" s="1" customFormat="1" ht="13.8" thickBot="1">
      <c r="A55" s="13"/>
      <c r="B55" s="13" t="s">
        <v>176</v>
      </c>
      <c r="I55" s="7">
        <f t="shared" ref="I55:AA55" si="13">+I53-I54</f>
        <v>17591.234219915052</v>
      </c>
      <c r="J55" s="7">
        <f t="shared" si="13"/>
        <v>8383.971056882634</v>
      </c>
      <c r="K55" s="7">
        <f t="shared" si="13"/>
        <v>4965.5290370410512</v>
      </c>
      <c r="L55" s="7">
        <f t="shared" si="13"/>
        <v>2145.9267254603474</v>
      </c>
      <c r="M55" s="7">
        <f t="shared" si="13"/>
        <v>7361.6611362305193</v>
      </c>
      <c r="N55" s="7">
        <f t="shared" si="13"/>
        <v>7042.3993670577838</v>
      </c>
      <c r="O55" s="7">
        <f t="shared" si="13"/>
        <v>10806.935427248478</v>
      </c>
      <c r="P55" s="7">
        <f t="shared" si="13"/>
        <v>23496.356879208055</v>
      </c>
      <c r="Q55" s="7">
        <f t="shared" si="13"/>
        <v>25425.189721204639</v>
      </c>
      <c r="R55" s="7">
        <f t="shared" si="13"/>
        <v>17974.633124215587</v>
      </c>
      <c r="S55" s="7">
        <f t="shared" si="13"/>
        <v>25751.91387759037</v>
      </c>
      <c r="T55" s="7">
        <f t="shared" si="13"/>
        <v>25800.564038106022</v>
      </c>
      <c r="U55" s="7">
        <f t="shared" si="13"/>
        <v>19374.626382563816</v>
      </c>
      <c r="V55" s="7">
        <f t="shared" si="13"/>
        <v>27915.553528965596</v>
      </c>
      <c r="W55" s="7">
        <f t="shared" si="13"/>
        <v>25483.230260466247</v>
      </c>
      <c r="X55" s="7">
        <f t="shared" si="13"/>
        <v>22097.850056391995</v>
      </c>
      <c r="Y55" s="7">
        <f t="shared" si="13"/>
        <v>24548.658665548413</v>
      </c>
      <c r="Z55" s="7">
        <f t="shared" si="13"/>
        <v>24162.097946531445</v>
      </c>
      <c r="AA55" s="7">
        <f t="shared" si="13"/>
        <v>17974.763562361622</v>
      </c>
      <c r="AB55" s="7">
        <f t="shared" ref="AB55:AM55" si="14">+AB53-AB54</f>
        <v>25412.870314253902</v>
      </c>
      <c r="AC55" s="7">
        <f t="shared" si="14"/>
        <v>26649.355875993861</v>
      </c>
      <c r="AD55" s="7">
        <f t="shared" si="14"/>
        <v>23350.959583606513</v>
      </c>
      <c r="AE55" s="7">
        <f t="shared" si="14"/>
        <v>26597.560099509064</v>
      </c>
      <c r="AF55" s="7">
        <f t="shared" si="14"/>
        <v>26722.899414457788</v>
      </c>
      <c r="AG55" s="7">
        <f t="shared" si="14"/>
        <v>19058.266615789544</v>
      </c>
      <c r="AH55" s="7">
        <f t="shared" si="14"/>
        <v>26537.971020415454</v>
      </c>
      <c r="AI55" s="7">
        <f t="shared" si="14"/>
        <v>27859.153756744723</v>
      </c>
      <c r="AJ55" s="7">
        <f t="shared" si="14"/>
        <v>24521.151641673772</v>
      </c>
      <c r="AK55" s="7">
        <f t="shared" si="14"/>
        <v>27682.09407824972</v>
      </c>
      <c r="AL55" s="7">
        <f t="shared" si="14"/>
        <v>27632.670164460433</v>
      </c>
      <c r="AM55" s="7">
        <f t="shared" si="14"/>
        <v>19798.655066083244</v>
      </c>
      <c r="AN55" s="7">
        <f>+AN53-AN54</f>
        <v>27519.5871579261</v>
      </c>
      <c r="AO55" s="7">
        <f>+AO53-AO54</f>
        <v>28684.84065346705</v>
      </c>
      <c r="AP55" s="7">
        <f>+AP53-AP54</f>
        <v>25058.722673917102</v>
      </c>
      <c r="AQ55" s="7">
        <f>+AQ53-AQ54</f>
        <v>28331.152992236428</v>
      </c>
      <c r="AR55" s="7">
        <f>+AR53-AR54</f>
        <v>28301.693081797188</v>
      </c>
    </row>
    <row r="56" spans="1:44" s="1" customFormat="1" ht="13.8" thickBot="1">
      <c r="A56" s="13"/>
      <c r="B56" s="13" t="s">
        <v>295</v>
      </c>
      <c r="I56" s="236">
        <f>+I55*'Litigation Analysis'!I22</f>
        <v>15430.907210451798</v>
      </c>
      <c r="J56" s="237">
        <f>+J55*'Litigation Analysis'!J22</f>
        <v>6451.1934879059963</v>
      </c>
      <c r="K56" s="237">
        <f>+K55*'Litigation Analysis'!K22</f>
        <v>3351.5906628767352</v>
      </c>
      <c r="L56" s="237">
        <f>+L55*'Litigation Analysis'!L22</f>
        <v>1270.5608908266647</v>
      </c>
      <c r="M56" s="237">
        <f>+M55*'Litigation Analysis'!M22</f>
        <v>3823.4161117936046</v>
      </c>
      <c r="N56" s="237">
        <f>+N55*'Litigation Analysis'!N22</f>
        <v>3208.4224150501836</v>
      </c>
      <c r="O56" s="237">
        <f>+O55*'Litigation Analysis'!O22</f>
        <v>4318.8547388987454</v>
      </c>
      <c r="P56" s="237">
        <f>+P55*'Litigation Analysis'!P22</f>
        <v>8236.8606600113399</v>
      </c>
      <c r="Q56" s="237">
        <f>+Q55*'Litigation Analysis'!Q22</f>
        <v>7818.4477877778654</v>
      </c>
      <c r="R56" s="237">
        <f>+R55*'Litigation Analysis'!R22</f>
        <v>4848.546013630491</v>
      </c>
      <c r="S56" s="237">
        <f>+S55*'Litigation Analysis'!S22</f>
        <v>6093.3503085472039</v>
      </c>
      <c r="T56" s="237">
        <f>+T55*'Litigation Analysis'!T22</f>
        <v>5355.1419139543004</v>
      </c>
      <c r="U56" s="237">
        <f>+U55*'Litigation Analysis'!U22</f>
        <v>3527.5263700829105</v>
      </c>
      <c r="V56" s="237">
        <f>+V55*'Litigation Analysis'!V22</f>
        <v>4458.3927626403602</v>
      </c>
      <c r="W56" s="237">
        <f>+W55*'Litigation Analysis'!W22</f>
        <v>3570.110911249652</v>
      </c>
      <c r="X56" s="237">
        <f>+X55*'Litigation Analysis'!X22</f>
        <v>2715.6412756072614</v>
      </c>
      <c r="Y56" s="237">
        <f>+Y55*'Litigation Analysis'!Y22</f>
        <v>2646.337887472991</v>
      </c>
      <c r="Z56" s="237">
        <f>+Z55*'Litigation Analysis'!Z22</f>
        <v>2284.7954037946201</v>
      </c>
      <c r="AA56" s="237">
        <f>+AA55*'Litigation Analysis'!AA22</f>
        <v>1490.9772301033795</v>
      </c>
      <c r="AB56" s="237">
        <f>+AB55*'Litigation Analysis'!AB22</f>
        <v>1849.0842246914544</v>
      </c>
      <c r="AC56" s="237">
        <f>+AC55*'Litigation Analysis'!AC22</f>
        <v>1700.9237231127577</v>
      </c>
      <c r="AD56" s="237">
        <f>+AD55*'Litigation Analysis'!AD22</f>
        <v>1307.3684577745707</v>
      </c>
      <c r="AE56" s="237">
        <f>+AE55*'Litigation Analysis'!AE22</f>
        <v>1306.2617744860122</v>
      </c>
      <c r="AF56" s="237">
        <f>+AF55*'Litigation Analysis'!AF22</f>
        <v>1151.2433774080598</v>
      </c>
      <c r="AG56" s="237">
        <f>+AG55*'Litigation Analysis'!AG22</f>
        <v>720.21492135897051</v>
      </c>
      <c r="AH56" s="237">
        <f>+AH55*'Litigation Analysis'!AH22</f>
        <v>879.71415648145774</v>
      </c>
      <c r="AI56" s="237">
        <f>+AI55*'Litigation Analysis'!AI22</f>
        <v>810.09683268974516</v>
      </c>
      <c r="AJ56" s="237">
        <f>+AJ55*'Litigation Analysis'!AJ22</f>
        <v>625.46789960249544</v>
      </c>
      <c r="AK56" s="237">
        <f>+AK55*'Litigation Analysis'!AK22</f>
        <v>619.3815314156825</v>
      </c>
      <c r="AL56" s="237">
        <f>+AL55*'Litigation Analysis'!AL22</f>
        <v>542.34708846441606</v>
      </c>
      <c r="AM56" s="237">
        <f>+AM55*'Litigation Analysis'!AM22</f>
        <v>340.86726653929912</v>
      </c>
      <c r="AN56" s="237">
        <f>+AN55*'Litigation Analysis'!AN22</f>
        <v>415.61065370005321</v>
      </c>
      <c r="AO56" s="237">
        <f>+AO55*'Litigation Analysis'!AO22</f>
        <v>380.00765701688761</v>
      </c>
      <c r="AP56" s="237">
        <f>+AP55*'Litigation Analysis'!AP22</f>
        <v>291.20175253339818</v>
      </c>
      <c r="AQ56" s="237">
        <f>+AQ55*'Litigation Analysis'!AQ22</f>
        <v>288.79818038820412</v>
      </c>
      <c r="AR56" s="238">
        <f>+AR55*'Litigation Analysis'!AR22</f>
        <v>253.06831231281552</v>
      </c>
    </row>
    <row r="57" spans="1:44" s="1" customFormat="1" ht="13.8" thickBot="1">
      <c r="A57" s="13"/>
      <c r="B57" s="350" t="str">
        <f>CONCATENATE("NPV ",$F$22*100," of Cf to Term (2036)")</f>
        <v>NPV 14 of Cf to Term (2036)</v>
      </c>
      <c r="D57" s="379"/>
      <c r="H57" s="240">
        <f>-SUM(I56:AA56)</f>
        <v>-90901.074042676119</v>
      </c>
      <c r="I57" s="382" t="s">
        <v>299</v>
      </c>
      <c r="J57" s="2">
        <f>-H57*1000/$I$35</f>
        <v>352.32974435145786</v>
      </c>
      <c r="K57" s="1" t="s">
        <v>300</v>
      </c>
    </row>
    <row r="58" spans="1:44" s="1" customFormat="1">
      <c r="A58" s="13"/>
    </row>
    <row r="59" spans="1:44" s="1" customFormat="1">
      <c r="A59" s="16" t="s">
        <v>301</v>
      </c>
    </row>
    <row r="60" spans="1:44" s="1" customFormat="1">
      <c r="A60" s="13"/>
    </row>
    <row r="61" spans="1:44" s="1" customFormat="1" hidden="1">
      <c r="A61" s="13"/>
      <c r="B61" s="1" t="s">
        <v>302</v>
      </c>
      <c r="H61" s="7">
        <f>SUM(I45:AA45)</f>
        <v>362118.88607258146</v>
      </c>
    </row>
    <row r="62" spans="1:44" s="1" customFormat="1">
      <c r="A62" s="13"/>
      <c r="B62" s="13" t="s">
        <v>343</v>
      </c>
      <c r="G62" s="383">
        <f>+F12</f>
        <v>0.06</v>
      </c>
      <c r="I62" s="6">
        <f>IF(+I12&lt;=$F$11,SUM($H$61:H62)*$F$12,0)</f>
        <v>21727.133164354887</v>
      </c>
      <c r="J62" s="6">
        <f>IF(+J12&lt;=$F$11,SUM($H$61:I62)*$F$12,0)</f>
        <v>23030.761154216179</v>
      </c>
      <c r="K62" s="6">
        <f>IF(+K12&lt;=$F$11,SUM($H$61:J62)*$F$12,0)</f>
        <v>24412.606823469152</v>
      </c>
      <c r="L62" s="6">
        <f>IF(+L12&lt;=$F$11,SUM($H$61:K62)*$F$12,0)</f>
        <v>0</v>
      </c>
      <c r="M62" s="6">
        <f>IF(+M12&lt;=$F$11,SUM($H$61:L62)*$F$12,0)</f>
        <v>0</v>
      </c>
      <c r="N62" s="6">
        <f>IF(+N12&lt;=$F$11,SUM($H$61:M62)*$F$12,0)</f>
        <v>0</v>
      </c>
      <c r="O62" s="6">
        <f>IF(+O12&lt;=$F$11,SUM($H$61:N62)*$F$12,0)</f>
        <v>0</v>
      </c>
      <c r="P62" s="6">
        <f>IF(+P12&lt;=$F$11,SUM($H$61:O62)*$F$12,0)</f>
        <v>0</v>
      </c>
      <c r="Q62" s="6">
        <f>IF(+Q12&lt;=$F$11,SUM($H$61:P62)*$F$12,0)</f>
        <v>0</v>
      </c>
      <c r="R62" s="6">
        <f>IF(+R12&lt;=$F$11,SUM($H$61:Q62)*$F$12,0)</f>
        <v>0</v>
      </c>
      <c r="S62" s="6">
        <f>IF(+S12&lt;=$F$11,SUM($H$61:R62)*$F$12,0)</f>
        <v>0</v>
      </c>
      <c r="T62" s="6">
        <f>IF(+T12&lt;=$F$11,SUM($H$61:S62)*$F$12,0)</f>
        <v>0</v>
      </c>
      <c r="U62" s="6">
        <f>IF(+U12&lt;=$F$11,SUM($H$61:T62)*$F$12,0)</f>
        <v>0</v>
      </c>
      <c r="V62" s="6">
        <f>IF(+V12&lt;=$F$11,SUM($H$61:U62)*$F$12,0)</f>
        <v>0</v>
      </c>
      <c r="W62" s="6">
        <f>IF(+W12&lt;=$F$11,SUM($H$61:V62)*$F$12,0)</f>
        <v>0</v>
      </c>
      <c r="X62" s="6">
        <f>IF(+X12&lt;=$F$11,SUM($H$61:W62)*$F$12,0)</f>
        <v>0</v>
      </c>
      <c r="Y62" s="6">
        <f>IF(+Y12&lt;=$F$11,SUM($H$61:X62)*$F$12,0)</f>
        <v>0</v>
      </c>
      <c r="Z62" s="6">
        <f>IF(+Z12&lt;=$F$11,SUM($H$61:Y62)*$F$12,0)</f>
        <v>0</v>
      </c>
      <c r="AA62" s="6">
        <f>IF(+AA12&lt;=$F$11,SUM($H$61:Z62)*$F$12,0)</f>
        <v>0</v>
      </c>
    </row>
    <row r="63" spans="1:44" s="1" customFormat="1" ht="13.8" thickBot="1">
      <c r="A63" s="13"/>
      <c r="B63" s="13" t="s">
        <v>295</v>
      </c>
      <c r="I63" s="6">
        <f>+I62*'Litigation Analysis'!I18</f>
        <v>20449.066507628129</v>
      </c>
      <c r="J63" s="6">
        <f>+J62*'Litigation Analysis'!J18</f>
        <v>20400.951057021946</v>
      </c>
      <c r="K63" s="6">
        <f>+K62*'Litigation Analysis'!K18</f>
        <v>20352.948819240719</v>
      </c>
      <c r="L63" s="6">
        <f>+L62*'Litigation Analysis'!L18</f>
        <v>0</v>
      </c>
      <c r="M63" s="6">
        <f>+M62*'Litigation Analysis'!M18</f>
        <v>0</v>
      </c>
      <c r="N63" s="6">
        <f>+N62*'Litigation Analysis'!N18</f>
        <v>0</v>
      </c>
      <c r="O63" s="6">
        <f>+O62*'Litigation Analysis'!O18</f>
        <v>0</v>
      </c>
      <c r="P63" s="6">
        <f>+P62*'Litigation Analysis'!P18</f>
        <v>0</v>
      </c>
      <c r="Q63" s="6">
        <f>+Q62*'Litigation Analysis'!Q18</f>
        <v>0</v>
      </c>
      <c r="R63" s="6">
        <f>+R62*'Litigation Analysis'!R18</f>
        <v>0</v>
      </c>
      <c r="S63" s="6">
        <f>+S62*'Litigation Analysis'!S18</f>
        <v>0</v>
      </c>
      <c r="T63" s="6">
        <f>+T62*'Litigation Analysis'!T18</f>
        <v>0</v>
      </c>
      <c r="U63" s="6">
        <f>+U62*'Litigation Analysis'!U18</f>
        <v>0</v>
      </c>
      <c r="V63" s="6">
        <f>+V62*'Litigation Analysis'!V18</f>
        <v>0</v>
      </c>
      <c r="W63" s="6">
        <f>+W62*'Litigation Analysis'!W18</f>
        <v>0</v>
      </c>
      <c r="X63" s="6">
        <f>+X62*'Litigation Analysis'!X18</f>
        <v>0</v>
      </c>
      <c r="Y63" s="6">
        <f>+Y62*'Litigation Analysis'!Y18</f>
        <v>0</v>
      </c>
      <c r="Z63" s="6">
        <f>+Z62*'Litigation Analysis'!Z18</f>
        <v>0</v>
      </c>
      <c r="AA63" s="6">
        <f>+AA62*'Litigation Analysis'!AA18</f>
        <v>0</v>
      </c>
    </row>
    <row r="64" spans="1:44" s="1" customFormat="1" ht="13.8" thickBot="1">
      <c r="A64" s="13"/>
      <c r="B64" s="350" t="str">
        <f>CONCATENATE("NPV ",$F$18*100," of Cf to Term (2036)")</f>
        <v>NPV 6.25 of Cf to Term (2036)</v>
      </c>
      <c r="D64" s="379"/>
      <c r="H64" s="240">
        <f>SUM(I63:AA63)</f>
        <v>61202.966383890787</v>
      </c>
    </row>
    <row r="65" spans="1:44" s="1" customFormat="1">
      <c r="A65" s="13"/>
    </row>
    <row r="66" spans="1:44" s="1" customFormat="1">
      <c r="A66" s="16" t="s">
        <v>303</v>
      </c>
    </row>
    <row r="67" spans="1:44" s="1" customFormat="1"/>
    <row r="68" spans="1:44" s="1" customFormat="1">
      <c r="B68" s="13" t="s">
        <v>304</v>
      </c>
      <c r="I68" s="6">
        <f t="shared" ref="I68:AA68" si="15">IF(+I12&lt;=$F$11,+$F$14,0)</f>
        <v>10000</v>
      </c>
      <c r="J68" s="6">
        <f t="shared" si="15"/>
        <v>10000</v>
      </c>
      <c r="K68" s="6">
        <f t="shared" si="15"/>
        <v>10000</v>
      </c>
      <c r="L68" s="6">
        <f t="shared" si="15"/>
        <v>0</v>
      </c>
      <c r="M68" s="6">
        <f t="shared" si="15"/>
        <v>0</v>
      </c>
      <c r="N68" s="6">
        <f t="shared" si="15"/>
        <v>0</v>
      </c>
      <c r="O68" s="6">
        <f t="shared" si="15"/>
        <v>0</v>
      </c>
      <c r="P68" s="6">
        <f t="shared" si="15"/>
        <v>0</v>
      </c>
      <c r="Q68" s="6">
        <f t="shared" si="15"/>
        <v>0</v>
      </c>
      <c r="R68" s="6">
        <f t="shared" si="15"/>
        <v>0</v>
      </c>
      <c r="S68" s="6">
        <f t="shared" si="15"/>
        <v>0</v>
      </c>
      <c r="T68" s="6">
        <f t="shared" si="15"/>
        <v>0</v>
      </c>
      <c r="U68" s="6">
        <f t="shared" si="15"/>
        <v>0</v>
      </c>
      <c r="V68" s="6">
        <f t="shared" si="15"/>
        <v>0</v>
      </c>
      <c r="W68" s="6">
        <f t="shared" si="15"/>
        <v>0</v>
      </c>
      <c r="X68" s="6">
        <f t="shared" si="15"/>
        <v>0</v>
      </c>
      <c r="Y68" s="6">
        <f t="shared" si="15"/>
        <v>0</v>
      </c>
      <c r="Z68" s="6">
        <f t="shared" si="15"/>
        <v>0</v>
      </c>
      <c r="AA68" s="6">
        <f t="shared" si="15"/>
        <v>0</v>
      </c>
    </row>
    <row r="69" spans="1:44" s="1" customFormat="1" ht="13.8" thickBot="1">
      <c r="B69" s="13" t="s">
        <v>295</v>
      </c>
      <c r="H69" s="19"/>
      <c r="I69" s="6">
        <f>+I68*'Litigation Analysis'!I18</f>
        <v>9411.7647058823532</v>
      </c>
      <c r="J69" s="6">
        <f>+J68*'Litigation Analysis'!J18</f>
        <v>8858.1314878892736</v>
      </c>
      <c r="K69" s="6">
        <f>+K68*'Litigation Analysis'!K18</f>
        <v>8337.0649297781401</v>
      </c>
      <c r="L69" s="6">
        <f>+L68*'Litigation Analysis'!L18</f>
        <v>0</v>
      </c>
      <c r="M69" s="6">
        <f>+M68*'Litigation Analysis'!M18</f>
        <v>0</v>
      </c>
      <c r="N69" s="6">
        <f>+N68*'Litigation Analysis'!N18</f>
        <v>0</v>
      </c>
      <c r="O69" s="6">
        <f>+O68*'Litigation Analysis'!O18</f>
        <v>0</v>
      </c>
      <c r="P69" s="6">
        <f>+P68*'Litigation Analysis'!P18</f>
        <v>0</v>
      </c>
      <c r="Q69" s="6">
        <f>+Q68*'Litigation Analysis'!Q18</f>
        <v>0</v>
      </c>
      <c r="R69" s="6">
        <f>+R68*'Litigation Analysis'!R18</f>
        <v>0</v>
      </c>
      <c r="S69" s="6">
        <f>+S68*'Litigation Analysis'!S18</f>
        <v>0</v>
      </c>
      <c r="T69" s="6">
        <f>+T68*'Litigation Analysis'!T18</f>
        <v>0</v>
      </c>
      <c r="U69" s="6">
        <f>+U68*'Litigation Analysis'!U18</f>
        <v>0</v>
      </c>
      <c r="V69" s="6">
        <f>+V68*'Litigation Analysis'!V18</f>
        <v>0</v>
      </c>
      <c r="W69" s="6">
        <f>+W68*'Litigation Analysis'!W18</f>
        <v>0</v>
      </c>
      <c r="X69" s="6">
        <f>+X68*'Litigation Analysis'!X18</f>
        <v>0</v>
      </c>
      <c r="Y69" s="6">
        <f>+Y68*'Litigation Analysis'!Y18</f>
        <v>0</v>
      </c>
      <c r="Z69" s="6">
        <f>+Z68*'Litigation Analysis'!Z18</f>
        <v>0</v>
      </c>
      <c r="AA69" s="6">
        <f>+AA68*'Litigation Analysis'!AA18</f>
        <v>0</v>
      </c>
    </row>
    <row r="70" spans="1:44" s="1" customFormat="1" ht="13.8" thickBot="1">
      <c r="B70" s="350" t="str">
        <f>CONCATENATE("NPV ",$F$18*100," of Cf to Term (2036)")</f>
        <v>NPV 6.25 of Cf to Term (2036)</v>
      </c>
      <c r="D70" s="379"/>
      <c r="H70" s="373">
        <f>SUM(I69:AA69)</f>
        <v>26606.961123549765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44" s="1" customFormat="1"/>
    <row r="72" spans="1:44" s="1" customFormat="1">
      <c r="A72" s="16" t="s">
        <v>307</v>
      </c>
    </row>
    <row r="73" spans="1:44" s="1" customFormat="1"/>
    <row r="74" spans="1:44" s="1" customFormat="1">
      <c r="B74" s="13" t="s">
        <v>337</v>
      </c>
      <c r="D74" s="13"/>
      <c r="E74" s="13"/>
      <c r="H74" s="35" t="s">
        <v>14</v>
      </c>
      <c r="I74" s="60">
        <f t="shared" ref="I74:AA74" si="16">+I51</f>
        <v>37.242367045424324</v>
      </c>
      <c r="J74" s="60">
        <f t="shared" si="16"/>
        <v>31.113730703956207</v>
      </c>
      <c r="K74" s="60">
        <f t="shared" si="16"/>
        <v>29.951771706852913</v>
      </c>
      <c r="L74" s="60">
        <f t="shared" si="16"/>
        <v>31.523412257672124</v>
      </c>
      <c r="M74" s="60">
        <f t="shared" si="16"/>
        <v>33.935229099445905</v>
      </c>
      <c r="N74" s="60">
        <f t="shared" si="16"/>
        <v>35.092072014523161</v>
      </c>
      <c r="O74" s="60">
        <f t="shared" si="16"/>
        <v>36.91360485180823</v>
      </c>
      <c r="P74" s="60">
        <f t="shared" si="16"/>
        <v>39.73241117254733</v>
      </c>
      <c r="Q74" s="60">
        <f t="shared" si="16"/>
        <v>40.612389068550648</v>
      </c>
      <c r="R74" s="60">
        <f t="shared" si="16"/>
        <v>41.659400526072069</v>
      </c>
      <c r="S74" s="60">
        <f t="shared" si="16"/>
        <v>42.886850640474215</v>
      </c>
      <c r="T74" s="60">
        <f t="shared" si="16"/>
        <v>43.641232880530993</v>
      </c>
      <c r="U74" s="60">
        <f t="shared" si="16"/>
        <v>44.600722026511448</v>
      </c>
      <c r="V74" s="60">
        <f t="shared" si="16"/>
        <v>46.437335059612842</v>
      </c>
      <c r="W74" s="60">
        <f t="shared" si="16"/>
        <v>45.134710212582107</v>
      </c>
      <c r="X74" s="60">
        <f t="shared" si="16"/>
        <v>45.980703480541258</v>
      </c>
      <c r="Y74" s="60">
        <f t="shared" si="16"/>
        <v>46.719347296062317</v>
      </c>
      <c r="Z74" s="60">
        <f t="shared" si="16"/>
        <v>47.291516630540663</v>
      </c>
      <c r="AA74" s="60">
        <f t="shared" si="16"/>
        <v>48.916753587034229</v>
      </c>
      <c r="AB74" s="60">
        <f t="shared" ref="AB74:AR74" si="17">+AB51</f>
        <v>49.912469419476565</v>
      </c>
      <c r="AC74" s="60">
        <f t="shared" si="17"/>
        <v>50.928453359392805</v>
      </c>
      <c r="AD74" s="60">
        <f t="shared" si="17"/>
        <v>51.965117970455417</v>
      </c>
      <c r="AE74" s="60">
        <f t="shared" si="17"/>
        <v>53.022884214199586</v>
      </c>
      <c r="AF74" s="60">
        <f t="shared" si="17"/>
        <v>54.102181620964316</v>
      </c>
      <c r="AG74" s="60">
        <f t="shared" si="17"/>
        <v>55.203448464313134</v>
      </c>
      <c r="AH74" s="60">
        <f t="shared" si="17"/>
        <v>56.327131939005142</v>
      </c>
      <c r="AI74" s="60">
        <f t="shared" si="17"/>
        <v>57.473688342588758</v>
      </c>
      <c r="AJ74" s="60">
        <f t="shared" si="17"/>
        <v>58.643583260691848</v>
      </c>
      <c r="AK74" s="60">
        <f t="shared" si="17"/>
        <v>59.837291756083474</v>
      </c>
      <c r="AL74" s="60">
        <f t="shared" si="17"/>
        <v>61.055298561584074</v>
      </c>
      <c r="AM74" s="60">
        <f t="shared" si="17"/>
        <v>62.298098276902408</v>
      </c>
      <c r="AN74" s="60">
        <f t="shared" si="17"/>
        <v>63.566195569479127</v>
      </c>
      <c r="AO74" s="60">
        <f t="shared" si="17"/>
        <v>64.860105379418613</v>
      </c>
      <c r="AP74" s="60">
        <f t="shared" si="17"/>
        <v>66.180353128592301</v>
      </c>
      <c r="AQ74" s="60">
        <f t="shared" si="17"/>
        <v>67.527474933998263</v>
      </c>
      <c r="AR74" s="60">
        <f t="shared" si="17"/>
        <v>68.902017825463929</v>
      </c>
    </row>
    <row r="75" spans="1:44" s="1" customFormat="1" ht="13.8" thickBot="1">
      <c r="B75" s="13" t="s">
        <v>338</v>
      </c>
      <c r="D75" s="13"/>
      <c r="E75" s="13"/>
      <c r="H75" s="77" t="s">
        <v>67</v>
      </c>
      <c r="I75" s="381">
        <f t="shared" ref="I75:AA75" si="18">+I52</f>
        <v>1943668.8</v>
      </c>
      <c r="J75" s="381">
        <f t="shared" si="18"/>
        <v>1943668.8</v>
      </c>
      <c r="K75" s="381">
        <f t="shared" si="18"/>
        <v>1943668.8</v>
      </c>
      <c r="L75" s="381">
        <f t="shared" si="18"/>
        <v>1948993.92</v>
      </c>
      <c r="M75" s="381">
        <f t="shared" si="18"/>
        <v>1943668.8</v>
      </c>
      <c r="N75" s="381">
        <f t="shared" si="18"/>
        <v>1943668.8</v>
      </c>
      <c r="O75" s="381">
        <f t="shared" si="18"/>
        <v>1943668.8</v>
      </c>
      <c r="P75" s="381">
        <f t="shared" si="18"/>
        <v>1948993.92</v>
      </c>
      <c r="Q75" s="381">
        <f t="shared" si="18"/>
        <v>1943668.8</v>
      </c>
      <c r="R75" s="381">
        <f t="shared" si="18"/>
        <v>1943668.8</v>
      </c>
      <c r="S75" s="381">
        <f t="shared" si="18"/>
        <v>1943668.8</v>
      </c>
      <c r="T75" s="381">
        <f t="shared" si="18"/>
        <v>1948993.92</v>
      </c>
      <c r="U75" s="381">
        <f t="shared" si="18"/>
        <v>1943668.8</v>
      </c>
      <c r="V75" s="381">
        <f t="shared" si="18"/>
        <v>1943668.8</v>
      </c>
      <c r="W75" s="381">
        <f t="shared" si="18"/>
        <v>1943668.8</v>
      </c>
      <c r="X75" s="381">
        <f t="shared" si="18"/>
        <v>1948993.92</v>
      </c>
      <c r="Y75" s="381">
        <f t="shared" si="18"/>
        <v>1943668.8</v>
      </c>
      <c r="Z75" s="381">
        <f t="shared" si="18"/>
        <v>1943668.8</v>
      </c>
      <c r="AA75" s="381">
        <f t="shared" si="18"/>
        <v>1943668.8</v>
      </c>
      <c r="AB75" s="381">
        <f t="shared" ref="AB75:AR75" si="19">+AB52</f>
        <v>1948993.92</v>
      </c>
      <c r="AC75" s="381">
        <f t="shared" si="19"/>
        <v>1943668.8</v>
      </c>
      <c r="AD75" s="381">
        <f t="shared" si="19"/>
        <v>1943668.8</v>
      </c>
      <c r="AE75" s="381">
        <f t="shared" si="19"/>
        <v>1943668.8</v>
      </c>
      <c r="AF75" s="381">
        <f t="shared" si="19"/>
        <v>1948993.92</v>
      </c>
      <c r="AG75" s="381">
        <f t="shared" si="19"/>
        <v>1943668.8</v>
      </c>
      <c r="AH75" s="381">
        <f t="shared" si="19"/>
        <v>1943668.8</v>
      </c>
      <c r="AI75" s="381">
        <f t="shared" si="19"/>
        <v>1943668.8</v>
      </c>
      <c r="AJ75" s="381">
        <f t="shared" si="19"/>
        <v>1948993.92</v>
      </c>
      <c r="AK75" s="381">
        <f t="shared" si="19"/>
        <v>1943668.8</v>
      </c>
      <c r="AL75" s="381">
        <f t="shared" si="19"/>
        <v>1943668.8</v>
      </c>
      <c r="AM75" s="381">
        <f t="shared" si="19"/>
        <v>1943668.8</v>
      </c>
      <c r="AN75" s="381">
        <f t="shared" si="19"/>
        <v>1948993.92</v>
      </c>
      <c r="AO75" s="381">
        <f t="shared" si="19"/>
        <v>1943668.8</v>
      </c>
      <c r="AP75" s="381">
        <f t="shared" si="19"/>
        <v>1943668.8</v>
      </c>
      <c r="AQ75" s="381">
        <f t="shared" si="19"/>
        <v>1943668.8</v>
      </c>
      <c r="AR75" s="381">
        <f t="shared" si="19"/>
        <v>1948993.92</v>
      </c>
    </row>
    <row r="76" spans="1:44" s="1" customFormat="1" ht="13.8" thickBot="1">
      <c r="B76" s="13" t="s">
        <v>305</v>
      </c>
      <c r="D76" s="13"/>
      <c r="E76" s="13"/>
      <c r="H76" s="8"/>
      <c r="I76" s="6">
        <f t="shared" ref="I76:AA76" si="20">+I74*I75/1000</f>
        <v>72386.82686433944</v>
      </c>
      <c r="J76" s="6">
        <f t="shared" si="20"/>
        <v>60474.787620881718</v>
      </c>
      <c r="K76" s="6">
        <f t="shared" si="20"/>
        <v>58216.324171332752</v>
      </c>
      <c r="L76" s="6">
        <f t="shared" si="20"/>
        <v>61438.938827856444</v>
      </c>
      <c r="M76" s="6">
        <f t="shared" si="20"/>
        <v>65958.846021445104</v>
      </c>
      <c r="N76" s="6">
        <f t="shared" si="20"/>
        <v>68207.365501981811</v>
      </c>
      <c r="O76" s="6">
        <f t="shared" si="20"/>
        <v>71747.822045988272</v>
      </c>
      <c r="P76" s="6">
        <f t="shared" si="20"/>
        <v>77438.227802234818</v>
      </c>
      <c r="Q76" s="6">
        <f t="shared" si="20"/>
        <v>78937.033526002953</v>
      </c>
      <c r="R76" s="6">
        <f t="shared" si="20"/>
        <v>80972.077029229869</v>
      </c>
      <c r="S76" s="6">
        <f t="shared" si="20"/>
        <v>83357.833520149754</v>
      </c>
      <c r="T76" s="6">
        <f t="shared" si="20"/>
        <v>85056.497545458988</v>
      </c>
      <c r="U76" s="6">
        <f t="shared" si="20"/>
        <v>86689.031860403076</v>
      </c>
      <c r="V76" s="6">
        <f t="shared" si="20"/>
        <v>90258.79931051562</v>
      </c>
      <c r="W76" s="6">
        <f t="shared" si="20"/>
        <v>87726.928037237216</v>
      </c>
      <c r="X76" s="6">
        <f t="shared" si="20"/>
        <v>89616.111520897743</v>
      </c>
      <c r="Y76" s="6">
        <f t="shared" si="20"/>
        <v>90806.937695720684</v>
      </c>
      <c r="Z76" s="6">
        <f t="shared" si="20"/>
        <v>91919.045379463016</v>
      </c>
      <c r="AA76" s="6">
        <f t="shared" si="20"/>
        <v>95077.967744406516</v>
      </c>
      <c r="AB76" s="6">
        <f t="shared" ref="AB76:AR76" si="21">+AB74*AB75/1000</f>
        <v>97279.099430745744</v>
      </c>
      <c r="AC76" s="6">
        <f t="shared" si="21"/>
        <v>98988.045826906979</v>
      </c>
      <c r="AD76" s="6">
        <f t="shared" si="21"/>
        <v>101002.97848749351</v>
      </c>
      <c r="AE76" s="6">
        <f t="shared" si="21"/>
        <v>103058.92573315225</v>
      </c>
      <c r="AF76" s="6">
        <f t="shared" si="21"/>
        <v>105444.82303799519</v>
      </c>
      <c r="AG76" s="6">
        <f t="shared" si="21"/>
        <v>107297.22043249336</v>
      </c>
      <c r="AH76" s="6">
        <f t="shared" si="21"/>
        <v>109481.2889433278</v>
      </c>
      <c r="AI76" s="6">
        <f t="shared" si="21"/>
        <v>111709.81485241349</v>
      </c>
      <c r="AJ76" s="6">
        <f t="shared" si="21"/>
        <v>114295.98722210218</v>
      </c>
      <c r="AK76" s="6">
        <f t="shared" si="21"/>
        <v>116303.87706279667</v>
      </c>
      <c r="AL76" s="6">
        <f t="shared" si="21"/>
        <v>118671.27888883585</v>
      </c>
      <c r="AM76" s="6">
        <f t="shared" si="21"/>
        <v>121086.86992014897</v>
      </c>
      <c r="AN76" s="6">
        <f t="shared" si="21"/>
        <v>123890.12868244575</v>
      </c>
      <c r="AO76" s="6">
        <f t="shared" si="21"/>
        <v>126066.56319068812</v>
      </c>
      <c r="AP76" s="6">
        <f t="shared" si="21"/>
        <v>128632.68754902725</v>
      </c>
      <c r="AQ76" s="6">
        <f t="shared" si="21"/>
        <v>131251.0461719945</v>
      </c>
      <c r="AR76" s="6">
        <f t="shared" si="21"/>
        <v>134289.61381756084</v>
      </c>
    </row>
    <row r="77" spans="1:44" s="1" customFormat="1" ht="13.8" thickBot="1">
      <c r="B77" s="13" t="s">
        <v>295</v>
      </c>
      <c r="C77" s="13"/>
      <c r="D77" s="13"/>
      <c r="E77" s="13"/>
      <c r="H77" s="8"/>
      <c r="I77" s="236">
        <f>+I76*'Litigation Analysis'!I18</f>
        <v>68128.778225260656</v>
      </c>
      <c r="J77" s="237">
        <f>+J76*'Litigation Analysis'!J18</f>
        <v>53569.362044794878</v>
      </c>
      <c r="K77" s="237">
        <f>+K76*'Litigation Analysis'!K18</f>
        <v>48535.32745894137</v>
      </c>
      <c r="L77" s="237">
        <f>+L76*'Litigation Analysis'!L18</f>
        <v>48208.980915247659</v>
      </c>
      <c r="M77" s="237">
        <f>+M76*'Litigation Analysis'!M18</f>
        <v>48711.146915346275</v>
      </c>
      <c r="N77" s="237">
        <f>+N76*'Litigation Analysis'!N18</f>
        <v>47408.655934559829</v>
      </c>
      <c r="O77" s="237">
        <f>+O76*'Litigation Analysis'!O18</f>
        <v>46936.008217586932</v>
      </c>
      <c r="P77" s="237">
        <f>+P76*'Litigation Analysis'!P18</f>
        <v>47678.644030248543</v>
      </c>
      <c r="Q77" s="237">
        <f>+Q76*'Litigation Analysis'!Q18</f>
        <v>45742.548051581311</v>
      </c>
      <c r="R77" s="237">
        <f>+R76*'Litigation Analysis'!R18</f>
        <v>44161.711103879621</v>
      </c>
      <c r="S77" s="237">
        <f>+S76*'Litigation Analysis'!S18</f>
        <v>42788.601552208987</v>
      </c>
      <c r="T77" s="237">
        <f>+T76*'Litigation Analysis'!T18</f>
        <v>41092.279243465666</v>
      </c>
      <c r="U77" s="237">
        <f>+U76*'Litigation Analysis'!U18</f>
        <v>39417.397721190544</v>
      </c>
      <c r="V77" s="237">
        <f>+V76*'Litigation Analysis'!V18</f>
        <v>38626.415674592994</v>
      </c>
      <c r="W77" s="237">
        <f>+W76*'Litigation Analysis'!W18</f>
        <v>35334.49111020803</v>
      </c>
      <c r="X77" s="237">
        <f>+X76*'Litigation Analysis'!X18</f>
        <v>33972.1533810943</v>
      </c>
      <c r="Y77" s="237">
        <f>+Y76*'Litigation Analysis'!Y18</f>
        <v>32398.661757019876</v>
      </c>
      <c r="Z77" s="237">
        <f>+Z76*'Litigation Analysis'!Z18</f>
        <v>30866.302518259221</v>
      </c>
      <c r="AA77" s="237">
        <f>+AA76*'Litigation Analysis'!AA18</f>
        <v>30049.002134355775</v>
      </c>
      <c r="AB77" s="237">
        <f>+AB76*'Litigation Analysis'!AB18</f>
        <v>28936.15132699682</v>
      </c>
      <c r="AC77" s="237">
        <f>+AC76*'Litigation Analysis'!AC18</f>
        <v>27712.457337556152</v>
      </c>
      <c r="AD77" s="237">
        <f>+AD76*'Litigation Analysis'!AD18</f>
        <v>26613.226430049021</v>
      </c>
      <c r="AE77" s="237">
        <f>+AE76*'Litigation Analysis'!AE18</f>
        <v>25557.597162530037</v>
      </c>
      <c r="AF77" s="237">
        <f>+AF76*'Litigation Analysis'!AF18</f>
        <v>24611.083447721576</v>
      </c>
      <c r="AG77" s="237">
        <f>+AG76*'Litigation Analysis'!AG18</f>
        <v>23570.294209779575</v>
      </c>
      <c r="AH77" s="237">
        <f>+AH76*'Litigation Analysis'!AH18</f>
        <v>22635.364637174924</v>
      </c>
      <c r="AI77" s="237">
        <f>+AI76*'Litigation Analysis'!AI18</f>
        <v>21737.51959554604</v>
      </c>
      <c r="AJ77" s="237">
        <f>+AJ76*'Litigation Analysis'!AJ18</f>
        <v>20932.480675327566</v>
      </c>
      <c r="AK77" s="237">
        <f>+AK76*'Litigation Analysis'!AK18</f>
        <v>20047.257533624444</v>
      </c>
      <c r="AL77" s="237">
        <f>+AL76*'Litigation Analysis'!AL18</f>
        <v>19252.071281344641</v>
      </c>
      <c r="AM77" s="237">
        <f>+AM76*'Litigation Analysis'!AM18</f>
        <v>18488.426559109743</v>
      </c>
      <c r="AN77" s="237">
        <f>+AN76*'Litigation Analysis'!AN18</f>
        <v>17803.71628716437</v>
      </c>
      <c r="AO77" s="237">
        <f>+AO76*'Litigation Analysis'!AO18</f>
        <v>17050.806877612595</v>
      </c>
      <c r="AP77" s="237">
        <f>+AP76*'Litigation Analysis'!AP18</f>
        <v>16374.476601682627</v>
      </c>
      <c r="AQ77" s="237">
        <f>+AQ76*'Litigation Analysis'!AQ18</f>
        <v>15724.973363641408</v>
      </c>
      <c r="AR77" s="238">
        <f>+AR76*'Litigation Analysis'!AR18</f>
        <v>15142.606294506069</v>
      </c>
    </row>
    <row r="78" spans="1:44" s="1" customFormat="1" ht="13.8" thickBot="1">
      <c r="B78" s="350" t="str">
        <f>CONCATENATE("NPV ",$F$18*100," of Cf to Term (2036)")</f>
        <v>NPV 6.25 of Cf to Term (2036)</v>
      </c>
      <c r="C78" s="13"/>
      <c r="D78" s="379"/>
      <c r="E78" s="13"/>
      <c r="H78" s="240">
        <f>SUM(I77:AR77)</f>
        <v>1185816.9776112102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44" s="1" customFormat="1" ht="13.8" thickBot="1">
      <c r="B79" s="13"/>
      <c r="C79" s="13"/>
      <c r="D79" s="13"/>
      <c r="E79" s="13"/>
      <c r="H79" s="8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44" s="1" customFormat="1" ht="13.8" thickBot="1">
      <c r="A80" s="16" t="s">
        <v>235</v>
      </c>
      <c r="H80" s="88">
        <f>+H47+H57+H64+H70+H78</f>
        <v>1484626.6976245791</v>
      </c>
    </row>
    <row r="81" spans="1:18" s="1" customFormat="1" ht="13.8" thickBot="1">
      <c r="H81" s="21"/>
    </row>
    <row r="82" spans="1:18" s="1" customFormat="1" ht="13.8" thickBot="1">
      <c r="A82" s="16" t="s">
        <v>306</v>
      </c>
      <c r="H82" s="88">
        <f>+H30-H80</f>
        <v>0</v>
      </c>
    </row>
    <row r="83" spans="1:18" s="1" customFormat="1" ht="13.8" thickBot="1"/>
    <row r="84" spans="1:18" s="1" customFormat="1" ht="13.8" thickBot="1">
      <c r="A84" s="16" t="s">
        <v>334</v>
      </c>
      <c r="H84" s="88">
        <f>+H31-H80</f>
        <v>-135048.94074734487</v>
      </c>
    </row>
    <row r="85" spans="1:18" s="1" customFormat="1"/>
    <row r="86" spans="1:18" s="1" customFormat="1">
      <c r="H86" s="7"/>
    </row>
    <row r="87" spans="1:18" s="1" customFormat="1" ht="13.8" thickBot="1">
      <c r="H87" s="7"/>
    </row>
    <row r="88" spans="1:18" s="1" customFormat="1">
      <c r="A88" s="195"/>
      <c r="B88" s="386"/>
      <c r="C88" s="386"/>
      <c r="D88" s="386"/>
      <c r="E88" s="386"/>
      <c r="F88" s="386"/>
      <c r="G88" s="386"/>
      <c r="H88" s="386"/>
      <c r="I88" s="196"/>
      <c r="K88" s="195"/>
      <c r="L88" s="386"/>
      <c r="M88" s="386"/>
      <c r="N88" s="386"/>
      <c r="O88" s="386"/>
      <c r="P88" s="386"/>
      <c r="Q88" s="386"/>
      <c r="R88" s="196"/>
    </row>
    <row r="89" spans="1:18" s="1" customFormat="1" ht="15.6">
      <c r="A89" s="459" t="s">
        <v>353</v>
      </c>
      <c r="B89" s="460"/>
      <c r="C89" s="460"/>
      <c r="D89" s="460"/>
      <c r="E89" s="460"/>
      <c r="F89" s="460"/>
      <c r="G89" s="460"/>
      <c r="H89" s="460"/>
      <c r="I89" s="461"/>
      <c r="K89" s="459" t="s">
        <v>349</v>
      </c>
      <c r="L89" s="460"/>
      <c r="M89" s="460"/>
      <c r="N89" s="460"/>
      <c r="O89" s="460"/>
      <c r="P89" s="460"/>
      <c r="Q89" s="460"/>
      <c r="R89" s="461"/>
    </row>
    <row r="90" spans="1:18" s="1" customFormat="1">
      <c r="A90" s="462" t="s">
        <v>333</v>
      </c>
      <c r="B90" s="463"/>
      <c r="C90" s="463"/>
      <c r="D90" s="463"/>
      <c r="E90" s="463"/>
      <c r="F90" s="463"/>
      <c r="G90" s="463"/>
      <c r="H90" s="463"/>
      <c r="I90" s="464"/>
      <c r="K90" s="462" t="s">
        <v>333</v>
      </c>
      <c r="L90" s="463"/>
      <c r="M90" s="463"/>
      <c r="N90" s="463"/>
      <c r="O90" s="463"/>
      <c r="P90" s="463"/>
      <c r="Q90" s="463"/>
      <c r="R90" s="464"/>
    </row>
    <row r="91" spans="1:18" s="1" customFormat="1">
      <c r="A91" s="387"/>
      <c r="B91" s="330"/>
      <c r="C91" s="330"/>
      <c r="D91" s="330"/>
      <c r="E91" s="330"/>
      <c r="F91" s="330"/>
      <c r="G91" s="330"/>
      <c r="H91" s="330"/>
      <c r="I91" s="388"/>
      <c r="K91" s="387"/>
      <c r="L91" s="330"/>
      <c r="M91" s="330"/>
      <c r="N91" s="330"/>
      <c r="O91" s="330"/>
      <c r="P91" s="330"/>
      <c r="Q91" s="330"/>
      <c r="R91" s="388"/>
    </row>
    <row r="92" spans="1:18" s="1" customFormat="1">
      <c r="A92" s="387"/>
      <c r="B92" s="330"/>
      <c r="C92" s="330"/>
      <c r="D92" s="330"/>
      <c r="E92" s="330"/>
      <c r="F92" s="330"/>
      <c r="G92" s="330"/>
      <c r="H92" s="330"/>
      <c r="I92" s="359" t="s">
        <v>312</v>
      </c>
      <c r="K92" s="387"/>
      <c r="L92" s="330"/>
      <c r="M92" s="330"/>
      <c r="N92" s="330"/>
      <c r="O92" s="330"/>
      <c r="P92" s="330"/>
      <c r="Q92" s="330"/>
      <c r="R92" s="388"/>
    </row>
    <row r="93" spans="1:18" s="1" customFormat="1">
      <c r="A93" s="387"/>
      <c r="B93" s="330"/>
      <c r="C93" s="330"/>
      <c r="D93" s="330"/>
      <c r="E93" s="330"/>
      <c r="F93" s="330"/>
      <c r="G93" s="389" t="s">
        <v>314</v>
      </c>
      <c r="H93" s="389" t="s">
        <v>312</v>
      </c>
      <c r="I93" s="407" t="s">
        <v>336</v>
      </c>
      <c r="K93" s="197"/>
      <c r="L93" s="330"/>
      <c r="M93" s="330"/>
      <c r="N93" s="434">
        <v>36707</v>
      </c>
      <c r="O93" s="434">
        <v>37072</v>
      </c>
      <c r="P93" s="434">
        <v>37437</v>
      </c>
      <c r="Q93" s="434">
        <v>37802</v>
      </c>
      <c r="R93" s="435">
        <v>37986</v>
      </c>
    </row>
    <row r="94" spans="1:18" s="1" customFormat="1" ht="16.8">
      <c r="A94" s="387"/>
      <c r="B94" s="330"/>
      <c r="C94" s="330"/>
      <c r="D94" s="330"/>
      <c r="E94" s="330"/>
      <c r="F94" s="362" t="s">
        <v>317</v>
      </c>
      <c r="G94" s="362" t="s">
        <v>318</v>
      </c>
      <c r="H94" s="362" t="s">
        <v>313</v>
      </c>
      <c r="I94" s="390" t="s">
        <v>335</v>
      </c>
      <c r="K94" s="429" t="s">
        <v>351</v>
      </c>
      <c r="L94" s="330"/>
      <c r="M94" s="330"/>
      <c r="N94" s="330"/>
      <c r="O94" s="330"/>
      <c r="P94" s="330"/>
      <c r="Q94" s="330"/>
      <c r="R94" s="388"/>
    </row>
    <row r="95" spans="1:18" s="1" customFormat="1">
      <c r="A95" s="387"/>
      <c r="B95" s="330"/>
      <c r="C95" s="330"/>
      <c r="D95" s="330"/>
      <c r="E95" s="330"/>
      <c r="F95" s="330"/>
      <c r="G95" s="330"/>
      <c r="H95" s="330"/>
      <c r="I95" s="388"/>
      <c r="K95" s="405" t="s">
        <v>20</v>
      </c>
      <c r="L95" s="330"/>
      <c r="M95" s="330"/>
      <c r="N95" s="162">
        <v>-210800</v>
      </c>
      <c r="O95" s="330"/>
      <c r="P95" s="330"/>
      <c r="Q95" s="330"/>
      <c r="R95" s="388"/>
    </row>
    <row r="96" spans="1:18" s="1" customFormat="1">
      <c r="A96" s="405" t="s">
        <v>315</v>
      </c>
      <c r="B96" s="330"/>
      <c r="C96" s="330"/>
      <c r="D96" s="330"/>
      <c r="E96" s="330"/>
      <c r="F96" s="330"/>
      <c r="G96" s="8">
        <f>+G98-G97</f>
        <v>386371.6850679944</v>
      </c>
      <c r="H96" s="8">
        <f>+H98-H97</f>
        <v>216636.88607258146</v>
      </c>
      <c r="I96" s="391">
        <f>+I98-I97</f>
        <v>81954.275884320901</v>
      </c>
      <c r="K96" s="405" t="s">
        <v>350</v>
      </c>
      <c r="L96" s="330"/>
      <c r="M96" s="330"/>
      <c r="N96" s="162">
        <v>-19200</v>
      </c>
      <c r="O96" s="330"/>
      <c r="P96" s="330"/>
      <c r="Q96" s="330"/>
      <c r="R96" s="388"/>
    </row>
    <row r="97" spans="1:18" s="1" customFormat="1" ht="15">
      <c r="A97" s="405" t="s">
        <v>330</v>
      </c>
      <c r="B97" s="330"/>
      <c r="C97" s="330"/>
      <c r="D97" s="330"/>
      <c r="E97" s="330"/>
      <c r="F97" s="392" t="s">
        <v>323</v>
      </c>
      <c r="G97" s="393">
        <f>+Valuation!G101</f>
        <v>145482</v>
      </c>
      <c r="H97" s="394">
        <f>+G97</f>
        <v>145482</v>
      </c>
      <c r="I97" s="395">
        <f>+H97</f>
        <v>145482</v>
      </c>
      <c r="K97" s="405" t="s">
        <v>320</v>
      </c>
      <c r="L97" s="330"/>
      <c r="M97" s="330"/>
      <c r="N97" s="330"/>
      <c r="O97" s="23">
        <f>-I68/2</f>
        <v>-5000</v>
      </c>
      <c r="P97" s="23">
        <f>-J68/2</f>
        <v>-5000</v>
      </c>
      <c r="Q97" s="23">
        <f>-K68/2</f>
        <v>-5000</v>
      </c>
      <c r="R97" s="388"/>
    </row>
    <row r="98" spans="1:18" s="1" customFormat="1">
      <c r="A98" s="406" t="s">
        <v>332</v>
      </c>
      <c r="B98" s="330"/>
      <c r="C98" s="330"/>
      <c r="D98" s="330"/>
      <c r="E98" s="401"/>
      <c r="F98" s="401"/>
      <c r="G98" s="162">
        <v>531853.6850679944</v>
      </c>
      <c r="H98" s="162">
        <v>362118.88607258146</v>
      </c>
      <c r="I98" s="423">
        <v>227436.2758843209</v>
      </c>
      <c r="K98" s="405" t="s">
        <v>355</v>
      </c>
      <c r="L98" s="330"/>
      <c r="M98" s="330"/>
      <c r="N98" s="330"/>
      <c r="O98" s="330"/>
      <c r="P98" s="330"/>
      <c r="Q98" s="330"/>
      <c r="R98" s="391">
        <f>+G98+G104</f>
        <v>621744.11735503213</v>
      </c>
    </row>
    <row r="99" spans="1:18" s="1" customFormat="1">
      <c r="A99" s="405"/>
      <c r="B99" s="330"/>
      <c r="C99" s="330"/>
      <c r="D99" s="330"/>
      <c r="E99" s="330"/>
      <c r="F99" s="330"/>
      <c r="G99" s="23"/>
      <c r="H99" s="23"/>
      <c r="I99" s="396"/>
      <c r="K99" s="405" t="s">
        <v>320</v>
      </c>
      <c r="L99" s="330"/>
      <c r="M99" s="330"/>
      <c r="N99" s="330"/>
      <c r="O99" s="330"/>
      <c r="P99" s="330"/>
      <c r="Q99" s="330"/>
      <c r="R99" s="391">
        <f>-SUM(O97:Q97)</f>
        <v>15000</v>
      </c>
    </row>
    <row r="100" spans="1:18" s="1" customFormat="1">
      <c r="A100" s="405"/>
      <c r="B100" s="330"/>
      <c r="C100" s="330"/>
      <c r="D100" s="330"/>
      <c r="E100" s="330"/>
      <c r="F100" s="330"/>
      <c r="G100" s="23"/>
      <c r="H100" s="23"/>
      <c r="I100" s="396"/>
      <c r="K100" s="405" t="s">
        <v>354</v>
      </c>
      <c r="L100" s="330"/>
      <c r="M100" s="330"/>
      <c r="N100" s="330"/>
      <c r="O100" s="8">
        <f>+I55</f>
        <v>17591.234219915052</v>
      </c>
      <c r="P100" s="8">
        <f>+J55</f>
        <v>8383.971056882634</v>
      </c>
      <c r="Q100" s="8">
        <f>+K55</f>
        <v>4965.5290370410512</v>
      </c>
      <c r="R100" s="388"/>
    </row>
    <row r="101" spans="1:18" s="1" customFormat="1" ht="15">
      <c r="A101" s="429" t="s">
        <v>342</v>
      </c>
      <c r="B101" s="330"/>
      <c r="C101" s="330"/>
      <c r="D101" s="330"/>
      <c r="E101" s="330"/>
      <c r="F101" s="330"/>
      <c r="G101" s="23"/>
      <c r="H101" s="23"/>
      <c r="I101" s="396"/>
      <c r="K101" s="405" t="s">
        <v>232</v>
      </c>
      <c r="L101" s="330"/>
      <c r="M101" s="330"/>
      <c r="N101" s="431">
        <v>0</v>
      </c>
      <c r="O101" s="431">
        <v>-15447.7109685329</v>
      </c>
      <c r="P101" s="431">
        <v>-15234.9991961905</v>
      </c>
      <c r="Q101" s="431">
        <v>-15413.5187267937</v>
      </c>
      <c r="R101" s="432">
        <v>-138456</v>
      </c>
    </row>
    <row r="102" spans="1:18" s="1" customFormat="1" ht="13.8" thickBot="1">
      <c r="A102" s="406" t="s">
        <v>332</v>
      </c>
      <c r="B102" s="330"/>
      <c r="C102" s="330"/>
      <c r="D102" s="330"/>
      <c r="E102" s="401"/>
      <c r="F102" s="402" t="s">
        <v>324</v>
      </c>
      <c r="G102" s="403">
        <f>+G98*$K$18</f>
        <v>443409.87055536435</v>
      </c>
      <c r="H102" s="403">
        <f>+H98*$K$18</f>
        <v>301900.86654860445</v>
      </c>
      <c r="I102" s="404">
        <f>+I98*$K$18</f>
        <v>189615.09994345173</v>
      </c>
      <c r="K102" s="405" t="s">
        <v>191</v>
      </c>
      <c r="L102" s="330"/>
      <c r="M102" s="330"/>
      <c r="N102" s="8">
        <f>SUM(N95:N101)</f>
        <v>-230000</v>
      </c>
      <c r="O102" s="8">
        <f>SUM(O95:O101)</f>
        <v>-2856.476748617848</v>
      </c>
      <c r="P102" s="8">
        <f>SUM(P95:P101)</f>
        <v>-11851.028139307866</v>
      </c>
      <c r="Q102" s="8">
        <f>SUM(Q95:Q101)</f>
        <v>-15447.989689752649</v>
      </c>
      <c r="R102" s="391">
        <f>SUM(R95:R101)</f>
        <v>498288.11735503213</v>
      </c>
    </row>
    <row r="103" spans="1:18" s="1" customFormat="1" ht="13.8" thickBot="1">
      <c r="A103" s="406" t="s">
        <v>316</v>
      </c>
      <c r="B103" s="330"/>
      <c r="C103" s="330"/>
      <c r="D103" s="330"/>
      <c r="E103" s="401"/>
      <c r="F103" s="402" t="s">
        <v>325</v>
      </c>
      <c r="G103" s="403">
        <f>+H57</f>
        <v>-90901.074042676119</v>
      </c>
      <c r="H103" s="403">
        <f>+G103</f>
        <v>-90901.074042676119</v>
      </c>
      <c r="I103" s="404">
        <f>+H103</f>
        <v>-90901.074042676119</v>
      </c>
      <c r="K103" s="405" t="s">
        <v>352</v>
      </c>
      <c r="L103" s="433">
        <v>0.1125</v>
      </c>
      <c r="M103" s="330"/>
      <c r="N103" s="239">
        <f>XNPV(L103,N102:R102,$N$93:$R$93)</f>
        <v>89594.949895070633</v>
      </c>
      <c r="O103" s="330"/>
      <c r="P103" s="330"/>
      <c r="Q103" s="330"/>
      <c r="R103" s="388"/>
    </row>
    <row r="104" spans="1:18" s="1" customFormat="1">
      <c r="A104" s="406" t="s">
        <v>284</v>
      </c>
      <c r="B104" s="330"/>
      <c r="C104" s="330"/>
      <c r="D104" s="330"/>
      <c r="E104" s="401"/>
      <c r="F104" s="402" t="s">
        <v>326</v>
      </c>
      <c r="G104" s="162">
        <v>89890.432287037693</v>
      </c>
      <c r="H104" s="162">
        <v>61202.966383890787</v>
      </c>
      <c r="I104" s="423">
        <v>38439.792241698728</v>
      </c>
      <c r="K104" s="405"/>
      <c r="L104" s="330"/>
      <c r="M104" s="330"/>
      <c r="N104" s="330"/>
      <c r="O104" s="330"/>
      <c r="P104" s="330"/>
      <c r="Q104" s="330"/>
      <c r="R104" s="388"/>
    </row>
    <row r="105" spans="1:18" s="1" customFormat="1">
      <c r="A105" s="406" t="s">
        <v>320</v>
      </c>
      <c r="B105" s="330"/>
      <c r="C105" s="330"/>
      <c r="D105" s="330"/>
      <c r="E105" s="401"/>
      <c r="F105" s="402" t="s">
        <v>327</v>
      </c>
      <c r="G105" s="403">
        <f>+H70</f>
        <v>26606.961123549765</v>
      </c>
      <c r="H105" s="403">
        <f>+G105</f>
        <v>26606.961123549765</v>
      </c>
      <c r="I105" s="404">
        <f>+H105</f>
        <v>26606.961123549765</v>
      </c>
      <c r="K105" s="429" t="s">
        <v>357</v>
      </c>
      <c r="L105" s="330"/>
      <c r="M105" s="330"/>
      <c r="N105" s="330"/>
      <c r="O105" s="330"/>
      <c r="P105" s="330"/>
      <c r="Q105" s="330"/>
      <c r="R105" s="388"/>
    </row>
    <row r="106" spans="1:18" s="1" customFormat="1" ht="15">
      <c r="A106" s="405" t="s">
        <v>307</v>
      </c>
      <c r="B106" s="330"/>
      <c r="C106" s="330"/>
      <c r="D106" s="330"/>
      <c r="E106" s="330"/>
      <c r="F106" s="392" t="s">
        <v>328</v>
      </c>
      <c r="G106" s="394">
        <f>+H78</f>
        <v>1185816.9776112102</v>
      </c>
      <c r="H106" s="394">
        <f>+G106</f>
        <v>1185816.9776112102</v>
      </c>
      <c r="I106" s="395">
        <f>+H106</f>
        <v>1185816.9776112102</v>
      </c>
      <c r="K106" s="405" t="s">
        <v>20</v>
      </c>
      <c r="L106" s="330"/>
      <c r="M106" s="330"/>
      <c r="N106" s="23">
        <f>+$N$95</f>
        <v>-210800</v>
      </c>
      <c r="O106" s="330"/>
      <c r="P106" s="330"/>
      <c r="Q106" s="330"/>
      <c r="R106" s="388"/>
    </row>
    <row r="107" spans="1:18" s="1" customFormat="1">
      <c r="A107" s="405" t="s">
        <v>171</v>
      </c>
      <c r="B107" s="330"/>
      <c r="C107" s="330"/>
      <c r="D107" s="330"/>
      <c r="E107" s="330"/>
      <c r="F107" s="330"/>
      <c r="G107" s="8">
        <f>SUM(G102:G106)</f>
        <v>1654823.1675344859</v>
      </c>
      <c r="H107" s="8">
        <f>SUM(H102:H106)</f>
        <v>1484626.6976245791</v>
      </c>
      <c r="I107" s="391">
        <f>SUM(I102:I106)</f>
        <v>1349577.7568772342</v>
      </c>
      <c r="K107" s="405" t="s">
        <v>350</v>
      </c>
      <c r="L107" s="330"/>
      <c r="M107" s="330"/>
      <c r="N107" s="23">
        <f>+$N$96</f>
        <v>-19200</v>
      </c>
      <c r="O107" s="330"/>
      <c r="P107" s="330"/>
      <c r="Q107" s="330"/>
      <c r="R107" s="388"/>
    </row>
    <row r="108" spans="1:18" s="1" customFormat="1">
      <c r="A108" s="405"/>
      <c r="B108" s="330"/>
      <c r="C108" s="330"/>
      <c r="D108" s="330"/>
      <c r="E108" s="330"/>
      <c r="F108" s="330"/>
      <c r="G108" s="330"/>
      <c r="H108" s="330"/>
      <c r="I108" s="388"/>
      <c r="K108" s="405" t="s">
        <v>320</v>
      </c>
      <c r="L108" s="330"/>
      <c r="M108" s="330"/>
      <c r="N108" s="330"/>
      <c r="O108" s="23">
        <f>+$O$97</f>
        <v>-5000</v>
      </c>
      <c r="P108" s="23">
        <f>+$P$97</f>
        <v>-5000</v>
      </c>
      <c r="Q108" s="23">
        <f>+$Q$97</f>
        <v>-5000</v>
      </c>
      <c r="R108" s="388"/>
    </row>
    <row r="109" spans="1:18" s="1" customFormat="1">
      <c r="A109" s="405" t="s">
        <v>321</v>
      </c>
      <c r="B109" s="330"/>
      <c r="C109" s="330"/>
      <c r="D109" s="330"/>
      <c r="E109" s="330"/>
      <c r="F109" s="330"/>
      <c r="G109" s="8">
        <f>+H30</f>
        <v>1484626.6976245791</v>
      </c>
      <c r="H109" s="8">
        <f>+G109</f>
        <v>1484626.6976245791</v>
      </c>
      <c r="I109" s="391">
        <f>+H109</f>
        <v>1484626.6976245791</v>
      </c>
      <c r="K109" s="405" t="s">
        <v>355</v>
      </c>
      <c r="L109" s="330"/>
      <c r="M109" s="330"/>
      <c r="N109" s="330"/>
      <c r="O109" s="330"/>
      <c r="P109" s="330"/>
      <c r="Q109" s="330"/>
      <c r="R109" s="437">
        <v>531216.88417705393</v>
      </c>
    </row>
    <row r="110" spans="1:18" s="1" customFormat="1">
      <c r="A110" s="405" t="s">
        <v>311</v>
      </c>
      <c r="B110" s="330"/>
      <c r="C110" s="330"/>
      <c r="D110" s="330"/>
      <c r="E110" s="330"/>
      <c r="F110" s="330"/>
      <c r="G110" s="8">
        <f>+G107-G109</f>
        <v>170196.46990990685</v>
      </c>
      <c r="H110" s="8">
        <f>+H107-H109</f>
        <v>0</v>
      </c>
      <c r="I110" s="391">
        <f>+I107-I109</f>
        <v>-135048.94074734487</v>
      </c>
      <c r="K110" s="405" t="s">
        <v>320</v>
      </c>
      <c r="L110" s="330"/>
      <c r="M110" s="330"/>
      <c r="N110" s="330"/>
      <c r="O110" s="330"/>
      <c r="P110" s="330"/>
      <c r="Q110" s="330"/>
      <c r="R110" s="391">
        <f>-SUM(O108:Q108)</f>
        <v>15000</v>
      </c>
    </row>
    <row r="111" spans="1:18" s="1" customFormat="1" ht="15">
      <c r="A111" s="405"/>
      <c r="B111" s="330"/>
      <c r="C111" s="330"/>
      <c r="D111" s="330"/>
      <c r="E111" s="330"/>
      <c r="F111" s="330"/>
      <c r="G111" s="330"/>
      <c r="H111" s="330"/>
      <c r="I111" s="388"/>
      <c r="K111" s="405" t="s">
        <v>232</v>
      </c>
      <c r="L111" s="330"/>
      <c r="M111" s="330"/>
      <c r="N111" s="393">
        <f>+$N$101</f>
        <v>0</v>
      </c>
      <c r="O111" s="393">
        <f>-Valuation!H291</f>
        <v>-15897.710968532852</v>
      </c>
      <c r="P111" s="393">
        <f>-Valuation!I291</f>
        <v>-15684.999196190485</v>
      </c>
      <c r="Q111" s="393">
        <f>-Valuation!J291</f>
        <v>-15863.518726793733</v>
      </c>
      <c r="R111" s="438">
        <f>-Valuation!J287</f>
        <v>-138456</v>
      </c>
    </row>
    <row r="112" spans="1:18" s="1" customFormat="1" ht="13.8" thickBot="1">
      <c r="A112" s="405" t="s">
        <v>322</v>
      </c>
      <c r="B112" s="330"/>
      <c r="C112" s="330"/>
      <c r="D112" s="330"/>
      <c r="E112" s="330"/>
      <c r="F112" s="330"/>
      <c r="G112" s="23">
        <f>+H31</f>
        <v>1349577.7568772342</v>
      </c>
      <c r="H112" s="8">
        <f>+G112</f>
        <v>1349577.7568772342</v>
      </c>
      <c r="I112" s="391">
        <f>+H112</f>
        <v>1349577.7568772342</v>
      </c>
      <c r="K112" s="405" t="s">
        <v>191</v>
      </c>
      <c r="L112" s="330"/>
      <c r="M112" s="330"/>
      <c r="N112" s="8">
        <f>SUM(N106:N111)</f>
        <v>-230000</v>
      </c>
      <c r="O112" s="8">
        <f>SUM(O106:O111)</f>
        <v>-20897.710968532854</v>
      </c>
      <c r="P112" s="8">
        <f>SUM(P106:P111)</f>
        <v>-20684.999196190485</v>
      </c>
      <c r="Q112" s="8">
        <f>SUM(Q106:Q111)</f>
        <v>-20863.518726793733</v>
      </c>
      <c r="R112" s="391">
        <f>SUM(R106:R111)</f>
        <v>407760.88417705393</v>
      </c>
    </row>
    <row r="113" spans="1:18" s="1" customFormat="1" ht="13.8" thickBot="1">
      <c r="A113" s="405" t="s">
        <v>319</v>
      </c>
      <c r="B113" s="330"/>
      <c r="C113" s="330"/>
      <c r="D113" s="330"/>
      <c r="E113" s="330"/>
      <c r="F113" s="330"/>
      <c r="G113" s="8">
        <f>+G107-G112</f>
        <v>305245.41065725172</v>
      </c>
      <c r="H113" s="8">
        <f>+H107-H112</f>
        <v>135048.94074734487</v>
      </c>
      <c r="I113" s="391">
        <f>+I107-I112</f>
        <v>0</v>
      </c>
      <c r="K113" s="405" t="s">
        <v>352</v>
      </c>
      <c r="L113" s="436">
        <f>+L103</f>
        <v>0.1125</v>
      </c>
      <c r="M113" s="330"/>
      <c r="N113" s="239">
        <f>XNPV(L113,N112:R112,$N$93:$R$93)</f>
        <v>-5.8207660913467407E-11</v>
      </c>
      <c r="O113" s="330"/>
      <c r="P113" s="330"/>
      <c r="Q113" s="330"/>
      <c r="R113" s="388"/>
    </row>
    <row r="114" spans="1:18" s="1" customFormat="1">
      <c r="A114" s="387"/>
      <c r="B114" s="330"/>
      <c r="C114" s="330"/>
      <c r="D114" s="330"/>
      <c r="E114" s="330"/>
      <c r="F114" s="330"/>
      <c r="G114" s="330"/>
      <c r="H114" s="330"/>
      <c r="I114" s="388"/>
      <c r="K114" s="405"/>
      <c r="L114" s="330"/>
      <c r="M114" s="330"/>
      <c r="N114" s="330"/>
      <c r="O114" s="330"/>
      <c r="P114" s="330"/>
      <c r="Q114" s="330"/>
      <c r="R114" s="388"/>
    </row>
    <row r="115" spans="1:18" s="1" customFormat="1">
      <c r="A115" s="387"/>
      <c r="B115" s="330"/>
      <c r="C115" s="330"/>
      <c r="D115" s="330"/>
      <c r="E115" s="330"/>
      <c r="F115" s="330"/>
      <c r="G115" s="330"/>
      <c r="H115" s="330"/>
      <c r="I115" s="388"/>
      <c r="K115" s="429" t="s">
        <v>360</v>
      </c>
      <c r="L115" s="330"/>
      <c r="M115" s="330"/>
      <c r="N115" s="330"/>
      <c r="O115" s="330"/>
      <c r="P115" s="330"/>
      <c r="Q115" s="330"/>
      <c r="R115" s="388"/>
    </row>
    <row r="116" spans="1:18" s="1" customFormat="1">
      <c r="A116" s="387"/>
      <c r="B116" s="330"/>
      <c r="C116" s="397" t="s">
        <v>329</v>
      </c>
      <c r="D116" s="330"/>
      <c r="E116" s="330"/>
      <c r="F116" s="330"/>
      <c r="G116" s="330"/>
      <c r="H116" s="330"/>
      <c r="I116" s="388"/>
      <c r="K116" s="405" t="s">
        <v>20</v>
      </c>
      <c r="L116" s="330"/>
      <c r="M116" s="330"/>
      <c r="N116" s="23">
        <f>+$N$95</f>
        <v>-210800</v>
      </c>
      <c r="O116" s="330"/>
      <c r="P116" s="330"/>
      <c r="Q116" s="330"/>
      <c r="R116" s="388"/>
    </row>
    <row r="117" spans="1:18" s="1" customFormat="1">
      <c r="A117" s="387"/>
      <c r="B117" s="330"/>
      <c r="C117" s="397"/>
      <c r="D117" s="330"/>
      <c r="E117" s="330"/>
      <c r="F117" s="330"/>
      <c r="G117" s="330"/>
      <c r="H117" s="330"/>
      <c r="I117" s="388"/>
      <c r="K117" s="405" t="s">
        <v>350</v>
      </c>
      <c r="L117" s="330"/>
      <c r="M117" s="330"/>
      <c r="N117" s="23">
        <f>+$N$96</f>
        <v>-19200</v>
      </c>
      <c r="O117" s="330"/>
      <c r="P117" s="330"/>
      <c r="Q117" s="330"/>
      <c r="R117" s="388"/>
    </row>
    <row r="118" spans="1:18" s="1" customFormat="1">
      <c r="A118" s="387"/>
      <c r="B118" s="428" t="str">
        <f>CONCATENATE("Brazos values discounted at ",$F$18*100,"%")</f>
        <v>Brazos values discounted at 6.25%</v>
      </c>
      <c r="C118" s="397"/>
      <c r="D118" s="330"/>
      <c r="E118" s="330"/>
      <c r="F118" s="330"/>
      <c r="G118" s="330"/>
      <c r="H118" s="330"/>
      <c r="I118" s="388"/>
      <c r="K118" s="405" t="s">
        <v>320</v>
      </c>
      <c r="L118" s="330"/>
      <c r="M118" s="330"/>
      <c r="N118" s="330"/>
      <c r="O118" s="23">
        <f>+$O$97</f>
        <v>-5000</v>
      </c>
      <c r="P118" s="23">
        <f>+$P$97</f>
        <v>-5000</v>
      </c>
      <c r="Q118" s="23">
        <f>+$Q$97</f>
        <v>-5000</v>
      </c>
      <c r="R118" s="388"/>
    </row>
    <row r="119" spans="1:18" s="1" customFormat="1">
      <c r="A119" s="387"/>
      <c r="B119" s="330"/>
      <c r="C119" s="397"/>
      <c r="D119" s="330"/>
      <c r="E119" s="330"/>
      <c r="F119" s="330"/>
      <c r="G119" s="330"/>
      <c r="H119" s="330"/>
      <c r="I119" s="388"/>
      <c r="K119" s="405" t="s">
        <v>356</v>
      </c>
      <c r="L119" s="330"/>
      <c r="M119" s="330"/>
      <c r="N119" s="330"/>
      <c r="O119" s="330"/>
      <c r="P119" s="330"/>
      <c r="Q119" s="330"/>
      <c r="R119" s="439">
        <f>+H139</f>
        <v>279836.57449380477</v>
      </c>
    </row>
    <row r="120" spans="1:18" s="1" customFormat="1">
      <c r="A120" s="387"/>
      <c r="B120" s="330"/>
      <c r="C120" s="398" t="s">
        <v>323</v>
      </c>
      <c r="D120" s="377" t="s">
        <v>331</v>
      </c>
      <c r="E120" s="330"/>
      <c r="F120" s="330"/>
      <c r="G120" s="330"/>
      <c r="H120" s="330"/>
      <c r="I120" s="388"/>
      <c r="K120" s="405" t="s">
        <v>320</v>
      </c>
      <c r="L120" s="330"/>
      <c r="M120" s="330"/>
      <c r="N120" s="330"/>
      <c r="O120" s="330"/>
      <c r="P120" s="330"/>
      <c r="Q120" s="330"/>
      <c r="R120" s="391">
        <f>-SUM(O118:Q118)</f>
        <v>15000</v>
      </c>
    </row>
    <row r="121" spans="1:18" s="1" customFormat="1" ht="15">
      <c r="A121" s="387"/>
      <c r="B121" s="330"/>
      <c r="C121" s="398" t="s">
        <v>324</v>
      </c>
      <c r="D121" s="427" t="str">
        <f>CONCATENATE("Assumes payment at the end of year ",F11)</f>
        <v>Assumes payment at the end of year 3</v>
      </c>
      <c r="E121" s="330"/>
      <c r="F121" s="330"/>
      <c r="G121" s="330"/>
      <c r="H121" s="330"/>
      <c r="I121" s="388"/>
      <c r="K121" s="405" t="s">
        <v>232</v>
      </c>
      <c r="L121" s="330"/>
      <c r="M121" s="330"/>
      <c r="N121" s="393">
        <f>+$N$101</f>
        <v>0</v>
      </c>
      <c r="O121" s="393">
        <f>+$O$101</f>
        <v>-15447.7109685329</v>
      </c>
      <c r="P121" s="393">
        <f>+$P$101</f>
        <v>-15234.9991961905</v>
      </c>
      <c r="Q121" s="393">
        <f>+$Q$101</f>
        <v>-15413.5187267937</v>
      </c>
      <c r="R121" s="438">
        <f>+$R$101</f>
        <v>-138456</v>
      </c>
    </row>
    <row r="122" spans="1:18" s="1" customFormat="1" ht="13.8" thickBot="1">
      <c r="A122" s="387"/>
      <c r="B122" s="330"/>
      <c r="C122" s="398" t="s">
        <v>325</v>
      </c>
      <c r="D122" s="427" t="str">
        <f>CONCATENATE("NPV ",F22*100," of net margins (7x24) from Pace Global Energy, 2001-36 ($",ROUND(J57,0)," per kW)")</f>
        <v>NPV 14 of net margins (7x24) from Pace Global Energy, 2001-36 ($352 per kW)</v>
      </c>
      <c r="E122" s="330"/>
      <c r="F122" s="330"/>
      <c r="G122" s="330"/>
      <c r="H122" s="330"/>
      <c r="I122" s="388"/>
      <c r="K122" s="405" t="s">
        <v>191</v>
      </c>
      <c r="L122" s="330"/>
      <c r="M122" s="330"/>
      <c r="N122" s="8">
        <f>SUM(N116:N121)</f>
        <v>-230000</v>
      </c>
      <c r="O122" s="8">
        <f>SUM(O116:O121)</f>
        <v>-20447.710968532898</v>
      </c>
      <c r="P122" s="8">
        <f>SUM(P116:P121)</f>
        <v>-20234.9991961905</v>
      </c>
      <c r="Q122" s="8">
        <f>SUM(Q116:Q121)</f>
        <v>-20413.5187267937</v>
      </c>
      <c r="R122" s="391">
        <f>SUM(R116:R121)</f>
        <v>156380.57449380477</v>
      </c>
    </row>
    <row r="123" spans="1:18" s="1" customFormat="1" ht="13.8" thickBot="1">
      <c r="A123" s="387"/>
      <c r="B123" s="330"/>
      <c r="C123" s="398" t="s">
        <v>326</v>
      </c>
      <c r="D123" s="427" t="str">
        <f>CONCATENATE("Assumes ",F12*100,"% per annum from the date of breach (December 31, 2000)")</f>
        <v>Assumes 6% per annum from the date of breach (December 31, 2000)</v>
      </c>
      <c r="E123" s="330"/>
      <c r="F123" s="330"/>
      <c r="G123" s="330"/>
      <c r="H123" s="330"/>
      <c r="I123" s="388"/>
      <c r="K123" s="405" t="s">
        <v>352</v>
      </c>
      <c r="L123" s="436">
        <f>+L113</f>
        <v>0.1125</v>
      </c>
      <c r="M123" s="330"/>
      <c r="N123" s="239">
        <f>XNPV(L123,N122:R122,$N$93:$R$93)</f>
        <v>-171922.94351945497</v>
      </c>
      <c r="O123" s="330"/>
      <c r="P123" s="330"/>
      <c r="Q123" s="330"/>
      <c r="R123" s="388"/>
    </row>
    <row r="124" spans="1:18" s="1" customFormat="1">
      <c r="A124" s="387"/>
      <c r="B124" s="330"/>
      <c r="C124" s="398" t="s">
        <v>327</v>
      </c>
      <c r="D124" s="427" t="str">
        <f>CONCATENATE("Assumes $",+F14/1000,".0 MM per year")</f>
        <v>Assumes $10.0 MM per year</v>
      </c>
      <c r="E124" s="330"/>
      <c r="F124" s="330"/>
      <c r="G124" s="330"/>
      <c r="H124" s="330"/>
      <c r="I124" s="388"/>
      <c r="K124" s="387"/>
      <c r="L124" s="330"/>
      <c r="M124" s="330"/>
      <c r="N124" s="330"/>
      <c r="O124" s="330"/>
      <c r="P124" s="330"/>
      <c r="Q124" s="330"/>
      <c r="R124" s="388"/>
    </row>
    <row r="125" spans="1:18" s="1" customFormat="1">
      <c r="A125" s="387"/>
      <c r="B125" s="330"/>
      <c r="C125" s="398" t="s">
        <v>328</v>
      </c>
      <c r="D125" s="377" t="s">
        <v>341</v>
      </c>
      <c r="E125" s="330"/>
      <c r="F125" s="330"/>
      <c r="G125" s="330"/>
      <c r="H125" s="330"/>
      <c r="I125" s="388"/>
      <c r="K125" s="387"/>
      <c r="L125" s="330"/>
      <c r="M125" s="330"/>
      <c r="N125" s="330"/>
      <c r="O125" s="330"/>
      <c r="P125" s="330"/>
      <c r="Q125" s="330"/>
      <c r="R125" s="388"/>
    </row>
    <row r="126" spans="1:18" s="1" customFormat="1" ht="13.8" thickBot="1">
      <c r="A126" s="399"/>
      <c r="B126" s="385"/>
      <c r="C126" s="385"/>
      <c r="D126" s="385"/>
      <c r="E126" s="385"/>
      <c r="F126" s="385"/>
      <c r="G126" s="385"/>
      <c r="H126" s="385"/>
      <c r="I126" s="400"/>
      <c r="K126" s="399"/>
      <c r="L126" s="385"/>
      <c r="M126" s="385"/>
      <c r="N126" s="385"/>
      <c r="O126" s="385"/>
      <c r="P126" s="385"/>
      <c r="Q126" s="385"/>
      <c r="R126" s="400"/>
    </row>
    <row r="127" spans="1:18" s="1" customFormat="1"/>
    <row r="128" spans="1:18" s="1" customFormat="1"/>
    <row r="129" spans="1:27" s="1" customFormat="1">
      <c r="D129" s="427"/>
      <c r="G129" s="7"/>
    </row>
    <row r="130" spans="1:27" s="1" customFormat="1"/>
    <row r="131" spans="1:27" s="1" customFormat="1"/>
    <row r="132" spans="1:27" s="1" customFormat="1">
      <c r="A132" s="13"/>
      <c r="B132" s="16" t="s">
        <v>361</v>
      </c>
      <c r="K132" s="7"/>
    </row>
    <row r="133" spans="1:27" s="1" customFormat="1">
      <c r="A133" s="13"/>
      <c r="B133" s="13" t="s">
        <v>346</v>
      </c>
      <c r="I133" s="235">
        <f>+Valuation!H85</f>
        <v>43.437338410741582</v>
      </c>
      <c r="K133" s="7"/>
    </row>
    <row r="134" spans="1:27" s="1" customFormat="1" ht="13.8" thickBot="1">
      <c r="A134" s="13"/>
      <c r="B134" s="13" t="s">
        <v>347</v>
      </c>
      <c r="I134" s="32">
        <f>+I51</f>
        <v>37.242367045424324</v>
      </c>
      <c r="K134" s="7"/>
    </row>
    <row r="135" spans="1:27" s="1" customFormat="1">
      <c r="A135" s="13"/>
      <c r="B135" s="13" t="s">
        <v>348</v>
      </c>
      <c r="I135" s="235">
        <f>+I133-I134</f>
        <v>6.194971365317258</v>
      </c>
      <c r="K135" s="7"/>
    </row>
    <row r="136" spans="1:27" s="1" customFormat="1" ht="13.8" thickBot="1">
      <c r="A136" s="13"/>
      <c r="B136" s="13" t="s">
        <v>68</v>
      </c>
      <c r="I136" s="25">
        <f>+I52</f>
        <v>1943668.8</v>
      </c>
      <c r="K136" s="7"/>
    </row>
    <row r="137" spans="1:27" s="1" customFormat="1" ht="13.8" thickBot="1">
      <c r="A137" s="13"/>
      <c r="B137" s="350" t="str">
        <f>CONCATENATE("NPV ",F26*100," of Cf to 2019")</f>
        <v>NPV 6 of Cf to 2019</v>
      </c>
      <c r="H137" s="239">
        <f>SUMPRODUCT(I26:AA26,I137:AA137)</f>
        <v>134354.57449380477</v>
      </c>
      <c r="I137" s="6">
        <f>+I135*I136/1000</f>
        <v>12040.972559660559</v>
      </c>
      <c r="J137" s="7">
        <f>+I137</f>
        <v>12040.972559660559</v>
      </c>
      <c r="K137" s="7">
        <f t="shared" ref="K137:AA137" si="22">+J137</f>
        <v>12040.972559660559</v>
      </c>
      <c r="L137" s="7">
        <f t="shared" si="22"/>
        <v>12040.972559660559</v>
      </c>
      <c r="M137" s="7">
        <f t="shared" si="22"/>
        <v>12040.972559660559</v>
      </c>
      <c r="N137" s="7">
        <f t="shared" si="22"/>
        <v>12040.972559660559</v>
      </c>
      <c r="O137" s="7">
        <f t="shared" si="22"/>
        <v>12040.972559660559</v>
      </c>
      <c r="P137" s="7">
        <f t="shared" si="22"/>
        <v>12040.972559660559</v>
      </c>
      <c r="Q137" s="7">
        <f t="shared" si="22"/>
        <v>12040.972559660559</v>
      </c>
      <c r="R137" s="7">
        <f t="shared" si="22"/>
        <v>12040.972559660559</v>
      </c>
      <c r="S137" s="7">
        <f t="shared" si="22"/>
        <v>12040.972559660559</v>
      </c>
      <c r="T137" s="7">
        <f t="shared" si="22"/>
        <v>12040.972559660559</v>
      </c>
      <c r="U137" s="7">
        <f t="shared" si="22"/>
        <v>12040.972559660559</v>
      </c>
      <c r="V137" s="7">
        <f t="shared" si="22"/>
        <v>12040.972559660559</v>
      </c>
      <c r="W137" s="7">
        <f t="shared" si="22"/>
        <v>12040.972559660559</v>
      </c>
      <c r="X137" s="7">
        <f t="shared" si="22"/>
        <v>12040.972559660559</v>
      </c>
      <c r="Y137" s="7">
        <f t="shared" si="22"/>
        <v>12040.972559660559</v>
      </c>
      <c r="Z137" s="7">
        <f t="shared" si="22"/>
        <v>12040.972559660559</v>
      </c>
      <c r="AA137" s="7">
        <f t="shared" si="22"/>
        <v>12040.972559660559</v>
      </c>
    </row>
    <row r="138" spans="1:27" s="1" customFormat="1">
      <c r="A138" s="13"/>
      <c r="B138" s="16" t="s">
        <v>199</v>
      </c>
      <c r="H138" s="7">
        <f>+G97</f>
        <v>145482</v>
      </c>
      <c r="K138" s="7"/>
    </row>
    <row r="139" spans="1:27" s="1" customFormat="1">
      <c r="B139" s="16" t="s">
        <v>362</v>
      </c>
      <c r="H139" s="7">
        <f>SUM(H137:H138)</f>
        <v>279836.57449380477</v>
      </c>
    </row>
    <row r="140" spans="1:27" s="1" customFormat="1">
      <c r="B140" s="13"/>
    </row>
    <row r="141" spans="1:27" s="1" customFormat="1">
      <c r="B141" s="13"/>
    </row>
    <row r="142" spans="1:27" s="1" customFormat="1">
      <c r="B142" s="13"/>
    </row>
    <row r="143" spans="1:27" s="1" customFormat="1"/>
    <row r="144" spans="1:27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</sheetData>
  <mergeCells count="5">
    <mergeCell ref="A6:Z6"/>
    <mergeCell ref="K89:R89"/>
    <mergeCell ref="K90:R90"/>
    <mergeCell ref="A89:I89"/>
    <mergeCell ref="A90:I90"/>
  </mergeCells>
  <printOptions horizontalCentered="1"/>
  <pageMargins left="0" right="0" top="1" bottom="1" header="0.5" footer="0.5"/>
  <pageSetup scale="73" orientation="landscape" horizont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6"/>
  <sheetViews>
    <sheetView showGridLines="0" zoomScale="75" workbookViewId="0">
      <selection activeCell="A3" sqref="A3:IV3"/>
    </sheetView>
  </sheetViews>
  <sheetFormatPr defaultColWidth="9.109375" defaultRowHeight="10.199999999999999"/>
  <cols>
    <col min="1" max="1" width="6.33203125" style="49" customWidth="1"/>
    <col min="2" max="9" width="11.6640625" style="49" customWidth="1"/>
    <col min="10" max="16384" width="9.109375" style="49"/>
  </cols>
  <sheetData>
    <row r="1" spans="1:9" s="1" customFormat="1" ht="18" thickBot="1">
      <c r="A1" s="15" t="s">
        <v>114</v>
      </c>
      <c r="B1" s="13"/>
      <c r="I1" s="113" t="s">
        <v>127</v>
      </c>
    </row>
    <row r="2" spans="1:9" s="116" customFormat="1" ht="18.75" customHeight="1" thickBot="1">
      <c r="A2" s="115" t="s">
        <v>129</v>
      </c>
      <c r="B2" s="115"/>
      <c r="I2" s="114" t="s">
        <v>128</v>
      </c>
    </row>
    <row r="3" spans="1:9" s="291" customFormat="1" ht="10.8" thickBot="1"/>
    <row r="4" spans="1:9" ht="11.4" thickTop="1" thickBot="1"/>
    <row r="5" spans="1:9" s="47" customFormat="1" ht="53.25" customHeight="1">
      <c r="A5" s="173" t="s">
        <v>36</v>
      </c>
      <c r="B5" s="174" t="s">
        <v>143</v>
      </c>
      <c r="C5" s="174" t="s">
        <v>144</v>
      </c>
      <c r="D5" s="174" t="s">
        <v>145</v>
      </c>
      <c r="E5" s="174" t="s">
        <v>142</v>
      </c>
      <c r="F5" s="174" t="s">
        <v>60</v>
      </c>
      <c r="G5" s="174" t="s">
        <v>61</v>
      </c>
      <c r="H5" s="174" t="s">
        <v>37</v>
      </c>
      <c r="I5" s="175" t="s">
        <v>38</v>
      </c>
    </row>
    <row r="6" spans="1:9" s="48" customFormat="1" ht="13.5" customHeight="1">
      <c r="A6" s="176"/>
      <c r="B6" s="138"/>
      <c r="C6" s="138"/>
      <c r="D6" s="138"/>
      <c r="E6" s="138"/>
      <c r="F6" s="141"/>
      <c r="G6" s="141"/>
      <c r="H6" s="141"/>
      <c r="I6" s="177"/>
    </row>
    <row r="7" spans="1:9" s="48" customFormat="1" ht="12.75" customHeight="1">
      <c r="A7" s="178"/>
      <c r="B7" s="137" t="s">
        <v>14</v>
      </c>
      <c r="C7" s="137" t="s">
        <v>14</v>
      </c>
      <c r="D7" s="137" t="s">
        <v>14</v>
      </c>
      <c r="E7" s="138"/>
      <c r="F7" s="139" t="s">
        <v>14</v>
      </c>
      <c r="G7" s="139" t="s">
        <v>14</v>
      </c>
      <c r="H7" s="140" t="s">
        <v>14</v>
      </c>
      <c r="I7" s="179" t="s">
        <v>14</v>
      </c>
    </row>
    <row r="8" spans="1:9" s="48" customFormat="1" ht="12.75" customHeight="1">
      <c r="A8" s="178"/>
      <c r="B8" s="136"/>
      <c r="C8" s="136"/>
      <c r="D8" s="136"/>
      <c r="E8" s="135"/>
      <c r="F8" s="130"/>
      <c r="G8" s="130"/>
      <c r="H8" s="131"/>
      <c r="I8" s="180"/>
    </row>
    <row r="9" spans="1:9" s="48" customFormat="1" ht="12.75" customHeight="1">
      <c r="A9" s="181">
        <v>1998</v>
      </c>
      <c r="B9" s="128"/>
      <c r="C9" s="128"/>
      <c r="D9" s="128"/>
      <c r="E9" s="129">
        <f>+'PACE CPI (1998=100)'!G8</f>
        <v>100</v>
      </c>
      <c r="F9" s="130"/>
      <c r="G9" s="130"/>
      <c r="H9" s="131"/>
      <c r="I9" s="182" t="s">
        <v>39</v>
      </c>
    </row>
    <row r="10" spans="1:9" s="48" customFormat="1" ht="12.75" customHeight="1">
      <c r="A10" s="183">
        <f>+A9+1</f>
        <v>1999</v>
      </c>
      <c r="B10" s="128"/>
      <c r="C10" s="128"/>
      <c r="D10" s="128"/>
      <c r="E10" s="129">
        <f>+'PACE CPI (1998=100)'!G9</f>
        <v>102.7</v>
      </c>
      <c r="F10" s="130"/>
      <c r="G10" s="130"/>
      <c r="H10" s="131"/>
      <c r="I10" s="184">
        <v>3.5</v>
      </c>
    </row>
    <row r="11" spans="1:9" ht="13.2">
      <c r="A11" s="183">
        <f t="shared" ref="A11:A31" si="0">+A10+1</f>
        <v>2000</v>
      </c>
      <c r="B11" s="132">
        <v>48.769462255396405</v>
      </c>
      <c r="C11" s="132">
        <v>28.5534</v>
      </c>
      <c r="D11" s="132">
        <v>42.030774836930938</v>
      </c>
      <c r="E11" s="129">
        <f>+'PACE CPI (1998=100)'!G10</f>
        <v>106.80800000000001</v>
      </c>
      <c r="F11" s="133">
        <f>+B11*E11/100</f>
        <v>52.089687245743796</v>
      </c>
      <c r="G11" s="133">
        <f>+C11*E11/100</f>
        <v>30.497315472</v>
      </c>
      <c r="H11" s="134">
        <f t="shared" ref="H11:H31" si="1">+D11*E11/100</f>
        <v>44.892229987829197</v>
      </c>
      <c r="I11" s="185">
        <f t="shared" ref="I11:I31" si="2">+H11+$I$10</f>
        <v>48.392229987829197</v>
      </c>
    </row>
    <row r="12" spans="1:9" ht="13.2">
      <c r="A12" s="183">
        <f t="shared" si="0"/>
        <v>2001</v>
      </c>
      <c r="B12" s="132">
        <v>34.708489009550021</v>
      </c>
      <c r="C12" s="132">
        <v>22.821300000000001</v>
      </c>
      <c r="D12" s="132">
        <v>30.746092673033345</v>
      </c>
      <c r="E12" s="129">
        <f>+'PACE CPI (1998=100)'!G11</f>
        <v>109.74522</v>
      </c>
      <c r="F12" s="133">
        <f t="shared" ref="F12:F31" si="3">+B12*E12/100</f>
        <v>38.090907622206494</v>
      </c>
      <c r="G12" s="133">
        <f t="shared" ref="G12:G31" si="4">+C12*E12/100</f>
        <v>25.045285891860004</v>
      </c>
      <c r="H12" s="134">
        <f t="shared" si="1"/>
        <v>33.742367045424324</v>
      </c>
      <c r="I12" s="185">
        <f t="shared" si="2"/>
        <v>37.242367045424324</v>
      </c>
    </row>
    <row r="13" spans="1:9" ht="13.2">
      <c r="A13" s="183">
        <f t="shared" si="0"/>
        <v>2002</v>
      </c>
      <c r="B13" s="132">
        <v>27.419194842809397</v>
      </c>
      <c r="C13" s="132">
        <v>19.021699999999999</v>
      </c>
      <c r="D13" s="132">
        <v>24.620029895206265</v>
      </c>
      <c r="E13" s="129">
        <f>+'PACE CPI (1998=100)'!G12</f>
        <v>112.15961484000002</v>
      </c>
      <c r="F13" s="133">
        <f t="shared" si="3"/>
        <v>30.75326332792417</v>
      </c>
      <c r="G13" s="133">
        <f t="shared" si="4"/>
        <v>21.334665456020286</v>
      </c>
      <c r="H13" s="134">
        <f t="shared" si="1"/>
        <v>27.613730703956207</v>
      </c>
      <c r="I13" s="185">
        <f t="shared" si="2"/>
        <v>31.113730703956207</v>
      </c>
    </row>
    <row r="14" spans="1:9" ht="13.2">
      <c r="A14" s="183">
        <f t="shared" si="0"/>
        <v>2003</v>
      </c>
      <c r="B14" s="132">
        <v>25.885474076162581</v>
      </c>
      <c r="C14" s="132">
        <v>17.798500000000001</v>
      </c>
      <c r="D14" s="132">
        <v>23.18981605077505</v>
      </c>
      <c r="E14" s="129">
        <f>+'PACE CPI (1998=100)'!G13</f>
        <v>114.06632829228002</v>
      </c>
      <c r="F14" s="133">
        <f t="shared" si="3"/>
        <v>29.52660983972865</v>
      </c>
      <c r="G14" s="133">
        <f t="shared" si="4"/>
        <v>20.302095441101461</v>
      </c>
      <c r="H14" s="134">
        <f t="shared" si="1"/>
        <v>26.451771706852913</v>
      </c>
      <c r="I14" s="185">
        <f t="shared" si="2"/>
        <v>29.951771706852913</v>
      </c>
    </row>
    <row r="15" spans="1:9" ht="13.2">
      <c r="A15" s="183">
        <f t="shared" si="0"/>
        <v>2004</v>
      </c>
      <c r="B15" s="132">
        <v>27.368216680484743</v>
      </c>
      <c r="C15" s="132">
        <v>17.877300000000002</v>
      </c>
      <c r="D15" s="132">
        <v>24.204577786989827</v>
      </c>
      <c r="E15" s="129">
        <f>+'PACE CPI (1998=100)'!G14</f>
        <v>115.77732321666423</v>
      </c>
      <c r="F15" s="133">
        <f t="shared" si="3"/>
        <v>31.686188684801831</v>
      </c>
      <c r="G15" s="133">
        <f t="shared" si="4"/>
        <v>20.697859403412718</v>
      </c>
      <c r="H15" s="134">
        <f t="shared" si="1"/>
        <v>28.023412257672124</v>
      </c>
      <c r="I15" s="185">
        <f t="shared" si="2"/>
        <v>31.523412257672124</v>
      </c>
    </row>
    <row r="16" spans="1:9" ht="13.2">
      <c r="A16" s="183">
        <f t="shared" si="0"/>
        <v>2005</v>
      </c>
      <c r="B16" s="132">
        <v>29.724410755532759</v>
      </c>
      <c r="C16" s="132">
        <v>18.248899999999999</v>
      </c>
      <c r="D16" s="132">
        <v>25.899240503688503</v>
      </c>
      <c r="E16" s="129">
        <f>+'PACE CPI (1998=100)'!G15</f>
        <v>117.51398306491419</v>
      </c>
      <c r="F16" s="133">
        <f t="shared" si="3"/>
        <v>34.930339021402297</v>
      </c>
      <c r="G16" s="133">
        <f t="shared" si="4"/>
        <v>21.445009255533122</v>
      </c>
      <c r="H16" s="134">
        <f t="shared" si="1"/>
        <v>30.435229099445902</v>
      </c>
      <c r="I16" s="185">
        <f t="shared" si="2"/>
        <v>33.935229099445905</v>
      </c>
    </row>
    <row r="17" spans="1:27" ht="13.2">
      <c r="A17" s="183">
        <f t="shared" si="0"/>
        <v>2006</v>
      </c>
      <c r="B17" s="132">
        <v>30.398731435917824</v>
      </c>
      <c r="C17" s="132">
        <v>18.505400000000002</v>
      </c>
      <c r="D17" s="132">
        <v>26.434287623945217</v>
      </c>
      <c r="E17" s="129">
        <f>+'PACE CPI (1998=100)'!G16</f>
        <v>119.51172077701773</v>
      </c>
      <c r="F17" s="133">
        <f t="shared" si="3"/>
        <v>36.330047033449624</v>
      </c>
      <c r="G17" s="133">
        <f t="shared" si="4"/>
        <v>22.116121976670243</v>
      </c>
      <c r="H17" s="134">
        <f t="shared" si="1"/>
        <v>31.592072014523161</v>
      </c>
      <c r="I17" s="185">
        <f t="shared" si="2"/>
        <v>35.092072014523161</v>
      </c>
    </row>
    <row r="18" spans="1:27" ht="13.2">
      <c r="A18" s="183">
        <f t="shared" si="0"/>
        <v>2007</v>
      </c>
      <c r="B18" s="132">
        <v>31.860527425201418</v>
      </c>
      <c r="C18" s="132">
        <v>18.752199999999998</v>
      </c>
      <c r="D18" s="132">
        <v>27.491084950134276</v>
      </c>
      <c r="E18" s="129">
        <f>+'PACE CPI (1998=100)'!G17</f>
        <v>121.54342003022703</v>
      </c>
      <c r="F18" s="133">
        <f t="shared" si="3"/>
        <v>38.724374672258236</v>
      </c>
      <c r="G18" s="133">
        <f t="shared" si="4"/>
        <v>22.79206521090823</v>
      </c>
      <c r="H18" s="134">
        <f t="shared" si="1"/>
        <v>33.41360485180823</v>
      </c>
      <c r="I18" s="185">
        <f t="shared" si="2"/>
        <v>36.91360485180823</v>
      </c>
    </row>
    <row r="19" spans="1:27" ht="13.2">
      <c r="A19" s="183">
        <f t="shared" si="0"/>
        <v>2008</v>
      </c>
      <c r="B19" s="132">
        <v>34.435437103870754</v>
      </c>
      <c r="C19" s="132">
        <v>19.065000000000001</v>
      </c>
      <c r="D19" s="132">
        <v>29.311958069247169</v>
      </c>
      <c r="E19" s="129">
        <f>+'PACE CPI (1998=100)'!G18</f>
        <v>123.6096581707409</v>
      </c>
      <c r="F19" s="133">
        <f t="shared" si="3"/>
        <v>42.565526093695119</v>
      </c>
      <c r="G19" s="133">
        <f t="shared" si="4"/>
        <v>23.566181330251752</v>
      </c>
      <c r="H19" s="134">
        <f t="shared" si="1"/>
        <v>36.23241117254733</v>
      </c>
      <c r="I19" s="185">
        <f t="shared" si="2"/>
        <v>39.73241117254733</v>
      </c>
    </row>
    <row r="20" spans="1:27" ht="13.2">
      <c r="A20" s="183">
        <f t="shared" si="0"/>
        <v>2009</v>
      </c>
      <c r="B20" s="132">
        <v>34.712327385678343</v>
      </c>
      <c r="C20" s="132">
        <v>19.141300000000001</v>
      </c>
      <c r="D20" s="132">
        <v>29.52198492378556</v>
      </c>
      <c r="E20" s="129">
        <f>+'PACE CPI (1998=100)'!G19</f>
        <v>125.71102235964351</v>
      </c>
      <c r="F20" s="133">
        <f t="shared" si="3"/>
        <v>43.637221641362757</v>
      </c>
      <c r="G20" s="133">
        <f t="shared" si="4"/>
        <v>24.062723922926445</v>
      </c>
      <c r="H20" s="134">
        <f t="shared" si="1"/>
        <v>37.112389068550648</v>
      </c>
      <c r="I20" s="185">
        <f t="shared" si="2"/>
        <v>40.612389068550648</v>
      </c>
    </row>
    <row r="21" spans="1:27" ht="13.2">
      <c r="A21" s="183">
        <f t="shared" si="0"/>
        <v>2010</v>
      </c>
      <c r="B21" s="132">
        <v>35.156924877455559</v>
      </c>
      <c r="C21" s="132">
        <v>19.2285</v>
      </c>
      <c r="D21" s="132">
        <v>29.847449918303703</v>
      </c>
      <c r="E21" s="129">
        <f>+'PACE CPI (1998=100)'!G20</f>
        <v>127.84810973975746</v>
      </c>
      <c r="F21" s="133">
        <f t="shared" si="3"/>
        <v>44.947463898453471</v>
      </c>
      <c r="G21" s="133">
        <f t="shared" si="4"/>
        <v>24.583273781309263</v>
      </c>
      <c r="H21" s="134">
        <f t="shared" si="1"/>
        <v>38.159400526072069</v>
      </c>
      <c r="I21" s="185">
        <f t="shared" si="2"/>
        <v>41.659400526072069</v>
      </c>
    </row>
    <row r="22" spans="1:27" ht="13.2">
      <c r="A22" s="183">
        <f t="shared" si="0"/>
        <v>2011</v>
      </c>
      <c r="B22" s="132">
        <v>35.551520481081177</v>
      </c>
      <c r="C22" s="132">
        <v>19.374300000000002</v>
      </c>
      <c r="D22" s="132">
        <v>30.159113654054117</v>
      </c>
      <c r="E22" s="129">
        <f>+'PACE CPI (1998=100)'!G21</f>
        <v>130.59684409916227</v>
      </c>
      <c r="F22" s="133">
        <f t="shared" si="3"/>
        <v>46.429163777559324</v>
      </c>
      <c r="G22" s="133">
        <f t="shared" si="4"/>
        <v>25.302224366303999</v>
      </c>
      <c r="H22" s="134">
        <f t="shared" si="1"/>
        <v>39.386850640474215</v>
      </c>
      <c r="I22" s="185">
        <f t="shared" si="2"/>
        <v>42.886850640474215</v>
      </c>
    </row>
    <row r="23" spans="1:27" ht="13.2">
      <c r="A23" s="183">
        <f t="shared" si="0"/>
        <v>2012</v>
      </c>
      <c r="B23" s="132">
        <v>35.283086663339205</v>
      </c>
      <c r="C23" s="132">
        <v>19.703299999999999</v>
      </c>
      <c r="D23" s="132">
        <v>30.089824442226131</v>
      </c>
      <c r="E23" s="129">
        <f>+'PACE CPI (1998=100)'!G22</f>
        <v>133.40467624729428</v>
      </c>
      <c r="F23" s="133">
        <f t="shared" si="3"/>
        <v>47.069287533279933</v>
      </c>
      <c r="G23" s="133">
        <f t="shared" si="4"/>
        <v>26.285123575033129</v>
      </c>
      <c r="H23" s="134">
        <f t="shared" si="1"/>
        <v>40.141232880530993</v>
      </c>
      <c r="I23" s="185">
        <f t="shared" si="2"/>
        <v>43.641232880530993</v>
      </c>
    </row>
    <row r="24" spans="1:27" ht="13.2">
      <c r="A24" s="183">
        <f t="shared" si="0"/>
        <v>2013</v>
      </c>
      <c r="B24" s="132">
        <v>35.438555228929921</v>
      </c>
      <c r="C24" s="132">
        <v>19.604700000000001</v>
      </c>
      <c r="D24" s="132">
        <v>30.160603485953281</v>
      </c>
      <c r="E24" s="129">
        <f>+'PACE CPI (1998=100)'!G23</f>
        <v>136.27287678661111</v>
      </c>
      <c r="F24" s="133">
        <f t="shared" si="3"/>
        <v>48.293138702074799</v>
      </c>
      <c r="G24" s="133">
        <f t="shared" si="4"/>
        <v>26.71588867538475</v>
      </c>
      <c r="H24" s="134">
        <f t="shared" si="1"/>
        <v>41.100722026511448</v>
      </c>
      <c r="I24" s="185">
        <f t="shared" si="2"/>
        <v>44.600722026511448</v>
      </c>
    </row>
    <row r="25" spans="1:27" ht="13.2">
      <c r="A25" s="183">
        <f t="shared" si="0"/>
        <v>2014</v>
      </c>
      <c r="B25" s="132">
        <v>36.342518081589816</v>
      </c>
      <c r="C25" s="132">
        <v>19.8505</v>
      </c>
      <c r="D25" s="132">
        <v>30.845178721059874</v>
      </c>
      <c r="E25" s="129">
        <f>+'PACE CPI (1998=100)'!G24</f>
        <v>139.20274363752324</v>
      </c>
      <c r="F25" s="133">
        <f t="shared" si="3"/>
        <v>50.589782276535999</v>
      </c>
      <c r="G25" s="133">
        <f t="shared" si="4"/>
        <v>27.632440625766552</v>
      </c>
      <c r="H25" s="134">
        <f t="shared" si="1"/>
        <v>42.937335059612842</v>
      </c>
      <c r="I25" s="185">
        <f t="shared" si="2"/>
        <v>46.437335059612842</v>
      </c>
    </row>
    <row r="26" spans="1:27" ht="13.2">
      <c r="A26" s="183">
        <f t="shared" si="0"/>
        <v>2015</v>
      </c>
      <c r="B26" s="132">
        <v>34.381328859442227</v>
      </c>
      <c r="C26" s="132">
        <v>19.077000000000002</v>
      </c>
      <c r="D26" s="132">
        <v>29.279885906294815</v>
      </c>
      <c r="E26" s="129">
        <f>+'PACE CPI (1998=100)'!G25</f>
        <v>142.19560262573</v>
      </c>
      <c r="F26" s="133">
        <f t="shared" si="3"/>
        <v>48.888737762417897</v>
      </c>
      <c r="G26" s="133">
        <f t="shared" si="4"/>
        <v>27.126655112910516</v>
      </c>
      <c r="H26" s="134">
        <f t="shared" si="1"/>
        <v>41.634710212582107</v>
      </c>
      <c r="I26" s="185">
        <f t="shared" si="2"/>
        <v>45.134710212582107</v>
      </c>
    </row>
    <row r="27" spans="1:27" ht="13.2">
      <c r="A27" s="183">
        <f t="shared" si="0"/>
        <v>2016</v>
      </c>
      <c r="B27" s="132">
        <v>34.277145792551224</v>
      </c>
      <c r="C27" s="132">
        <v>19.0124</v>
      </c>
      <c r="D27" s="132">
        <v>29.188897195034144</v>
      </c>
      <c r="E27" s="129">
        <f>+'PACE CPI (1998=100)'!G26</f>
        <v>145.53719928743465</v>
      </c>
      <c r="F27" s="133">
        <f t="shared" si="3"/>
        <v>49.885997982149796</v>
      </c>
      <c r="G27" s="133">
        <f t="shared" si="4"/>
        <v>27.670114477324223</v>
      </c>
      <c r="H27" s="134">
        <f t="shared" si="1"/>
        <v>42.480703480541258</v>
      </c>
      <c r="I27" s="185">
        <f t="shared" si="2"/>
        <v>45.980703480541258</v>
      </c>
    </row>
    <row r="28" spans="1:27" ht="13.2">
      <c r="A28" s="183">
        <f t="shared" si="0"/>
        <v>2017</v>
      </c>
      <c r="B28" s="132">
        <v>33.831925550382067</v>
      </c>
      <c r="C28" s="132">
        <v>19.379899999999999</v>
      </c>
      <c r="D28" s="132">
        <v>29.014583700254711</v>
      </c>
      <c r="E28" s="129">
        <f>+'PACE CPI (1998=100)'!G27</f>
        <v>148.95732347068935</v>
      </c>
      <c r="F28" s="133">
        <f t="shared" si="3"/>
        <v>50.395130778445406</v>
      </c>
      <c r="G28" s="133">
        <f t="shared" si="4"/>
        <v>28.867780331296121</v>
      </c>
      <c r="H28" s="134">
        <f t="shared" si="1"/>
        <v>43.219347296062317</v>
      </c>
      <c r="I28" s="185">
        <f t="shared" si="2"/>
        <v>46.719347296062317</v>
      </c>
    </row>
    <row r="29" spans="1:27" ht="13.2">
      <c r="A29" s="183">
        <f t="shared" si="0"/>
        <v>2018</v>
      </c>
      <c r="B29" s="132">
        <v>33.430339790122787</v>
      </c>
      <c r="C29" s="132">
        <v>19.310400000000001</v>
      </c>
      <c r="D29" s="132">
        <v>28.723693193415187</v>
      </c>
      <c r="E29" s="129">
        <f>+'PACE CPI (1998=100)'!G28</f>
        <v>152.45782057225054</v>
      </c>
      <c r="F29" s="133">
        <f t="shared" si="3"/>
        <v>50.967167453919075</v>
      </c>
      <c r="G29" s="133">
        <f t="shared" si="4"/>
        <v>29.440214983783871</v>
      </c>
      <c r="H29" s="134">
        <f t="shared" si="1"/>
        <v>43.791516630540663</v>
      </c>
      <c r="I29" s="185">
        <f t="shared" si="2"/>
        <v>47.291516630540663</v>
      </c>
    </row>
    <row r="30" spans="1:27" ht="13.2">
      <c r="A30" s="183">
        <f t="shared" si="0"/>
        <v>2019</v>
      </c>
      <c r="B30" s="132">
        <v>33.989848719541023</v>
      </c>
      <c r="C30" s="132">
        <v>19.337499999999999</v>
      </c>
      <c r="D30" s="132">
        <v>29.105732479694012</v>
      </c>
      <c r="E30" s="129">
        <f>+'PACE CPI (1998=100)'!G29</f>
        <v>156.04057935569844</v>
      </c>
      <c r="F30" s="133">
        <f t="shared" si="3"/>
        <v>53.037956864097261</v>
      </c>
      <c r="G30" s="133">
        <f t="shared" si="4"/>
        <v>30.174347032908187</v>
      </c>
      <c r="H30" s="134">
        <f t="shared" si="1"/>
        <v>45.416753587034229</v>
      </c>
      <c r="I30" s="185">
        <f t="shared" si="2"/>
        <v>48.916753587034229</v>
      </c>
    </row>
    <row r="31" spans="1:27" ht="13.8" thickBot="1">
      <c r="A31" s="186">
        <f t="shared" si="0"/>
        <v>2020</v>
      </c>
      <c r="B31" s="187">
        <v>34.782106000318862</v>
      </c>
      <c r="C31" s="187">
        <v>19.2287</v>
      </c>
      <c r="D31" s="187">
        <v>29.597637333545908</v>
      </c>
      <c r="E31" s="188">
        <f>+'PACE CPI (1998=100)'!G30</f>
        <v>159.70753297055734</v>
      </c>
      <c r="F31" s="189">
        <f t="shared" si="3"/>
        <v>55.54964340831345</v>
      </c>
      <c r="G31" s="189">
        <f t="shared" si="4"/>
        <v>30.70968239230956</v>
      </c>
      <c r="H31" s="190">
        <f t="shared" si="1"/>
        <v>47.269656402978818</v>
      </c>
      <c r="I31" s="191">
        <f t="shared" si="2"/>
        <v>50.769656402978818</v>
      </c>
    </row>
    <row r="32" spans="1:27" ht="12.6">
      <c r="A32" s="50"/>
      <c r="B32" s="51"/>
      <c r="C32" s="51"/>
      <c r="D32" s="51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</row>
    <row r="33" spans="2:4">
      <c r="B33" s="51"/>
      <c r="C33" s="51"/>
      <c r="D33" s="51"/>
    </row>
    <row r="34" spans="2:4">
      <c r="B34" s="51"/>
      <c r="C34" s="51"/>
      <c r="D34" s="51"/>
    </row>
    <row r="35" spans="2:4">
      <c r="B35" s="51"/>
      <c r="C35" s="51"/>
      <c r="D35" s="51"/>
    </row>
    <row r="36" spans="2:4">
      <c r="B36" s="51"/>
      <c r="C36" s="51"/>
      <c r="D36" s="51"/>
    </row>
  </sheetData>
  <printOptions horizontalCentered="1"/>
  <pageMargins left="0.75" right="0.75" top="0.75" bottom="1" header="0.5" footer="0.5"/>
  <pageSetup orientation="landscape" r:id="rId1"/>
  <headerFooter alignWithMargins="0">
    <oddFooter>&amp;L&amp;F, &amp;A&amp;CPage &amp;P of 1&amp;R&amp;D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zoomScale="75" workbookViewId="0">
      <selection activeCell="A3" sqref="A3:IV3"/>
    </sheetView>
  </sheetViews>
  <sheetFormatPr defaultColWidth="9.109375" defaultRowHeight="10.199999999999999"/>
  <cols>
    <col min="1" max="1" width="6.33203125" style="53" bestFit="1" customWidth="1"/>
    <col min="2" max="13" width="6.88671875" style="53" bestFit="1" customWidth="1"/>
    <col min="14" max="14" width="10.33203125" style="53" bestFit="1" customWidth="1"/>
    <col min="15" max="26" width="6.88671875" style="53" customWidth="1"/>
    <col min="27" max="27" width="10.33203125" style="53" customWidth="1"/>
    <col min="28" max="16384" width="9.109375" style="53"/>
  </cols>
  <sheetData>
    <row r="1" spans="1:40" s="1" customFormat="1" ht="18" thickBot="1">
      <c r="A1" s="15" t="s">
        <v>114</v>
      </c>
      <c r="B1" s="13"/>
      <c r="Z1" s="465" t="s">
        <v>127</v>
      </c>
      <c r="AA1" s="466"/>
    </row>
    <row r="2" spans="1:40" s="116" customFormat="1" ht="18.75" customHeight="1" thickBot="1">
      <c r="A2" s="115" t="s">
        <v>129</v>
      </c>
      <c r="B2" s="115"/>
      <c r="Z2" s="467" t="s">
        <v>128</v>
      </c>
      <c r="AA2" s="468"/>
    </row>
    <row r="3" spans="1:40" s="291" customFormat="1" ht="10.8" thickBot="1"/>
    <row r="4" spans="1:40" s="52" customFormat="1" ht="10.8" thickTop="1"/>
    <row r="5" spans="1:40" s="52" customFormat="1" ht="10.8" thickBot="1"/>
    <row r="6" spans="1:40" ht="13.8" thickBot="1">
      <c r="A6" s="470" t="s">
        <v>36</v>
      </c>
      <c r="B6" s="469" t="s">
        <v>146</v>
      </c>
      <c r="C6" s="469"/>
      <c r="D6" s="469"/>
      <c r="E6" s="469"/>
      <c r="F6" s="469"/>
      <c r="G6" s="469"/>
      <c r="H6" s="469"/>
      <c r="I6" s="469"/>
      <c r="J6" s="469"/>
      <c r="K6" s="469"/>
      <c r="L6" s="469"/>
      <c r="M6" s="469"/>
      <c r="N6" s="148" t="s">
        <v>40</v>
      </c>
      <c r="O6" s="469" t="s">
        <v>41</v>
      </c>
      <c r="P6" s="469"/>
      <c r="Q6" s="469"/>
      <c r="R6" s="469"/>
      <c r="S6" s="469"/>
      <c r="T6" s="469"/>
      <c r="U6" s="469"/>
      <c r="V6" s="469"/>
      <c r="W6" s="469"/>
      <c r="X6" s="469"/>
      <c r="Y6" s="469"/>
      <c r="Z6" s="469"/>
      <c r="AA6" s="118" t="s">
        <v>62</v>
      </c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</row>
    <row r="7" spans="1:40" ht="13.8" thickBot="1">
      <c r="A7" s="471"/>
      <c r="B7" s="150" t="s">
        <v>42</v>
      </c>
      <c r="C7" s="150" t="s">
        <v>43</v>
      </c>
      <c r="D7" s="150" t="s">
        <v>44</v>
      </c>
      <c r="E7" s="150" t="s">
        <v>45</v>
      </c>
      <c r="F7" s="150" t="s">
        <v>46</v>
      </c>
      <c r="G7" s="150" t="s">
        <v>47</v>
      </c>
      <c r="H7" s="150" t="s">
        <v>48</v>
      </c>
      <c r="I7" s="150" t="s">
        <v>49</v>
      </c>
      <c r="J7" s="150" t="s">
        <v>50</v>
      </c>
      <c r="K7" s="150" t="s">
        <v>51</v>
      </c>
      <c r="L7" s="150" t="s">
        <v>52</v>
      </c>
      <c r="M7" s="151" t="s">
        <v>53</v>
      </c>
      <c r="N7" s="149" t="s">
        <v>141</v>
      </c>
      <c r="O7" s="117" t="s">
        <v>42</v>
      </c>
      <c r="P7" s="117" t="s">
        <v>43</v>
      </c>
      <c r="Q7" s="117" t="s">
        <v>44</v>
      </c>
      <c r="R7" s="117" t="s">
        <v>45</v>
      </c>
      <c r="S7" s="117" t="s">
        <v>46</v>
      </c>
      <c r="T7" s="117" t="s">
        <v>47</v>
      </c>
      <c r="U7" s="117" t="s">
        <v>48</v>
      </c>
      <c r="V7" s="117" t="s">
        <v>49</v>
      </c>
      <c r="W7" s="117" t="s">
        <v>50</v>
      </c>
      <c r="X7" s="117" t="s">
        <v>51</v>
      </c>
      <c r="Y7" s="117" t="s">
        <v>52</v>
      </c>
      <c r="Z7" s="117" t="s">
        <v>53</v>
      </c>
      <c r="AA7" s="118" t="s">
        <v>63</v>
      </c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</row>
    <row r="8" spans="1:40" s="54" customFormat="1" ht="16.8">
      <c r="A8" s="122"/>
      <c r="B8" s="472" t="s">
        <v>71</v>
      </c>
      <c r="C8" s="472"/>
      <c r="D8" s="472"/>
      <c r="E8" s="472"/>
      <c r="F8" s="472"/>
      <c r="G8" s="472"/>
      <c r="H8" s="472"/>
      <c r="I8" s="472"/>
      <c r="J8" s="472"/>
      <c r="K8" s="472"/>
      <c r="L8" s="472"/>
      <c r="M8" s="472"/>
      <c r="N8" s="119"/>
      <c r="O8" s="472" t="s">
        <v>71</v>
      </c>
      <c r="P8" s="472"/>
      <c r="Q8" s="472"/>
      <c r="R8" s="472"/>
      <c r="S8" s="472"/>
      <c r="T8" s="472"/>
      <c r="U8" s="472"/>
      <c r="V8" s="472"/>
      <c r="W8" s="472"/>
      <c r="X8" s="472"/>
      <c r="Y8" s="472"/>
      <c r="Z8" s="472"/>
      <c r="AA8" s="154" t="s">
        <v>71</v>
      </c>
    </row>
    <row r="9" spans="1:40" ht="13.2">
      <c r="A9" s="119">
        <v>1998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228">
        <f>+'PACE CPI (1998=100)'!G8</f>
        <v>100</v>
      </c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1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</row>
    <row r="10" spans="1:40" ht="13.2">
      <c r="A10" s="119">
        <v>1999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228">
        <f>+'PACE CPI (1998=100)'!G9</f>
        <v>102.7</v>
      </c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</row>
    <row r="11" spans="1:40" ht="13.2">
      <c r="A11" s="119">
        <v>2000</v>
      </c>
      <c r="B11" s="123">
        <v>3.7296</v>
      </c>
      <c r="C11" s="123">
        <v>3.5615999999999999</v>
      </c>
      <c r="D11" s="123">
        <v>3.3935999999999997</v>
      </c>
      <c r="E11" s="123">
        <v>3.2591999999999999</v>
      </c>
      <c r="F11" s="123">
        <v>3.1919999999999997</v>
      </c>
      <c r="G11" s="123">
        <v>3.1919999999999997</v>
      </c>
      <c r="H11" s="123">
        <v>3.1919999999999997</v>
      </c>
      <c r="I11" s="123">
        <v>3.2255999999999996</v>
      </c>
      <c r="J11" s="123">
        <v>3.2255999999999996</v>
      </c>
      <c r="K11" s="123">
        <v>3.2591999999999999</v>
      </c>
      <c r="L11" s="123">
        <v>3.4272</v>
      </c>
      <c r="M11" s="123">
        <v>3.6288</v>
      </c>
      <c r="N11" s="228">
        <f>+'PACE CPI (1998=100)'!G10</f>
        <v>106.80800000000001</v>
      </c>
      <c r="O11" s="124">
        <f>+B11*$N11/100</f>
        <v>3.9835111680000006</v>
      </c>
      <c r="P11" s="124">
        <f t="shared" ref="P11:P31" si="0">+C11*$N11/100</f>
        <v>3.8040737280000001</v>
      </c>
      <c r="Q11" s="124">
        <f t="shared" ref="Q11:Q31" si="1">+D11*$N11/100</f>
        <v>3.6246362879999996</v>
      </c>
      <c r="R11" s="124">
        <f t="shared" ref="R11:R31" si="2">+E11*$N11/100</f>
        <v>3.4810863360000002</v>
      </c>
      <c r="S11" s="124">
        <f t="shared" ref="S11:S31" si="3">+F11*$N11/100</f>
        <v>3.4093113599999998</v>
      </c>
      <c r="T11" s="124">
        <f t="shared" ref="T11:T31" si="4">+G11*$N11/100</f>
        <v>3.4093113599999998</v>
      </c>
      <c r="U11" s="124">
        <f t="shared" ref="U11:U31" si="5">+H11*$N11/100</f>
        <v>3.4093113599999998</v>
      </c>
      <c r="V11" s="124">
        <f t="shared" ref="V11:V31" si="6">+I11*$N11/100</f>
        <v>3.445198848</v>
      </c>
      <c r="W11" s="124">
        <f t="shared" ref="W11:W31" si="7">+J11*$N11/100</f>
        <v>3.445198848</v>
      </c>
      <c r="X11" s="124">
        <f t="shared" ref="X11:X31" si="8">+K11*$N11/100</f>
        <v>3.4810863360000002</v>
      </c>
      <c r="Y11" s="124">
        <f t="shared" ref="Y11:Y31" si="9">+L11*$N11/100</f>
        <v>3.6605237759999998</v>
      </c>
      <c r="Z11" s="124">
        <f t="shared" ref="Z11:Z31" si="10">+M11*$N11/100</f>
        <v>3.875848704</v>
      </c>
      <c r="AA11" s="125">
        <f>AVERAGE(O11:Z11)</f>
        <v>3.5857581759999992</v>
      </c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</row>
    <row r="12" spans="1:40" ht="13.2">
      <c r="A12" s="119">
        <v>2001</v>
      </c>
      <c r="B12" s="123">
        <v>3.2190000000000003</v>
      </c>
      <c r="C12" s="123">
        <v>3.0739999999999998</v>
      </c>
      <c r="D12" s="123">
        <v>2.9289999999999998</v>
      </c>
      <c r="E12" s="123">
        <v>2.8129999999999997</v>
      </c>
      <c r="F12" s="123">
        <v>2.7549999999999999</v>
      </c>
      <c r="G12" s="123">
        <v>2.7549999999999999</v>
      </c>
      <c r="H12" s="123">
        <v>2.7549999999999999</v>
      </c>
      <c r="I12" s="123">
        <v>2.7839999999999998</v>
      </c>
      <c r="J12" s="123">
        <v>2.7839999999999998</v>
      </c>
      <c r="K12" s="123">
        <v>2.8129999999999997</v>
      </c>
      <c r="L12" s="123">
        <v>2.9579999999999997</v>
      </c>
      <c r="M12" s="123">
        <v>3.1320000000000001</v>
      </c>
      <c r="N12" s="228">
        <f>+'PACE CPI (1998=100)'!G11</f>
        <v>109.74522</v>
      </c>
      <c r="O12" s="124">
        <f t="shared" ref="O12:O31" si="11">+B12*$N12/100</f>
        <v>3.5326986318000007</v>
      </c>
      <c r="P12" s="124">
        <f t="shared" si="0"/>
        <v>3.3735680628</v>
      </c>
      <c r="Q12" s="124">
        <f t="shared" si="1"/>
        <v>3.2144374937999998</v>
      </c>
      <c r="R12" s="124">
        <f t="shared" si="2"/>
        <v>3.0871330385999998</v>
      </c>
      <c r="S12" s="124">
        <f t="shared" si="3"/>
        <v>3.0234808110000002</v>
      </c>
      <c r="T12" s="124">
        <f t="shared" si="4"/>
        <v>3.0234808110000002</v>
      </c>
      <c r="U12" s="124">
        <f t="shared" si="5"/>
        <v>3.0234808110000002</v>
      </c>
      <c r="V12" s="124">
        <f t="shared" si="6"/>
        <v>3.0553069247999995</v>
      </c>
      <c r="W12" s="124">
        <f t="shared" si="7"/>
        <v>3.0553069247999995</v>
      </c>
      <c r="X12" s="124">
        <f t="shared" si="8"/>
        <v>3.0871330385999998</v>
      </c>
      <c r="Y12" s="124">
        <f t="shared" si="9"/>
        <v>3.2462636075999995</v>
      </c>
      <c r="Z12" s="124">
        <f t="shared" si="10"/>
        <v>3.4372202904</v>
      </c>
      <c r="AA12" s="125">
        <f t="shared" ref="AA12:AA31" si="12">AVERAGE(O12:Z12)</f>
        <v>3.1799592038499997</v>
      </c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</row>
    <row r="13" spans="1:40" ht="13.2">
      <c r="A13" s="119">
        <v>2002</v>
      </c>
      <c r="B13" s="123">
        <v>2.6085000000000003</v>
      </c>
      <c r="C13" s="123">
        <v>2.4910000000000001</v>
      </c>
      <c r="D13" s="123">
        <v>2.3734999999999999</v>
      </c>
      <c r="E13" s="123">
        <v>2.2795000000000001</v>
      </c>
      <c r="F13" s="123">
        <v>2.2324999999999999</v>
      </c>
      <c r="G13" s="123">
        <v>2.2324999999999999</v>
      </c>
      <c r="H13" s="123">
        <v>2.2324999999999999</v>
      </c>
      <c r="I13" s="123">
        <v>2.2559999999999998</v>
      </c>
      <c r="J13" s="123">
        <v>2.2559999999999998</v>
      </c>
      <c r="K13" s="123">
        <v>2.2795000000000001</v>
      </c>
      <c r="L13" s="123">
        <v>2.3970000000000002</v>
      </c>
      <c r="M13" s="123">
        <v>2.5380000000000003</v>
      </c>
      <c r="N13" s="228">
        <f>+'PACE CPI (1998=100)'!G12</f>
        <v>112.15961484000002</v>
      </c>
      <c r="O13" s="124">
        <f t="shared" si="11"/>
        <v>2.9256835531014009</v>
      </c>
      <c r="P13" s="124">
        <f t="shared" si="0"/>
        <v>2.7938960056644002</v>
      </c>
      <c r="Q13" s="124">
        <f t="shared" si="1"/>
        <v>2.6621084582274004</v>
      </c>
      <c r="R13" s="124">
        <f t="shared" si="2"/>
        <v>2.5566784202778003</v>
      </c>
      <c r="S13" s="124">
        <f t="shared" si="3"/>
        <v>2.5039634013030003</v>
      </c>
      <c r="T13" s="124">
        <f t="shared" si="4"/>
        <v>2.5039634013030003</v>
      </c>
      <c r="U13" s="124">
        <f t="shared" si="5"/>
        <v>2.5039634013030003</v>
      </c>
      <c r="V13" s="124">
        <f t="shared" si="6"/>
        <v>2.5303209107904001</v>
      </c>
      <c r="W13" s="124">
        <f t="shared" si="7"/>
        <v>2.5303209107904001</v>
      </c>
      <c r="X13" s="124">
        <f t="shared" si="8"/>
        <v>2.5566784202778003</v>
      </c>
      <c r="Y13" s="124">
        <f t="shared" si="9"/>
        <v>2.6884659677148006</v>
      </c>
      <c r="Z13" s="124">
        <f t="shared" si="10"/>
        <v>2.8466110246392007</v>
      </c>
      <c r="AA13" s="125">
        <f t="shared" si="12"/>
        <v>2.633554489616051</v>
      </c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</row>
    <row r="14" spans="1:40" ht="13.2">
      <c r="A14" s="119">
        <v>2003</v>
      </c>
      <c r="B14" s="123">
        <v>2.4309000000000003</v>
      </c>
      <c r="C14" s="123">
        <v>2.3214000000000001</v>
      </c>
      <c r="D14" s="123">
        <v>2.2119</v>
      </c>
      <c r="E14" s="123">
        <v>2.1242999999999999</v>
      </c>
      <c r="F14" s="123">
        <v>2.0804999999999998</v>
      </c>
      <c r="G14" s="123">
        <v>2.0804999999999998</v>
      </c>
      <c r="H14" s="123">
        <v>2.0804999999999998</v>
      </c>
      <c r="I14" s="123">
        <v>2.1023999999999998</v>
      </c>
      <c r="J14" s="123">
        <v>2.1023999999999998</v>
      </c>
      <c r="K14" s="123">
        <v>2.1242999999999999</v>
      </c>
      <c r="L14" s="123">
        <v>2.2338</v>
      </c>
      <c r="M14" s="123">
        <v>2.3652000000000002</v>
      </c>
      <c r="N14" s="228">
        <f>+'PACE CPI (1998=100)'!G13</f>
        <v>114.06632829228002</v>
      </c>
      <c r="O14" s="124">
        <f t="shared" si="11"/>
        <v>2.7728383744570353</v>
      </c>
      <c r="P14" s="124">
        <f t="shared" si="0"/>
        <v>2.6479357449769885</v>
      </c>
      <c r="Q14" s="124">
        <f t="shared" si="1"/>
        <v>2.5230331154969416</v>
      </c>
      <c r="R14" s="124">
        <f t="shared" si="2"/>
        <v>2.423111011912904</v>
      </c>
      <c r="S14" s="124">
        <f t="shared" si="3"/>
        <v>2.3731499601208856</v>
      </c>
      <c r="T14" s="124">
        <f t="shared" si="4"/>
        <v>2.3731499601208856</v>
      </c>
      <c r="U14" s="124">
        <f t="shared" si="5"/>
        <v>2.3731499601208856</v>
      </c>
      <c r="V14" s="124">
        <f t="shared" si="6"/>
        <v>2.3981304860168948</v>
      </c>
      <c r="W14" s="124">
        <f t="shared" si="7"/>
        <v>2.3981304860168948</v>
      </c>
      <c r="X14" s="124">
        <f t="shared" si="8"/>
        <v>2.423111011912904</v>
      </c>
      <c r="Y14" s="124">
        <f t="shared" si="9"/>
        <v>2.5480136413929513</v>
      </c>
      <c r="Z14" s="124">
        <f t="shared" si="10"/>
        <v>2.6978967967690073</v>
      </c>
      <c r="AA14" s="125">
        <f t="shared" si="12"/>
        <v>2.4959708791095987</v>
      </c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</row>
    <row r="15" spans="1:40" ht="13.2">
      <c r="A15" s="119">
        <v>2004</v>
      </c>
      <c r="B15" s="123">
        <v>2.4198000000000004</v>
      </c>
      <c r="C15" s="123">
        <v>2.3108000000000004</v>
      </c>
      <c r="D15" s="123">
        <v>2.2018</v>
      </c>
      <c r="E15" s="123">
        <v>2.1146000000000003</v>
      </c>
      <c r="F15" s="123">
        <v>2.0710000000000002</v>
      </c>
      <c r="G15" s="123">
        <v>2.0710000000000002</v>
      </c>
      <c r="H15" s="123">
        <v>2.0710000000000002</v>
      </c>
      <c r="I15" s="123">
        <v>2.0928</v>
      </c>
      <c r="J15" s="123">
        <v>2.0928</v>
      </c>
      <c r="K15" s="123">
        <v>2.1146000000000003</v>
      </c>
      <c r="L15" s="123">
        <v>2.2236000000000002</v>
      </c>
      <c r="M15" s="123">
        <v>2.3544000000000005</v>
      </c>
      <c r="N15" s="228">
        <f>+'PACE CPI (1998=100)'!G14</f>
        <v>115.77732321666423</v>
      </c>
      <c r="O15" s="124">
        <f t="shared" si="11"/>
        <v>2.8015796671968416</v>
      </c>
      <c r="P15" s="124">
        <f t="shared" si="0"/>
        <v>2.6753823848906775</v>
      </c>
      <c r="Q15" s="124">
        <f t="shared" si="1"/>
        <v>2.5491851025845129</v>
      </c>
      <c r="R15" s="124">
        <f t="shared" si="2"/>
        <v>2.4482272767395821</v>
      </c>
      <c r="S15" s="124">
        <f t="shared" si="3"/>
        <v>2.3977483638171164</v>
      </c>
      <c r="T15" s="124">
        <f t="shared" si="4"/>
        <v>2.3977483638171164</v>
      </c>
      <c r="U15" s="124">
        <f t="shared" si="5"/>
        <v>2.3977483638171164</v>
      </c>
      <c r="V15" s="124">
        <f t="shared" si="6"/>
        <v>2.4229878202783492</v>
      </c>
      <c r="W15" s="124">
        <f t="shared" si="7"/>
        <v>2.4229878202783492</v>
      </c>
      <c r="X15" s="124">
        <f t="shared" si="8"/>
        <v>2.4482272767395821</v>
      </c>
      <c r="Y15" s="124">
        <f t="shared" si="9"/>
        <v>2.5744245590457462</v>
      </c>
      <c r="Z15" s="124">
        <f t="shared" si="10"/>
        <v>2.7258612978131431</v>
      </c>
      <c r="AA15" s="125">
        <f t="shared" si="12"/>
        <v>2.5218423580848448</v>
      </c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</row>
    <row r="16" spans="1:40" ht="13.2">
      <c r="A16" s="119">
        <v>2005</v>
      </c>
      <c r="B16" s="123">
        <v>2.4309000000000003</v>
      </c>
      <c r="C16" s="123">
        <v>2.3214000000000001</v>
      </c>
      <c r="D16" s="123">
        <v>2.2119</v>
      </c>
      <c r="E16" s="123">
        <v>2.1242999999999999</v>
      </c>
      <c r="F16" s="123">
        <v>2.0804999999999998</v>
      </c>
      <c r="G16" s="123">
        <v>2.0804999999999998</v>
      </c>
      <c r="H16" s="123">
        <v>2.0804999999999998</v>
      </c>
      <c r="I16" s="123">
        <v>2.1023999999999998</v>
      </c>
      <c r="J16" s="123">
        <v>2.1023999999999998</v>
      </c>
      <c r="K16" s="123">
        <v>2.1242999999999999</v>
      </c>
      <c r="L16" s="123">
        <v>2.2338</v>
      </c>
      <c r="M16" s="123">
        <v>2.3652000000000002</v>
      </c>
      <c r="N16" s="228">
        <f>+'PACE CPI (1998=100)'!G15</f>
        <v>117.51398306491419</v>
      </c>
      <c r="O16" s="124">
        <f t="shared" si="11"/>
        <v>2.8566474143249989</v>
      </c>
      <c r="P16" s="124">
        <f t="shared" si="0"/>
        <v>2.7279696028689182</v>
      </c>
      <c r="Q16" s="124">
        <f t="shared" si="1"/>
        <v>2.5992917914128366</v>
      </c>
      <c r="R16" s="124">
        <f t="shared" si="2"/>
        <v>2.4963495422479718</v>
      </c>
      <c r="S16" s="124">
        <f t="shared" si="3"/>
        <v>2.4448784176655396</v>
      </c>
      <c r="T16" s="124">
        <f t="shared" si="4"/>
        <v>2.4448784176655396</v>
      </c>
      <c r="U16" s="124">
        <f t="shared" si="5"/>
        <v>2.4448784176655396</v>
      </c>
      <c r="V16" s="124">
        <f t="shared" si="6"/>
        <v>2.4706139799567559</v>
      </c>
      <c r="W16" s="124">
        <f t="shared" si="7"/>
        <v>2.4706139799567559</v>
      </c>
      <c r="X16" s="124">
        <f t="shared" si="8"/>
        <v>2.4963495422479718</v>
      </c>
      <c r="Y16" s="124">
        <f t="shared" si="9"/>
        <v>2.6250273537040534</v>
      </c>
      <c r="Z16" s="124">
        <f t="shared" si="10"/>
        <v>2.7794407274513504</v>
      </c>
      <c r="AA16" s="125">
        <f t="shared" si="12"/>
        <v>2.5714115989306858</v>
      </c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</row>
    <row r="17" spans="1:40" ht="13.2">
      <c r="A17" s="119">
        <v>2006</v>
      </c>
      <c r="B17" s="123">
        <v>2.4420000000000006</v>
      </c>
      <c r="C17" s="123">
        <v>2.3320000000000003</v>
      </c>
      <c r="D17" s="123">
        <v>2.2220000000000004</v>
      </c>
      <c r="E17" s="123">
        <v>2.1339999999999999</v>
      </c>
      <c r="F17" s="123">
        <v>2.09</v>
      </c>
      <c r="G17" s="123">
        <v>2.09</v>
      </c>
      <c r="H17" s="123">
        <v>2.09</v>
      </c>
      <c r="I17" s="123">
        <v>2.1120000000000001</v>
      </c>
      <c r="J17" s="123">
        <v>2.1120000000000001</v>
      </c>
      <c r="K17" s="123">
        <v>2.1339999999999999</v>
      </c>
      <c r="L17" s="123">
        <v>2.2440000000000002</v>
      </c>
      <c r="M17" s="123">
        <v>2.3760000000000003</v>
      </c>
      <c r="N17" s="228">
        <f>+'PACE CPI (1998=100)'!G16</f>
        <v>119.51172077701773</v>
      </c>
      <c r="O17" s="124">
        <f t="shared" si="11"/>
        <v>2.9184762213747732</v>
      </c>
      <c r="P17" s="124">
        <f t="shared" si="0"/>
        <v>2.7870133285200533</v>
      </c>
      <c r="Q17" s="124">
        <f t="shared" si="1"/>
        <v>2.6555504356653348</v>
      </c>
      <c r="R17" s="124">
        <f t="shared" si="2"/>
        <v>2.5503801213815582</v>
      </c>
      <c r="S17" s="124">
        <f t="shared" si="3"/>
        <v>2.4977949642396702</v>
      </c>
      <c r="T17" s="124">
        <f t="shared" si="4"/>
        <v>2.4977949642396702</v>
      </c>
      <c r="U17" s="124">
        <f t="shared" si="5"/>
        <v>2.4977949642396702</v>
      </c>
      <c r="V17" s="124">
        <f t="shared" si="6"/>
        <v>2.5240875428106144</v>
      </c>
      <c r="W17" s="124">
        <f t="shared" si="7"/>
        <v>2.5240875428106144</v>
      </c>
      <c r="X17" s="124">
        <f t="shared" si="8"/>
        <v>2.5503801213815582</v>
      </c>
      <c r="Y17" s="124">
        <f t="shared" si="9"/>
        <v>2.6818430142362781</v>
      </c>
      <c r="Z17" s="124">
        <f t="shared" si="10"/>
        <v>2.8395984856619418</v>
      </c>
      <c r="AA17" s="125">
        <f t="shared" si="12"/>
        <v>2.6270668088801448</v>
      </c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</row>
    <row r="18" spans="1:40" ht="13.2">
      <c r="A18" s="119">
        <v>2007</v>
      </c>
      <c r="B18" s="123">
        <v>2.4531000000000001</v>
      </c>
      <c r="C18" s="123">
        <v>2.3426</v>
      </c>
      <c r="D18" s="123">
        <v>2.2321</v>
      </c>
      <c r="E18" s="123">
        <v>2.1436999999999999</v>
      </c>
      <c r="F18" s="123">
        <v>2.0994999999999999</v>
      </c>
      <c r="G18" s="123">
        <v>2.0994999999999999</v>
      </c>
      <c r="H18" s="123">
        <v>2.0994999999999999</v>
      </c>
      <c r="I18" s="123">
        <v>2.1215999999999999</v>
      </c>
      <c r="J18" s="123">
        <v>2.1215999999999999</v>
      </c>
      <c r="K18" s="123">
        <v>2.1436999999999999</v>
      </c>
      <c r="L18" s="123">
        <v>2.2542</v>
      </c>
      <c r="M18" s="123">
        <v>2.3868</v>
      </c>
      <c r="N18" s="228">
        <f>+'PACE CPI (1998=100)'!G17</f>
        <v>121.54342003022703</v>
      </c>
      <c r="O18" s="124">
        <f t="shared" si="11"/>
        <v>2.9815816367614989</v>
      </c>
      <c r="P18" s="124">
        <f t="shared" si="0"/>
        <v>2.847276157628098</v>
      </c>
      <c r="Q18" s="124">
        <f t="shared" si="1"/>
        <v>2.7129706784946972</v>
      </c>
      <c r="R18" s="124">
        <f t="shared" si="2"/>
        <v>2.605526295187977</v>
      </c>
      <c r="S18" s="124">
        <f t="shared" si="3"/>
        <v>2.5518041035346162</v>
      </c>
      <c r="T18" s="124">
        <f t="shared" si="4"/>
        <v>2.5518041035346162</v>
      </c>
      <c r="U18" s="124">
        <f t="shared" si="5"/>
        <v>2.5518041035346162</v>
      </c>
      <c r="V18" s="124">
        <f t="shared" si="6"/>
        <v>2.5786651993612963</v>
      </c>
      <c r="W18" s="124">
        <f t="shared" si="7"/>
        <v>2.5786651993612963</v>
      </c>
      <c r="X18" s="124">
        <f t="shared" si="8"/>
        <v>2.605526295187977</v>
      </c>
      <c r="Y18" s="124">
        <f t="shared" si="9"/>
        <v>2.7398317743213778</v>
      </c>
      <c r="Z18" s="124">
        <f t="shared" si="10"/>
        <v>2.9009983492814588</v>
      </c>
      <c r="AA18" s="125">
        <f t="shared" si="12"/>
        <v>2.6838711580157941</v>
      </c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</row>
    <row r="19" spans="1:40" ht="13.2">
      <c r="A19" s="119">
        <v>2008</v>
      </c>
      <c r="B19" s="123">
        <v>2.4753000000000003</v>
      </c>
      <c r="C19" s="123">
        <v>2.3637999999999999</v>
      </c>
      <c r="D19" s="123">
        <v>2.2523</v>
      </c>
      <c r="E19" s="123">
        <v>2.1631</v>
      </c>
      <c r="F19" s="123">
        <v>2.1185</v>
      </c>
      <c r="G19" s="123">
        <v>2.1185</v>
      </c>
      <c r="H19" s="123">
        <v>2.1185</v>
      </c>
      <c r="I19" s="123">
        <v>2.1408</v>
      </c>
      <c r="J19" s="123">
        <v>2.1408</v>
      </c>
      <c r="K19" s="123">
        <v>2.1631</v>
      </c>
      <c r="L19" s="123">
        <v>2.2746</v>
      </c>
      <c r="M19" s="123">
        <v>2.4084000000000003</v>
      </c>
      <c r="N19" s="228">
        <f>+'PACE CPI (1998=100)'!G18</f>
        <v>123.6096581707409</v>
      </c>
      <c r="O19" s="124">
        <f t="shared" si="11"/>
        <v>3.0597098687003501</v>
      </c>
      <c r="P19" s="124">
        <f t="shared" si="0"/>
        <v>2.9218850998399732</v>
      </c>
      <c r="Q19" s="124">
        <f t="shared" si="1"/>
        <v>2.7840603309795973</v>
      </c>
      <c r="R19" s="124">
        <f t="shared" si="2"/>
        <v>2.6738005158912967</v>
      </c>
      <c r="S19" s="124">
        <f t="shared" si="3"/>
        <v>2.6186706083471463</v>
      </c>
      <c r="T19" s="124">
        <f t="shared" si="4"/>
        <v>2.6186706083471463</v>
      </c>
      <c r="U19" s="124">
        <f t="shared" si="5"/>
        <v>2.6186706083471463</v>
      </c>
      <c r="V19" s="124">
        <f t="shared" si="6"/>
        <v>2.6462355621192213</v>
      </c>
      <c r="W19" s="124">
        <f t="shared" si="7"/>
        <v>2.6462355621192213</v>
      </c>
      <c r="X19" s="124">
        <f t="shared" si="8"/>
        <v>2.6738005158912967</v>
      </c>
      <c r="Y19" s="124">
        <f t="shared" si="9"/>
        <v>2.8116252847516723</v>
      </c>
      <c r="Z19" s="124">
        <f t="shared" si="10"/>
        <v>2.9770150073841246</v>
      </c>
      <c r="AA19" s="125">
        <f t="shared" si="12"/>
        <v>2.7541982977265165</v>
      </c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</row>
    <row r="20" spans="1:40" ht="13.2">
      <c r="A20" s="119">
        <v>2009</v>
      </c>
      <c r="B20" s="123">
        <v>2.4864000000000006</v>
      </c>
      <c r="C20" s="123">
        <v>2.3744000000000005</v>
      </c>
      <c r="D20" s="123">
        <v>2.2624000000000004</v>
      </c>
      <c r="E20" s="123">
        <v>2.1728000000000001</v>
      </c>
      <c r="F20" s="123">
        <v>2.1280000000000001</v>
      </c>
      <c r="G20" s="123">
        <v>2.1280000000000001</v>
      </c>
      <c r="H20" s="123">
        <v>2.1280000000000001</v>
      </c>
      <c r="I20" s="123">
        <v>2.1504000000000003</v>
      </c>
      <c r="J20" s="123">
        <v>2.1504000000000003</v>
      </c>
      <c r="K20" s="123">
        <v>2.1728000000000001</v>
      </c>
      <c r="L20" s="123">
        <v>2.2848000000000002</v>
      </c>
      <c r="M20" s="123">
        <v>2.4192000000000005</v>
      </c>
      <c r="N20" s="228">
        <f>+'PACE CPI (1998=100)'!G19</f>
        <v>125.71102235964351</v>
      </c>
      <c r="O20" s="124">
        <f t="shared" si="11"/>
        <v>3.125678859950177</v>
      </c>
      <c r="P20" s="124">
        <f t="shared" si="0"/>
        <v>2.9848825149073757</v>
      </c>
      <c r="Q20" s="124">
        <f t="shared" si="1"/>
        <v>2.8440861698645752</v>
      </c>
      <c r="R20" s="124">
        <f t="shared" si="2"/>
        <v>2.7314490938303337</v>
      </c>
      <c r="S20" s="124">
        <f t="shared" si="3"/>
        <v>2.6751305558132139</v>
      </c>
      <c r="T20" s="124">
        <f t="shared" si="4"/>
        <v>2.6751305558132139</v>
      </c>
      <c r="U20" s="124">
        <f t="shared" si="5"/>
        <v>2.6751305558132139</v>
      </c>
      <c r="V20" s="124">
        <f t="shared" si="6"/>
        <v>2.7032898248217743</v>
      </c>
      <c r="W20" s="124">
        <f t="shared" si="7"/>
        <v>2.7032898248217743</v>
      </c>
      <c r="X20" s="124">
        <f t="shared" si="8"/>
        <v>2.7314490938303337</v>
      </c>
      <c r="Y20" s="124">
        <f t="shared" si="9"/>
        <v>2.8722454388731351</v>
      </c>
      <c r="Z20" s="124">
        <f t="shared" si="10"/>
        <v>3.0412010529244964</v>
      </c>
      <c r="AA20" s="125">
        <f t="shared" si="12"/>
        <v>2.8135802951053019</v>
      </c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</row>
    <row r="21" spans="1:40" ht="13.2">
      <c r="A21" s="119">
        <v>2010</v>
      </c>
      <c r="B21" s="123">
        <v>2.4975000000000001</v>
      </c>
      <c r="C21" s="123">
        <v>2.3849999999999998</v>
      </c>
      <c r="D21" s="123">
        <v>2.2725</v>
      </c>
      <c r="E21" s="123">
        <v>2.1825000000000001</v>
      </c>
      <c r="F21" s="123">
        <v>2.1375000000000002</v>
      </c>
      <c r="G21" s="123">
        <v>2.1375000000000002</v>
      </c>
      <c r="H21" s="123">
        <v>2.1375000000000002</v>
      </c>
      <c r="I21" s="123">
        <v>2.16</v>
      </c>
      <c r="J21" s="123">
        <v>2.16</v>
      </c>
      <c r="K21" s="123">
        <v>2.1825000000000001</v>
      </c>
      <c r="L21" s="123">
        <v>2.2949999999999999</v>
      </c>
      <c r="M21" s="123">
        <v>2.4300000000000002</v>
      </c>
      <c r="N21" s="228">
        <f>+'PACE CPI (1998=100)'!G20</f>
        <v>127.84810973975746</v>
      </c>
      <c r="O21" s="124">
        <f t="shared" si="11"/>
        <v>3.1930065407504431</v>
      </c>
      <c r="P21" s="124">
        <f t="shared" si="0"/>
        <v>3.0491774172932149</v>
      </c>
      <c r="Q21" s="124">
        <f t="shared" si="1"/>
        <v>2.9053482938359885</v>
      </c>
      <c r="R21" s="124">
        <f t="shared" si="2"/>
        <v>2.7902849950702069</v>
      </c>
      <c r="S21" s="124">
        <f t="shared" si="3"/>
        <v>2.7327533456873159</v>
      </c>
      <c r="T21" s="124">
        <f t="shared" si="4"/>
        <v>2.7327533456873159</v>
      </c>
      <c r="U21" s="124">
        <f t="shared" si="5"/>
        <v>2.7327533456873159</v>
      </c>
      <c r="V21" s="124">
        <f t="shared" si="6"/>
        <v>2.7615191703787616</v>
      </c>
      <c r="W21" s="124">
        <f t="shared" si="7"/>
        <v>2.7615191703787616</v>
      </c>
      <c r="X21" s="124">
        <f t="shared" si="8"/>
        <v>2.7902849950702069</v>
      </c>
      <c r="Y21" s="124">
        <f t="shared" si="9"/>
        <v>2.9341141185274338</v>
      </c>
      <c r="Z21" s="124">
        <f t="shared" si="10"/>
        <v>3.1067090666761068</v>
      </c>
      <c r="AA21" s="125">
        <f t="shared" si="12"/>
        <v>2.8741853170869223</v>
      </c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</row>
    <row r="22" spans="1:40" ht="13.2">
      <c r="A22" s="119">
        <v>2011</v>
      </c>
      <c r="B22" s="123">
        <v>2.5085999999999999</v>
      </c>
      <c r="C22" s="123">
        <v>2.3956</v>
      </c>
      <c r="D22" s="123">
        <v>2.2826</v>
      </c>
      <c r="E22" s="123">
        <v>2.1921999999999997</v>
      </c>
      <c r="F22" s="123">
        <v>2.1469999999999998</v>
      </c>
      <c r="G22" s="123">
        <v>2.1469999999999998</v>
      </c>
      <c r="H22" s="123">
        <v>2.1469999999999998</v>
      </c>
      <c r="I22" s="123">
        <v>2.1695999999999995</v>
      </c>
      <c r="J22" s="123">
        <v>2.1695999999999995</v>
      </c>
      <c r="K22" s="123">
        <v>2.1921999999999997</v>
      </c>
      <c r="L22" s="123">
        <v>2.3051999999999997</v>
      </c>
      <c r="M22" s="123">
        <v>2.4407999999999999</v>
      </c>
      <c r="N22" s="228">
        <f>+'PACE CPI (1998=100)'!G21</f>
        <v>130.59684409916227</v>
      </c>
      <c r="O22" s="124">
        <f t="shared" si="11"/>
        <v>3.2761524310715844</v>
      </c>
      <c r="P22" s="124">
        <f t="shared" si="0"/>
        <v>3.1285779972395313</v>
      </c>
      <c r="Q22" s="124">
        <f t="shared" si="1"/>
        <v>2.9810035634074779</v>
      </c>
      <c r="R22" s="124">
        <f t="shared" si="2"/>
        <v>2.8629440163418347</v>
      </c>
      <c r="S22" s="124">
        <f t="shared" si="3"/>
        <v>2.803914242809014</v>
      </c>
      <c r="T22" s="124">
        <f t="shared" si="4"/>
        <v>2.803914242809014</v>
      </c>
      <c r="U22" s="124">
        <f t="shared" si="5"/>
        <v>2.803914242809014</v>
      </c>
      <c r="V22" s="124">
        <f t="shared" si="6"/>
        <v>2.8334291295754239</v>
      </c>
      <c r="W22" s="124">
        <f t="shared" si="7"/>
        <v>2.8334291295754239</v>
      </c>
      <c r="X22" s="124">
        <f t="shared" si="8"/>
        <v>2.8629440163418347</v>
      </c>
      <c r="Y22" s="124">
        <f t="shared" si="9"/>
        <v>3.0105184501738882</v>
      </c>
      <c r="Z22" s="124">
        <f t="shared" si="10"/>
        <v>3.187607770772352</v>
      </c>
      <c r="AA22" s="125">
        <f t="shared" si="12"/>
        <v>2.9490291027438662</v>
      </c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</row>
    <row r="23" spans="1:40" ht="13.2">
      <c r="A23" s="119">
        <v>2012</v>
      </c>
      <c r="B23" s="123">
        <v>2.5197000000000003</v>
      </c>
      <c r="C23" s="123">
        <v>2.4062000000000001</v>
      </c>
      <c r="D23" s="123">
        <v>2.2927</v>
      </c>
      <c r="E23" s="123">
        <v>2.2018999999999997</v>
      </c>
      <c r="F23" s="123">
        <v>2.1564999999999999</v>
      </c>
      <c r="G23" s="123">
        <v>2.1564999999999999</v>
      </c>
      <c r="H23" s="123">
        <v>2.1564999999999999</v>
      </c>
      <c r="I23" s="123">
        <v>2.1791999999999998</v>
      </c>
      <c r="J23" s="123">
        <v>2.1791999999999998</v>
      </c>
      <c r="K23" s="123">
        <v>2.2018999999999997</v>
      </c>
      <c r="L23" s="123">
        <v>2.3153999999999999</v>
      </c>
      <c r="M23" s="123">
        <v>2.4516</v>
      </c>
      <c r="N23" s="228">
        <f>+'PACE CPI (1998=100)'!G22</f>
        <v>133.40467624729428</v>
      </c>
      <c r="O23" s="124">
        <f t="shared" si="11"/>
        <v>3.3613976274030746</v>
      </c>
      <c r="P23" s="124">
        <f t="shared" si="0"/>
        <v>3.209983319862395</v>
      </c>
      <c r="Q23" s="124">
        <f t="shared" si="1"/>
        <v>3.058569012321716</v>
      </c>
      <c r="R23" s="124">
        <f t="shared" si="2"/>
        <v>2.9374375662891725</v>
      </c>
      <c r="S23" s="124">
        <f t="shared" si="3"/>
        <v>2.8768718432729008</v>
      </c>
      <c r="T23" s="124">
        <f t="shared" si="4"/>
        <v>2.8768718432729008</v>
      </c>
      <c r="U23" s="124">
        <f t="shared" si="5"/>
        <v>2.8768718432729008</v>
      </c>
      <c r="V23" s="124">
        <f t="shared" si="6"/>
        <v>2.9071547047810369</v>
      </c>
      <c r="W23" s="124">
        <f t="shared" si="7"/>
        <v>2.9071547047810369</v>
      </c>
      <c r="X23" s="124">
        <f t="shared" si="8"/>
        <v>2.9374375662891725</v>
      </c>
      <c r="Y23" s="124">
        <f t="shared" si="9"/>
        <v>3.0888518738298516</v>
      </c>
      <c r="Z23" s="124">
        <f t="shared" si="10"/>
        <v>3.2705490428786663</v>
      </c>
      <c r="AA23" s="125">
        <f t="shared" si="12"/>
        <v>3.0257625790212348</v>
      </c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</row>
    <row r="24" spans="1:40" ht="13.2">
      <c r="A24" s="119">
        <v>2013</v>
      </c>
      <c r="B24" s="123">
        <v>2.5419</v>
      </c>
      <c r="C24" s="123">
        <v>2.4274</v>
      </c>
      <c r="D24" s="123">
        <v>2.3129</v>
      </c>
      <c r="E24" s="123">
        <v>2.2212999999999998</v>
      </c>
      <c r="F24" s="123">
        <v>2.1755</v>
      </c>
      <c r="G24" s="123">
        <v>2.1755</v>
      </c>
      <c r="H24" s="123">
        <v>2.1755</v>
      </c>
      <c r="I24" s="123">
        <v>2.1983999999999999</v>
      </c>
      <c r="J24" s="123">
        <v>2.1983999999999999</v>
      </c>
      <c r="K24" s="123">
        <v>2.2212999999999998</v>
      </c>
      <c r="L24" s="123">
        <v>2.3357999999999999</v>
      </c>
      <c r="M24" s="123">
        <v>2.4732000000000003</v>
      </c>
      <c r="N24" s="228">
        <f>+'PACE CPI (1998=100)'!G23</f>
        <v>136.27287678661111</v>
      </c>
      <c r="O24" s="124">
        <f t="shared" si="11"/>
        <v>3.4639202550388677</v>
      </c>
      <c r="P24" s="124">
        <f t="shared" si="0"/>
        <v>3.307887811118198</v>
      </c>
      <c r="Q24" s="124">
        <f t="shared" si="1"/>
        <v>3.1518553671975282</v>
      </c>
      <c r="R24" s="124">
        <f t="shared" si="2"/>
        <v>3.0270294120609922</v>
      </c>
      <c r="S24" s="124">
        <f t="shared" si="3"/>
        <v>2.9646164344927244</v>
      </c>
      <c r="T24" s="124">
        <f t="shared" si="4"/>
        <v>2.9646164344927244</v>
      </c>
      <c r="U24" s="124">
        <f t="shared" si="5"/>
        <v>2.9646164344927244</v>
      </c>
      <c r="V24" s="124">
        <f t="shared" si="6"/>
        <v>2.9958229232768581</v>
      </c>
      <c r="W24" s="124">
        <f t="shared" si="7"/>
        <v>2.9958229232768581</v>
      </c>
      <c r="X24" s="124">
        <f t="shared" si="8"/>
        <v>3.0270294120609922</v>
      </c>
      <c r="Y24" s="124">
        <f t="shared" si="9"/>
        <v>3.1830618559816624</v>
      </c>
      <c r="Z24" s="124">
        <f t="shared" si="10"/>
        <v>3.3703007886864662</v>
      </c>
      <c r="AA24" s="125">
        <f t="shared" si="12"/>
        <v>3.1180483376813832</v>
      </c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</row>
    <row r="25" spans="1:40" ht="13.2">
      <c r="A25" s="119">
        <v>2014</v>
      </c>
      <c r="B25" s="123">
        <v>2.5529999999999999</v>
      </c>
      <c r="C25" s="123">
        <v>2.4379999999999997</v>
      </c>
      <c r="D25" s="123">
        <v>2.323</v>
      </c>
      <c r="E25" s="123">
        <v>2.2309999999999999</v>
      </c>
      <c r="F25" s="123">
        <v>2.1850000000000001</v>
      </c>
      <c r="G25" s="123">
        <v>2.1850000000000001</v>
      </c>
      <c r="H25" s="123">
        <v>2.1850000000000001</v>
      </c>
      <c r="I25" s="123">
        <v>2.2079999999999997</v>
      </c>
      <c r="J25" s="123">
        <v>2.2079999999999997</v>
      </c>
      <c r="K25" s="123">
        <v>2.2309999999999999</v>
      </c>
      <c r="L25" s="123">
        <v>2.3459999999999996</v>
      </c>
      <c r="M25" s="123">
        <v>2.484</v>
      </c>
      <c r="N25" s="228">
        <f>+'PACE CPI (1998=100)'!G24</f>
        <v>139.20274363752324</v>
      </c>
      <c r="O25" s="124">
        <f t="shared" si="11"/>
        <v>3.5538460450659684</v>
      </c>
      <c r="P25" s="124">
        <f t="shared" si="0"/>
        <v>3.393762889882816</v>
      </c>
      <c r="Q25" s="124">
        <f t="shared" si="1"/>
        <v>3.2336797346996651</v>
      </c>
      <c r="R25" s="124">
        <f t="shared" si="2"/>
        <v>3.1056132105531433</v>
      </c>
      <c r="S25" s="124">
        <f t="shared" si="3"/>
        <v>3.0415799484798827</v>
      </c>
      <c r="T25" s="124">
        <f t="shared" si="4"/>
        <v>3.0415799484798827</v>
      </c>
      <c r="U25" s="124">
        <f t="shared" si="5"/>
        <v>3.0415799484798827</v>
      </c>
      <c r="V25" s="124">
        <f t="shared" si="6"/>
        <v>3.0735965795165128</v>
      </c>
      <c r="W25" s="124">
        <f t="shared" si="7"/>
        <v>3.0735965795165128</v>
      </c>
      <c r="X25" s="124">
        <f t="shared" si="8"/>
        <v>3.1056132105531433</v>
      </c>
      <c r="Y25" s="124">
        <f t="shared" si="9"/>
        <v>3.2656963657362947</v>
      </c>
      <c r="Z25" s="124">
        <f t="shared" si="10"/>
        <v>3.4577961519560771</v>
      </c>
      <c r="AA25" s="125">
        <f t="shared" si="12"/>
        <v>3.1989950510766483</v>
      </c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</row>
    <row r="26" spans="1:40" ht="13.2">
      <c r="A26" s="119">
        <v>2015</v>
      </c>
      <c r="B26" s="123">
        <v>2.5641000000000003</v>
      </c>
      <c r="C26" s="123">
        <v>2.4486000000000003</v>
      </c>
      <c r="D26" s="123">
        <v>2.3331</v>
      </c>
      <c r="E26" s="123">
        <v>2.2406999999999999</v>
      </c>
      <c r="F26" s="123">
        <v>2.1945000000000001</v>
      </c>
      <c r="G26" s="123">
        <v>2.1945000000000001</v>
      </c>
      <c r="H26" s="123">
        <v>2.1945000000000001</v>
      </c>
      <c r="I26" s="123">
        <v>2.2176</v>
      </c>
      <c r="J26" s="123">
        <v>2.2176</v>
      </c>
      <c r="K26" s="123">
        <v>2.2406999999999999</v>
      </c>
      <c r="L26" s="123">
        <v>2.3562000000000003</v>
      </c>
      <c r="M26" s="123">
        <v>2.4948000000000001</v>
      </c>
      <c r="N26" s="228">
        <f>+'PACE CPI (1998=100)'!G25</f>
        <v>142.19560262573</v>
      </c>
      <c r="O26" s="124">
        <f t="shared" si="11"/>
        <v>3.6460374469263432</v>
      </c>
      <c r="P26" s="124">
        <f t="shared" si="0"/>
        <v>3.4818015258936255</v>
      </c>
      <c r="Q26" s="124">
        <f t="shared" si="1"/>
        <v>3.3175656048609068</v>
      </c>
      <c r="R26" s="124">
        <f t="shared" si="2"/>
        <v>3.1861768680347318</v>
      </c>
      <c r="S26" s="124">
        <f t="shared" si="3"/>
        <v>3.1204824996216449</v>
      </c>
      <c r="T26" s="124">
        <f t="shared" si="4"/>
        <v>3.1204824996216449</v>
      </c>
      <c r="U26" s="124">
        <f t="shared" si="5"/>
        <v>3.1204824996216449</v>
      </c>
      <c r="V26" s="124">
        <f t="shared" si="6"/>
        <v>3.1533296838281886</v>
      </c>
      <c r="W26" s="124">
        <f t="shared" si="7"/>
        <v>3.1533296838281886</v>
      </c>
      <c r="X26" s="124">
        <f t="shared" si="8"/>
        <v>3.1861768680347318</v>
      </c>
      <c r="Y26" s="124">
        <f t="shared" si="9"/>
        <v>3.3504127890674504</v>
      </c>
      <c r="Z26" s="124">
        <f t="shared" si="10"/>
        <v>3.5474958943067123</v>
      </c>
      <c r="AA26" s="125">
        <f t="shared" si="12"/>
        <v>3.2819811553038178</v>
      </c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</row>
    <row r="27" spans="1:40" ht="13.2">
      <c r="A27" s="119">
        <v>2016</v>
      </c>
      <c r="B27" s="123">
        <v>2.5752000000000002</v>
      </c>
      <c r="C27" s="123">
        <v>2.4592000000000001</v>
      </c>
      <c r="D27" s="123">
        <v>2.3431999999999999</v>
      </c>
      <c r="E27" s="123">
        <v>2.2504</v>
      </c>
      <c r="F27" s="123">
        <v>2.2039999999999997</v>
      </c>
      <c r="G27" s="123">
        <v>2.2039999999999997</v>
      </c>
      <c r="H27" s="123">
        <v>2.2039999999999997</v>
      </c>
      <c r="I27" s="123">
        <v>2.2271999999999998</v>
      </c>
      <c r="J27" s="123">
        <v>2.2271999999999998</v>
      </c>
      <c r="K27" s="123">
        <v>2.2504</v>
      </c>
      <c r="L27" s="123">
        <v>2.3664000000000001</v>
      </c>
      <c r="M27" s="123">
        <v>2.5055999999999998</v>
      </c>
      <c r="N27" s="228">
        <f>+'PACE CPI (1998=100)'!G26</f>
        <v>145.53719928743465</v>
      </c>
      <c r="O27" s="124">
        <f t="shared" si="11"/>
        <v>3.7478739560500172</v>
      </c>
      <c r="P27" s="124">
        <f t="shared" si="0"/>
        <v>3.579050804876593</v>
      </c>
      <c r="Q27" s="124">
        <f t="shared" si="1"/>
        <v>3.4102276537031684</v>
      </c>
      <c r="R27" s="124">
        <f t="shared" si="2"/>
        <v>3.2751691327644297</v>
      </c>
      <c r="S27" s="124">
        <f t="shared" si="3"/>
        <v>3.2076398722950592</v>
      </c>
      <c r="T27" s="124">
        <f t="shared" si="4"/>
        <v>3.2076398722950592</v>
      </c>
      <c r="U27" s="124">
        <f t="shared" si="5"/>
        <v>3.2076398722950592</v>
      </c>
      <c r="V27" s="124">
        <f t="shared" si="6"/>
        <v>3.2414045025297442</v>
      </c>
      <c r="W27" s="124">
        <f t="shared" si="7"/>
        <v>3.2414045025297442</v>
      </c>
      <c r="X27" s="124">
        <f t="shared" si="8"/>
        <v>3.2751691327644297</v>
      </c>
      <c r="Y27" s="124">
        <f t="shared" si="9"/>
        <v>3.4439922839378534</v>
      </c>
      <c r="Z27" s="124">
        <f t="shared" si="10"/>
        <v>3.6465800653459621</v>
      </c>
      <c r="AA27" s="125">
        <f t="shared" si="12"/>
        <v>3.3736493042822597</v>
      </c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</row>
    <row r="28" spans="1:40" ht="13.2">
      <c r="A28" s="119">
        <v>2017</v>
      </c>
      <c r="B28" s="123">
        <v>2.5973999999999999</v>
      </c>
      <c r="C28" s="123">
        <v>2.4803999999999999</v>
      </c>
      <c r="D28" s="123">
        <v>2.3633999999999999</v>
      </c>
      <c r="E28" s="123">
        <v>2.2697999999999996</v>
      </c>
      <c r="F28" s="123">
        <v>2.2229999999999999</v>
      </c>
      <c r="G28" s="123">
        <v>2.2229999999999999</v>
      </c>
      <c r="H28" s="123">
        <v>2.2229999999999999</v>
      </c>
      <c r="I28" s="123">
        <v>2.2464</v>
      </c>
      <c r="J28" s="123">
        <v>2.2464</v>
      </c>
      <c r="K28" s="123">
        <v>2.2697999999999996</v>
      </c>
      <c r="L28" s="123">
        <v>2.3868</v>
      </c>
      <c r="M28" s="123">
        <v>2.5272000000000001</v>
      </c>
      <c r="N28" s="228">
        <f>+'PACE CPI (1998=100)'!G27</f>
        <v>148.95732347068935</v>
      </c>
      <c r="O28" s="124">
        <f t="shared" si="11"/>
        <v>3.8690175198276848</v>
      </c>
      <c r="P28" s="124">
        <f t="shared" si="0"/>
        <v>3.6947374513669784</v>
      </c>
      <c r="Q28" s="124">
        <f t="shared" si="1"/>
        <v>3.520457382906272</v>
      </c>
      <c r="R28" s="124">
        <f t="shared" si="2"/>
        <v>3.3810333281377063</v>
      </c>
      <c r="S28" s="124">
        <f t="shared" si="3"/>
        <v>3.3113213007534239</v>
      </c>
      <c r="T28" s="124">
        <f t="shared" si="4"/>
        <v>3.3113213007534239</v>
      </c>
      <c r="U28" s="124">
        <f t="shared" si="5"/>
        <v>3.3113213007534239</v>
      </c>
      <c r="V28" s="124">
        <f t="shared" si="6"/>
        <v>3.3461773144455651</v>
      </c>
      <c r="W28" s="124">
        <f t="shared" si="7"/>
        <v>3.3461773144455651</v>
      </c>
      <c r="X28" s="124">
        <f t="shared" si="8"/>
        <v>3.3810333281377063</v>
      </c>
      <c r="Y28" s="124">
        <f t="shared" si="9"/>
        <v>3.5553133965984132</v>
      </c>
      <c r="Z28" s="124">
        <f t="shared" si="10"/>
        <v>3.7644494787512612</v>
      </c>
      <c r="AA28" s="125">
        <f t="shared" si="12"/>
        <v>3.4826967014064518</v>
      </c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</row>
    <row r="29" spans="1:40" ht="13.2">
      <c r="A29" s="119">
        <v>2018</v>
      </c>
      <c r="B29" s="123">
        <v>2.6085000000000003</v>
      </c>
      <c r="C29" s="123">
        <v>2.4910000000000001</v>
      </c>
      <c r="D29" s="123">
        <v>2.3734999999999999</v>
      </c>
      <c r="E29" s="123">
        <v>2.2795000000000001</v>
      </c>
      <c r="F29" s="123">
        <v>2.2324999999999999</v>
      </c>
      <c r="G29" s="123">
        <v>2.2324999999999999</v>
      </c>
      <c r="H29" s="123">
        <v>2.2324999999999999</v>
      </c>
      <c r="I29" s="123">
        <v>2.2559999999999998</v>
      </c>
      <c r="J29" s="123">
        <v>2.2559999999999998</v>
      </c>
      <c r="K29" s="123">
        <v>2.2795000000000001</v>
      </c>
      <c r="L29" s="123">
        <v>2.3970000000000002</v>
      </c>
      <c r="M29" s="123">
        <v>2.5380000000000003</v>
      </c>
      <c r="N29" s="228">
        <f>+'PACE CPI (1998=100)'!G28</f>
        <v>152.45782057225054</v>
      </c>
      <c r="O29" s="124">
        <f t="shared" si="11"/>
        <v>3.976862249627156</v>
      </c>
      <c r="P29" s="124">
        <f t="shared" si="0"/>
        <v>3.7977243104547616</v>
      </c>
      <c r="Q29" s="124">
        <f t="shared" si="1"/>
        <v>3.6185863712823663</v>
      </c>
      <c r="R29" s="124">
        <f t="shared" si="2"/>
        <v>3.475276019944451</v>
      </c>
      <c r="S29" s="124">
        <f t="shared" si="3"/>
        <v>3.4036208442754936</v>
      </c>
      <c r="T29" s="124">
        <f t="shared" si="4"/>
        <v>3.4036208442754936</v>
      </c>
      <c r="U29" s="124">
        <f t="shared" si="5"/>
        <v>3.4036208442754936</v>
      </c>
      <c r="V29" s="124">
        <f t="shared" si="6"/>
        <v>3.4394484321099719</v>
      </c>
      <c r="W29" s="124">
        <f t="shared" si="7"/>
        <v>3.4394484321099719</v>
      </c>
      <c r="X29" s="124">
        <f t="shared" si="8"/>
        <v>3.475276019944451</v>
      </c>
      <c r="Y29" s="124">
        <f t="shared" si="9"/>
        <v>3.6544139591168459</v>
      </c>
      <c r="Z29" s="124">
        <f t="shared" si="10"/>
        <v>3.869379486123719</v>
      </c>
      <c r="AA29" s="125">
        <f t="shared" si="12"/>
        <v>3.5797731511283479</v>
      </c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</row>
    <row r="30" spans="1:40" ht="13.2">
      <c r="A30" s="119">
        <v>2019</v>
      </c>
      <c r="B30" s="123">
        <v>2.6196000000000002</v>
      </c>
      <c r="C30" s="123">
        <v>2.5015999999999998</v>
      </c>
      <c r="D30" s="123">
        <v>2.3835999999999999</v>
      </c>
      <c r="E30" s="123">
        <v>2.2891999999999997</v>
      </c>
      <c r="F30" s="123">
        <v>2.242</v>
      </c>
      <c r="G30" s="123">
        <v>2.242</v>
      </c>
      <c r="H30" s="123">
        <v>2.242</v>
      </c>
      <c r="I30" s="123">
        <v>2.2655999999999996</v>
      </c>
      <c r="J30" s="123">
        <v>2.2655999999999996</v>
      </c>
      <c r="K30" s="123">
        <v>2.2891999999999997</v>
      </c>
      <c r="L30" s="123">
        <v>2.4072</v>
      </c>
      <c r="M30" s="123">
        <v>2.5488</v>
      </c>
      <c r="N30" s="228">
        <f>+'PACE CPI (1998=100)'!G29</f>
        <v>156.04057935569844</v>
      </c>
      <c r="O30" s="124">
        <f t="shared" si="11"/>
        <v>4.0876390168018766</v>
      </c>
      <c r="P30" s="124">
        <f t="shared" si="0"/>
        <v>3.9035111331621524</v>
      </c>
      <c r="Q30" s="124">
        <f t="shared" si="1"/>
        <v>3.7193832495224282</v>
      </c>
      <c r="R30" s="124">
        <f t="shared" si="2"/>
        <v>3.5720809426106483</v>
      </c>
      <c r="S30" s="124">
        <f t="shared" si="3"/>
        <v>3.4984297891547591</v>
      </c>
      <c r="T30" s="124">
        <f t="shared" si="4"/>
        <v>3.4984297891547591</v>
      </c>
      <c r="U30" s="124">
        <f t="shared" si="5"/>
        <v>3.4984297891547591</v>
      </c>
      <c r="V30" s="124">
        <f t="shared" si="6"/>
        <v>3.5352553658827031</v>
      </c>
      <c r="W30" s="124">
        <f t="shared" si="7"/>
        <v>3.5352553658827031</v>
      </c>
      <c r="X30" s="124">
        <f t="shared" si="8"/>
        <v>3.5720809426106483</v>
      </c>
      <c r="Y30" s="124">
        <f t="shared" si="9"/>
        <v>3.7562088262503726</v>
      </c>
      <c r="Z30" s="124">
        <f t="shared" si="10"/>
        <v>3.9771622866180416</v>
      </c>
      <c r="AA30" s="125">
        <f t="shared" si="12"/>
        <v>3.679488874733821</v>
      </c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</row>
    <row r="31" spans="1:40" ht="13.8" thickBot="1">
      <c r="A31" s="153">
        <v>2020</v>
      </c>
      <c r="B31" s="104">
        <v>2.6307000000000005</v>
      </c>
      <c r="C31" s="104">
        <v>2.5122000000000004</v>
      </c>
      <c r="D31" s="104">
        <v>2.3936999999999999</v>
      </c>
      <c r="E31" s="104">
        <v>2.2989000000000002</v>
      </c>
      <c r="F31" s="104">
        <v>2.2515000000000001</v>
      </c>
      <c r="G31" s="104">
        <v>2.2515000000000001</v>
      </c>
      <c r="H31" s="104">
        <v>2.2515000000000001</v>
      </c>
      <c r="I31" s="104">
        <v>2.2751999999999999</v>
      </c>
      <c r="J31" s="104">
        <v>2.2751999999999999</v>
      </c>
      <c r="K31" s="104">
        <v>2.2989000000000002</v>
      </c>
      <c r="L31" s="104">
        <v>2.4174000000000002</v>
      </c>
      <c r="M31" s="104">
        <v>2.5596000000000001</v>
      </c>
      <c r="N31" s="229">
        <f>+'PACE CPI (1998=100)'!G30</f>
        <v>159.70753297055734</v>
      </c>
      <c r="O31" s="126">
        <f t="shared" si="11"/>
        <v>4.2014260698564527</v>
      </c>
      <c r="P31" s="126">
        <f t="shared" si="0"/>
        <v>4.012172643286342</v>
      </c>
      <c r="Q31" s="126">
        <f t="shared" si="1"/>
        <v>3.8229192167162309</v>
      </c>
      <c r="R31" s="126">
        <f t="shared" si="2"/>
        <v>3.6715164754601433</v>
      </c>
      <c r="S31" s="126">
        <f t="shared" si="3"/>
        <v>3.5958151048320985</v>
      </c>
      <c r="T31" s="126">
        <f t="shared" si="4"/>
        <v>3.5958151048320985</v>
      </c>
      <c r="U31" s="126">
        <f t="shared" si="5"/>
        <v>3.5958151048320985</v>
      </c>
      <c r="V31" s="126">
        <f t="shared" si="6"/>
        <v>3.6336657901461207</v>
      </c>
      <c r="W31" s="126">
        <f t="shared" si="7"/>
        <v>3.6336657901461207</v>
      </c>
      <c r="X31" s="126">
        <f t="shared" si="8"/>
        <v>3.6715164754601433</v>
      </c>
      <c r="Y31" s="126">
        <f t="shared" si="9"/>
        <v>3.8607699020302535</v>
      </c>
      <c r="Z31" s="126">
        <f t="shared" si="10"/>
        <v>4.0878740139143854</v>
      </c>
      <c r="AA31" s="127">
        <f t="shared" si="12"/>
        <v>3.7819143076260411</v>
      </c>
      <c r="AB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</row>
    <row r="32" spans="1:40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</row>
    <row r="33" spans="1:40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</row>
    <row r="34" spans="1:40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</row>
    <row r="35" spans="1:40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</row>
    <row r="36" spans="1:40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</row>
    <row r="37" spans="1:40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</row>
    <row r="38" spans="1:40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</row>
    <row r="39" spans="1:40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</row>
    <row r="40" spans="1:40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</row>
    <row r="41" spans="1:40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</row>
    <row r="42" spans="1:40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</row>
    <row r="43" spans="1:40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</row>
    <row r="44" spans="1:40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</row>
    <row r="45" spans="1:40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</row>
    <row r="46" spans="1:40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</row>
    <row r="47" spans="1:40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</row>
    <row r="48" spans="1:40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</row>
    <row r="49" spans="1:40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</row>
    <row r="50" spans="1:4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</row>
    <row r="51" spans="1:40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</row>
    <row r="52" spans="1:40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</row>
    <row r="53" spans="1:40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</row>
    <row r="54" spans="1:40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</row>
    <row r="55" spans="1:40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</row>
    <row r="56" spans="1:40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</row>
    <row r="57" spans="1:40"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</row>
  </sheetData>
  <mergeCells count="7">
    <mergeCell ref="Z1:AA1"/>
    <mergeCell ref="Z2:AA2"/>
    <mergeCell ref="B6:M6"/>
    <mergeCell ref="A6:A7"/>
    <mergeCell ref="O6:Z6"/>
    <mergeCell ref="B8:M8"/>
    <mergeCell ref="O8:Z8"/>
  </mergeCells>
  <printOptions horizontalCentered="1"/>
  <pageMargins left="0.75" right="0.75" top="1" bottom="1" header="0.5" footer="0.5"/>
  <pageSetup scale="64" orientation="landscape" r:id="rId1"/>
  <headerFooter alignWithMargins="0">
    <oddFooter>&amp;L&amp;F, &amp;A&amp;CPage &amp;P of 1&amp;R&amp;D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1"/>
  <sheetViews>
    <sheetView zoomScale="75" workbookViewId="0">
      <selection activeCell="G38" sqref="G38"/>
    </sheetView>
  </sheetViews>
  <sheetFormatPr defaultColWidth="9.109375" defaultRowHeight="10.199999999999999"/>
  <cols>
    <col min="1" max="1" width="12.6640625" style="57" customWidth="1"/>
    <col min="2" max="3" width="12.6640625" style="58" customWidth="1"/>
    <col min="4" max="4" width="9.109375" style="58"/>
    <col min="5" max="5" width="12.6640625" style="57" customWidth="1"/>
    <col min="6" max="7" width="12.6640625" style="58" customWidth="1"/>
    <col min="8" max="16384" width="9.109375" style="58"/>
  </cols>
  <sheetData>
    <row r="1" spans="1:7" s="1" customFormat="1" ht="18" thickBot="1">
      <c r="A1" s="15" t="s">
        <v>114</v>
      </c>
      <c r="B1" s="13"/>
      <c r="G1" s="113" t="s">
        <v>127</v>
      </c>
    </row>
    <row r="2" spans="1:7" s="116" customFormat="1" ht="18.75" customHeight="1" thickBot="1">
      <c r="A2" s="115" t="s">
        <v>129</v>
      </c>
      <c r="B2" s="115"/>
      <c r="G2" s="114" t="s">
        <v>128</v>
      </c>
    </row>
    <row r="3" spans="1:7" s="291" customFormat="1" ht="10.8" thickBot="1"/>
    <row r="4" spans="1:7" s="54" customFormat="1" ht="11.4" thickTop="1" thickBot="1"/>
    <row r="5" spans="1:7" s="55" customFormat="1" ht="13.2">
      <c r="A5" s="473" t="s">
        <v>54</v>
      </c>
      <c r="B5" s="474"/>
      <c r="C5" s="475"/>
      <c r="D5" s="142"/>
      <c r="E5" s="473" t="s">
        <v>55</v>
      </c>
      <c r="F5" s="474"/>
      <c r="G5" s="475"/>
    </row>
    <row r="6" spans="1:7" s="55" customFormat="1" ht="13.2">
      <c r="A6" s="163" t="s">
        <v>56</v>
      </c>
      <c r="B6" s="143" t="s">
        <v>57</v>
      </c>
      <c r="C6" s="164">
        <f>+((C30/C8)^(1/21))-1</f>
        <v>2.7257971990086505E-2</v>
      </c>
      <c r="D6" s="142"/>
      <c r="E6" s="163" t="s">
        <v>56</v>
      </c>
      <c r="F6" s="143" t="s">
        <v>57</v>
      </c>
      <c r="G6" s="164">
        <f>+((G30/G8)^(1/21))-1</f>
        <v>2.2544370158999572E-2</v>
      </c>
    </row>
    <row r="7" spans="1:7" s="55" customFormat="1" ht="26.4">
      <c r="A7" s="165" t="s">
        <v>36</v>
      </c>
      <c r="B7" s="144" t="s">
        <v>58</v>
      </c>
      <c r="C7" s="166" t="s">
        <v>59</v>
      </c>
      <c r="D7" s="145"/>
      <c r="E7" s="165" t="s">
        <v>36</v>
      </c>
      <c r="F7" s="144" t="s">
        <v>58</v>
      </c>
      <c r="G7" s="166" t="s">
        <v>59</v>
      </c>
    </row>
    <row r="8" spans="1:7" s="55" customFormat="1" ht="13.2">
      <c r="A8" s="167">
        <v>1998</v>
      </c>
      <c r="B8" s="146">
        <v>0</v>
      </c>
      <c r="C8" s="168">
        <v>100</v>
      </c>
      <c r="D8" s="145"/>
      <c r="E8" s="167">
        <v>1998</v>
      </c>
      <c r="F8" s="146">
        <v>0</v>
      </c>
      <c r="G8" s="168">
        <v>100</v>
      </c>
    </row>
    <row r="9" spans="1:7" s="55" customFormat="1" ht="13.2">
      <c r="A9" s="169">
        <f>+A8+1</f>
        <v>1999</v>
      </c>
      <c r="B9" s="146">
        <v>2.7</v>
      </c>
      <c r="C9" s="168">
        <v>102.7</v>
      </c>
      <c r="D9" s="142"/>
      <c r="E9" s="169">
        <f>+E8+1</f>
        <v>1999</v>
      </c>
      <c r="F9" s="146">
        <v>2.7</v>
      </c>
      <c r="G9" s="168">
        <v>102.7</v>
      </c>
    </row>
    <row r="10" spans="1:7" s="55" customFormat="1" ht="13.2">
      <c r="A10" s="169">
        <f t="shared" ref="A10:A30" si="0">+A9+1</f>
        <v>2000</v>
      </c>
      <c r="B10" s="147">
        <v>4.5</v>
      </c>
      <c r="C10" s="168">
        <v>107.3215</v>
      </c>
      <c r="D10" s="142"/>
      <c r="E10" s="169">
        <f t="shared" ref="E10:E30" si="1">+E9+1</f>
        <v>2000</v>
      </c>
      <c r="F10" s="146">
        <v>4</v>
      </c>
      <c r="G10" s="168">
        <v>106.80800000000001</v>
      </c>
    </row>
    <row r="11" spans="1:7" s="55" customFormat="1" ht="13.2">
      <c r="A11" s="169">
        <f t="shared" si="0"/>
        <v>2001</v>
      </c>
      <c r="B11" s="146">
        <v>3.1</v>
      </c>
      <c r="C11" s="168">
        <v>110.6484665</v>
      </c>
      <c r="D11" s="142"/>
      <c r="E11" s="169">
        <f t="shared" si="1"/>
        <v>2001</v>
      </c>
      <c r="F11" s="146">
        <v>2.75</v>
      </c>
      <c r="G11" s="168">
        <v>109.74522</v>
      </c>
    </row>
    <row r="12" spans="1:7" s="55" customFormat="1" ht="13.2">
      <c r="A12" s="169">
        <f t="shared" si="0"/>
        <v>2002</v>
      </c>
      <c r="B12" s="146">
        <v>2.25</v>
      </c>
      <c r="C12" s="168">
        <v>113.13805699625</v>
      </c>
      <c r="D12" s="142"/>
      <c r="E12" s="169">
        <f t="shared" si="1"/>
        <v>2002</v>
      </c>
      <c r="F12" s="146">
        <v>2.2000000000000002</v>
      </c>
      <c r="G12" s="168">
        <v>112.15961484000002</v>
      </c>
    </row>
    <row r="13" spans="1:7" s="55" customFormat="1" ht="13.2">
      <c r="A13" s="169">
        <f t="shared" si="0"/>
        <v>2003</v>
      </c>
      <c r="B13" s="146">
        <v>1.85</v>
      </c>
      <c r="C13" s="168">
        <v>115.23111105068061</v>
      </c>
      <c r="D13" s="142"/>
      <c r="E13" s="169">
        <f t="shared" si="1"/>
        <v>2003</v>
      </c>
      <c r="F13" s="146">
        <v>1.7</v>
      </c>
      <c r="G13" s="168">
        <v>114.06632829228002</v>
      </c>
    </row>
    <row r="14" spans="1:7" s="55" customFormat="1" ht="13.2">
      <c r="A14" s="169">
        <f t="shared" si="0"/>
        <v>2004</v>
      </c>
      <c r="B14" s="146">
        <v>1.85</v>
      </c>
      <c r="C14" s="168">
        <v>117.36288660511821</v>
      </c>
      <c r="D14" s="142"/>
      <c r="E14" s="169">
        <f t="shared" si="1"/>
        <v>2004</v>
      </c>
      <c r="F14" s="146">
        <v>1.5</v>
      </c>
      <c r="G14" s="168">
        <v>115.77732321666423</v>
      </c>
    </row>
    <row r="15" spans="1:7" s="55" customFormat="1" ht="13.2">
      <c r="A15" s="169">
        <f t="shared" si="0"/>
        <v>2005</v>
      </c>
      <c r="B15" s="146">
        <v>1.85</v>
      </c>
      <c r="C15" s="168">
        <v>119.53410000731289</v>
      </c>
      <c r="D15" s="142"/>
      <c r="E15" s="169">
        <f t="shared" si="1"/>
        <v>2005</v>
      </c>
      <c r="F15" s="146">
        <v>1.5</v>
      </c>
      <c r="G15" s="168">
        <v>117.51398306491419</v>
      </c>
    </row>
    <row r="16" spans="1:7" s="55" customFormat="1" ht="13.2">
      <c r="A16" s="169">
        <f t="shared" si="0"/>
        <v>2006</v>
      </c>
      <c r="B16" s="146">
        <v>1.85</v>
      </c>
      <c r="C16" s="168">
        <v>121.74548085744817</v>
      </c>
      <c r="D16" s="142"/>
      <c r="E16" s="169">
        <f t="shared" si="1"/>
        <v>2006</v>
      </c>
      <c r="F16" s="146">
        <v>1.7</v>
      </c>
      <c r="G16" s="168">
        <v>119.51172077701773</v>
      </c>
    </row>
    <row r="17" spans="1:7" s="55" customFormat="1" ht="13.2">
      <c r="A17" s="169">
        <f t="shared" si="0"/>
        <v>2007</v>
      </c>
      <c r="B17" s="146">
        <v>1.85</v>
      </c>
      <c r="C17" s="168">
        <v>123.99777225331096</v>
      </c>
      <c r="D17" s="142"/>
      <c r="E17" s="169">
        <f t="shared" si="1"/>
        <v>2007</v>
      </c>
      <c r="F17" s="146">
        <v>1.7</v>
      </c>
      <c r="G17" s="168">
        <v>121.54342003022703</v>
      </c>
    </row>
    <row r="18" spans="1:7" s="55" customFormat="1" ht="13.2">
      <c r="A18" s="169">
        <f t="shared" si="0"/>
        <v>2008</v>
      </c>
      <c r="B18" s="146">
        <v>2.15</v>
      </c>
      <c r="C18" s="168">
        <v>126.66372435675716</v>
      </c>
      <c r="D18" s="142"/>
      <c r="E18" s="169">
        <f t="shared" si="1"/>
        <v>2008</v>
      </c>
      <c r="F18" s="146">
        <v>1.7</v>
      </c>
      <c r="G18" s="168">
        <v>123.6096581707409</v>
      </c>
    </row>
    <row r="19" spans="1:7" s="55" customFormat="1" ht="13.2">
      <c r="A19" s="169">
        <f t="shared" si="0"/>
        <v>2009</v>
      </c>
      <c r="B19" s="146">
        <v>2.15</v>
      </c>
      <c r="C19" s="168">
        <v>129.38699443042745</v>
      </c>
      <c r="D19" s="142"/>
      <c r="E19" s="169">
        <f t="shared" si="1"/>
        <v>2009</v>
      </c>
      <c r="F19" s="146">
        <v>1.7</v>
      </c>
      <c r="G19" s="168">
        <v>125.71102235964351</v>
      </c>
    </row>
    <row r="20" spans="1:7" s="55" customFormat="1" ht="13.2">
      <c r="A20" s="169">
        <f t="shared" si="0"/>
        <v>2010</v>
      </c>
      <c r="B20" s="146">
        <v>2.15</v>
      </c>
      <c r="C20" s="168">
        <v>132.16881481068165</v>
      </c>
      <c r="D20" s="142"/>
      <c r="E20" s="169">
        <f t="shared" si="1"/>
        <v>2010</v>
      </c>
      <c r="F20" s="146">
        <v>1.7</v>
      </c>
      <c r="G20" s="168">
        <v>127.84810973975746</v>
      </c>
    </row>
    <row r="21" spans="1:7" s="55" customFormat="1" ht="13.2">
      <c r="A21" s="169">
        <f t="shared" si="0"/>
        <v>2011</v>
      </c>
      <c r="B21" s="146">
        <v>2.65</v>
      </c>
      <c r="C21" s="168">
        <v>135.67128840316474</v>
      </c>
      <c r="D21" s="142"/>
      <c r="E21" s="169">
        <f t="shared" si="1"/>
        <v>2011</v>
      </c>
      <c r="F21" s="146">
        <v>2.15</v>
      </c>
      <c r="G21" s="168">
        <v>130.59684409916227</v>
      </c>
    </row>
    <row r="22" spans="1:7" s="55" customFormat="1" ht="13.2">
      <c r="A22" s="169">
        <f t="shared" si="0"/>
        <v>2012</v>
      </c>
      <c r="B22" s="146">
        <v>2.65</v>
      </c>
      <c r="C22" s="168">
        <v>139.26657754584861</v>
      </c>
      <c r="D22" s="142"/>
      <c r="E22" s="169">
        <f t="shared" si="1"/>
        <v>2012</v>
      </c>
      <c r="F22" s="146">
        <v>2.15</v>
      </c>
      <c r="G22" s="168">
        <v>133.40467624729428</v>
      </c>
    </row>
    <row r="23" spans="1:7" s="55" customFormat="1" ht="13.2">
      <c r="A23" s="169">
        <f t="shared" si="0"/>
        <v>2013</v>
      </c>
      <c r="B23" s="146">
        <v>2.65</v>
      </c>
      <c r="C23" s="168">
        <v>142.9571418508136</v>
      </c>
      <c r="D23" s="142"/>
      <c r="E23" s="169">
        <f t="shared" si="1"/>
        <v>2013</v>
      </c>
      <c r="F23" s="146">
        <v>2.15</v>
      </c>
      <c r="G23" s="168">
        <v>136.27287678661111</v>
      </c>
    </row>
    <row r="24" spans="1:7" s="55" customFormat="1" ht="13.2">
      <c r="A24" s="169">
        <f t="shared" si="0"/>
        <v>2014</v>
      </c>
      <c r="B24" s="146">
        <v>2.65</v>
      </c>
      <c r="C24" s="168">
        <v>146.74550610986017</v>
      </c>
      <c r="D24" s="142"/>
      <c r="E24" s="169">
        <f t="shared" si="1"/>
        <v>2014</v>
      </c>
      <c r="F24" s="146">
        <v>2.15</v>
      </c>
      <c r="G24" s="168">
        <v>139.20274363752324</v>
      </c>
    </row>
    <row r="25" spans="1:7" s="55" customFormat="1" ht="13.2">
      <c r="A25" s="169">
        <f t="shared" si="0"/>
        <v>2015</v>
      </c>
      <c r="B25" s="146">
        <v>2.65</v>
      </c>
      <c r="C25" s="168">
        <v>150.63426202177149</v>
      </c>
      <c r="D25" s="142"/>
      <c r="E25" s="169">
        <f t="shared" si="1"/>
        <v>2015</v>
      </c>
      <c r="F25" s="146">
        <v>2.15</v>
      </c>
      <c r="G25" s="168">
        <v>142.19560262573</v>
      </c>
    </row>
    <row r="26" spans="1:7" s="55" customFormat="1" ht="13.2">
      <c r="A26" s="169">
        <f t="shared" si="0"/>
        <v>2016</v>
      </c>
      <c r="B26" s="146">
        <v>3.15</v>
      </c>
      <c r="C26" s="168">
        <v>155.3792412754573</v>
      </c>
      <c r="D26" s="142"/>
      <c r="E26" s="169">
        <f t="shared" si="1"/>
        <v>2016</v>
      </c>
      <c r="F26" s="146">
        <v>2.35</v>
      </c>
      <c r="G26" s="168">
        <v>145.53719928743465</v>
      </c>
    </row>
    <row r="27" spans="1:7" s="55" customFormat="1" ht="13.2">
      <c r="A27" s="169">
        <f t="shared" si="0"/>
        <v>2017</v>
      </c>
      <c r="B27" s="146">
        <v>3.15</v>
      </c>
      <c r="C27" s="168">
        <v>160.27368737563421</v>
      </c>
      <c r="D27" s="142"/>
      <c r="E27" s="169">
        <f t="shared" si="1"/>
        <v>2017</v>
      </c>
      <c r="F27" s="146">
        <v>2.35</v>
      </c>
      <c r="G27" s="168">
        <v>148.95732347068935</v>
      </c>
    </row>
    <row r="28" spans="1:7" s="55" customFormat="1" ht="13.2">
      <c r="A28" s="169">
        <f t="shared" si="0"/>
        <v>2018</v>
      </c>
      <c r="B28" s="146">
        <v>3.15</v>
      </c>
      <c r="C28" s="168">
        <v>165.3223085279667</v>
      </c>
      <c r="D28" s="142"/>
      <c r="E28" s="169">
        <f t="shared" si="1"/>
        <v>2018</v>
      </c>
      <c r="F28" s="146">
        <v>2.35</v>
      </c>
      <c r="G28" s="168">
        <v>152.45782057225054</v>
      </c>
    </row>
    <row r="29" spans="1:7" s="55" customFormat="1" ht="13.2">
      <c r="A29" s="169">
        <f t="shared" si="0"/>
        <v>2019</v>
      </c>
      <c r="B29" s="146">
        <v>3.15</v>
      </c>
      <c r="C29" s="168">
        <v>170.52996124659768</v>
      </c>
      <c r="D29" s="142"/>
      <c r="E29" s="169">
        <f t="shared" si="1"/>
        <v>2019</v>
      </c>
      <c r="F29" s="146">
        <v>2.35</v>
      </c>
      <c r="G29" s="168">
        <v>156.04057935569844</v>
      </c>
    </row>
    <row r="30" spans="1:7" s="55" customFormat="1" ht="13.8" thickBot="1">
      <c r="A30" s="170">
        <f t="shared" si="0"/>
        <v>2020</v>
      </c>
      <c r="B30" s="171">
        <v>3.15</v>
      </c>
      <c r="C30" s="172">
        <v>175.90165502586552</v>
      </c>
      <c r="D30" s="142"/>
      <c r="E30" s="170">
        <f t="shared" si="1"/>
        <v>2020</v>
      </c>
      <c r="F30" s="171">
        <v>2.35</v>
      </c>
      <c r="G30" s="172">
        <v>159.70753297055734</v>
      </c>
    </row>
    <row r="31" spans="1:7" s="55" customFormat="1">
      <c r="A31" s="56"/>
      <c r="E31" s="56"/>
    </row>
    <row r="32" spans="1:7" s="55" customFormat="1">
      <c r="A32" s="56"/>
      <c r="E32" s="56"/>
    </row>
    <row r="33" spans="1:5" s="55" customFormat="1">
      <c r="A33" s="56"/>
      <c r="E33" s="56"/>
    </row>
    <row r="34" spans="1:5" s="55" customFormat="1">
      <c r="A34" s="56"/>
      <c r="E34" s="56"/>
    </row>
    <row r="35" spans="1:5" s="55" customFormat="1">
      <c r="A35" s="56"/>
      <c r="E35" s="56"/>
    </row>
    <row r="36" spans="1:5" s="55" customFormat="1">
      <c r="A36" s="56"/>
      <c r="E36" s="56"/>
    </row>
    <row r="37" spans="1:5" s="55" customFormat="1">
      <c r="A37" s="56"/>
      <c r="E37" s="56"/>
    </row>
    <row r="38" spans="1:5" s="55" customFormat="1">
      <c r="A38" s="56"/>
      <c r="E38" s="56"/>
    </row>
    <row r="39" spans="1:5" s="55" customFormat="1">
      <c r="A39" s="56"/>
      <c r="E39" s="56"/>
    </row>
    <row r="40" spans="1:5" s="55" customFormat="1">
      <c r="A40" s="56"/>
      <c r="E40" s="56"/>
    </row>
    <row r="41" spans="1:5" s="55" customFormat="1">
      <c r="A41" s="56"/>
      <c r="E41" s="56"/>
    </row>
    <row r="42" spans="1:5" s="55" customFormat="1">
      <c r="A42" s="56"/>
      <c r="E42" s="56"/>
    </row>
    <row r="43" spans="1:5" s="55" customFormat="1">
      <c r="A43" s="56"/>
      <c r="E43" s="56"/>
    </row>
    <row r="44" spans="1:5" s="55" customFormat="1">
      <c r="A44" s="56"/>
      <c r="E44" s="56"/>
    </row>
    <row r="45" spans="1:5" s="55" customFormat="1">
      <c r="A45" s="56"/>
      <c r="E45" s="56"/>
    </row>
    <row r="46" spans="1:5" s="55" customFormat="1">
      <c r="A46" s="56"/>
      <c r="E46" s="56"/>
    </row>
    <row r="47" spans="1:5" s="55" customFormat="1">
      <c r="A47" s="56"/>
      <c r="E47" s="56"/>
    </row>
    <row r="48" spans="1:5" s="55" customFormat="1">
      <c r="A48" s="56"/>
      <c r="E48" s="56"/>
    </row>
    <row r="49" spans="1:5" s="55" customFormat="1">
      <c r="A49" s="56"/>
      <c r="E49" s="56"/>
    </row>
    <row r="50" spans="1:5" s="55" customFormat="1">
      <c r="A50" s="56"/>
      <c r="E50" s="56"/>
    </row>
    <row r="51" spans="1:5" s="55" customFormat="1">
      <c r="A51" s="56"/>
      <c r="E51" s="56"/>
    </row>
    <row r="52" spans="1:5" s="55" customFormat="1">
      <c r="A52" s="56"/>
      <c r="E52" s="56"/>
    </row>
    <row r="53" spans="1:5" s="55" customFormat="1">
      <c r="A53" s="56"/>
      <c r="E53" s="56"/>
    </row>
    <row r="54" spans="1:5" s="55" customFormat="1">
      <c r="A54" s="56"/>
      <c r="E54" s="56"/>
    </row>
    <row r="55" spans="1:5" s="55" customFormat="1">
      <c r="A55" s="56"/>
      <c r="E55" s="56"/>
    </row>
    <row r="56" spans="1:5" s="55" customFormat="1">
      <c r="A56" s="56"/>
      <c r="E56" s="56"/>
    </row>
    <row r="57" spans="1:5" s="55" customFormat="1">
      <c r="A57" s="56"/>
      <c r="E57" s="56"/>
    </row>
    <row r="58" spans="1:5" s="55" customFormat="1">
      <c r="A58" s="56"/>
      <c r="E58" s="56"/>
    </row>
    <row r="59" spans="1:5" s="55" customFormat="1">
      <c r="A59" s="56"/>
      <c r="E59" s="56"/>
    </row>
    <row r="60" spans="1:5" s="55" customFormat="1">
      <c r="A60" s="56"/>
      <c r="E60" s="56"/>
    </row>
    <row r="61" spans="1:5" s="55" customFormat="1">
      <c r="A61" s="56"/>
      <c r="E61" s="56"/>
    </row>
    <row r="62" spans="1:5" s="55" customFormat="1">
      <c r="A62" s="56"/>
      <c r="E62" s="56"/>
    </row>
    <row r="63" spans="1:5" s="55" customFormat="1">
      <c r="A63" s="56"/>
      <c r="E63" s="56"/>
    </row>
    <row r="64" spans="1:5" s="55" customFormat="1">
      <c r="A64" s="56"/>
      <c r="E64" s="56"/>
    </row>
    <row r="65" spans="1:5" s="55" customFormat="1">
      <c r="A65" s="56"/>
      <c r="E65" s="56"/>
    </row>
    <row r="66" spans="1:5" s="55" customFormat="1">
      <c r="A66" s="56"/>
      <c r="E66" s="56"/>
    </row>
    <row r="67" spans="1:5" s="55" customFormat="1">
      <c r="A67" s="56"/>
      <c r="E67" s="56"/>
    </row>
    <row r="68" spans="1:5" s="55" customFormat="1">
      <c r="A68" s="56"/>
      <c r="E68" s="56"/>
    </row>
    <row r="69" spans="1:5" s="55" customFormat="1">
      <c r="A69" s="56"/>
      <c r="E69" s="56"/>
    </row>
    <row r="70" spans="1:5" s="55" customFormat="1">
      <c r="A70" s="56"/>
      <c r="E70" s="56"/>
    </row>
    <row r="71" spans="1:5" s="55" customFormat="1">
      <c r="A71" s="56"/>
      <c r="E71" s="56"/>
    </row>
    <row r="72" spans="1:5" s="55" customFormat="1">
      <c r="A72" s="56"/>
      <c r="E72" s="56"/>
    </row>
    <row r="73" spans="1:5" s="55" customFormat="1">
      <c r="A73" s="56"/>
      <c r="E73" s="56"/>
    </row>
    <row r="74" spans="1:5" s="55" customFormat="1">
      <c r="A74" s="56"/>
      <c r="E74" s="56"/>
    </row>
    <row r="75" spans="1:5" s="55" customFormat="1">
      <c r="A75" s="56"/>
      <c r="E75" s="56"/>
    </row>
    <row r="76" spans="1:5" s="55" customFormat="1">
      <c r="A76" s="56"/>
      <c r="E76" s="56"/>
    </row>
    <row r="77" spans="1:5" s="55" customFormat="1">
      <c r="A77" s="56"/>
      <c r="E77" s="56"/>
    </row>
    <row r="78" spans="1:5" s="55" customFormat="1">
      <c r="A78" s="56"/>
      <c r="E78" s="56"/>
    </row>
    <row r="79" spans="1:5" s="55" customFormat="1">
      <c r="A79" s="56"/>
      <c r="E79" s="56"/>
    </row>
    <row r="80" spans="1:5" s="55" customFormat="1">
      <c r="A80" s="56"/>
      <c r="E80" s="56"/>
    </row>
    <row r="81" spans="1:5" s="55" customFormat="1">
      <c r="A81" s="56"/>
      <c r="E81" s="56"/>
    </row>
    <row r="82" spans="1:5" s="55" customFormat="1">
      <c r="A82" s="56"/>
      <c r="E82" s="56"/>
    </row>
    <row r="83" spans="1:5" s="55" customFormat="1">
      <c r="A83" s="56"/>
      <c r="E83" s="56"/>
    </row>
    <row r="84" spans="1:5" s="55" customFormat="1">
      <c r="A84" s="56"/>
      <c r="E84" s="56"/>
    </row>
    <row r="85" spans="1:5" s="55" customFormat="1">
      <c r="A85" s="56"/>
      <c r="E85" s="56"/>
    </row>
    <row r="86" spans="1:5" s="55" customFormat="1">
      <c r="A86" s="56"/>
      <c r="E86" s="56"/>
    </row>
    <row r="87" spans="1:5" s="55" customFormat="1">
      <c r="A87" s="56"/>
      <c r="E87" s="56"/>
    </row>
    <row r="88" spans="1:5" s="55" customFormat="1">
      <c r="A88" s="56"/>
      <c r="E88" s="56"/>
    </row>
    <row r="89" spans="1:5" s="55" customFormat="1">
      <c r="A89" s="56"/>
      <c r="E89" s="56"/>
    </row>
    <row r="90" spans="1:5" s="55" customFormat="1">
      <c r="A90" s="56"/>
      <c r="E90" s="56"/>
    </row>
    <row r="91" spans="1:5" s="55" customFormat="1">
      <c r="A91" s="56"/>
      <c r="E91" s="56"/>
    </row>
  </sheetData>
  <mergeCells count="2">
    <mergeCell ref="A5:C5"/>
    <mergeCell ref="E5:G5"/>
  </mergeCells>
  <printOptions horizontalCentered="1"/>
  <pageMargins left="0.75" right="0.75" top="1" bottom="1" header="0.5" footer="0.5"/>
  <pageSetup orientation="landscape" r:id="rId1"/>
  <headerFooter alignWithMargins="0">
    <oddFooter>&amp;L&amp;F, &amp;A&amp;CPage &amp;P of 1&amp;R&amp;D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Valuation</vt:lpstr>
      <vt:lpstr>Litigation Analysis</vt:lpstr>
      <vt:lpstr>PACE ERCOT Power Pricing</vt:lpstr>
      <vt:lpstr>PACE Waha Natural Gas Pricing</vt:lpstr>
      <vt:lpstr>PACE CPI (1998=100)</vt:lpstr>
      <vt:lpstr>Summary Graph</vt:lpstr>
      <vt:lpstr>'Litigation Analysis'!Print_Area</vt:lpstr>
      <vt:lpstr>'PACE CPI (1998=100)'!Print_Area</vt:lpstr>
      <vt:lpstr>'PACE ERCOT Power Pricing'!Print_Area</vt:lpstr>
      <vt:lpstr>'PACE Waha Natural Gas Pricing'!Print_Area</vt:lpstr>
      <vt:lpstr>Valuation!Print_Area</vt:lpstr>
      <vt:lpstr>Valuation!Print_Titles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2000-11-08T00:04:10Z</cp:lastPrinted>
  <dcterms:created xsi:type="dcterms:W3CDTF">2000-07-17T19:37:10Z</dcterms:created>
  <dcterms:modified xsi:type="dcterms:W3CDTF">2023-09-10T11:35:15Z</dcterms:modified>
</cp:coreProperties>
</file>