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5952" windowHeight="8076" firstSheet="1" activeTab="1"/>
  </bookViews>
  <sheets>
    <sheet name="YTD Mgmt Summary" sheetId="6" state="hidden" r:id="rId1"/>
    <sheet name="QTD Mgmt Summary" sheetId="12" r:id="rId2"/>
    <sheet name="GM-WklyChnge" sheetId="7" state="hidden" r:id="rId3"/>
    <sheet name="GrossMargin" sheetId="8" r:id="rId4"/>
    <sheet name="WeeklyExpChange" sheetId="10" state="hidden" r:id="rId5"/>
    <sheet name="Expenses" sheetId="9" r:id="rId6"/>
    <sheet name="CapChrg" sheetId="11" r:id="rId7"/>
    <sheet name="YTD Mgmt Summary " sheetId="13" r:id="rId8"/>
  </sheets>
  <externalReferences>
    <externalReference r:id="rId9"/>
    <externalReference r:id="rId10"/>
    <externalReference r:id="rId11"/>
  </externalReferences>
  <definedNames>
    <definedName name="_xlnm.Print_Area" localSheetId="6">CapChrg!$A$1:$H$75</definedName>
    <definedName name="_xlnm.Print_Area" localSheetId="5">Expenses!$A$1:$O$91</definedName>
    <definedName name="_xlnm.Print_Area" localSheetId="2">'GM-WklyChnge'!$A$1:$K$68</definedName>
    <definedName name="_xlnm.Print_Area" localSheetId="3">GrossMargin!$A$1:$N$73</definedName>
    <definedName name="_xlnm.Print_Area" localSheetId="1">'QTD Mgmt Summary'!$A$1:$Q$93</definedName>
    <definedName name="_xlnm.Print_Area" localSheetId="4">WeeklyExpChange!$A$1:$J$87</definedName>
    <definedName name="_xlnm.Print_Area" localSheetId="0">'YTD Mgmt Summary'!$A$1:$Q$90</definedName>
    <definedName name="_xlnm.Print_Area" localSheetId="7">'YTD Mgmt Summary '!$A$1:$Q$94</definedName>
  </definedNames>
  <calcPr calcId="92512"/>
</workbook>
</file>

<file path=xl/calcChain.xml><?xml version="1.0" encoding="utf-8"?>
<calcChain xmlns="http://schemas.openxmlformats.org/spreadsheetml/2006/main">
  <c r="A3" i="11" l="1"/>
  <c r="A8" i="11"/>
  <c r="C8" i="11"/>
  <c r="E8" i="11"/>
  <c r="A9" i="11"/>
  <c r="E9" i="11"/>
  <c r="A10" i="11"/>
  <c r="C10" i="11"/>
  <c r="E10" i="11"/>
  <c r="A11" i="11"/>
  <c r="C11" i="11"/>
  <c r="E11" i="11"/>
  <c r="A12" i="11"/>
  <c r="C12" i="11"/>
  <c r="E12" i="11"/>
  <c r="A13" i="11"/>
  <c r="C13" i="11"/>
  <c r="E13" i="11"/>
  <c r="A14" i="11"/>
  <c r="C14" i="11"/>
  <c r="E14" i="11"/>
  <c r="A15" i="11"/>
  <c r="E15" i="11"/>
  <c r="A16" i="11"/>
  <c r="E16" i="11"/>
  <c r="A17" i="11"/>
  <c r="C17" i="11"/>
  <c r="E17" i="11"/>
  <c r="A18" i="11"/>
  <c r="C18" i="11"/>
  <c r="E18" i="11"/>
  <c r="C19" i="11"/>
  <c r="D19" i="11"/>
  <c r="E19" i="11"/>
  <c r="A21" i="11"/>
  <c r="E21" i="11"/>
  <c r="A22" i="11"/>
  <c r="E22" i="11"/>
  <c r="A23" i="11"/>
  <c r="E23" i="11"/>
  <c r="A24" i="11"/>
  <c r="C24" i="11"/>
  <c r="E24" i="11"/>
  <c r="A25" i="11"/>
  <c r="C25" i="11"/>
  <c r="E25" i="11"/>
  <c r="A26" i="11"/>
  <c r="C26" i="11"/>
  <c r="E26" i="11"/>
  <c r="C27" i="11"/>
  <c r="D27" i="11"/>
  <c r="E27" i="11"/>
  <c r="C29" i="11"/>
  <c r="E29" i="11"/>
  <c r="E30" i="11"/>
  <c r="E31" i="11"/>
  <c r="C32" i="11"/>
  <c r="E32" i="11"/>
  <c r="C33" i="11"/>
  <c r="E33" i="11"/>
  <c r="C34" i="11"/>
  <c r="E34" i="11"/>
  <c r="C35" i="11"/>
  <c r="E35" i="11"/>
  <c r="C36" i="11"/>
  <c r="E36" i="11"/>
  <c r="C37" i="11"/>
  <c r="C38" i="11"/>
  <c r="D38" i="11"/>
  <c r="E38" i="11"/>
  <c r="E40" i="11"/>
  <c r="E41" i="11"/>
  <c r="C42" i="11"/>
  <c r="E42" i="11"/>
  <c r="E43" i="11"/>
  <c r="C44" i="11"/>
  <c r="E44" i="11"/>
  <c r="C45" i="11"/>
  <c r="E45" i="11"/>
  <c r="C46" i="11"/>
  <c r="D46" i="11"/>
  <c r="E46" i="11"/>
  <c r="A48" i="11"/>
  <c r="C48" i="11"/>
  <c r="E48" i="11"/>
  <c r="A49" i="11"/>
  <c r="C49" i="11"/>
  <c r="E49" i="11"/>
  <c r="A50" i="11"/>
  <c r="E50" i="11"/>
  <c r="A51" i="11"/>
  <c r="C51" i="11"/>
  <c r="E51" i="11"/>
  <c r="A52" i="11"/>
  <c r="E52" i="11"/>
  <c r="A53" i="11"/>
  <c r="C53" i="11"/>
  <c r="E53" i="11"/>
  <c r="A54" i="11"/>
  <c r="E54" i="11"/>
  <c r="A55" i="11"/>
  <c r="C55" i="11"/>
  <c r="E55" i="11"/>
  <c r="A56" i="11"/>
  <c r="C56" i="11"/>
  <c r="E56" i="11"/>
  <c r="A57" i="11"/>
  <c r="E57" i="11"/>
  <c r="A58" i="11"/>
  <c r="E58" i="11"/>
  <c r="A59" i="11"/>
  <c r="E59" i="11"/>
  <c r="A60" i="11"/>
  <c r="E60" i="11"/>
  <c r="A61" i="11"/>
  <c r="E61" i="11"/>
  <c r="A62" i="11"/>
  <c r="E62" i="11"/>
  <c r="A63" i="11"/>
  <c r="E63" i="11"/>
  <c r="A64" i="11"/>
  <c r="C64" i="11"/>
  <c r="E64" i="11"/>
  <c r="A65" i="11"/>
  <c r="C65" i="11"/>
  <c r="E65" i="11"/>
  <c r="A66" i="11"/>
  <c r="C66" i="11"/>
  <c r="E66" i="11"/>
  <c r="C67" i="11"/>
  <c r="E67" i="11"/>
  <c r="C68" i="11"/>
  <c r="D68" i="11"/>
  <c r="E68" i="11"/>
  <c r="E70" i="11"/>
  <c r="C71" i="11"/>
  <c r="D71" i="11"/>
  <c r="E71" i="11"/>
  <c r="C72" i="11"/>
  <c r="D72" i="11"/>
  <c r="E72" i="11"/>
  <c r="C74" i="11"/>
  <c r="D74" i="11"/>
  <c r="E74" i="11"/>
  <c r="D76" i="11"/>
  <c r="D77" i="11"/>
  <c r="O91" i="11"/>
  <c r="P91" i="11"/>
  <c r="A3" i="9"/>
  <c r="A8" i="9"/>
  <c r="C8" i="9"/>
  <c r="E8" i="9"/>
  <c r="I8" i="9"/>
  <c r="A9" i="9"/>
  <c r="C9" i="9"/>
  <c r="E9" i="9"/>
  <c r="I9" i="9"/>
  <c r="A10" i="9"/>
  <c r="C10" i="9"/>
  <c r="E10" i="9"/>
  <c r="I10" i="9"/>
  <c r="A11" i="9"/>
  <c r="C11" i="9"/>
  <c r="E11" i="9"/>
  <c r="I11" i="9"/>
  <c r="A12" i="9"/>
  <c r="C12" i="9"/>
  <c r="E12" i="9"/>
  <c r="A13" i="9"/>
  <c r="C13" i="9"/>
  <c r="E13" i="9"/>
  <c r="A14" i="9"/>
  <c r="C14" i="9"/>
  <c r="E14" i="9"/>
  <c r="A15" i="9"/>
  <c r="C15" i="9"/>
  <c r="E15" i="9"/>
  <c r="I15" i="9"/>
  <c r="A16" i="9"/>
  <c r="C16" i="9"/>
  <c r="E16" i="9"/>
  <c r="A17" i="9"/>
  <c r="C17" i="9"/>
  <c r="E17" i="9"/>
  <c r="A18" i="9"/>
  <c r="C18" i="9"/>
  <c r="E18" i="9"/>
  <c r="C19" i="9"/>
  <c r="D19" i="9"/>
  <c r="E19" i="9"/>
  <c r="G19" i="9"/>
  <c r="H19" i="9"/>
  <c r="I19" i="9"/>
  <c r="A21" i="9"/>
  <c r="C21" i="9"/>
  <c r="E21" i="9"/>
  <c r="I21" i="9"/>
  <c r="A22" i="9"/>
  <c r="C22" i="9"/>
  <c r="E22" i="9"/>
  <c r="I22" i="9"/>
  <c r="A23" i="9"/>
  <c r="C23" i="9"/>
  <c r="E23" i="9"/>
  <c r="I23" i="9"/>
  <c r="A24" i="9"/>
  <c r="C24" i="9"/>
  <c r="E24" i="9"/>
  <c r="I24" i="9"/>
  <c r="A25" i="9"/>
  <c r="C25" i="9"/>
  <c r="E25" i="9"/>
  <c r="A26" i="9"/>
  <c r="C26" i="9"/>
  <c r="E26" i="9"/>
  <c r="I26" i="9"/>
  <c r="C27" i="9"/>
  <c r="D27" i="9"/>
  <c r="E27" i="9"/>
  <c r="G27" i="9"/>
  <c r="H27" i="9"/>
  <c r="I27" i="9"/>
  <c r="C29" i="9"/>
  <c r="E29" i="9"/>
  <c r="I29" i="9"/>
  <c r="C30" i="9"/>
  <c r="E30" i="9"/>
  <c r="I30" i="9"/>
  <c r="C31" i="9"/>
  <c r="E31" i="9"/>
  <c r="I31" i="9"/>
  <c r="C32" i="9"/>
  <c r="E32" i="9"/>
  <c r="I32" i="9"/>
  <c r="C33" i="9"/>
  <c r="E33" i="9"/>
  <c r="C34" i="9"/>
  <c r="E34" i="9"/>
  <c r="I34" i="9"/>
  <c r="C35" i="9"/>
  <c r="E35" i="9"/>
  <c r="C36" i="9"/>
  <c r="E36" i="9"/>
  <c r="C37" i="9"/>
  <c r="I37" i="9"/>
  <c r="C38" i="9"/>
  <c r="D38" i="9"/>
  <c r="E38" i="9"/>
  <c r="G38" i="9"/>
  <c r="H38" i="9"/>
  <c r="I38" i="9"/>
  <c r="C40" i="9"/>
  <c r="E40" i="9"/>
  <c r="I40" i="9"/>
  <c r="C41" i="9"/>
  <c r="E41" i="9"/>
  <c r="I41" i="9"/>
  <c r="C42" i="9"/>
  <c r="E42" i="9"/>
  <c r="I42" i="9"/>
  <c r="C43" i="9"/>
  <c r="E43" i="9"/>
  <c r="I43" i="9"/>
  <c r="C44" i="9"/>
  <c r="E44" i="9"/>
  <c r="I44" i="9"/>
  <c r="C45" i="9"/>
  <c r="E45" i="9"/>
  <c r="I45" i="9"/>
  <c r="C46" i="9"/>
  <c r="D46" i="9"/>
  <c r="E46" i="9"/>
  <c r="G46" i="9"/>
  <c r="H46" i="9"/>
  <c r="I46" i="9"/>
  <c r="A48" i="9"/>
  <c r="E48" i="9"/>
  <c r="I48" i="9"/>
  <c r="A49" i="9"/>
  <c r="E49" i="9"/>
  <c r="I49" i="9"/>
  <c r="A50" i="9"/>
  <c r="E50" i="9"/>
  <c r="I50" i="9"/>
  <c r="A51" i="9"/>
  <c r="E51" i="9"/>
  <c r="G51" i="9"/>
  <c r="I51" i="9"/>
  <c r="A52" i="9"/>
  <c r="C52" i="9"/>
  <c r="E52" i="9"/>
  <c r="G52" i="9"/>
  <c r="I52" i="9"/>
  <c r="A53" i="9"/>
  <c r="E53" i="9"/>
  <c r="G53" i="9"/>
  <c r="I53" i="9"/>
  <c r="A54" i="9"/>
  <c r="C54" i="9"/>
  <c r="E54" i="9"/>
  <c r="G54" i="9"/>
  <c r="I54" i="9"/>
  <c r="A55" i="9"/>
  <c r="E55" i="9"/>
  <c r="I55" i="9"/>
  <c r="A56" i="9"/>
  <c r="E56" i="9"/>
  <c r="G56" i="9"/>
  <c r="I56" i="9"/>
  <c r="A57" i="9"/>
  <c r="C57" i="9"/>
  <c r="E57" i="9"/>
  <c r="G57" i="9"/>
  <c r="I57" i="9"/>
  <c r="A58" i="9"/>
  <c r="E58" i="9"/>
  <c r="G58" i="9"/>
  <c r="I58" i="9"/>
  <c r="A59" i="9"/>
  <c r="E59" i="9"/>
  <c r="G59" i="9"/>
  <c r="I59" i="9"/>
  <c r="A60" i="9"/>
  <c r="E60" i="9"/>
  <c r="G60" i="9"/>
  <c r="I60" i="9"/>
  <c r="A61" i="9"/>
  <c r="C61" i="9"/>
  <c r="E61" i="9"/>
  <c r="G61" i="9"/>
  <c r="I61" i="9"/>
  <c r="A62" i="9"/>
  <c r="C62" i="9"/>
  <c r="E62" i="9"/>
  <c r="A63" i="9"/>
  <c r="E63" i="9"/>
  <c r="I63" i="9"/>
  <c r="A64" i="9"/>
  <c r="C64" i="9"/>
  <c r="E64" i="9"/>
  <c r="G64" i="9"/>
  <c r="I64" i="9"/>
  <c r="A65" i="9"/>
  <c r="C65" i="9"/>
  <c r="E65" i="9"/>
  <c r="G65" i="9"/>
  <c r="I65" i="9"/>
  <c r="A66" i="9"/>
  <c r="C66" i="9"/>
  <c r="E66" i="9"/>
  <c r="G66" i="9"/>
  <c r="I66" i="9"/>
  <c r="C67" i="9"/>
  <c r="D67" i="9"/>
  <c r="E67" i="9"/>
  <c r="G67" i="9"/>
  <c r="I67" i="9"/>
  <c r="C68" i="9"/>
  <c r="D68" i="9"/>
  <c r="E68" i="9"/>
  <c r="G68" i="9"/>
  <c r="H68" i="9"/>
  <c r="I68" i="9"/>
  <c r="C70" i="9"/>
  <c r="E70" i="9"/>
  <c r="I70" i="9"/>
  <c r="C71" i="9"/>
  <c r="E71" i="9"/>
  <c r="I71" i="9"/>
  <c r="C72" i="9"/>
  <c r="E72" i="9"/>
  <c r="I72" i="9"/>
  <c r="C73" i="9"/>
  <c r="E73" i="9"/>
  <c r="I73" i="9"/>
  <c r="C74" i="9"/>
  <c r="E74" i="9"/>
  <c r="I74" i="9"/>
  <c r="C75" i="9"/>
  <c r="E75" i="9"/>
  <c r="I75" i="9"/>
  <c r="C76" i="9"/>
  <c r="E76" i="9"/>
  <c r="I76" i="9"/>
  <c r="C77" i="9"/>
  <c r="E77" i="9"/>
  <c r="I77" i="9"/>
  <c r="C78" i="9"/>
  <c r="E78" i="9"/>
  <c r="I78" i="9"/>
  <c r="C79" i="9"/>
  <c r="E79" i="9"/>
  <c r="I79" i="9"/>
  <c r="C80" i="9"/>
  <c r="E80" i="9"/>
  <c r="I80" i="9"/>
  <c r="C81" i="9"/>
  <c r="E81" i="9"/>
  <c r="I81" i="9"/>
  <c r="C82" i="9"/>
  <c r="E82" i="9"/>
  <c r="I82" i="9"/>
  <c r="D83" i="9"/>
  <c r="E83" i="9"/>
  <c r="I83" i="9"/>
  <c r="C84" i="9"/>
  <c r="D84" i="9"/>
  <c r="E84" i="9"/>
  <c r="G84" i="9"/>
  <c r="H84" i="9"/>
  <c r="I84" i="9"/>
  <c r="C85" i="9"/>
  <c r="E85" i="9"/>
  <c r="I85" i="9"/>
  <c r="C86" i="9"/>
  <c r="E86" i="9"/>
  <c r="I86" i="9"/>
  <c r="C87" i="9"/>
  <c r="D87" i="9"/>
  <c r="E87" i="9"/>
  <c r="G87" i="9"/>
  <c r="H87" i="9"/>
  <c r="I87" i="9"/>
  <c r="E88" i="9"/>
  <c r="I88" i="9"/>
  <c r="C89" i="9"/>
  <c r="D89" i="9"/>
  <c r="E89" i="9"/>
  <c r="G89" i="9"/>
  <c r="H89" i="9"/>
  <c r="I89" i="9"/>
  <c r="O91" i="9"/>
  <c r="P91" i="9"/>
  <c r="H9" i="7"/>
  <c r="K9" i="7"/>
  <c r="D10" i="7"/>
  <c r="E10" i="7"/>
  <c r="F10" i="7"/>
  <c r="G10" i="7"/>
  <c r="H10" i="7"/>
  <c r="K10" i="7"/>
  <c r="H11" i="7"/>
  <c r="J11" i="7"/>
  <c r="K11" i="7"/>
  <c r="H12" i="7"/>
  <c r="K12" i="7"/>
  <c r="H13" i="7"/>
  <c r="K13" i="7"/>
  <c r="H14" i="7"/>
  <c r="K14" i="7"/>
  <c r="H15" i="7"/>
  <c r="K15" i="7"/>
  <c r="H16" i="7"/>
  <c r="K16" i="7"/>
  <c r="C18" i="7"/>
  <c r="D18" i="7"/>
  <c r="E18" i="7"/>
  <c r="F18" i="7"/>
  <c r="G18" i="7"/>
  <c r="H18" i="7"/>
  <c r="I18" i="7"/>
  <c r="J18" i="7"/>
  <c r="K18" i="7"/>
  <c r="H20" i="7"/>
  <c r="K20" i="7"/>
  <c r="H21" i="7"/>
  <c r="K21" i="7"/>
  <c r="H22" i="7"/>
  <c r="K22" i="7"/>
  <c r="H23" i="7"/>
  <c r="K23" i="7"/>
  <c r="H24" i="7"/>
  <c r="K24" i="7"/>
  <c r="H25" i="7"/>
  <c r="K25" i="7"/>
  <c r="C26" i="7"/>
  <c r="D26" i="7"/>
  <c r="E26" i="7"/>
  <c r="F26" i="7"/>
  <c r="G26" i="7"/>
  <c r="H26" i="7"/>
  <c r="I26" i="7"/>
  <c r="J26" i="7"/>
  <c r="K26" i="7"/>
  <c r="H28" i="7"/>
  <c r="K28" i="7"/>
  <c r="H29" i="7"/>
  <c r="K29" i="7"/>
  <c r="H30" i="7"/>
  <c r="K30" i="7"/>
  <c r="H31" i="7"/>
  <c r="K31" i="7"/>
  <c r="H32" i="7"/>
  <c r="K32" i="7"/>
  <c r="H33" i="7"/>
  <c r="K33" i="7"/>
  <c r="H34" i="7"/>
  <c r="K34" i="7"/>
  <c r="H35" i="7"/>
  <c r="K35" i="7"/>
  <c r="H36" i="7"/>
  <c r="K36" i="7"/>
  <c r="C37" i="7"/>
  <c r="D37" i="7"/>
  <c r="E37" i="7"/>
  <c r="F37" i="7"/>
  <c r="G37" i="7"/>
  <c r="H37" i="7"/>
  <c r="I37" i="7"/>
  <c r="J37" i="7"/>
  <c r="K37" i="7"/>
  <c r="H39" i="7"/>
  <c r="K39" i="7"/>
  <c r="H40" i="7"/>
  <c r="K40" i="7"/>
  <c r="H41" i="7"/>
  <c r="K41" i="7"/>
  <c r="H42" i="7"/>
  <c r="K42" i="7"/>
  <c r="H43" i="7"/>
  <c r="K43" i="7"/>
  <c r="H44" i="7"/>
  <c r="K44" i="7"/>
  <c r="C45" i="7"/>
  <c r="D45" i="7"/>
  <c r="E45" i="7"/>
  <c r="F45" i="7"/>
  <c r="G45" i="7"/>
  <c r="H45" i="7"/>
  <c r="I45" i="7"/>
  <c r="J45" i="7"/>
  <c r="K45" i="7"/>
  <c r="H47" i="7"/>
  <c r="K47" i="7"/>
  <c r="H48" i="7"/>
  <c r="K48" i="7"/>
  <c r="H49" i="7"/>
  <c r="K49" i="7"/>
  <c r="H50" i="7"/>
  <c r="K50" i="7"/>
  <c r="H51" i="7"/>
  <c r="K51" i="7"/>
  <c r="H52" i="7"/>
  <c r="K52" i="7"/>
  <c r="H53" i="7"/>
  <c r="K53" i="7"/>
  <c r="H54" i="7"/>
  <c r="K54" i="7"/>
  <c r="H55" i="7"/>
  <c r="K55" i="7"/>
  <c r="H56" i="7"/>
  <c r="K56" i="7"/>
  <c r="H57" i="7"/>
  <c r="K57" i="7"/>
  <c r="H58" i="7"/>
  <c r="K58" i="7"/>
  <c r="H59" i="7"/>
  <c r="K59" i="7"/>
  <c r="H60" i="7"/>
  <c r="K60" i="7"/>
  <c r="H61" i="7"/>
  <c r="K61" i="7"/>
  <c r="H62" i="7"/>
  <c r="K62" i="7"/>
  <c r="H63" i="7"/>
  <c r="K63" i="7"/>
  <c r="H64" i="7"/>
  <c r="K64" i="7"/>
  <c r="H65" i="7"/>
  <c r="K65" i="7"/>
  <c r="C66" i="7"/>
  <c r="D66" i="7"/>
  <c r="E66" i="7"/>
  <c r="F66" i="7"/>
  <c r="G66" i="7"/>
  <c r="H66" i="7"/>
  <c r="I66" i="7"/>
  <c r="J66" i="7"/>
  <c r="K66" i="7"/>
  <c r="G3" i="8"/>
  <c r="A8" i="8"/>
  <c r="I8" i="8"/>
  <c r="L8" i="8"/>
  <c r="M8" i="8"/>
  <c r="N8" i="8"/>
  <c r="A9" i="8"/>
  <c r="I9" i="8"/>
  <c r="L9" i="8"/>
  <c r="M9" i="8"/>
  <c r="N9" i="8"/>
  <c r="A10" i="8"/>
  <c r="I10" i="8"/>
  <c r="L10" i="8"/>
  <c r="M10" i="8"/>
  <c r="N10" i="8"/>
  <c r="A11" i="8"/>
  <c r="I11" i="8"/>
  <c r="L11" i="8"/>
  <c r="M11" i="8"/>
  <c r="N11" i="8"/>
  <c r="A12" i="8"/>
  <c r="I12" i="8"/>
  <c r="L12" i="8"/>
  <c r="M12" i="8"/>
  <c r="N12" i="8"/>
  <c r="A13" i="8"/>
  <c r="I13" i="8"/>
  <c r="L13" i="8"/>
  <c r="N13" i="8"/>
  <c r="A14" i="8"/>
  <c r="I14" i="8"/>
  <c r="L14" i="8"/>
  <c r="N14" i="8"/>
  <c r="A15" i="8"/>
  <c r="I15" i="8"/>
  <c r="L15" i="8"/>
  <c r="M15" i="8"/>
  <c r="N15" i="8"/>
  <c r="A16" i="8"/>
  <c r="I16" i="8"/>
  <c r="L16" i="8"/>
  <c r="M16" i="8"/>
  <c r="N16" i="8"/>
  <c r="A17" i="8"/>
  <c r="I17" i="8"/>
  <c r="L17" i="8"/>
  <c r="M17" i="8"/>
  <c r="N17" i="8"/>
  <c r="A18" i="8"/>
  <c r="I18" i="8"/>
  <c r="L18" i="8"/>
  <c r="M18" i="8"/>
  <c r="N18" i="8"/>
  <c r="C19" i="8"/>
  <c r="D19" i="8"/>
  <c r="E19" i="8"/>
  <c r="F19" i="8"/>
  <c r="G19" i="8"/>
  <c r="H19" i="8"/>
  <c r="I19" i="8"/>
  <c r="J19" i="8"/>
  <c r="K19" i="8"/>
  <c r="L19" i="8"/>
  <c r="M19" i="8"/>
  <c r="N19" i="8"/>
  <c r="A21" i="8"/>
  <c r="I21" i="8"/>
  <c r="L21" i="8"/>
  <c r="N21" i="8"/>
  <c r="A22" i="8"/>
  <c r="I22" i="8"/>
  <c r="L22" i="8"/>
  <c r="N22" i="8"/>
  <c r="A23" i="8"/>
  <c r="I23" i="8"/>
  <c r="L23" i="8"/>
  <c r="N23" i="8"/>
  <c r="A24" i="8"/>
  <c r="I24" i="8"/>
  <c r="L24" i="8"/>
  <c r="N24" i="8"/>
  <c r="A25" i="8"/>
  <c r="I25" i="8"/>
  <c r="L25" i="8"/>
  <c r="N25" i="8"/>
  <c r="A26" i="8"/>
  <c r="I26" i="8"/>
  <c r="L26" i="8"/>
  <c r="M26" i="8"/>
  <c r="N26" i="8"/>
  <c r="C27" i="8"/>
  <c r="D27" i="8"/>
  <c r="E27" i="8"/>
  <c r="F27" i="8"/>
  <c r="G27" i="8"/>
  <c r="H27" i="8"/>
  <c r="I27" i="8"/>
  <c r="J27" i="8"/>
  <c r="K27" i="8"/>
  <c r="L27" i="8"/>
  <c r="M27" i="8"/>
  <c r="N27" i="8"/>
  <c r="I29" i="8"/>
  <c r="L29" i="8"/>
  <c r="N29" i="8"/>
  <c r="I30" i="8"/>
  <c r="L30" i="8"/>
  <c r="N30" i="8"/>
  <c r="I31" i="8"/>
  <c r="L31" i="8"/>
  <c r="N31" i="8"/>
  <c r="I32" i="8"/>
  <c r="L32" i="8"/>
  <c r="N32" i="8"/>
  <c r="I33" i="8"/>
  <c r="L33" i="8"/>
  <c r="N33" i="8"/>
  <c r="I34" i="8"/>
  <c r="L34" i="8"/>
  <c r="N34" i="8"/>
  <c r="I35" i="8"/>
  <c r="L35" i="8"/>
  <c r="N35" i="8"/>
  <c r="I36" i="8"/>
  <c r="L36" i="8"/>
  <c r="N36" i="8"/>
  <c r="I37" i="8"/>
  <c r="L37" i="8"/>
  <c r="N37" i="8"/>
  <c r="C38" i="8"/>
  <c r="D38" i="8"/>
  <c r="E38" i="8"/>
  <c r="F38" i="8"/>
  <c r="G38" i="8"/>
  <c r="H38" i="8"/>
  <c r="I38" i="8"/>
  <c r="J38" i="8"/>
  <c r="K38" i="8"/>
  <c r="L38" i="8"/>
  <c r="M38" i="8"/>
  <c r="N38" i="8"/>
  <c r="I40" i="8"/>
  <c r="L40" i="8"/>
  <c r="N40" i="8"/>
  <c r="I41" i="8"/>
  <c r="L41" i="8"/>
  <c r="N41" i="8"/>
  <c r="I42" i="8"/>
  <c r="L42" i="8"/>
  <c r="N42" i="8"/>
  <c r="I43" i="8"/>
  <c r="L43" i="8"/>
  <c r="N43" i="8"/>
  <c r="I44" i="8"/>
  <c r="L44" i="8"/>
  <c r="N44" i="8"/>
  <c r="I45" i="8"/>
  <c r="L45" i="8"/>
  <c r="N45" i="8"/>
  <c r="I46" i="8"/>
  <c r="L46" i="8"/>
  <c r="N46" i="8"/>
  <c r="C47" i="8"/>
  <c r="D47" i="8"/>
  <c r="E47" i="8"/>
  <c r="F47" i="8"/>
  <c r="G47" i="8"/>
  <c r="H47" i="8"/>
  <c r="I47" i="8"/>
  <c r="J47" i="8"/>
  <c r="K47" i="8"/>
  <c r="L47" i="8"/>
  <c r="M47" i="8"/>
  <c r="N47" i="8"/>
  <c r="A49" i="8"/>
  <c r="I49" i="8"/>
  <c r="L49" i="8"/>
  <c r="N49" i="8"/>
  <c r="A50" i="8"/>
  <c r="I50" i="8"/>
  <c r="L50" i="8"/>
  <c r="N50" i="8"/>
  <c r="A51" i="8"/>
  <c r="I51" i="8"/>
  <c r="L51" i="8"/>
  <c r="N51" i="8"/>
  <c r="A52" i="8"/>
  <c r="I52" i="8"/>
  <c r="L52" i="8"/>
  <c r="N52" i="8"/>
  <c r="A53" i="8"/>
  <c r="I53" i="8"/>
  <c r="L53" i="8"/>
  <c r="N53" i="8"/>
  <c r="A54" i="8"/>
  <c r="I54" i="8"/>
  <c r="L54" i="8"/>
  <c r="N54" i="8"/>
  <c r="A55" i="8"/>
  <c r="I55" i="8"/>
  <c r="L55" i="8"/>
  <c r="N55" i="8"/>
  <c r="A56" i="8"/>
  <c r="I56" i="8"/>
  <c r="L56" i="8"/>
  <c r="N56" i="8"/>
  <c r="A57" i="8"/>
  <c r="I57" i="8"/>
  <c r="L57" i="8"/>
  <c r="M57" i="8"/>
  <c r="N57" i="8"/>
  <c r="A58" i="8"/>
  <c r="I58" i="8"/>
  <c r="L58" i="8"/>
  <c r="N58" i="8"/>
  <c r="A59" i="8"/>
  <c r="I59" i="8"/>
  <c r="L59" i="8"/>
  <c r="N59" i="8"/>
  <c r="A60" i="8"/>
  <c r="I60" i="8"/>
  <c r="L60" i="8"/>
  <c r="N60" i="8"/>
  <c r="A61" i="8"/>
  <c r="I61" i="8"/>
  <c r="L61" i="8"/>
  <c r="N61" i="8"/>
  <c r="A62" i="8"/>
  <c r="I62" i="8"/>
  <c r="L62" i="8"/>
  <c r="M62" i="8"/>
  <c r="N62" i="8"/>
  <c r="A63" i="8"/>
  <c r="I63" i="8"/>
  <c r="N63" i="8"/>
  <c r="A64" i="8"/>
  <c r="I64" i="8"/>
  <c r="L64" i="8"/>
  <c r="N64" i="8"/>
  <c r="A65" i="8"/>
  <c r="C65" i="8"/>
  <c r="I65" i="8"/>
  <c r="L65" i="8"/>
  <c r="N65" i="8"/>
  <c r="A66" i="8"/>
  <c r="H66" i="8"/>
  <c r="I66" i="8"/>
  <c r="L66" i="8"/>
  <c r="N66" i="8"/>
  <c r="A67" i="8"/>
  <c r="I67" i="8"/>
  <c r="L67" i="8"/>
  <c r="N67" i="8"/>
  <c r="I68" i="8"/>
  <c r="L68" i="8"/>
  <c r="N68" i="8"/>
  <c r="I69" i="8"/>
  <c r="L69" i="8"/>
  <c r="M69" i="8"/>
  <c r="N69" i="8"/>
  <c r="C71" i="8"/>
  <c r="D71" i="8"/>
  <c r="E71" i="8"/>
  <c r="F71" i="8"/>
  <c r="G71" i="8"/>
  <c r="H71" i="8"/>
  <c r="I71" i="8"/>
  <c r="J71" i="8"/>
  <c r="K71" i="8"/>
  <c r="L71" i="8"/>
  <c r="M71" i="8"/>
  <c r="N71" i="8"/>
  <c r="O91" i="8"/>
  <c r="P91" i="8"/>
  <c r="C10" i="12"/>
  <c r="D10" i="12"/>
  <c r="E10" i="12"/>
  <c r="G10" i="12"/>
  <c r="H10" i="12"/>
  <c r="I10" i="12"/>
  <c r="K10" i="12"/>
  <c r="L10" i="12"/>
  <c r="M10" i="12"/>
  <c r="O10" i="12"/>
  <c r="P10" i="12"/>
  <c r="Q10" i="12"/>
  <c r="C11" i="12"/>
  <c r="D11" i="12"/>
  <c r="E11" i="12"/>
  <c r="G11" i="12"/>
  <c r="H11" i="12"/>
  <c r="I11" i="12"/>
  <c r="K11" i="12"/>
  <c r="L11" i="12"/>
  <c r="M11" i="12"/>
  <c r="O11" i="12"/>
  <c r="P11" i="12"/>
  <c r="Q11" i="12"/>
  <c r="C12" i="12"/>
  <c r="D12" i="12"/>
  <c r="E12" i="12"/>
  <c r="G12" i="12"/>
  <c r="H12" i="12"/>
  <c r="I12" i="12"/>
  <c r="K12" i="12"/>
  <c r="L12" i="12"/>
  <c r="M12" i="12"/>
  <c r="O12" i="12"/>
  <c r="P12" i="12"/>
  <c r="Q12" i="12"/>
  <c r="C13" i="12"/>
  <c r="D13" i="12"/>
  <c r="E13" i="12"/>
  <c r="G13" i="12"/>
  <c r="H13" i="12"/>
  <c r="I13" i="12"/>
  <c r="K13" i="12"/>
  <c r="L13" i="12"/>
  <c r="M13" i="12"/>
  <c r="O13" i="12"/>
  <c r="P13" i="12"/>
  <c r="Q13" i="12"/>
  <c r="C14" i="12"/>
  <c r="D14" i="12"/>
  <c r="E14" i="12"/>
  <c r="G14" i="12"/>
  <c r="H14" i="12"/>
  <c r="I14" i="12"/>
  <c r="K14" i="12"/>
  <c r="L14" i="12"/>
  <c r="M14" i="12"/>
  <c r="O14" i="12"/>
  <c r="P14" i="12"/>
  <c r="Q14" i="12"/>
  <c r="C15" i="12"/>
  <c r="D15" i="12"/>
  <c r="E15" i="12"/>
  <c r="G15" i="12"/>
  <c r="H15" i="12"/>
  <c r="I15" i="12"/>
  <c r="K15" i="12"/>
  <c r="L15" i="12"/>
  <c r="M15" i="12"/>
  <c r="O15" i="12"/>
  <c r="P15" i="12"/>
  <c r="Q15" i="12"/>
  <c r="C16" i="12"/>
  <c r="D16" i="12"/>
  <c r="E16" i="12"/>
  <c r="G16" i="12"/>
  <c r="H16" i="12"/>
  <c r="I16" i="12"/>
  <c r="K16" i="12"/>
  <c r="L16" i="12"/>
  <c r="M16" i="12"/>
  <c r="O16" i="12"/>
  <c r="P16" i="12"/>
  <c r="Q16" i="12"/>
  <c r="C17" i="12"/>
  <c r="D17" i="12"/>
  <c r="E17" i="12"/>
  <c r="G17" i="12"/>
  <c r="H17" i="12"/>
  <c r="I17" i="12"/>
  <c r="K17" i="12"/>
  <c r="L17" i="12"/>
  <c r="M17" i="12"/>
  <c r="O17" i="12"/>
  <c r="P17" i="12"/>
  <c r="Q17" i="12"/>
  <c r="C18" i="12"/>
  <c r="D18" i="12"/>
  <c r="E18" i="12"/>
  <c r="G18" i="12"/>
  <c r="H18" i="12"/>
  <c r="I18" i="12"/>
  <c r="K18" i="12"/>
  <c r="L18" i="12"/>
  <c r="M18" i="12"/>
  <c r="O18" i="12"/>
  <c r="P18" i="12"/>
  <c r="Q18" i="12"/>
  <c r="C19" i="12"/>
  <c r="D19" i="12"/>
  <c r="E19" i="12"/>
  <c r="G19" i="12"/>
  <c r="H19" i="12"/>
  <c r="I19" i="12"/>
  <c r="K19" i="12"/>
  <c r="L19" i="12"/>
  <c r="M19" i="12"/>
  <c r="O19" i="12"/>
  <c r="P19" i="12"/>
  <c r="Q19" i="12"/>
  <c r="C20" i="12"/>
  <c r="D20" i="12"/>
  <c r="E20" i="12"/>
  <c r="G20" i="12"/>
  <c r="H20" i="12"/>
  <c r="I20" i="12"/>
  <c r="K20" i="12"/>
  <c r="L20" i="12"/>
  <c r="M20" i="12"/>
  <c r="O20" i="12"/>
  <c r="P20" i="12"/>
  <c r="Q20" i="12"/>
  <c r="C21" i="12"/>
  <c r="D21" i="12"/>
  <c r="E21" i="12"/>
  <c r="G21" i="12"/>
  <c r="H21" i="12"/>
  <c r="I21" i="12"/>
  <c r="K21" i="12"/>
  <c r="L21" i="12"/>
  <c r="M21" i="12"/>
  <c r="O21" i="12"/>
  <c r="P21" i="12"/>
  <c r="Q21" i="12"/>
  <c r="C23" i="12"/>
  <c r="D23" i="12"/>
  <c r="E23" i="12"/>
  <c r="G23" i="12"/>
  <c r="H23" i="12"/>
  <c r="I23" i="12"/>
  <c r="K23" i="12"/>
  <c r="L23" i="12"/>
  <c r="M23" i="12"/>
  <c r="O23" i="12"/>
  <c r="P23" i="12"/>
  <c r="Q23" i="12"/>
  <c r="C24" i="12"/>
  <c r="D24" i="12"/>
  <c r="E24" i="12"/>
  <c r="G24" i="12"/>
  <c r="H24" i="12"/>
  <c r="I24" i="12"/>
  <c r="K24" i="12"/>
  <c r="L24" i="12"/>
  <c r="M24" i="12"/>
  <c r="O24" i="12"/>
  <c r="P24" i="12"/>
  <c r="Q24" i="12"/>
  <c r="C25" i="12"/>
  <c r="D25" i="12"/>
  <c r="E25" i="12"/>
  <c r="G25" i="12"/>
  <c r="H25" i="12"/>
  <c r="I25" i="12"/>
  <c r="K25" i="12"/>
  <c r="L25" i="12"/>
  <c r="M25" i="12"/>
  <c r="O25" i="12"/>
  <c r="P25" i="12"/>
  <c r="Q25" i="12"/>
  <c r="C26" i="12"/>
  <c r="D26" i="12"/>
  <c r="E26" i="12"/>
  <c r="G26" i="12"/>
  <c r="H26" i="12"/>
  <c r="I26" i="12"/>
  <c r="K26" i="12"/>
  <c r="L26" i="12"/>
  <c r="M26" i="12"/>
  <c r="O26" i="12"/>
  <c r="P26" i="12"/>
  <c r="Q26" i="12"/>
  <c r="C27" i="12"/>
  <c r="D27" i="12"/>
  <c r="E27" i="12"/>
  <c r="G27" i="12"/>
  <c r="H27" i="12"/>
  <c r="I27" i="12"/>
  <c r="K27" i="12"/>
  <c r="L27" i="12"/>
  <c r="M27" i="12"/>
  <c r="O27" i="12"/>
  <c r="P27" i="12"/>
  <c r="Q27" i="12"/>
  <c r="C28" i="12"/>
  <c r="D28" i="12"/>
  <c r="E28" i="12"/>
  <c r="G28" i="12"/>
  <c r="H28" i="12"/>
  <c r="I28" i="12"/>
  <c r="K28" i="12"/>
  <c r="L28" i="12"/>
  <c r="M28" i="12"/>
  <c r="O28" i="12"/>
  <c r="P28" i="12"/>
  <c r="Q28" i="12"/>
  <c r="C29" i="12"/>
  <c r="D29" i="12"/>
  <c r="E29" i="12"/>
  <c r="G29" i="12"/>
  <c r="H29" i="12"/>
  <c r="I29" i="12"/>
  <c r="K29" i="12"/>
  <c r="L29" i="12"/>
  <c r="M29" i="12"/>
  <c r="O29" i="12"/>
  <c r="P29" i="12"/>
  <c r="Q29" i="12"/>
  <c r="C31" i="12"/>
  <c r="D31" i="12"/>
  <c r="E31" i="12"/>
  <c r="G31" i="12"/>
  <c r="H31" i="12"/>
  <c r="I31" i="12"/>
  <c r="K31" i="12"/>
  <c r="L31" i="12"/>
  <c r="M31" i="12"/>
  <c r="O31" i="12"/>
  <c r="P31" i="12"/>
  <c r="Q31" i="12"/>
  <c r="C32" i="12"/>
  <c r="D32" i="12"/>
  <c r="E32" i="12"/>
  <c r="G32" i="12"/>
  <c r="H32" i="12"/>
  <c r="I32" i="12"/>
  <c r="K32" i="12"/>
  <c r="L32" i="12"/>
  <c r="M32" i="12"/>
  <c r="O32" i="12"/>
  <c r="P32" i="12"/>
  <c r="Q32" i="12"/>
  <c r="C33" i="12"/>
  <c r="D33" i="12"/>
  <c r="E33" i="12"/>
  <c r="G33" i="12"/>
  <c r="H33" i="12"/>
  <c r="I33" i="12"/>
  <c r="K33" i="12"/>
  <c r="L33" i="12"/>
  <c r="M33" i="12"/>
  <c r="O33" i="12"/>
  <c r="P33" i="12"/>
  <c r="Q33" i="12"/>
  <c r="C34" i="12"/>
  <c r="D34" i="12"/>
  <c r="E34" i="12"/>
  <c r="G34" i="12"/>
  <c r="H34" i="12"/>
  <c r="I34" i="12"/>
  <c r="K34" i="12"/>
  <c r="L34" i="12"/>
  <c r="M34" i="12"/>
  <c r="O34" i="12"/>
  <c r="P34" i="12"/>
  <c r="Q34" i="12"/>
  <c r="C35" i="12"/>
  <c r="D35" i="12"/>
  <c r="E35" i="12"/>
  <c r="G35" i="12"/>
  <c r="H35" i="12"/>
  <c r="I35" i="12"/>
  <c r="K35" i="12"/>
  <c r="L35" i="12"/>
  <c r="M35" i="12"/>
  <c r="O35" i="12"/>
  <c r="P35" i="12"/>
  <c r="Q35" i="12"/>
  <c r="C36" i="12"/>
  <c r="D36" i="12"/>
  <c r="E36" i="12"/>
  <c r="G36" i="12"/>
  <c r="H36" i="12"/>
  <c r="I36" i="12"/>
  <c r="K36" i="12"/>
  <c r="L36" i="12"/>
  <c r="M36" i="12"/>
  <c r="O36" i="12"/>
  <c r="P36" i="12"/>
  <c r="Q36" i="12"/>
  <c r="C37" i="12"/>
  <c r="D37" i="12"/>
  <c r="E37" i="12"/>
  <c r="G37" i="12"/>
  <c r="H37" i="12"/>
  <c r="I37" i="12"/>
  <c r="K37" i="12"/>
  <c r="L37" i="12"/>
  <c r="M37" i="12"/>
  <c r="O37" i="12"/>
  <c r="P37" i="12"/>
  <c r="Q37" i="12"/>
  <c r="C38" i="12"/>
  <c r="D38" i="12"/>
  <c r="E38" i="12"/>
  <c r="G38" i="12"/>
  <c r="H38" i="12"/>
  <c r="I38" i="12"/>
  <c r="K38" i="12"/>
  <c r="L38" i="12"/>
  <c r="M38" i="12"/>
  <c r="O38" i="12"/>
  <c r="P38" i="12"/>
  <c r="Q38" i="12"/>
  <c r="C39" i="12"/>
  <c r="D39" i="12"/>
  <c r="E39" i="12"/>
  <c r="G39" i="12"/>
  <c r="H39" i="12"/>
  <c r="I39" i="12"/>
  <c r="K39" i="12"/>
  <c r="L39" i="12"/>
  <c r="M39" i="12"/>
  <c r="O39" i="12"/>
  <c r="P39" i="12"/>
  <c r="Q39" i="12"/>
  <c r="C40" i="12"/>
  <c r="D40" i="12"/>
  <c r="E40" i="12"/>
  <c r="G40" i="12"/>
  <c r="H40" i="12"/>
  <c r="I40" i="12"/>
  <c r="K40" i="12"/>
  <c r="L40" i="12"/>
  <c r="M40" i="12"/>
  <c r="O40" i="12"/>
  <c r="P40" i="12"/>
  <c r="Q40" i="12"/>
  <c r="C42" i="12"/>
  <c r="D42" i="12"/>
  <c r="E42" i="12"/>
  <c r="G42" i="12"/>
  <c r="H42" i="12"/>
  <c r="I42" i="12"/>
  <c r="K42" i="12"/>
  <c r="L42" i="12"/>
  <c r="M42" i="12"/>
  <c r="O42" i="12"/>
  <c r="P42" i="12"/>
  <c r="Q42" i="12"/>
  <c r="C43" i="12"/>
  <c r="D43" i="12"/>
  <c r="E43" i="12"/>
  <c r="G43" i="12"/>
  <c r="H43" i="12"/>
  <c r="I43" i="12"/>
  <c r="K43" i="12"/>
  <c r="L43" i="12"/>
  <c r="M43" i="12"/>
  <c r="O43" i="12"/>
  <c r="P43" i="12"/>
  <c r="Q43" i="12"/>
  <c r="C44" i="12"/>
  <c r="D44" i="12"/>
  <c r="E44" i="12"/>
  <c r="G44" i="12"/>
  <c r="H44" i="12"/>
  <c r="I44" i="12"/>
  <c r="K44" i="12"/>
  <c r="L44" i="12"/>
  <c r="M44" i="12"/>
  <c r="O44" i="12"/>
  <c r="P44" i="12"/>
  <c r="Q44" i="12"/>
  <c r="C45" i="12"/>
  <c r="D45" i="12"/>
  <c r="E45" i="12"/>
  <c r="G45" i="12"/>
  <c r="H45" i="12"/>
  <c r="I45" i="12"/>
  <c r="K45" i="12"/>
  <c r="L45" i="12"/>
  <c r="M45" i="12"/>
  <c r="O45" i="12"/>
  <c r="P45" i="12"/>
  <c r="Q45" i="12"/>
  <c r="C46" i="12"/>
  <c r="D46" i="12"/>
  <c r="E46" i="12"/>
  <c r="G46" i="12"/>
  <c r="H46" i="12"/>
  <c r="I46" i="12"/>
  <c r="K46" i="12"/>
  <c r="L46" i="12"/>
  <c r="M46" i="12"/>
  <c r="O46" i="12"/>
  <c r="P46" i="12"/>
  <c r="Q46" i="12"/>
  <c r="C47" i="12"/>
  <c r="D47" i="12"/>
  <c r="E47" i="12"/>
  <c r="G47" i="12"/>
  <c r="H47" i="12"/>
  <c r="I47" i="12"/>
  <c r="K47" i="12"/>
  <c r="L47" i="12"/>
  <c r="M47" i="12"/>
  <c r="O47" i="12"/>
  <c r="P47" i="12"/>
  <c r="Q47" i="12"/>
  <c r="C48" i="12"/>
  <c r="D48" i="12"/>
  <c r="E48" i="12"/>
  <c r="G48" i="12"/>
  <c r="H48" i="12"/>
  <c r="I48" i="12"/>
  <c r="K48" i="12"/>
  <c r="L48" i="12"/>
  <c r="M48" i="12"/>
  <c r="O48" i="12"/>
  <c r="P48" i="12"/>
  <c r="Q48" i="12"/>
  <c r="C49" i="12"/>
  <c r="D49" i="12"/>
  <c r="E49" i="12"/>
  <c r="G49" i="12"/>
  <c r="H49" i="12"/>
  <c r="I49" i="12"/>
  <c r="K49" i="12"/>
  <c r="L49" i="12"/>
  <c r="M49" i="12"/>
  <c r="O49" i="12"/>
  <c r="P49" i="12"/>
  <c r="Q49" i="12"/>
  <c r="C51" i="12"/>
  <c r="D51" i="12"/>
  <c r="E51" i="12"/>
  <c r="G51" i="12"/>
  <c r="H51" i="12"/>
  <c r="I51" i="12"/>
  <c r="K51" i="12"/>
  <c r="L51" i="12"/>
  <c r="M51" i="12"/>
  <c r="O51" i="12"/>
  <c r="P51" i="12"/>
  <c r="Q51" i="12"/>
  <c r="C52" i="12"/>
  <c r="D52" i="12"/>
  <c r="E52" i="12"/>
  <c r="G52" i="12"/>
  <c r="H52" i="12"/>
  <c r="I52" i="12"/>
  <c r="K52" i="12"/>
  <c r="L52" i="12"/>
  <c r="M52" i="12"/>
  <c r="O52" i="12"/>
  <c r="P52" i="12"/>
  <c r="Q52" i="12"/>
  <c r="C53" i="12"/>
  <c r="D53" i="12"/>
  <c r="E53" i="12"/>
  <c r="G53" i="12"/>
  <c r="H53" i="12"/>
  <c r="I53" i="12"/>
  <c r="K53" i="12"/>
  <c r="L53" i="12"/>
  <c r="M53" i="12"/>
  <c r="O53" i="12"/>
  <c r="P53" i="12"/>
  <c r="Q53" i="12"/>
  <c r="C54" i="12"/>
  <c r="D54" i="12"/>
  <c r="E54" i="12"/>
  <c r="G54" i="12"/>
  <c r="H54" i="12"/>
  <c r="I54" i="12"/>
  <c r="K54" i="12"/>
  <c r="L54" i="12"/>
  <c r="M54" i="12"/>
  <c r="O54" i="12"/>
  <c r="P54" i="12"/>
  <c r="Q54" i="12"/>
  <c r="C55" i="12"/>
  <c r="D55" i="12"/>
  <c r="E55" i="12"/>
  <c r="G55" i="12"/>
  <c r="H55" i="12"/>
  <c r="I55" i="12"/>
  <c r="K55" i="12"/>
  <c r="L55" i="12"/>
  <c r="M55" i="12"/>
  <c r="O55" i="12"/>
  <c r="P55" i="12"/>
  <c r="Q55" i="12"/>
  <c r="C56" i="12"/>
  <c r="D56" i="12"/>
  <c r="E56" i="12"/>
  <c r="G56" i="12"/>
  <c r="H56" i="12"/>
  <c r="I56" i="12"/>
  <c r="K56" i="12"/>
  <c r="L56" i="12"/>
  <c r="M56" i="12"/>
  <c r="O56" i="12"/>
  <c r="P56" i="12"/>
  <c r="Q56" i="12"/>
  <c r="C57" i="12"/>
  <c r="D57" i="12"/>
  <c r="E57" i="12"/>
  <c r="G57" i="12"/>
  <c r="H57" i="12"/>
  <c r="I57" i="12"/>
  <c r="K57" i="12"/>
  <c r="L57" i="12"/>
  <c r="M57" i="12"/>
  <c r="O57" i="12"/>
  <c r="P57" i="12"/>
  <c r="Q57" i="12"/>
  <c r="C58" i="12"/>
  <c r="D58" i="12"/>
  <c r="E58" i="12"/>
  <c r="G58" i="12"/>
  <c r="H58" i="12"/>
  <c r="I58" i="12"/>
  <c r="K58" i="12"/>
  <c r="L58" i="12"/>
  <c r="M58" i="12"/>
  <c r="O58" i="12"/>
  <c r="P58" i="12"/>
  <c r="Q58" i="12"/>
  <c r="C59" i="12"/>
  <c r="D59" i="12"/>
  <c r="E59" i="12"/>
  <c r="G59" i="12"/>
  <c r="H59" i="12"/>
  <c r="I59" i="12"/>
  <c r="K59" i="12"/>
  <c r="L59" i="12"/>
  <c r="M59" i="12"/>
  <c r="O59" i="12"/>
  <c r="P59" i="12"/>
  <c r="Q59" i="12"/>
  <c r="C60" i="12"/>
  <c r="D60" i="12"/>
  <c r="E60" i="12"/>
  <c r="G60" i="12"/>
  <c r="H60" i="12"/>
  <c r="I60" i="12"/>
  <c r="K60" i="12"/>
  <c r="L60" i="12"/>
  <c r="M60" i="12"/>
  <c r="O60" i="12"/>
  <c r="P60" i="12"/>
  <c r="Q60" i="12"/>
  <c r="C61" i="12"/>
  <c r="D61" i="12"/>
  <c r="E61" i="12"/>
  <c r="G61" i="12"/>
  <c r="H61" i="12"/>
  <c r="I61" i="12"/>
  <c r="K61" i="12"/>
  <c r="L61" i="12"/>
  <c r="M61" i="12"/>
  <c r="O61" i="12"/>
  <c r="P61" i="12"/>
  <c r="Q61" i="12"/>
  <c r="C62" i="12"/>
  <c r="D62" i="12"/>
  <c r="E62" i="12"/>
  <c r="G62" i="12"/>
  <c r="H62" i="12"/>
  <c r="I62" i="12"/>
  <c r="K62" i="12"/>
  <c r="L62" i="12"/>
  <c r="M62" i="12"/>
  <c r="O62" i="12"/>
  <c r="P62" i="12"/>
  <c r="Q62" i="12"/>
  <c r="C63" i="12"/>
  <c r="D63" i="12"/>
  <c r="E63" i="12"/>
  <c r="G63" i="12"/>
  <c r="H63" i="12"/>
  <c r="I63" i="12"/>
  <c r="K63" i="12"/>
  <c r="L63" i="12"/>
  <c r="M63" i="12"/>
  <c r="O63" i="12"/>
  <c r="P63" i="12"/>
  <c r="Q63" i="12"/>
  <c r="C64" i="12"/>
  <c r="D64" i="12"/>
  <c r="E64" i="12"/>
  <c r="G64" i="12"/>
  <c r="H64" i="12"/>
  <c r="I64" i="12"/>
  <c r="K64" i="12"/>
  <c r="L64" i="12"/>
  <c r="M64" i="12"/>
  <c r="O64" i="12"/>
  <c r="P64" i="12"/>
  <c r="Q64" i="12"/>
  <c r="C65" i="12"/>
  <c r="D65" i="12"/>
  <c r="E65" i="12"/>
  <c r="G65" i="12"/>
  <c r="H65" i="12"/>
  <c r="I65" i="12"/>
  <c r="K65" i="12"/>
  <c r="M65" i="12"/>
  <c r="O65" i="12"/>
  <c r="P65" i="12"/>
  <c r="Q65" i="12"/>
  <c r="C66" i="12"/>
  <c r="D66" i="12"/>
  <c r="E66" i="12"/>
  <c r="G66" i="12"/>
  <c r="H66" i="12"/>
  <c r="I66" i="12"/>
  <c r="K66" i="12"/>
  <c r="L66" i="12"/>
  <c r="M66" i="12"/>
  <c r="O66" i="12"/>
  <c r="P66" i="12"/>
  <c r="Q66" i="12"/>
  <c r="C67" i="12"/>
  <c r="D67" i="12"/>
  <c r="E67" i="12"/>
  <c r="G67" i="12"/>
  <c r="H67" i="12"/>
  <c r="I67" i="12"/>
  <c r="K67" i="12"/>
  <c r="L67" i="12"/>
  <c r="M67" i="12"/>
  <c r="O67" i="12"/>
  <c r="P67" i="12"/>
  <c r="Q67" i="12"/>
  <c r="C68" i="12"/>
  <c r="D68" i="12"/>
  <c r="E68" i="12"/>
  <c r="G68" i="12"/>
  <c r="H68" i="12"/>
  <c r="I68" i="12"/>
  <c r="K68" i="12"/>
  <c r="L68" i="12"/>
  <c r="M68" i="12"/>
  <c r="O68" i="12"/>
  <c r="P68" i="12"/>
  <c r="Q68" i="12"/>
  <c r="C69" i="12"/>
  <c r="D69" i="12"/>
  <c r="E69" i="12"/>
  <c r="G69" i="12"/>
  <c r="H69" i="12"/>
  <c r="I69" i="12"/>
  <c r="K69" i="12"/>
  <c r="L69" i="12"/>
  <c r="M69" i="12"/>
  <c r="O69" i="12"/>
  <c r="P69" i="12"/>
  <c r="Q69" i="12"/>
  <c r="C70" i="12"/>
  <c r="D70" i="12"/>
  <c r="E70" i="12"/>
  <c r="G70" i="12"/>
  <c r="H70" i="12"/>
  <c r="I70" i="12"/>
  <c r="K70" i="12"/>
  <c r="L70" i="12"/>
  <c r="M70" i="12"/>
  <c r="O70" i="12"/>
  <c r="P70" i="12"/>
  <c r="Q70" i="12"/>
  <c r="E72" i="12"/>
  <c r="G72" i="12"/>
  <c r="H72" i="12"/>
  <c r="I72" i="12"/>
  <c r="M72" i="12"/>
  <c r="O72" i="12"/>
  <c r="P72" i="12"/>
  <c r="Q72" i="12"/>
  <c r="E73" i="12"/>
  <c r="G73" i="12"/>
  <c r="H73" i="12"/>
  <c r="I73" i="12"/>
  <c r="M73" i="12"/>
  <c r="O73" i="12"/>
  <c r="P73" i="12"/>
  <c r="Q73" i="12"/>
  <c r="E74" i="12"/>
  <c r="G74" i="12"/>
  <c r="H74" i="12"/>
  <c r="I74" i="12"/>
  <c r="M74" i="12"/>
  <c r="O74" i="12"/>
  <c r="P74" i="12"/>
  <c r="Q74" i="12"/>
  <c r="E75" i="12"/>
  <c r="G75" i="12"/>
  <c r="H75" i="12"/>
  <c r="I75" i="12"/>
  <c r="M75" i="12"/>
  <c r="O75" i="12"/>
  <c r="P75" i="12"/>
  <c r="Q75" i="12"/>
  <c r="E76" i="12"/>
  <c r="G76" i="12"/>
  <c r="H76" i="12"/>
  <c r="I76" i="12"/>
  <c r="M76" i="12"/>
  <c r="O76" i="12"/>
  <c r="P76" i="12"/>
  <c r="Q76" i="12"/>
  <c r="E77" i="12"/>
  <c r="G77" i="12"/>
  <c r="H77" i="12"/>
  <c r="I77" i="12"/>
  <c r="M77" i="12"/>
  <c r="O77" i="12"/>
  <c r="P77" i="12"/>
  <c r="Q77" i="12"/>
  <c r="E78" i="12"/>
  <c r="G78" i="12"/>
  <c r="H78" i="12"/>
  <c r="I78" i="12"/>
  <c r="M78" i="12"/>
  <c r="O78" i="12"/>
  <c r="P78" i="12"/>
  <c r="Q78" i="12"/>
  <c r="E79" i="12"/>
  <c r="G79" i="12"/>
  <c r="H79" i="12"/>
  <c r="I79" i="12"/>
  <c r="M79" i="12"/>
  <c r="O79" i="12"/>
  <c r="P79" i="12"/>
  <c r="Q79" i="12"/>
  <c r="E80" i="12"/>
  <c r="G80" i="12"/>
  <c r="H80" i="12"/>
  <c r="I80" i="12"/>
  <c r="M80" i="12"/>
  <c r="O80" i="12"/>
  <c r="P80" i="12"/>
  <c r="Q80" i="12"/>
  <c r="E81" i="12"/>
  <c r="G81" i="12"/>
  <c r="H81" i="12"/>
  <c r="I81" i="12"/>
  <c r="M81" i="12"/>
  <c r="O81" i="12"/>
  <c r="P81" i="12"/>
  <c r="Q81" i="12"/>
  <c r="E82" i="12"/>
  <c r="G82" i="12"/>
  <c r="H82" i="12"/>
  <c r="I82" i="12"/>
  <c r="M82" i="12"/>
  <c r="O82" i="12"/>
  <c r="P82" i="12"/>
  <c r="Q82" i="12"/>
  <c r="E83" i="12"/>
  <c r="G83" i="12"/>
  <c r="H83" i="12"/>
  <c r="I83" i="12"/>
  <c r="M83" i="12"/>
  <c r="O83" i="12"/>
  <c r="P83" i="12"/>
  <c r="Q83" i="12"/>
  <c r="E84" i="12"/>
  <c r="G84" i="12"/>
  <c r="H84" i="12"/>
  <c r="I84" i="12"/>
  <c r="M84" i="12"/>
  <c r="O84" i="12"/>
  <c r="P84" i="12"/>
  <c r="Q84" i="12"/>
  <c r="E85" i="12"/>
  <c r="G85" i="12"/>
  <c r="H85" i="12"/>
  <c r="I85" i="12"/>
  <c r="M85" i="12"/>
  <c r="O85" i="12"/>
  <c r="P85" i="12"/>
  <c r="Q85" i="12"/>
  <c r="C86" i="12"/>
  <c r="D86" i="12"/>
  <c r="E86" i="12"/>
  <c r="G86" i="12"/>
  <c r="H86" i="12"/>
  <c r="I86" i="12"/>
  <c r="K86" i="12"/>
  <c r="L86" i="12"/>
  <c r="M86" i="12"/>
  <c r="O86" i="12"/>
  <c r="P86" i="12"/>
  <c r="Q86" i="12"/>
  <c r="E87" i="12"/>
  <c r="G87" i="12"/>
  <c r="H87" i="12"/>
  <c r="I87" i="12"/>
  <c r="K87" i="12"/>
  <c r="L87" i="12"/>
  <c r="M87" i="12"/>
  <c r="O87" i="12"/>
  <c r="P87" i="12"/>
  <c r="Q87" i="12"/>
  <c r="C88" i="12"/>
  <c r="D88" i="12"/>
  <c r="E88" i="12"/>
  <c r="G88" i="12"/>
  <c r="H88" i="12"/>
  <c r="I88" i="12"/>
  <c r="K88" i="12"/>
  <c r="L88" i="12"/>
  <c r="M88" i="12"/>
  <c r="O88" i="12"/>
  <c r="P88" i="12"/>
  <c r="Q88" i="12"/>
  <c r="C89" i="12"/>
  <c r="D89" i="12"/>
  <c r="E89" i="12"/>
  <c r="I89" i="12"/>
  <c r="M89" i="12"/>
  <c r="O89" i="12"/>
  <c r="P89" i="12"/>
  <c r="Q89" i="12"/>
  <c r="C90" i="12"/>
  <c r="E90" i="12"/>
  <c r="I90" i="12"/>
  <c r="K90" i="12"/>
  <c r="L90" i="12"/>
  <c r="M90" i="12"/>
  <c r="O90" i="12"/>
  <c r="P90" i="12"/>
  <c r="Q90" i="12"/>
  <c r="C91" i="12"/>
  <c r="D91" i="12"/>
  <c r="E91" i="12"/>
  <c r="G91" i="12"/>
  <c r="H91" i="12"/>
  <c r="I91" i="12"/>
  <c r="K91" i="12"/>
  <c r="L91" i="12"/>
  <c r="M91" i="12"/>
  <c r="O91" i="12"/>
  <c r="P91" i="12"/>
  <c r="Q91" i="12"/>
  <c r="E92" i="12"/>
  <c r="G92" i="12"/>
  <c r="H92" i="12"/>
  <c r="I92" i="12"/>
  <c r="L92" i="12"/>
  <c r="O92" i="12"/>
  <c r="P92" i="12"/>
  <c r="Q92" i="12"/>
  <c r="C93" i="12"/>
  <c r="D93" i="12"/>
  <c r="E93" i="12"/>
  <c r="G93" i="12"/>
  <c r="H93" i="12"/>
  <c r="I93" i="12"/>
  <c r="K93" i="12"/>
  <c r="L93" i="12"/>
  <c r="M93" i="12"/>
  <c r="O93" i="12"/>
  <c r="P93" i="12"/>
  <c r="Q93" i="12"/>
  <c r="E103" i="12"/>
  <c r="M103" i="12"/>
  <c r="E109" i="12"/>
  <c r="M109" i="12"/>
  <c r="C111" i="12"/>
  <c r="D111" i="12"/>
  <c r="E111" i="12"/>
  <c r="E112" i="12"/>
  <c r="C113" i="12"/>
  <c r="D113" i="12"/>
  <c r="E113" i="12"/>
  <c r="A3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C17" i="10"/>
  <c r="D17" i="10"/>
  <c r="E17" i="10"/>
  <c r="D19" i="10"/>
  <c r="E19" i="10"/>
  <c r="D20" i="10"/>
  <c r="E20" i="10"/>
  <c r="D21" i="10"/>
  <c r="E21" i="10"/>
  <c r="D22" i="10"/>
  <c r="E22" i="10"/>
  <c r="D23" i="10"/>
  <c r="E23" i="10"/>
  <c r="D24" i="10"/>
  <c r="E24" i="10"/>
  <c r="C25" i="10"/>
  <c r="D25" i="10"/>
  <c r="E25" i="10"/>
  <c r="D27" i="10"/>
  <c r="E27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35" i="10"/>
  <c r="C36" i="10"/>
  <c r="D36" i="10"/>
  <c r="E36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C44" i="10"/>
  <c r="D44" i="10"/>
  <c r="E44" i="10"/>
  <c r="D46" i="10"/>
  <c r="E46" i="10"/>
  <c r="D47" i="10"/>
  <c r="E47" i="10"/>
  <c r="D48" i="10"/>
  <c r="E48" i="10"/>
  <c r="D49" i="10"/>
  <c r="E49" i="10"/>
  <c r="D50" i="10"/>
  <c r="E50" i="10"/>
  <c r="D51" i="10"/>
  <c r="E51" i="10"/>
  <c r="D52" i="10"/>
  <c r="E52" i="10"/>
  <c r="D53" i="10"/>
  <c r="E53" i="10"/>
  <c r="D54" i="10"/>
  <c r="E54" i="10"/>
  <c r="D55" i="10"/>
  <c r="E55" i="10"/>
  <c r="D56" i="10"/>
  <c r="E56" i="10"/>
  <c r="D57" i="10"/>
  <c r="E57" i="10"/>
  <c r="D58" i="10"/>
  <c r="E58" i="10"/>
  <c r="D59" i="10"/>
  <c r="E59" i="10"/>
  <c r="D60" i="10"/>
  <c r="E60" i="10"/>
  <c r="D61" i="10"/>
  <c r="E61" i="10"/>
  <c r="D62" i="10"/>
  <c r="E62" i="10"/>
  <c r="D63" i="10"/>
  <c r="E63" i="10"/>
  <c r="D64" i="10"/>
  <c r="E64" i="10"/>
  <c r="C65" i="10"/>
  <c r="D65" i="10"/>
  <c r="E65" i="10"/>
  <c r="D67" i="10"/>
  <c r="E67" i="10"/>
  <c r="D68" i="10"/>
  <c r="E68" i="10"/>
  <c r="D69" i="10"/>
  <c r="E69" i="10"/>
  <c r="D70" i="10"/>
  <c r="E70" i="10"/>
  <c r="D71" i="10"/>
  <c r="E71" i="10"/>
  <c r="D72" i="10"/>
  <c r="E72" i="10"/>
  <c r="D73" i="10"/>
  <c r="E73" i="10"/>
  <c r="D74" i="10"/>
  <c r="E74" i="10"/>
  <c r="D75" i="10"/>
  <c r="E75" i="10"/>
  <c r="D76" i="10"/>
  <c r="E76" i="10"/>
  <c r="D77" i="10"/>
  <c r="E77" i="10"/>
  <c r="D78" i="10"/>
  <c r="E78" i="10"/>
  <c r="D79" i="10"/>
  <c r="E79" i="10"/>
  <c r="D80" i="10"/>
  <c r="E80" i="10"/>
  <c r="C81" i="10"/>
  <c r="D81" i="10"/>
  <c r="E81" i="10"/>
  <c r="D82" i="10"/>
  <c r="E82" i="10"/>
  <c r="D83" i="10"/>
  <c r="E83" i="10"/>
  <c r="C84" i="10"/>
  <c r="D84" i="10"/>
  <c r="E84" i="10"/>
  <c r="D85" i="10"/>
  <c r="E85" i="10"/>
  <c r="C86" i="10"/>
  <c r="D86" i="10"/>
  <c r="E86" i="10"/>
  <c r="C9" i="6"/>
  <c r="D9" i="6"/>
  <c r="E9" i="6"/>
  <c r="G9" i="6"/>
  <c r="H9" i="6"/>
  <c r="I9" i="6"/>
  <c r="K9" i="6"/>
  <c r="L9" i="6"/>
  <c r="M9" i="6"/>
  <c r="O9" i="6"/>
  <c r="P9" i="6"/>
  <c r="Q9" i="6"/>
  <c r="C10" i="6"/>
  <c r="D10" i="6"/>
  <c r="E10" i="6"/>
  <c r="G10" i="6"/>
  <c r="H10" i="6"/>
  <c r="I10" i="6"/>
  <c r="K10" i="6"/>
  <c r="L10" i="6"/>
  <c r="M10" i="6"/>
  <c r="O10" i="6"/>
  <c r="P10" i="6"/>
  <c r="Q10" i="6"/>
  <c r="C11" i="6"/>
  <c r="D11" i="6"/>
  <c r="E11" i="6"/>
  <c r="G11" i="6"/>
  <c r="H11" i="6"/>
  <c r="I11" i="6"/>
  <c r="K11" i="6"/>
  <c r="L11" i="6"/>
  <c r="M11" i="6"/>
  <c r="O11" i="6"/>
  <c r="P11" i="6"/>
  <c r="Q11" i="6"/>
  <c r="C12" i="6"/>
  <c r="D12" i="6"/>
  <c r="E12" i="6"/>
  <c r="G12" i="6"/>
  <c r="H12" i="6"/>
  <c r="I12" i="6"/>
  <c r="K12" i="6"/>
  <c r="L12" i="6"/>
  <c r="M12" i="6"/>
  <c r="O12" i="6"/>
  <c r="P12" i="6"/>
  <c r="Q12" i="6"/>
  <c r="C13" i="6"/>
  <c r="D13" i="6"/>
  <c r="E13" i="6"/>
  <c r="G13" i="6"/>
  <c r="H13" i="6"/>
  <c r="I13" i="6"/>
  <c r="K13" i="6"/>
  <c r="L13" i="6"/>
  <c r="M13" i="6"/>
  <c r="O13" i="6"/>
  <c r="P13" i="6"/>
  <c r="Q13" i="6"/>
  <c r="C14" i="6"/>
  <c r="D14" i="6"/>
  <c r="E14" i="6"/>
  <c r="G14" i="6"/>
  <c r="H14" i="6"/>
  <c r="I14" i="6"/>
  <c r="K14" i="6"/>
  <c r="L14" i="6"/>
  <c r="M14" i="6"/>
  <c r="O14" i="6"/>
  <c r="P14" i="6"/>
  <c r="Q14" i="6"/>
  <c r="C15" i="6"/>
  <c r="D15" i="6"/>
  <c r="E15" i="6"/>
  <c r="G15" i="6"/>
  <c r="H15" i="6"/>
  <c r="I15" i="6"/>
  <c r="K15" i="6"/>
  <c r="L15" i="6"/>
  <c r="M15" i="6"/>
  <c r="O15" i="6"/>
  <c r="P15" i="6"/>
  <c r="Q15" i="6"/>
  <c r="C16" i="6"/>
  <c r="D16" i="6"/>
  <c r="E16" i="6"/>
  <c r="G16" i="6"/>
  <c r="H16" i="6"/>
  <c r="I16" i="6"/>
  <c r="K16" i="6"/>
  <c r="L16" i="6"/>
  <c r="M16" i="6"/>
  <c r="O16" i="6"/>
  <c r="P16" i="6"/>
  <c r="Q16" i="6"/>
  <c r="C17" i="6"/>
  <c r="D17" i="6"/>
  <c r="E17" i="6"/>
  <c r="G17" i="6"/>
  <c r="H17" i="6"/>
  <c r="I17" i="6"/>
  <c r="K17" i="6"/>
  <c r="L17" i="6"/>
  <c r="M17" i="6"/>
  <c r="O17" i="6"/>
  <c r="P17" i="6"/>
  <c r="Q17" i="6"/>
  <c r="C18" i="6"/>
  <c r="D18" i="6"/>
  <c r="E18" i="6"/>
  <c r="G18" i="6"/>
  <c r="H18" i="6"/>
  <c r="I18" i="6"/>
  <c r="K18" i="6"/>
  <c r="L18" i="6"/>
  <c r="M18" i="6"/>
  <c r="O18" i="6"/>
  <c r="P18" i="6"/>
  <c r="Q18" i="6"/>
  <c r="C20" i="6"/>
  <c r="D20" i="6"/>
  <c r="E20" i="6"/>
  <c r="G20" i="6"/>
  <c r="H20" i="6"/>
  <c r="I20" i="6"/>
  <c r="K20" i="6"/>
  <c r="L20" i="6"/>
  <c r="M20" i="6"/>
  <c r="O20" i="6"/>
  <c r="P20" i="6"/>
  <c r="Q20" i="6"/>
  <c r="C21" i="6"/>
  <c r="D21" i="6"/>
  <c r="E21" i="6"/>
  <c r="G21" i="6"/>
  <c r="H21" i="6"/>
  <c r="I21" i="6"/>
  <c r="K21" i="6"/>
  <c r="L21" i="6"/>
  <c r="M21" i="6"/>
  <c r="O21" i="6"/>
  <c r="P21" i="6"/>
  <c r="Q21" i="6"/>
  <c r="C22" i="6"/>
  <c r="D22" i="6"/>
  <c r="E22" i="6"/>
  <c r="G22" i="6"/>
  <c r="H22" i="6"/>
  <c r="I22" i="6"/>
  <c r="K22" i="6"/>
  <c r="L22" i="6"/>
  <c r="M22" i="6"/>
  <c r="O22" i="6"/>
  <c r="P22" i="6"/>
  <c r="Q22" i="6"/>
  <c r="C23" i="6"/>
  <c r="D23" i="6"/>
  <c r="E23" i="6"/>
  <c r="G23" i="6"/>
  <c r="H23" i="6"/>
  <c r="I23" i="6"/>
  <c r="K23" i="6"/>
  <c r="L23" i="6"/>
  <c r="M23" i="6"/>
  <c r="O23" i="6"/>
  <c r="P23" i="6"/>
  <c r="Q23" i="6"/>
  <c r="C24" i="6"/>
  <c r="D24" i="6"/>
  <c r="E24" i="6"/>
  <c r="G24" i="6"/>
  <c r="H24" i="6"/>
  <c r="I24" i="6"/>
  <c r="K24" i="6"/>
  <c r="L24" i="6"/>
  <c r="M24" i="6"/>
  <c r="O24" i="6"/>
  <c r="P24" i="6"/>
  <c r="Q24" i="6"/>
  <c r="C25" i="6"/>
  <c r="D25" i="6"/>
  <c r="E25" i="6"/>
  <c r="G25" i="6"/>
  <c r="H25" i="6"/>
  <c r="I25" i="6"/>
  <c r="K25" i="6"/>
  <c r="L25" i="6"/>
  <c r="M25" i="6"/>
  <c r="O25" i="6"/>
  <c r="P25" i="6"/>
  <c r="Q25" i="6"/>
  <c r="C26" i="6"/>
  <c r="D26" i="6"/>
  <c r="E26" i="6"/>
  <c r="G26" i="6"/>
  <c r="H26" i="6"/>
  <c r="I26" i="6"/>
  <c r="K26" i="6"/>
  <c r="L26" i="6"/>
  <c r="M26" i="6"/>
  <c r="O26" i="6"/>
  <c r="P26" i="6"/>
  <c r="Q26" i="6"/>
  <c r="C28" i="6"/>
  <c r="D28" i="6"/>
  <c r="E28" i="6"/>
  <c r="G28" i="6"/>
  <c r="H28" i="6"/>
  <c r="I28" i="6"/>
  <c r="K28" i="6"/>
  <c r="L28" i="6"/>
  <c r="M28" i="6"/>
  <c r="O28" i="6"/>
  <c r="P28" i="6"/>
  <c r="Q28" i="6"/>
  <c r="C29" i="6"/>
  <c r="D29" i="6"/>
  <c r="E29" i="6"/>
  <c r="G29" i="6"/>
  <c r="H29" i="6"/>
  <c r="I29" i="6"/>
  <c r="K29" i="6"/>
  <c r="L29" i="6"/>
  <c r="M29" i="6"/>
  <c r="O29" i="6"/>
  <c r="P29" i="6"/>
  <c r="Q29" i="6"/>
  <c r="C30" i="6"/>
  <c r="D30" i="6"/>
  <c r="E30" i="6"/>
  <c r="G30" i="6"/>
  <c r="H30" i="6"/>
  <c r="I30" i="6"/>
  <c r="K30" i="6"/>
  <c r="L30" i="6"/>
  <c r="M30" i="6"/>
  <c r="O30" i="6"/>
  <c r="P30" i="6"/>
  <c r="Q30" i="6"/>
  <c r="C31" i="6"/>
  <c r="D31" i="6"/>
  <c r="E31" i="6"/>
  <c r="G31" i="6"/>
  <c r="H31" i="6"/>
  <c r="I31" i="6"/>
  <c r="K31" i="6"/>
  <c r="L31" i="6"/>
  <c r="M31" i="6"/>
  <c r="O31" i="6"/>
  <c r="P31" i="6"/>
  <c r="Q31" i="6"/>
  <c r="C32" i="6"/>
  <c r="D32" i="6"/>
  <c r="E32" i="6"/>
  <c r="G32" i="6"/>
  <c r="H32" i="6"/>
  <c r="I32" i="6"/>
  <c r="K32" i="6"/>
  <c r="L32" i="6"/>
  <c r="M32" i="6"/>
  <c r="O32" i="6"/>
  <c r="P32" i="6"/>
  <c r="Q32" i="6"/>
  <c r="C33" i="6"/>
  <c r="D33" i="6"/>
  <c r="E33" i="6"/>
  <c r="G33" i="6"/>
  <c r="H33" i="6"/>
  <c r="I33" i="6"/>
  <c r="K33" i="6"/>
  <c r="L33" i="6"/>
  <c r="M33" i="6"/>
  <c r="O33" i="6"/>
  <c r="P33" i="6"/>
  <c r="Q33" i="6"/>
  <c r="C34" i="6"/>
  <c r="D34" i="6"/>
  <c r="E34" i="6"/>
  <c r="G34" i="6"/>
  <c r="H34" i="6"/>
  <c r="I34" i="6"/>
  <c r="K34" i="6"/>
  <c r="L34" i="6"/>
  <c r="M34" i="6"/>
  <c r="O34" i="6"/>
  <c r="P34" i="6"/>
  <c r="Q34" i="6"/>
  <c r="C35" i="6"/>
  <c r="D35" i="6"/>
  <c r="E35" i="6"/>
  <c r="G35" i="6"/>
  <c r="H35" i="6"/>
  <c r="I35" i="6"/>
  <c r="K35" i="6"/>
  <c r="L35" i="6"/>
  <c r="M35" i="6"/>
  <c r="O35" i="6"/>
  <c r="P35" i="6"/>
  <c r="Q35" i="6"/>
  <c r="C36" i="6"/>
  <c r="D36" i="6"/>
  <c r="E36" i="6"/>
  <c r="G36" i="6"/>
  <c r="H36" i="6"/>
  <c r="I36" i="6"/>
  <c r="K36" i="6"/>
  <c r="L36" i="6"/>
  <c r="M36" i="6"/>
  <c r="O36" i="6"/>
  <c r="P36" i="6"/>
  <c r="Q36" i="6"/>
  <c r="C37" i="6"/>
  <c r="D37" i="6"/>
  <c r="E37" i="6"/>
  <c r="G37" i="6"/>
  <c r="H37" i="6"/>
  <c r="I37" i="6"/>
  <c r="K37" i="6"/>
  <c r="L37" i="6"/>
  <c r="M37" i="6"/>
  <c r="O37" i="6"/>
  <c r="P37" i="6"/>
  <c r="Q37" i="6"/>
  <c r="C39" i="6"/>
  <c r="D39" i="6"/>
  <c r="E39" i="6"/>
  <c r="G39" i="6"/>
  <c r="H39" i="6"/>
  <c r="I39" i="6"/>
  <c r="K39" i="6"/>
  <c r="L39" i="6"/>
  <c r="M39" i="6"/>
  <c r="O39" i="6"/>
  <c r="P39" i="6"/>
  <c r="Q39" i="6"/>
  <c r="C40" i="6"/>
  <c r="D40" i="6"/>
  <c r="E40" i="6"/>
  <c r="G40" i="6"/>
  <c r="H40" i="6"/>
  <c r="I40" i="6"/>
  <c r="K40" i="6"/>
  <c r="L40" i="6"/>
  <c r="M40" i="6"/>
  <c r="O40" i="6"/>
  <c r="P40" i="6"/>
  <c r="Q40" i="6"/>
  <c r="C41" i="6"/>
  <c r="D41" i="6"/>
  <c r="E41" i="6"/>
  <c r="G41" i="6"/>
  <c r="H41" i="6"/>
  <c r="I41" i="6"/>
  <c r="K41" i="6"/>
  <c r="L41" i="6"/>
  <c r="M41" i="6"/>
  <c r="O41" i="6"/>
  <c r="P41" i="6"/>
  <c r="Q41" i="6"/>
  <c r="C42" i="6"/>
  <c r="D42" i="6"/>
  <c r="E42" i="6"/>
  <c r="G42" i="6"/>
  <c r="H42" i="6"/>
  <c r="I42" i="6"/>
  <c r="K42" i="6"/>
  <c r="L42" i="6"/>
  <c r="M42" i="6"/>
  <c r="O42" i="6"/>
  <c r="P42" i="6"/>
  <c r="Q42" i="6"/>
  <c r="C43" i="6"/>
  <c r="D43" i="6"/>
  <c r="E43" i="6"/>
  <c r="G43" i="6"/>
  <c r="H43" i="6"/>
  <c r="I43" i="6"/>
  <c r="K43" i="6"/>
  <c r="L43" i="6"/>
  <c r="M43" i="6"/>
  <c r="O43" i="6"/>
  <c r="P43" i="6"/>
  <c r="Q43" i="6"/>
  <c r="C44" i="6"/>
  <c r="D44" i="6"/>
  <c r="E44" i="6"/>
  <c r="G44" i="6"/>
  <c r="H44" i="6"/>
  <c r="I44" i="6"/>
  <c r="K44" i="6"/>
  <c r="L44" i="6"/>
  <c r="M44" i="6"/>
  <c r="O44" i="6"/>
  <c r="P44" i="6"/>
  <c r="Q44" i="6"/>
  <c r="C45" i="6"/>
  <c r="D45" i="6"/>
  <c r="E45" i="6"/>
  <c r="G45" i="6"/>
  <c r="H45" i="6"/>
  <c r="I45" i="6"/>
  <c r="K45" i="6"/>
  <c r="L45" i="6"/>
  <c r="M45" i="6"/>
  <c r="O45" i="6"/>
  <c r="P45" i="6"/>
  <c r="Q45" i="6"/>
  <c r="C47" i="6"/>
  <c r="D47" i="6"/>
  <c r="E47" i="6"/>
  <c r="G47" i="6"/>
  <c r="H47" i="6"/>
  <c r="I47" i="6"/>
  <c r="K47" i="6"/>
  <c r="L47" i="6"/>
  <c r="M47" i="6"/>
  <c r="O47" i="6"/>
  <c r="P47" i="6"/>
  <c r="Q47" i="6"/>
  <c r="C48" i="6"/>
  <c r="D48" i="6"/>
  <c r="E48" i="6"/>
  <c r="G48" i="6"/>
  <c r="H48" i="6"/>
  <c r="I48" i="6"/>
  <c r="K48" i="6"/>
  <c r="L48" i="6"/>
  <c r="M48" i="6"/>
  <c r="O48" i="6"/>
  <c r="P48" i="6"/>
  <c r="Q48" i="6"/>
  <c r="C49" i="6"/>
  <c r="D49" i="6"/>
  <c r="E49" i="6"/>
  <c r="G49" i="6"/>
  <c r="H49" i="6"/>
  <c r="I49" i="6"/>
  <c r="K49" i="6"/>
  <c r="L49" i="6"/>
  <c r="M49" i="6"/>
  <c r="O49" i="6"/>
  <c r="P49" i="6"/>
  <c r="Q49" i="6"/>
  <c r="C50" i="6"/>
  <c r="D50" i="6"/>
  <c r="E50" i="6"/>
  <c r="G50" i="6"/>
  <c r="H50" i="6"/>
  <c r="I50" i="6"/>
  <c r="K50" i="6"/>
  <c r="L50" i="6"/>
  <c r="M50" i="6"/>
  <c r="O50" i="6"/>
  <c r="P50" i="6"/>
  <c r="Q50" i="6"/>
  <c r="C51" i="6"/>
  <c r="D51" i="6"/>
  <c r="E51" i="6"/>
  <c r="G51" i="6"/>
  <c r="H51" i="6"/>
  <c r="I51" i="6"/>
  <c r="K51" i="6"/>
  <c r="L51" i="6"/>
  <c r="M51" i="6"/>
  <c r="O51" i="6"/>
  <c r="P51" i="6"/>
  <c r="Q51" i="6"/>
  <c r="C52" i="6"/>
  <c r="D52" i="6"/>
  <c r="E52" i="6"/>
  <c r="G52" i="6"/>
  <c r="H52" i="6"/>
  <c r="I52" i="6"/>
  <c r="K52" i="6"/>
  <c r="L52" i="6"/>
  <c r="M52" i="6"/>
  <c r="O52" i="6"/>
  <c r="P52" i="6"/>
  <c r="Q52" i="6"/>
  <c r="C53" i="6"/>
  <c r="D53" i="6"/>
  <c r="E53" i="6"/>
  <c r="G53" i="6"/>
  <c r="H53" i="6"/>
  <c r="I53" i="6"/>
  <c r="K53" i="6"/>
  <c r="L53" i="6"/>
  <c r="M53" i="6"/>
  <c r="O53" i="6"/>
  <c r="P53" i="6"/>
  <c r="Q53" i="6"/>
  <c r="C54" i="6"/>
  <c r="D54" i="6"/>
  <c r="E54" i="6"/>
  <c r="G54" i="6"/>
  <c r="H54" i="6"/>
  <c r="I54" i="6"/>
  <c r="K54" i="6"/>
  <c r="L54" i="6"/>
  <c r="M54" i="6"/>
  <c r="O54" i="6"/>
  <c r="P54" i="6"/>
  <c r="Q54" i="6"/>
  <c r="C55" i="6"/>
  <c r="D55" i="6"/>
  <c r="E55" i="6"/>
  <c r="G55" i="6"/>
  <c r="H55" i="6"/>
  <c r="I55" i="6"/>
  <c r="K55" i="6"/>
  <c r="L55" i="6"/>
  <c r="M55" i="6"/>
  <c r="O55" i="6"/>
  <c r="P55" i="6"/>
  <c r="Q55" i="6"/>
  <c r="C56" i="6"/>
  <c r="D56" i="6"/>
  <c r="E56" i="6"/>
  <c r="G56" i="6"/>
  <c r="H56" i="6"/>
  <c r="I56" i="6"/>
  <c r="K56" i="6"/>
  <c r="L56" i="6"/>
  <c r="M56" i="6"/>
  <c r="O56" i="6"/>
  <c r="P56" i="6"/>
  <c r="Q56" i="6"/>
  <c r="C57" i="6"/>
  <c r="D57" i="6"/>
  <c r="E57" i="6"/>
  <c r="G57" i="6"/>
  <c r="H57" i="6"/>
  <c r="I57" i="6"/>
  <c r="K57" i="6"/>
  <c r="L57" i="6"/>
  <c r="M57" i="6"/>
  <c r="O57" i="6"/>
  <c r="P57" i="6"/>
  <c r="Q57" i="6"/>
  <c r="C58" i="6"/>
  <c r="D58" i="6"/>
  <c r="E58" i="6"/>
  <c r="G58" i="6"/>
  <c r="H58" i="6"/>
  <c r="I58" i="6"/>
  <c r="K58" i="6"/>
  <c r="L58" i="6"/>
  <c r="M58" i="6"/>
  <c r="O58" i="6"/>
  <c r="P58" i="6"/>
  <c r="Q58" i="6"/>
  <c r="C59" i="6"/>
  <c r="D59" i="6"/>
  <c r="E59" i="6"/>
  <c r="G59" i="6"/>
  <c r="H59" i="6"/>
  <c r="I59" i="6"/>
  <c r="K59" i="6"/>
  <c r="L59" i="6"/>
  <c r="M59" i="6"/>
  <c r="O59" i="6"/>
  <c r="P59" i="6"/>
  <c r="Q59" i="6"/>
  <c r="C60" i="6"/>
  <c r="D60" i="6"/>
  <c r="E60" i="6"/>
  <c r="G60" i="6"/>
  <c r="H60" i="6"/>
  <c r="I60" i="6"/>
  <c r="K60" i="6"/>
  <c r="L60" i="6"/>
  <c r="M60" i="6"/>
  <c r="O60" i="6"/>
  <c r="P60" i="6"/>
  <c r="Q60" i="6"/>
  <c r="C61" i="6"/>
  <c r="D61" i="6"/>
  <c r="E61" i="6"/>
  <c r="G61" i="6"/>
  <c r="H61" i="6"/>
  <c r="I61" i="6"/>
  <c r="K61" i="6"/>
  <c r="L61" i="6"/>
  <c r="M61" i="6"/>
  <c r="O61" i="6"/>
  <c r="P61" i="6"/>
  <c r="Q61" i="6"/>
  <c r="C62" i="6"/>
  <c r="D62" i="6"/>
  <c r="E62" i="6"/>
  <c r="G62" i="6"/>
  <c r="H62" i="6"/>
  <c r="I62" i="6"/>
  <c r="K62" i="6"/>
  <c r="L62" i="6"/>
  <c r="M62" i="6"/>
  <c r="O62" i="6"/>
  <c r="P62" i="6"/>
  <c r="Q62" i="6"/>
  <c r="C63" i="6"/>
  <c r="D63" i="6"/>
  <c r="E63" i="6"/>
  <c r="G63" i="6"/>
  <c r="H63" i="6"/>
  <c r="I63" i="6"/>
  <c r="K63" i="6"/>
  <c r="L63" i="6"/>
  <c r="M63" i="6"/>
  <c r="O63" i="6"/>
  <c r="P63" i="6"/>
  <c r="Q63" i="6"/>
  <c r="C64" i="6"/>
  <c r="D64" i="6"/>
  <c r="E64" i="6"/>
  <c r="G64" i="6"/>
  <c r="H64" i="6"/>
  <c r="I64" i="6"/>
  <c r="K64" i="6"/>
  <c r="L64" i="6"/>
  <c r="M64" i="6"/>
  <c r="O64" i="6"/>
  <c r="P64" i="6"/>
  <c r="Q64" i="6"/>
  <c r="C65" i="6"/>
  <c r="D65" i="6"/>
  <c r="E65" i="6"/>
  <c r="G65" i="6"/>
  <c r="H65" i="6"/>
  <c r="I65" i="6"/>
  <c r="K65" i="6"/>
  <c r="L65" i="6"/>
  <c r="M65" i="6"/>
  <c r="O65" i="6"/>
  <c r="P65" i="6"/>
  <c r="Q65" i="6"/>
  <c r="C66" i="6"/>
  <c r="D66" i="6"/>
  <c r="E66" i="6"/>
  <c r="G66" i="6"/>
  <c r="H66" i="6"/>
  <c r="I66" i="6"/>
  <c r="K66" i="6"/>
  <c r="L66" i="6"/>
  <c r="M66" i="6"/>
  <c r="O66" i="6"/>
  <c r="P66" i="6"/>
  <c r="Q66" i="6"/>
  <c r="C67" i="6"/>
  <c r="D67" i="6"/>
  <c r="E67" i="6"/>
  <c r="G67" i="6"/>
  <c r="H67" i="6"/>
  <c r="I67" i="6"/>
  <c r="K67" i="6"/>
  <c r="L67" i="6"/>
  <c r="M67" i="6"/>
  <c r="O67" i="6"/>
  <c r="P67" i="6"/>
  <c r="Q67" i="6"/>
  <c r="E69" i="6"/>
  <c r="G69" i="6"/>
  <c r="H69" i="6"/>
  <c r="I69" i="6"/>
  <c r="M69" i="6"/>
  <c r="O69" i="6"/>
  <c r="P69" i="6"/>
  <c r="Q69" i="6"/>
  <c r="E70" i="6"/>
  <c r="G70" i="6"/>
  <c r="H70" i="6"/>
  <c r="I70" i="6"/>
  <c r="M70" i="6"/>
  <c r="O70" i="6"/>
  <c r="P70" i="6"/>
  <c r="Q70" i="6"/>
  <c r="E71" i="6"/>
  <c r="G71" i="6"/>
  <c r="H71" i="6"/>
  <c r="I71" i="6"/>
  <c r="M71" i="6"/>
  <c r="O71" i="6"/>
  <c r="P71" i="6"/>
  <c r="Q71" i="6"/>
  <c r="E72" i="6"/>
  <c r="G72" i="6"/>
  <c r="H72" i="6"/>
  <c r="I72" i="6"/>
  <c r="M72" i="6"/>
  <c r="O72" i="6"/>
  <c r="P72" i="6"/>
  <c r="Q72" i="6"/>
  <c r="E73" i="6"/>
  <c r="G73" i="6"/>
  <c r="H73" i="6"/>
  <c r="I73" i="6"/>
  <c r="M73" i="6"/>
  <c r="O73" i="6"/>
  <c r="P73" i="6"/>
  <c r="Q73" i="6"/>
  <c r="E74" i="6"/>
  <c r="G74" i="6"/>
  <c r="H74" i="6"/>
  <c r="I74" i="6"/>
  <c r="M74" i="6"/>
  <c r="O74" i="6"/>
  <c r="P74" i="6"/>
  <c r="Q74" i="6"/>
  <c r="E75" i="6"/>
  <c r="G75" i="6"/>
  <c r="H75" i="6"/>
  <c r="I75" i="6"/>
  <c r="M75" i="6"/>
  <c r="O75" i="6"/>
  <c r="P75" i="6"/>
  <c r="Q75" i="6"/>
  <c r="E76" i="6"/>
  <c r="G76" i="6"/>
  <c r="H76" i="6"/>
  <c r="I76" i="6"/>
  <c r="M76" i="6"/>
  <c r="O76" i="6"/>
  <c r="P76" i="6"/>
  <c r="Q76" i="6"/>
  <c r="E77" i="6"/>
  <c r="G77" i="6"/>
  <c r="H77" i="6"/>
  <c r="I77" i="6"/>
  <c r="M77" i="6"/>
  <c r="O77" i="6"/>
  <c r="P77" i="6"/>
  <c r="Q77" i="6"/>
  <c r="E78" i="6"/>
  <c r="G78" i="6"/>
  <c r="H78" i="6"/>
  <c r="I78" i="6"/>
  <c r="M78" i="6"/>
  <c r="O78" i="6"/>
  <c r="P78" i="6"/>
  <c r="Q78" i="6"/>
  <c r="E79" i="6"/>
  <c r="G79" i="6"/>
  <c r="H79" i="6"/>
  <c r="I79" i="6"/>
  <c r="M79" i="6"/>
  <c r="O79" i="6"/>
  <c r="P79" i="6"/>
  <c r="Q79" i="6"/>
  <c r="E80" i="6"/>
  <c r="G80" i="6"/>
  <c r="H80" i="6"/>
  <c r="I80" i="6"/>
  <c r="M80" i="6"/>
  <c r="O80" i="6"/>
  <c r="P80" i="6"/>
  <c r="Q80" i="6"/>
  <c r="E81" i="6"/>
  <c r="G81" i="6"/>
  <c r="H81" i="6"/>
  <c r="I81" i="6"/>
  <c r="M81" i="6"/>
  <c r="O81" i="6"/>
  <c r="P81" i="6"/>
  <c r="Q81" i="6"/>
  <c r="E82" i="6"/>
  <c r="G82" i="6"/>
  <c r="H82" i="6"/>
  <c r="I82" i="6"/>
  <c r="M82" i="6"/>
  <c r="O82" i="6"/>
  <c r="P82" i="6"/>
  <c r="Q82" i="6"/>
  <c r="C83" i="6"/>
  <c r="D83" i="6"/>
  <c r="E83" i="6"/>
  <c r="G83" i="6"/>
  <c r="H83" i="6"/>
  <c r="I83" i="6"/>
  <c r="K83" i="6"/>
  <c r="L83" i="6"/>
  <c r="M83" i="6"/>
  <c r="O83" i="6"/>
  <c r="P83" i="6"/>
  <c r="Q83" i="6"/>
  <c r="E84" i="6"/>
  <c r="G84" i="6"/>
  <c r="H84" i="6"/>
  <c r="I84" i="6"/>
  <c r="K84" i="6"/>
  <c r="L84" i="6"/>
  <c r="M84" i="6"/>
  <c r="O84" i="6"/>
  <c r="P84" i="6"/>
  <c r="Q84" i="6"/>
  <c r="G85" i="6"/>
  <c r="H85" i="6"/>
  <c r="I85" i="6"/>
  <c r="K85" i="6"/>
  <c r="M85" i="6"/>
  <c r="O85" i="6"/>
  <c r="P85" i="6"/>
  <c r="G86" i="6"/>
  <c r="H86" i="6"/>
  <c r="I86" i="6"/>
  <c r="K86" i="6"/>
  <c r="M86" i="6"/>
  <c r="O86" i="6"/>
  <c r="P86" i="6"/>
  <c r="E87" i="6"/>
  <c r="G87" i="6"/>
  <c r="H87" i="6"/>
  <c r="I87" i="6"/>
  <c r="K87" i="6"/>
  <c r="L87" i="6"/>
  <c r="M87" i="6"/>
  <c r="O87" i="6"/>
  <c r="P87" i="6"/>
  <c r="Q87" i="6"/>
  <c r="C88" i="6"/>
  <c r="D88" i="6"/>
  <c r="E88" i="6"/>
  <c r="G88" i="6"/>
  <c r="H88" i="6"/>
  <c r="I88" i="6"/>
  <c r="K88" i="6"/>
  <c r="L88" i="6"/>
  <c r="M88" i="6"/>
  <c r="O88" i="6"/>
  <c r="P88" i="6"/>
  <c r="Q88" i="6"/>
  <c r="E89" i="6"/>
  <c r="L89" i="6"/>
  <c r="M89" i="6"/>
  <c r="O89" i="6"/>
  <c r="P89" i="6"/>
  <c r="Q89" i="6"/>
  <c r="C90" i="6"/>
  <c r="D90" i="6"/>
  <c r="E90" i="6"/>
  <c r="G90" i="6"/>
  <c r="H90" i="6"/>
  <c r="I90" i="6"/>
  <c r="K90" i="6"/>
  <c r="L90" i="6"/>
  <c r="M90" i="6"/>
  <c r="O90" i="6"/>
  <c r="P90" i="6"/>
  <c r="Q90" i="6"/>
  <c r="E100" i="6"/>
  <c r="M100" i="6"/>
  <c r="E106" i="6"/>
  <c r="M106" i="6"/>
  <c r="A10" i="13"/>
  <c r="C10" i="13"/>
  <c r="E10" i="13"/>
  <c r="G10" i="13"/>
  <c r="I10" i="13"/>
  <c r="K10" i="13"/>
  <c r="L10" i="13"/>
  <c r="M10" i="13"/>
  <c r="O10" i="13"/>
  <c r="P10" i="13"/>
  <c r="Q10" i="13"/>
  <c r="A11" i="13"/>
  <c r="C11" i="13"/>
  <c r="E11" i="13"/>
  <c r="G11" i="13"/>
  <c r="I11" i="13"/>
  <c r="K11" i="13"/>
  <c r="L11" i="13"/>
  <c r="M11" i="13"/>
  <c r="O11" i="13"/>
  <c r="P11" i="13"/>
  <c r="Q11" i="13"/>
  <c r="A12" i="13"/>
  <c r="C12" i="13"/>
  <c r="E12" i="13"/>
  <c r="G12" i="13"/>
  <c r="I12" i="13"/>
  <c r="K12" i="13"/>
  <c r="L12" i="13"/>
  <c r="M12" i="13"/>
  <c r="O12" i="13"/>
  <c r="P12" i="13"/>
  <c r="Q12" i="13"/>
  <c r="A13" i="13"/>
  <c r="C13" i="13"/>
  <c r="E13" i="13"/>
  <c r="G13" i="13"/>
  <c r="I13" i="13"/>
  <c r="K13" i="13"/>
  <c r="L13" i="13"/>
  <c r="M13" i="13"/>
  <c r="O13" i="13"/>
  <c r="P13" i="13"/>
  <c r="Q13" i="13"/>
  <c r="A14" i="13"/>
  <c r="C14" i="13"/>
  <c r="E14" i="13"/>
  <c r="G14" i="13"/>
  <c r="I14" i="13"/>
  <c r="K14" i="13"/>
  <c r="L14" i="13"/>
  <c r="M14" i="13"/>
  <c r="O14" i="13"/>
  <c r="P14" i="13"/>
  <c r="Q14" i="13"/>
  <c r="A15" i="13"/>
  <c r="C15" i="13"/>
  <c r="E15" i="13"/>
  <c r="G15" i="13"/>
  <c r="H15" i="13"/>
  <c r="I15" i="13"/>
  <c r="K15" i="13"/>
  <c r="L15" i="13"/>
  <c r="M15" i="13"/>
  <c r="O15" i="13"/>
  <c r="P15" i="13"/>
  <c r="Q15" i="13"/>
  <c r="A16" i="13"/>
  <c r="C16" i="13"/>
  <c r="E16" i="13"/>
  <c r="G16" i="13"/>
  <c r="H16" i="13"/>
  <c r="I16" i="13"/>
  <c r="K16" i="13"/>
  <c r="L16" i="13"/>
  <c r="M16" i="13"/>
  <c r="O16" i="13"/>
  <c r="P16" i="13"/>
  <c r="Q16" i="13"/>
  <c r="A17" i="13"/>
  <c r="C17" i="13"/>
  <c r="E17" i="13"/>
  <c r="G17" i="13"/>
  <c r="I17" i="13"/>
  <c r="K17" i="13"/>
  <c r="L17" i="13"/>
  <c r="M17" i="13"/>
  <c r="O17" i="13"/>
  <c r="P17" i="13"/>
  <c r="Q17" i="13"/>
  <c r="A18" i="13"/>
  <c r="C18" i="13"/>
  <c r="E18" i="13"/>
  <c r="G18" i="13"/>
  <c r="I18" i="13"/>
  <c r="K18" i="13"/>
  <c r="M18" i="13"/>
  <c r="O18" i="13"/>
  <c r="P18" i="13"/>
  <c r="Q18" i="13"/>
  <c r="A19" i="13"/>
  <c r="C19" i="13"/>
  <c r="E19" i="13"/>
  <c r="G19" i="13"/>
  <c r="I19" i="13"/>
  <c r="K19" i="13"/>
  <c r="L19" i="13"/>
  <c r="M19" i="13"/>
  <c r="O19" i="13"/>
  <c r="P19" i="13"/>
  <c r="Q19" i="13"/>
  <c r="A20" i="13"/>
  <c r="C20" i="13"/>
  <c r="D20" i="13"/>
  <c r="E20" i="13"/>
  <c r="G20" i="13"/>
  <c r="I20" i="13"/>
  <c r="K20" i="13"/>
  <c r="L20" i="13"/>
  <c r="M20" i="13"/>
  <c r="O20" i="13"/>
  <c r="P20" i="13"/>
  <c r="Q20" i="13"/>
  <c r="C21" i="13"/>
  <c r="D21" i="13"/>
  <c r="E21" i="13"/>
  <c r="G21" i="13"/>
  <c r="H21" i="13"/>
  <c r="I21" i="13"/>
  <c r="K21" i="13"/>
  <c r="L21" i="13"/>
  <c r="M21" i="13"/>
  <c r="O21" i="13"/>
  <c r="P21" i="13"/>
  <c r="Q21" i="13"/>
  <c r="A23" i="13"/>
  <c r="C23" i="13"/>
  <c r="E23" i="13"/>
  <c r="G23" i="13"/>
  <c r="I23" i="13"/>
  <c r="K23" i="13"/>
  <c r="M23" i="13"/>
  <c r="O23" i="13"/>
  <c r="P23" i="13"/>
  <c r="Q23" i="13"/>
  <c r="A24" i="13"/>
  <c r="C24" i="13"/>
  <c r="E24" i="13"/>
  <c r="G24" i="13"/>
  <c r="I24" i="13"/>
  <c r="K24" i="13"/>
  <c r="M24" i="13"/>
  <c r="O24" i="13"/>
  <c r="P24" i="13"/>
  <c r="Q24" i="13"/>
  <c r="A25" i="13"/>
  <c r="C25" i="13"/>
  <c r="E25" i="13"/>
  <c r="G25" i="13"/>
  <c r="I25" i="13"/>
  <c r="K25" i="13"/>
  <c r="M25" i="13"/>
  <c r="O25" i="13"/>
  <c r="P25" i="13"/>
  <c r="Q25" i="13"/>
  <c r="A26" i="13"/>
  <c r="C26" i="13"/>
  <c r="E26" i="13"/>
  <c r="G26" i="13"/>
  <c r="I26" i="13"/>
  <c r="K26" i="13"/>
  <c r="L26" i="13"/>
  <c r="M26" i="13"/>
  <c r="O26" i="13"/>
  <c r="P26" i="13"/>
  <c r="Q26" i="13"/>
  <c r="A27" i="13"/>
  <c r="C27" i="13"/>
  <c r="E27" i="13"/>
  <c r="G27" i="13"/>
  <c r="I27" i="13"/>
  <c r="K27" i="13"/>
  <c r="L27" i="13"/>
  <c r="M27" i="13"/>
  <c r="O27" i="13"/>
  <c r="P27" i="13"/>
  <c r="Q27" i="13"/>
  <c r="A28" i="13"/>
  <c r="C28" i="13"/>
  <c r="D28" i="13"/>
  <c r="E28" i="13"/>
  <c r="G28" i="13"/>
  <c r="I28" i="13"/>
  <c r="K28" i="13"/>
  <c r="L28" i="13"/>
  <c r="M28" i="13"/>
  <c r="O28" i="13"/>
  <c r="P28" i="13"/>
  <c r="Q28" i="13"/>
  <c r="C29" i="13"/>
  <c r="D29" i="13"/>
  <c r="E29" i="13"/>
  <c r="G29" i="13"/>
  <c r="H29" i="13"/>
  <c r="I29" i="13"/>
  <c r="K29" i="13"/>
  <c r="L29" i="13"/>
  <c r="M29" i="13"/>
  <c r="O29" i="13"/>
  <c r="P29" i="13"/>
  <c r="Q29" i="13"/>
  <c r="C31" i="13"/>
  <c r="E31" i="13"/>
  <c r="G31" i="13"/>
  <c r="I31" i="13"/>
  <c r="K31" i="13"/>
  <c r="L31" i="13"/>
  <c r="M31" i="13"/>
  <c r="O31" i="13"/>
  <c r="P31" i="13"/>
  <c r="Q31" i="13"/>
  <c r="C32" i="13"/>
  <c r="E32" i="13"/>
  <c r="G32" i="13"/>
  <c r="I32" i="13"/>
  <c r="K32" i="13"/>
  <c r="M32" i="13"/>
  <c r="O32" i="13"/>
  <c r="P32" i="13"/>
  <c r="Q32" i="13"/>
  <c r="C33" i="13"/>
  <c r="E33" i="13"/>
  <c r="G33" i="13"/>
  <c r="I33" i="13"/>
  <c r="K33" i="13"/>
  <c r="M33" i="13"/>
  <c r="O33" i="13"/>
  <c r="P33" i="13"/>
  <c r="Q33" i="13"/>
  <c r="C34" i="13"/>
  <c r="E34" i="13"/>
  <c r="G34" i="13"/>
  <c r="I34" i="13"/>
  <c r="K34" i="13"/>
  <c r="L34" i="13"/>
  <c r="M34" i="13"/>
  <c r="O34" i="13"/>
  <c r="P34" i="13"/>
  <c r="Q34" i="13"/>
  <c r="C35" i="13"/>
  <c r="E35" i="13"/>
  <c r="G35" i="13"/>
  <c r="I35" i="13"/>
  <c r="K35" i="13"/>
  <c r="L35" i="13"/>
  <c r="M35" i="13"/>
  <c r="O35" i="13"/>
  <c r="P35" i="13"/>
  <c r="Q35" i="13"/>
  <c r="C36" i="13"/>
  <c r="E36" i="13"/>
  <c r="G36" i="13"/>
  <c r="I36" i="13"/>
  <c r="K36" i="13"/>
  <c r="L36" i="13"/>
  <c r="M36" i="13"/>
  <c r="O36" i="13"/>
  <c r="P36" i="13"/>
  <c r="Q36" i="13"/>
  <c r="C37" i="13"/>
  <c r="D37" i="13"/>
  <c r="E37" i="13"/>
  <c r="G37" i="13"/>
  <c r="I37" i="13"/>
  <c r="K37" i="13"/>
  <c r="L37" i="13"/>
  <c r="M37" i="13"/>
  <c r="O37" i="13"/>
  <c r="P37" i="13"/>
  <c r="Q37" i="13"/>
  <c r="C38" i="13"/>
  <c r="D38" i="13"/>
  <c r="E38" i="13"/>
  <c r="G38" i="13"/>
  <c r="I38" i="13"/>
  <c r="K38" i="13"/>
  <c r="L38" i="13"/>
  <c r="M38" i="13"/>
  <c r="O38" i="13"/>
  <c r="P38" i="13"/>
  <c r="Q38" i="13"/>
  <c r="C39" i="13"/>
  <c r="D39" i="13"/>
  <c r="E39" i="13"/>
  <c r="G39" i="13"/>
  <c r="H39" i="13"/>
  <c r="I39" i="13"/>
  <c r="K39" i="13"/>
  <c r="L39" i="13"/>
  <c r="M39" i="13"/>
  <c r="O39" i="13"/>
  <c r="P39" i="13"/>
  <c r="Q39" i="13"/>
  <c r="C40" i="13"/>
  <c r="D40" i="13"/>
  <c r="E40" i="13"/>
  <c r="G40" i="13"/>
  <c r="H40" i="13"/>
  <c r="I40" i="13"/>
  <c r="K40" i="13"/>
  <c r="L40" i="13"/>
  <c r="M40" i="13"/>
  <c r="O40" i="13"/>
  <c r="P40" i="13"/>
  <c r="Q40" i="13"/>
  <c r="C42" i="13"/>
  <c r="E42" i="13"/>
  <c r="G42" i="13"/>
  <c r="I42" i="13"/>
  <c r="K42" i="13"/>
  <c r="M42" i="13"/>
  <c r="O42" i="13"/>
  <c r="P42" i="13"/>
  <c r="Q42" i="13"/>
  <c r="C43" i="13"/>
  <c r="E43" i="13"/>
  <c r="G43" i="13"/>
  <c r="I43" i="13"/>
  <c r="K43" i="13"/>
  <c r="M43" i="13"/>
  <c r="O43" i="13"/>
  <c r="P43" i="13"/>
  <c r="Q43" i="13"/>
  <c r="C44" i="13"/>
  <c r="E44" i="13"/>
  <c r="G44" i="13"/>
  <c r="I44" i="13"/>
  <c r="K44" i="13"/>
  <c r="L44" i="13"/>
  <c r="M44" i="13"/>
  <c r="O44" i="13"/>
  <c r="P44" i="13"/>
  <c r="Q44" i="13"/>
  <c r="C45" i="13"/>
  <c r="E45" i="13"/>
  <c r="G45" i="13"/>
  <c r="I45" i="13"/>
  <c r="K45" i="13"/>
  <c r="M45" i="13"/>
  <c r="O45" i="13"/>
  <c r="P45" i="13"/>
  <c r="Q45" i="13"/>
  <c r="C46" i="13"/>
  <c r="E46" i="13"/>
  <c r="G46" i="13"/>
  <c r="I46" i="13"/>
  <c r="K46" i="13"/>
  <c r="L46" i="13"/>
  <c r="M46" i="13"/>
  <c r="O46" i="13"/>
  <c r="P46" i="13"/>
  <c r="Q46" i="13"/>
  <c r="C47" i="13"/>
  <c r="D47" i="13"/>
  <c r="E47" i="13"/>
  <c r="G47" i="13"/>
  <c r="I47" i="13"/>
  <c r="K47" i="13"/>
  <c r="L47" i="13"/>
  <c r="M47" i="13"/>
  <c r="O47" i="13"/>
  <c r="P47" i="13"/>
  <c r="Q47" i="13"/>
  <c r="C48" i="13"/>
  <c r="D48" i="13"/>
  <c r="E48" i="13"/>
  <c r="G48" i="13"/>
  <c r="H48" i="13"/>
  <c r="I48" i="13"/>
  <c r="K48" i="13"/>
  <c r="L48" i="13"/>
  <c r="M48" i="13"/>
  <c r="O48" i="13"/>
  <c r="P48" i="13"/>
  <c r="Q48" i="13"/>
  <c r="C49" i="13"/>
  <c r="D49" i="13"/>
  <c r="E49" i="13"/>
  <c r="G49" i="13"/>
  <c r="H49" i="13"/>
  <c r="I49" i="13"/>
  <c r="K49" i="13"/>
  <c r="L49" i="13"/>
  <c r="M49" i="13"/>
  <c r="O49" i="13"/>
  <c r="P49" i="13"/>
  <c r="Q49" i="13"/>
  <c r="A51" i="13"/>
  <c r="C51" i="13"/>
  <c r="E51" i="13"/>
  <c r="G51" i="13"/>
  <c r="I51" i="13"/>
  <c r="K51" i="13"/>
  <c r="L51" i="13"/>
  <c r="M51" i="13"/>
  <c r="O51" i="13"/>
  <c r="P51" i="13"/>
  <c r="Q51" i="13"/>
  <c r="C52" i="13"/>
  <c r="E52" i="13"/>
  <c r="G52" i="13"/>
  <c r="I52" i="13"/>
  <c r="K52" i="13"/>
  <c r="L52" i="13"/>
  <c r="M52" i="13"/>
  <c r="O52" i="13"/>
  <c r="P52" i="13"/>
  <c r="Q52" i="13"/>
  <c r="C53" i="13"/>
  <c r="E53" i="13"/>
  <c r="G53" i="13"/>
  <c r="I53" i="13"/>
  <c r="K53" i="13"/>
  <c r="M53" i="13"/>
  <c r="O53" i="13"/>
  <c r="P53" i="13"/>
  <c r="Q53" i="13"/>
  <c r="C54" i="13"/>
  <c r="E54" i="13"/>
  <c r="G54" i="13"/>
  <c r="I54" i="13"/>
  <c r="K54" i="13"/>
  <c r="L54" i="13"/>
  <c r="M54" i="13"/>
  <c r="O54" i="13"/>
  <c r="P54" i="13"/>
  <c r="Q54" i="13"/>
  <c r="C55" i="13"/>
  <c r="E55" i="13"/>
  <c r="G55" i="13"/>
  <c r="I55" i="13"/>
  <c r="K55" i="13"/>
  <c r="L55" i="13"/>
  <c r="M55" i="13"/>
  <c r="O55" i="13"/>
  <c r="P55" i="13"/>
  <c r="Q55" i="13"/>
  <c r="C56" i="13"/>
  <c r="E56" i="13"/>
  <c r="G56" i="13"/>
  <c r="I56" i="13"/>
  <c r="K56" i="13"/>
  <c r="L56" i="13"/>
  <c r="M56" i="13"/>
  <c r="O56" i="13"/>
  <c r="P56" i="13"/>
  <c r="Q56" i="13"/>
  <c r="C57" i="13"/>
  <c r="E57" i="13"/>
  <c r="G57" i="13"/>
  <c r="H57" i="13"/>
  <c r="I57" i="13"/>
  <c r="K57" i="13"/>
  <c r="M57" i="13"/>
  <c r="O57" i="13"/>
  <c r="P57" i="13"/>
  <c r="Q57" i="13"/>
  <c r="C58" i="13"/>
  <c r="E58" i="13"/>
  <c r="G58" i="13"/>
  <c r="I58" i="13"/>
  <c r="K58" i="13"/>
  <c r="L58" i="13"/>
  <c r="M58" i="13"/>
  <c r="O58" i="13"/>
  <c r="P58" i="13"/>
  <c r="Q58" i="13"/>
  <c r="C59" i="13"/>
  <c r="D59" i="13"/>
  <c r="E59" i="13"/>
  <c r="G59" i="13"/>
  <c r="I59" i="13"/>
  <c r="K59" i="13"/>
  <c r="L59" i="13"/>
  <c r="M59" i="13"/>
  <c r="O59" i="13"/>
  <c r="P59" i="13"/>
  <c r="Q59" i="13"/>
  <c r="C60" i="13"/>
  <c r="E60" i="13"/>
  <c r="G60" i="13"/>
  <c r="I60" i="13"/>
  <c r="K60" i="13"/>
  <c r="L60" i="13"/>
  <c r="M60" i="13"/>
  <c r="O60" i="13"/>
  <c r="P60" i="13"/>
  <c r="Q60" i="13"/>
  <c r="C61" i="13"/>
  <c r="E61" i="13"/>
  <c r="G61" i="13"/>
  <c r="I61" i="13"/>
  <c r="K61" i="13"/>
  <c r="M61" i="13"/>
  <c r="O61" i="13"/>
  <c r="P61" i="13"/>
  <c r="Q61" i="13"/>
  <c r="C62" i="13"/>
  <c r="E62" i="13"/>
  <c r="G62" i="13"/>
  <c r="I62" i="13"/>
  <c r="K62" i="13"/>
  <c r="M62" i="13"/>
  <c r="O62" i="13"/>
  <c r="P62" i="13"/>
  <c r="Q62" i="13"/>
  <c r="C63" i="13"/>
  <c r="E63" i="13"/>
  <c r="G63" i="13"/>
  <c r="I63" i="13"/>
  <c r="K63" i="13"/>
  <c r="M63" i="13"/>
  <c r="O63" i="13"/>
  <c r="P63" i="13"/>
  <c r="Q63" i="13"/>
  <c r="E64" i="13"/>
  <c r="I64" i="13"/>
  <c r="M64" i="13"/>
  <c r="O64" i="13"/>
  <c r="P64" i="13"/>
  <c r="Q64" i="13"/>
  <c r="A65" i="13"/>
  <c r="C65" i="13"/>
  <c r="E65" i="13"/>
  <c r="G65" i="13"/>
  <c r="I65" i="13"/>
  <c r="K65" i="13"/>
  <c r="M65" i="13"/>
  <c r="O65" i="13"/>
  <c r="P65" i="13"/>
  <c r="Q65" i="13"/>
  <c r="A66" i="13"/>
  <c r="C66" i="13"/>
  <c r="D66" i="13"/>
  <c r="E66" i="13"/>
  <c r="G66" i="13"/>
  <c r="I66" i="13"/>
  <c r="K66" i="13"/>
  <c r="L66" i="13"/>
  <c r="M66" i="13"/>
  <c r="O66" i="13"/>
  <c r="P66" i="13"/>
  <c r="Q66" i="13"/>
  <c r="C67" i="13"/>
  <c r="E67" i="13"/>
  <c r="G67" i="13"/>
  <c r="I67" i="13"/>
  <c r="K67" i="13"/>
  <c r="M67" i="13"/>
  <c r="O67" i="13"/>
  <c r="P67" i="13"/>
  <c r="Q67" i="13"/>
  <c r="C68" i="13"/>
  <c r="D68" i="13"/>
  <c r="E68" i="13"/>
  <c r="G68" i="13"/>
  <c r="H68" i="13"/>
  <c r="I68" i="13"/>
  <c r="K68" i="13"/>
  <c r="L68" i="13"/>
  <c r="M68" i="13"/>
  <c r="O68" i="13"/>
  <c r="P68" i="13"/>
  <c r="Q68" i="13"/>
  <c r="C69" i="13"/>
  <c r="E69" i="13"/>
  <c r="G69" i="13"/>
  <c r="I69" i="13"/>
  <c r="K69" i="13"/>
  <c r="L69" i="13"/>
  <c r="M69" i="13"/>
  <c r="O69" i="13"/>
  <c r="P69" i="13"/>
  <c r="Q69" i="13"/>
  <c r="C70" i="13"/>
  <c r="D70" i="13"/>
  <c r="E70" i="13"/>
  <c r="G70" i="13"/>
  <c r="H70" i="13"/>
  <c r="I70" i="13"/>
  <c r="K70" i="13"/>
  <c r="L70" i="13"/>
  <c r="M70" i="13"/>
  <c r="O70" i="13"/>
  <c r="P70" i="13"/>
  <c r="Q70" i="13"/>
  <c r="C71" i="13"/>
  <c r="D71" i="13"/>
  <c r="E71" i="13"/>
  <c r="G71" i="13"/>
  <c r="H71" i="13"/>
  <c r="I71" i="13"/>
  <c r="K71" i="13"/>
  <c r="L71" i="13"/>
  <c r="M71" i="13"/>
  <c r="O71" i="13"/>
  <c r="P71" i="13"/>
  <c r="Q71" i="13"/>
  <c r="C73" i="13"/>
  <c r="E73" i="13"/>
  <c r="G73" i="13"/>
  <c r="I73" i="13"/>
  <c r="K73" i="13"/>
  <c r="M73" i="13"/>
  <c r="O73" i="13"/>
  <c r="P73" i="13"/>
  <c r="Q73" i="13"/>
  <c r="C74" i="13"/>
  <c r="E74" i="13"/>
  <c r="G74" i="13"/>
  <c r="I74" i="13"/>
  <c r="K74" i="13"/>
  <c r="M74" i="13"/>
  <c r="O74" i="13"/>
  <c r="P74" i="13"/>
  <c r="Q74" i="13"/>
  <c r="C75" i="13"/>
  <c r="E75" i="13"/>
  <c r="G75" i="13"/>
  <c r="I75" i="13"/>
  <c r="K75" i="13"/>
  <c r="M75" i="13"/>
  <c r="O75" i="13"/>
  <c r="P75" i="13"/>
  <c r="Q75" i="13"/>
  <c r="C76" i="13"/>
  <c r="E76" i="13"/>
  <c r="G76" i="13"/>
  <c r="I76" i="13"/>
  <c r="K76" i="13"/>
  <c r="M76" i="13"/>
  <c r="O76" i="13"/>
  <c r="P76" i="13"/>
  <c r="Q76" i="13"/>
  <c r="C77" i="13"/>
  <c r="E77" i="13"/>
  <c r="G77" i="13"/>
  <c r="I77" i="13"/>
  <c r="K77" i="13"/>
  <c r="M77" i="13"/>
  <c r="O77" i="13"/>
  <c r="P77" i="13"/>
  <c r="Q77" i="13"/>
  <c r="C78" i="13"/>
  <c r="E78" i="13"/>
  <c r="G78" i="13"/>
  <c r="I78" i="13"/>
  <c r="K78" i="13"/>
  <c r="M78" i="13"/>
  <c r="O78" i="13"/>
  <c r="P78" i="13"/>
  <c r="Q78" i="13"/>
  <c r="C79" i="13"/>
  <c r="E79" i="13"/>
  <c r="G79" i="13"/>
  <c r="I79" i="13"/>
  <c r="K79" i="13"/>
  <c r="M79" i="13"/>
  <c r="O79" i="13"/>
  <c r="P79" i="13"/>
  <c r="Q79" i="13"/>
  <c r="C80" i="13"/>
  <c r="E80" i="13"/>
  <c r="G80" i="13"/>
  <c r="I80" i="13"/>
  <c r="K80" i="13"/>
  <c r="M80" i="13"/>
  <c r="O80" i="13"/>
  <c r="P80" i="13"/>
  <c r="Q80" i="13"/>
  <c r="C81" i="13"/>
  <c r="E81" i="13"/>
  <c r="G81" i="13"/>
  <c r="I81" i="13"/>
  <c r="K81" i="13"/>
  <c r="M81" i="13"/>
  <c r="O81" i="13"/>
  <c r="P81" i="13"/>
  <c r="Q81" i="13"/>
  <c r="C82" i="13"/>
  <c r="E82" i="13"/>
  <c r="G82" i="13"/>
  <c r="I82" i="13"/>
  <c r="K82" i="13"/>
  <c r="M82" i="13"/>
  <c r="O82" i="13"/>
  <c r="P82" i="13"/>
  <c r="Q82" i="13"/>
  <c r="C83" i="13"/>
  <c r="E83" i="13"/>
  <c r="G83" i="13"/>
  <c r="I83" i="13"/>
  <c r="K83" i="13"/>
  <c r="M83" i="13"/>
  <c r="O83" i="13"/>
  <c r="P83" i="13"/>
  <c r="Q83" i="13"/>
  <c r="C84" i="13"/>
  <c r="E84" i="13"/>
  <c r="G84" i="13"/>
  <c r="I84" i="13"/>
  <c r="K84" i="13"/>
  <c r="M84" i="13"/>
  <c r="O84" i="13"/>
  <c r="P84" i="13"/>
  <c r="Q84" i="13"/>
  <c r="C85" i="13"/>
  <c r="E85" i="13"/>
  <c r="G85" i="13"/>
  <c r="I85" i="13"/>
  <c r="K85" i="13"/>
  <c r="M85" i="13"/>
  <c r="O85" i="13"/>
  <c r="P85" i="13"/>
  <c r="Q85" i="13"/>
  <c r="C86" i="13"/>
  <c r="E86" i="13"/>
  <c r="G86" i="13"/>
  <c r="I86" i="13"/>
  <c r="K86" i="13"/>
  <c r="M86" i="13"/>
  <c r="O86" i="13"/>
  <c r="P86" i="13"/>
  <c r="Q86" i="13"/>
  <c r="C87" i="13"/>
  <c r="D87" i="13"/>
  <c r="E87" i="13"/>
  <c r="G87" i="13"/>
  <c r="H87" i="13"/>
  <c r="I87" i="13"/>
  <c r="K87" i="13"/>
  <c r="L87" i="13"/>
  <c r="M87" i="13"/>
  <c r="O87" i="13"/>
  <c r="P87" i="13"/>
  <c r="Q87" i="13"/>
  <c r="C88" i="13"/>
  <c r="E88" i="13"/>
  <c r="G88" i="13"/>
  <c r="I88" i="13"/>
  <c r="K88" i="13"/>
  <c r="L88" i="13"/>
  <c r="M88" i="13"/>
  <c r="O88" i="13"/>
  <c r="P88" i="13"/>
  <c r="Q88" i="13"/>
  <c r="C89" i="13"/>
  <c r="E89" i="13"/>
  <c r="G89" i="13"/>
  <c r="I89" i="13"/>
  <c r="K89" i="13"/>
  <c r="L89" i="13"/>
  <c r="M89" i="13"/>
  <c r="O89" i="13"/>
  <c r="P89" i="13"/>
  <c r="Q89" i="13"/>
  <c r="C90" i="13"/>
  <c r="E90" i="13"/>
  <c r="G90" i="13"/>
  <c r="I90" i="13"/>
  <c r="K90" i="13"/>
  <c r="M90" i="13"/>
  <c r="O90" i="13"/>
  <c r="P90" i="13"/>
  <c r="Q90" i="13"/>
  <c r="C91" i="13"/>
  <c r="E91" i="13"/>
  <c r="G91" i="13"/>
  <c r="I91" i="13"/>
  <c r="K91" i="13"/>
  <c r="L91" i="13"/>
  <c r="M91" i="13"/>
  <c r="O91" i="13"/>
  <c r="P91" i="13"/>
  <c r="Q91" i="13"/>
  <c r="C92" i="13"/>
  <c r="D92" i="13"/>
  <c r="E92" i="13"/>
  <c r="G92" i="13"/>
  <c r="H92" i="13"/>
  <c r="I92" i="13"/>
  <c r="K92" i="13"/>
  <c r="L92" i="13"/>
  <c r="M92" i="13"/>
  <c r="O92" i="13"/>
  <c r="P92" i="13"/>
  <c r="Q92" i="13"/>
  <c r="E93" i="13"/>
  <c r="G93" i="13"/>
  <c r="I93" i="13"/>
  <c r="L93" i="13"/>
  <c r="O93" i="13"/>
  <c r="P93" i="13"/>
  <c r="Q93" i="13"/>
  <c r="C94" i="13"/>
  <c r="D94" i="13"/>
  <c r="E94" i="13"/>
  <c r="G94" i="13"/>
  <c r="H94" i="13"/>
  <c r="I94" i="13"/>
  <c r="K94" i="13"/>
  <c r="L94" i="13"/>
  <c r="M94" i="13"/>
  <c r="O94" i="13"/>
  <c r="P94" i="13"/>
  <c r="Q94" i="13"/>
</calcChain>
</file>

<file path=xl/sharedStrings.xml><?xml version="1.0" encoding="utf-8"?>
<sst xmlns="http://schemas.openxmlformats.org/spreadsheetml/2006/main" count="612" uniqueCount="164">
  <si>
    <t>Margin</t>
  </si>
  <si>
    <t>EBIT</t>
  </si>
  <si>
    <t>Business Team</t>
  </si>
  <si>
    <t>Actual</t>
  </si>
  <si>
    <t>Plan</t>
  </si>
  <si>
    <t>Variance</t>
  </si>
  <si>
    <t>Forecast</t>
  </si>
  <si>
    <t xml:space="preserve">  Total East Power</t>
  </si>
  <si>
    <t xml:space="preserve">  Total West Power</t>
  </si>
  <si>
    <t xml:space="preserve">  Total Natural Gas</t>
  </si>
  <si>
    <t xml:space="preserve">  Total Canada </t>
  </si>
  <si>
    <t xml:space="preserve">    Overview</t>
  </si>
  <si>
    <t>Total Commercial</t>
  </si>
  <si>
    <t>Total Group</t>
  </si>
  <si>
    <t>ENA EBIT</t>
  </si>
  <si>
    <t>Interest Expense/(Income)</t>
  </si>
  <si>
    <t>ENA Pre-tax Income</t>
  </si>
  <si>
    <t xml:space="preserve">    Corp Charges and Non-Allocable</t>
  </si>
  <si>
    <t xml:space="preserve">    Capital Charge Offset/Facility Costs</t>
  </si>
  <si>
    <t xml:space="preserve">    Other Interest Related</t>
  </si>
  <si>
    <t xml:space="preserve">    ERCOT (Smith/Sukaly)</t>
  </si>
  <si>
    <t xml:space="preserve">    Southeast (Herndon/Pagan)</t>
  </si>
  <si>
    <t xml:space="preserve">    Midwest (Sturm/Baughman)</t>
  </si>
  <si>
    <t xml:space="preserve">    Northeast (Davis/Ader)</t>
  </si>
  <si>
    <t xml:space="preserve">    Management Book (Presto)</t>
  </si>
  <si>
    <t xml:space="preserve">    Originations (Calger)</t>
  </si>
  <si>
    <t xml:space="preserve">    QF (Calger)</t>
  </si>
  <si>
    <t xml:space="preserve">    Development (Jacoby)</t>
  </si>
  <si>
    <t xml:space="preserve">    Structuring (Aucoin)</t>
  </si>
  <si>
    <t xml:space="preserve">    Fundamentals (Will)</t>
  </si>
  <si>
    <t xml:space="preserve">    Trading (Belden)</t>
  </si>
  <si>
    <t xml:space="preserve">    Middle Market/Services (Foster/Wolfe)</t>
  </si>
  <si>
    <t xml:space="preserve">    Development (Parquet)</t>
  </si>
  <si>
    <t xml:space="preserve">    Fundamentals (Heisenreiker)</t>
  </si>
  <si>
    <t xml:space="preserve">    West (Allen/Tycholiz)</t>
  </si>
  <si>
    <t xml:space="preserve">    Midwest (Shively/Luce)</t>
  </si>
  <si>
    <t xml:space="preserve">    East (Neal/Vickers)</t>
  </si>
  <si>
    <t xml:space="preserve">   Texas (Martin)</t>
  </si>
  <si>
    <t xml:space="preserve">   Financial (Arnold)</t>
  </si>
  <si>
    <t xml:space="preserve">   Derivatives (Lagrasta)</t>
  </si>
  <si>
    <t xml:space="preserve">   NG Structuring (McMicheal)</t>
  </si>
  <si>
    <t xml:space="preserve">   NG Fundamentals (Gaskill)</t>
  </si>
  <si>
    <t xml:space="preserve">    Natural Gas (McKay/LeDain)</t>
  </si>
  <si>
    <t xml:space="preserve">    Finance (Kitagawa)</t>
  </si>
  <si>
    <t xml:space="preserve">    Retail (Pope)</t>
  </si>
  <si>
    <t xml:space="preserve">    Executive (Milnthorp)</t>
  </si>
  <si>
    <t xml:space="preserve">    Mexico (Yzaguirre)</t>
  </si>
  <si>
    <t xml:space="preserve">    Generation Investments (Duran)</t>
  </si>
  <si>
    <t xml:space="preserve">    Principal Investing (Miller)</t>
  </si>
  <si>
    <t xml:space="preserve">    Corporate Development (Detmering)</t>
  </si>
  <si>
    <t xml:space="preserve">    Restructuring (Redmond)</t>
  </si>
  <si>
    <t xml:space="preserve">    Business Analysis &amp; Reptg (Colwell)</t>
  </si>
  <si>
    <t xml:space="preserve">    Transaction Support (Colwell)</t>
  </si>
  <si>
    <t xml:space="preserve">    Energy Operations (Beck)</t>
  </si>
  <si>
    <t xml:space="preserve">    Human Resources (Oxley)</t>
  </si>
  <si>
    <t xml:space="preserve">    Legal (Haedicke)</t>
  </si>
  <si>
    <t xml:space="preserve">    Public Relations (Thoede)</t>
  </si>
  <si>
    <t xml:space="preserve">    Tax (Douglas)</t>
  </si>
  <si>
    <t xml:space="preserve">    Information Technology (Bibi)</t>
  </si>
  <si>
    <t xml:space="preserve">    Research (Kaminski)</t>
  </si>
  <si>
    <t xml:space="preserve">    Competitive Analysis (Tholan)</t>
  </si>
  <si>
    <t xml:space="preserve">    Treasury (Deffner)</t>
  </si>
  <si>
    <t xml:space="preserve">    Technical Services (Redmond))</t>
  </si>
  <si>
    <t xml:space="preserve">    Energy Capital Svcs (Thompson/Josey)</t>
  </si>
  <si>
    <t xml:space="preserve">    New Albany (Presto)   </t>
  </si>
  <si>
    <t xml:space="preserve">    Alberta Power (Zufferli/Davies)</t>
  </si>
  <si>
    <t xml:space="preserve">    Ontario Power (Devries)</t>
  </si>
  <si>
    <t xml:space="preserve">    LT Fundamentals/Transport (Gomez)</t>
  </si>
  <si>
    <t xml:space="preserve">    HPL (Redmond)</t>
  </si>
  <si>
    <t xml:space="preserve">    Bridgeline (Mrha)</t>
  </si>
  <si>
    <t>Enron North America</t>
  </si>
  <si>
    <t xml:space="preserve">    Sold Peakers</t>
  </si>
  <si>
    <t xml:space="preserve">    Office of the Chairman (Delainey/Lavorato)</t>
  </si>
  <si>
    <t xml:space="preserve">    Cross Commodity (Lavorato)</t>
  </si>
  <si>
    <t xml:space="preserve">    Upstream Executive (Mrha)</t>
  </si>
  <si>
    <t>ENRON NORTH AMERICA</t>
  </si>
  <si>
    <t xml:space="preserve">DAILY CHANGE </t>
  </si>
  <si>
    <t>Deals</t>
  </si>
  <si>
    <t>Total</t>
  </si>
  <si>
    <t>MPR</t>
  </si>
  <si>
    <t>Accruals</t>
  </si>
  <si>
    <t>Other</t>
  </si>
  <si>
    <t>FTA</t>
  </si>
  <si>
    <t>Identified</t>
  </si>
  <si>
    <t>(1) Excludes Cap. Charge &amp; Operating Costs</t>
  </si>
  <si>
    <t xml:space="preserve"> </t>
  </si>
  <si>
    <r>
      <t>DPR</t>
    </r>
    <r>
      <rPr>
        <b/>
        <vertAlign val="superscript"/>
        <sz val="8"/>
        <rFont val="Arial Narrow"/>
        <family val="2"/>
      </rPr>
      <t>(1)</t>
    </r>
  </si>
  <si>
    <t>DPR Change</t>
  </si>
  <si>
    <t>Operating Expense</t>
  </si>
  <si>
    <t>MPR Change</t>
  </si>
  <si>
    <t>Commercial Expense</t>
  </si>
  <si>
    <t>Other Margin Changes</t>
  </si>
  <si>
    <t>Total Change</t>
  </si>
  <si>
    <t>Prior Day:</t>
  </si>
  <si>
    <t>Current Day:</t>
  </si>
  <si>
    <t>Change:</t>
  </si>
  <si>
    <t>Direct Expenses</t>
  </si>
  <si>
    <t>Variance Explanation</t>
  </si>
  <si>
    <t>TOTAL</t>
  </si>
  <si>
    <t>Capital Charge</t>
  </si>
  <si>
    <t>Explanation</t>
  </si>
  <si>
    <t xml:space="preserve">   Management</t>
  </si>
  <si>
    <t xml:space="preserve">      Compression Services (Hilgert)</t>
  </si>
  <si>
    <t xml:space="preserve">      Offshore (Byargeon)</t>
  </si>
  <si>
    <t xml:space="preserve">      Storage (Bieniawski)</t>
  </si>
  <si>
    <t xml:space="preserve">      Producer E-Commerce (Grass)</t>
  </si>
  <si>
    <t xml:space="preserve">      Wellhead Desk (Mrha)</t>
  </si>
  <si>
    <t xml:space="preserve">    Canada Support (Milnthorp)</t>
  </si>
  <si>
    <t>1st QTR 2001 EARNINGS ESTIMATE</t>
  </si>
  <si>
    <t>1st QUARTER 2001 DETAIL OF GROSS MARGIN</t>
  </si>
  <si>
    <t>1st QUARTER 2001 EXPENSES - WEEKLY CHANGE</t>
  </si>
  <si>
    <t>Margin change from: 12/31/00</t>
  </si>
  <si>
    <t>Expense changes from: 12/31/00</t>
  </si>
  <si>
    <t>Unallocable Cap Charge</t>
  </si>
  <si>
    <t>Operating Expenses</t>
  </si>
  <si>
    <t xml:space="preserve">    Capital Charge Offset</t>
  </si>
  <si>
    <t xml:space="preserve">    Facility Costs</t>
  </si>
  <si>
    <t>Original Delainey number</t>
  </si>
  <si>
    <t>items not identifiable to a specific team- IT P,P&amp;E, build-outs, broker cash, etc.</t>
  </si>
  <si>
    <t xml:space="preserve">    Prepay Expenses</t>
  </si>
  <si>
    <t xml:space="preserve">    U.S. Drift</t>
  </si>
  <si>
    <t xml:space="preserve">Direct &amp; </t>
  </si>
  <si>
    <t>Capital</t>
  </si>
  <si>
    <t>Charge</t>
  </si>
  <si>
    <t>HPL</t>
  </si>
  <si>
    <t xml:space="preserve">    TVA Settlement</t>
  </si>
  <si>
    <t>Total ENA Commercial</t>
  </si>
  <si>
    <t>Americas Expenses</t>
  </si>
  <si>
    <t>Americas Capital Charge</t>
  </si>
  <si>
    <t xml:space="preserve">    Office of the Chairman (Lavorato/Kitchen)</t>
  </si>
  <si>
    <t>Origination</t>
  </si>
  <si>
    <t xml:space="preserve">    Retail (Milnthorp)</t>
  </si>
  <si>
    <t>Trading</t>
  </si>
  <si>
    <t>Mid Mkt</t>
  </si>
  <si>
    <t xml:space="preserve">    Prior Year Adj</t>
  </si>
  <si>
    <t xml:space="preserve">    Central (Shively/Luce)</t>
  </si>
  <si>
    <t>NA</t>
  </si>
  <si>
    <t>SA</t>
  </si>
  <si>
    <t>Expenses</t>
  </si>
  <si>
    <t>2nd QTR 2001 EARNINGS ESTIMATE</t>
  </si>
  <si>
    <t>North America EBIT</t>
  </si>
  <si>
    <t>North America Pre-tax Income</t>
  </si>
  <si>
    <t>2nd QUARTER 2001 DETAIL OF GROSS MARGIN</t>
  </si>
  <si>
    <t>2nd QUARTER 2001 EXPENSES</t>
  </si>
  <si>
    <t>2nd QUARTER 2001 CAPITAL CHARGE</t>
  </si>
  <si>
    <t>Fair Value Amortization</t>
  </si>
  <si>
    <t>2nd YTD 2001 EARNINGS ESTIMATE</t>
  </si>
  <si>
    <t>ENW Bonus</t>
  </si>
  <si>
    <t xml:space="preserve">    Northeast (Davis)</t>
  </si>
  <si>
    <t xml:space="preserve">    ERCOT (Smith/Tingleaf)</t>
  </si>
  <si>
    <t xml:space="preserve">    Options (Arrora)</t>
  </si>
  <si>
    <t xml:space="preserve">    Services (Will)</t>
  </si>
  <si>
    <t xml:space="preserve">    Generation (Parquet)</t>
  </si>
  <si>
    <t xml:space="preserve">    Executive (Calger)</t>
  </si>
  <si>
    <t xml:space="preserve">    Origination (Thomas/Mcdonald)</t>
  </si>
  <si>
    <t xml:space="preserve">    Southeast (Herndon/Kroll)</t>
  </si>
  <si>
    <t xml:space="preserve">    Structuring (Meyn)</t>
  </si>
  <si>
    <t xml:space="preserve">    Fundamentals (Heizenreiker)</t>
  </si>
  <si>
    <t>Pipeline Capcity Project</t>
  </si>
  <si>
    <t>AA SAP invoices, Mexico City</t>
  </si>
  <si>
    <t xml:space="preserve">    Asset Marketing (Miller)</t>
  </si>
  <si>
    <t>Results based on activity through June 01, 2001</t>
  </si>
  <si>
    <t xml:space="preserve">    Special Assets (Redmond/Lydecker)</t>
  </si>
  <si>
    <t>Results based on activity through June 08,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</si>
</sst>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?_);_(@_)"/>
    <numFmt numFmtId="175" formatCode="mm/dd/yy"/>
    <numFmt numFmtId="177" formatCode="0.0"/>
    <numFmt numFmtId="180" formatCode="m/d"/>
  </numFmts>
  <fonts count="33" x14ac:knownFonts="1">
    <font>
      <sz val="10"/>
      <name val="Arial"/>
    </font>
    <font>
      <sz val="10"/>
      <name val="Arial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sz val="8"/>
      <name val="Arial Narrow"/>
      <family val="2"/>
    </font>
    <font>
      <b/>
      <sz val="10"/>
      <color indexed="12"/>
      <name val="Arial Narrow"/>
      <family val="2"/>
    </font>
    <font>
      <b/>
      <sz val="8"/>
      <color indexed="12"/>
      <name val="Arial Narrow"/>
      <family val="2"/>
    </font>
    <font>
      <b/>
      <i/>
      <sz val="8"/>
      <name val="Arial Narrow"/>
      <family val="2"/>
    </font>
    <font>
      <b/>
      <sz val="8"/>
      <name val="Arial Narrow"/>
      <family val="2"/>
    </font>
    <font>
      <b/>
      <sz val="9"/>
      <color indexed="12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vertAlign val="superscript"/>
      <sz val="8"/>
      <name val="Arial Narrow"/>
      <family val="2"/>
    </font>
    <font>
      <b/>
      <sz val="9"/>
      <name val="Arial Narrow"/>
      <family val="2"/>
    </font>
    <font>
      <i/>
      <sz val="8"/>
      <name val="Arial Narrow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i/>
      <sz val="9"/>
      <name val="Arial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8">
    <xf numFmtId="0" fontId="0" fillId="0" borderId="0" xfId="0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Alignment="1"/>
    <xf numFmtId="0" fontId="3" fillId="0" borderId="0" xfId="0" applyFont="1" applyFill="1" applyAlignment="1"/>
    <xf numFmtId="0" fontId="6" fillId="0" borderId="0" xfId="0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9" fillId="0" borderId="0" xfId="0" applyFont="1" applyAlignment="1">
      <alignment vertical="center"/>
    </xf>
    <xf numFmtId="0" fontId="10" fillId="2" borderId="1" xfId="0" applyFont="1" applyFill="1" applyBorder="1"/>
    <xf numFmtId="0" fontId="10" fillId="0" borderId="0" xfId="0" applyFont="1"/>
    <xf numFmtId="0" fontId="10" fillId="0" borderId="1" xfId="0" applyFont="1" applyBorder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2" borderId="0" xfId="0" applyFont="1" applyFill="1" applyBorder="1"/>
    <xf numFmtId="0" fontId="10" fillId="2" borderId="0" xfId="0" applyFont="1" applyFill="1"/>
    <xf numFmtId="0" fontId="13" fillId="2" borderId="1" xfId="0" applyFont="1" applyFill="1" applyBorder="1"/>
    <xf numFmtId="0" fontId="13" fillId="0" borderId="0" xfId="0" applyFont="1"/>
    <xf numFmtId="0" fontId="13" fillId="2" borderId="5" xfId="0" applyFont="1" applyFill="1" applyBorder="1"/>
    <xf numFmtId="0" fontId="10" fillId="2" borderId="5" xfId="0" applyFont="1" applyFill="1" applyBorder="1"/>
    <xf numFmtId="166" fontId="10" fillId="0" borderId="2" xfId="1" applyNumberFormat="1" applyFont="1" applyBorder="1"/>
    <xf numFmtId="166" fontId="10" fillId="0" borderId="3" xfId="1" applyNumberFormat="1" applyFont="1" applyBorder="1"/>
    <xf numFmtId="166" fontId="10" fillId="2" borderId="0" xfId="1" applyNumberFormat="1" applyFont="1" applyFill="1" applyBorder="1"/>
    <xf numFmtId="166" fontId="14" fillId="0" borderId="4" xfId="1" applyNumberFormat="1" applyFont="1" applyBorder="1"/>
    <xf numFmtId="0" fontId="15" fillId="3" borderId="6" xfId="0" applyFont="1" applyFill="1" applyBorder="1" applyAlignment="1">
      <alignment horizontal="left" vertical="center" indent="1"/>
    </xf>
    <xf numFmtId="166" fontId="15" fillId="3" borderId="7" xfId="1" applyNumberFormat="1" applyFont="1" applyFill="1" applyBorder="1" applyAlignment="1">
      <alignment vertical="center"/>
    </xf>
    <xf numFmtId="166" fontId="15" fillId="3" borderId="8" xfId="1" applyNumberFormat="1" applyFont="1" applyFill="1" applyBorder="1" applyAlignment="1">
      <alignment vertical="center"/>
    </xf>
    <xf numFmtId="166" fontId="15" fillId="3" borderId="9" xfId="1" applyNumberFormat="1" applyFont="1" applyFill="1" applyBorder="1" applyAlignment="1">
      <alignment vertical="center"/>
    </xf>
    <xf numFmtId="0" fontId="10" fillId="0" borderId="1" xfId="0" applyFont="1" applyFill="1" applyBorder="1"/>
    <xf numFmtId="166" fontId="10" fillId="0" borderId="2" xfId="1" applyNumberFormat="1" applyFont="1" applyFill="1" applyBorder="1"/>
    <xf numFmtId="166" fontId="10" fillId="0" borderId="3" xfId="1" applyNumberFormat="1" applyFont="1" applyFill="1" applyBorder="1"/>
    <xf numFmtId="166" fontId="14" fillId="0" borderId="4" xfId="1" applyNumberFormat="1" applyFont="1" applyFill="1" applyBorder="1"/>
    <xf numFmtId="0" fontId="16" fillId="0" borderId="0" xfId="0" applyFont="1" applyAlignment="1">
      <alignment vertical="center"/>
    </xf>
    <xf numFmtId="166" fontId="14" fillId="2" borderId="0" xfId="1" applyNumberFormat="1" applyFont="1" applyFill="1" applyBorder="1"/>
    <xf numFmtId="0" fontId="15" fillId="3" borderId="10" xfId="0" applyFont="1" applyFill="1" applyBorder="1" applyAlignment="1">
      <alignment horizontal="left" vertical="center" indent="1"/>
    </xf>
    <xf numFmtId="165" fontId="15" fillId="3" borderId="11" xfId="2" applyNumberFormat="1" applyFont="1" applyFill="1" applyBorder="1" applyAlignment="1">
      <alignment vertical="center"/>
    </xf>
    <xf numFmtId="165" fontId="15" fillId="3" borderId="12" xfId="2" applyNumberFormat="1" applyFont="1" applyFill="1" applyBorder="1" applyAlignment="1">
      <alignment vertical="center"/>
    </xf>
    <xf numFmtId="0" fontId="17" fillId="0" borderId="0" xfId="0" applyFont="1" applyAlignment="1">
      <alignment horizontal="right"/>
    </xf>
    <xf numFmtId="165" fontId="14" fillId="0" borderId="0" xfId="2" applyNumberFormat="1" applyFont="1"/>
    <xf numFmtId="166" fontId="10" fillId="0" borderId="0" xfId="1" applyNumberFormat="1" applyFont="1" applyBorder="1"/>
    <xf numFmtId="166" fontId="10" fillId="0" borderId="0" xfId="1" applyNumberFormat="1" applyFont="1"/>
    <xf numFmtId="0" fontId="14" fillId="0" borderId="0" xfId="0" applyFont="1"/>
    <xf numFmtId="0" fontId="14" fillId="0" borderId="0" xfId="0" quotePrefix="1" applyFont="1"/>
    <xf numFmtId="0" fontId="10" fillId="0" borderId="0" xfId="0" applyFont="1" applyBorder="1"/>
    <xf numFmtId="0" fontId="9" fillId="3" borderId="13" xfId="0" applyFont="1" applyFill="1" applyBorder="1" applyAlignment="1">
      <alignment vertical="center"/>
    </xf>
    <xf numFmtId="0" fontId="11" fillId="3" borderId="14" xfId="0" applyFont="1" applyFill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12" fillId="3" borderId="16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165" fontId="14" fillId="0" borderId="4" xfId="2" applyNumberFormat="1" applyFont="1" applyBorder="1"/>
    <xf numFmtId="165" fontId="15" fillId="3" borderId="18" xfId="2" applyNumberFormat="1" applyFont="1" applyFill="1" applyBorder="1" applyAlignment="1">
      <alignment vertical="center"/>
    </xf>
    <xf numFmtId="0" fontId="10" fillId="0" borderId="0" xfId="0" quotePrefix="1" applyFont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4" fillId="0" borderId="0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0" fillId="0" borderId="22" xfId="0" applyFont="1" applyBorder="1"/>
    <xf numFmtId="166" fontId="10" fillId="0" borderId="22" xfId="1" applyNumberFormat="1" applyFont="1" applyBorder="1"/>
    <xf numFmtId="166" fontId="10" fillId="0" borderId="0" xfId="1" applyNumberFormat="1" applyFont="1" applyFill="1" applyBorder="1"/>
    <xf numFmtId="0" fontId="16" fillId="0" borderId="0" xfId="0" applyFont="1"/>
    <xf numFmtId="166" fontId="14" fillId="0" borderId="0" xfId="1" applyNumberFormat="1" applyFont="1" applyBorder="1" applyAlignment="1">
      <alignment horizontal="right"/>
    </xf>
    <xf numFmtId="0" fontId="14" fillId="0" borderId="3" xfId="0" applyFont="1" applyBorder="1"/>
    <xf numFmtId="0" fontId="14" fillId="0" borderId="0" xfId="0" applyFont="1" applyBorder="1"/>
    <xf numFmtId="166" fontId="14" fillId="0" borderId="22" xfId="1" applyNumberFormat="1" applyFont="1" applyBorder="1"/>
    <xf numFmtId="0" fontId="14" fillId="0" borderId="23" xfId="0" applyFont="1" applyBorder="1"/>
    <xf numFmtId="0" fontId="14" fillId="0" borderId="24" xfId="0" applyFont="1" applyBorder="1"/>
    <xf numFmtId="166" fontId="14" fillId="0" borderId="25" xfId="1" applyNumberFormat="1" applyFont="1" applyBorder="1"/>
    <xf numFmtId="0" fontId="11" fillId="3" borderId="8" xfId="0" applyFont="1" applyFill="1" applyBorder="1"/>
    <xf numFmtId="0" fontId="11" fillId="3" borderId="26" xfId="0" applyFont="1" applyFill="1" applyBorder="1"/>
    <xf numFmtId="166" fontId="17" fillId="3" borderId="27" xfId="1" applyNumberFormat="1" applyFont="1" applyFill="1" applyBorder="1"/>
    <xf numFmtId="0" fontId="17" fillId="0" borderId="0" xfId="0" applyFont="1" applyFill="1" applyBorder="1"/>
    <xf numFmtId="175" fontId="17" fillId="0" borderId="0" xfId="0" applyNumberFormat="1" applyFont="1" applyFill="1" applyBorder="1" applyAlignment="1">
      <alignment horizontal="right"/>
    </xf>
    <xf numFmtId="165" fontId="17" fillId="0" borderId="0" xfId="2" applyNumberFormat="1" applyFont="1" applyFill="1" applyBorder="1"/>
    <xf numFmtId="165" fontId="17" fillId="0" borderId="24" xfId="0" applyNumberFormat="1" applyFont="1" applyFill="1" applyBorder="1"/>
    <xf numFmtId="0" fontId="10" fillId="0" borderId="0" xfId="0" applyFont="1" applyFill="1"/>
    <xf numFmtId="165" fontId="17" fillId="0" borderId="0" xfId="0" applyNumberFormat="1" applyFont="1" applyFill="1" applyBorder="1"/>
    <xf numFmtId="42" fontId="17" fillId="0" borderId="0" xfId="0" applyNumberFormat="1" applyFont="1" applyAlignment="1">
      <alignment horizontal="left" vertical="top"/>
    </xf>
    <xf numFmtId="0" fontId="17" fillId="0" borderId="0" xfId="0" applyFont="1" applyFill="1" applyBorder="1" applyAlignment="1">
      <alignment vertical="top"/>
    </xf>
    <xf numFmtId="42" fontId="17" fillId="0" borderId="28" xfId="0" applyNumberFormat="1" applyFont="1" applyFill="1" applyBorder="1" applyAlignment="1">
      <alignment vertical="top"/>
    </xf>
    <xf numFmtId="166" fontId="22" fillId="3" borderId="8" xfId="1" applyNumberFormat="1" applyFont="1" applyFill="1" applyBorder="1"/>
    <xf numFmtId="166" fontId="22" fillId="3" borderId="26" xfId="1" applyNumberFormat="1" applyFont="1" applyFill="1" applyBorder="1"/>
    <xf numFmtId="166" fontId="22" fillId="3" borderId="27" xfId="1" applyNumberFormat="1" applyFont="1" applyFill="1" applyBorder="1"/>
    <xf numFmtId="166" fontId="22" fillId="3" borderId="29" xfId="1" applyNumberFormat="1" applyFont="1" applyFill="1" applyBorder="1"/>
    <xf numFmtId="0" fontId="13" fillId="2" borderId="0" xfId="0" applyFont="1" applyFill="1"/>
    <xf numFmtId="0" fontId="16" fillId="2" borderId="0" xfId="0" applyFont="1" applyFill="1" applyBorder="1"/>
    <xf numFmtId="0" fontId="10" fillId="2" borderId="30" xfId="0" applyFont="1" applyFill="1" applyBorder="1"/>
    <xf numFmtId="0" fontId="10" fillId="2" borderId="10" xfId="0" applyFont="1" applyFill="1" applyBorder="1"/>
    <xf numFmtId="0" fontId="10" fillId="2" borderId="13" xfId="0" applyFont="1" applyFill="1" applyBorder="1"/>
    <xf numFmtId="0" fontId="10" fillId="2" borderId="14" xfId="0" applyFont="1" applyFill="1" applyBorder="1"/>
    <xf numFmtId="0" fontId="15" fillId="3" borderId="29" xfId="0" applyFont="1" applyFill="1" applyBorder="1" applyAlignment="1">
      <alignment horizontal="left" vertical="center" indent="1"/>
    </xf>
    <xf numFmtId="0" fontId="16" fillId="2" borderId="1" xfId="0" applyFont="1" applyFill="1" applyBorder="1"/>
    <xf numFmtId="166" fontId="10" fillId="0" borderId="30" xfId="1" applyNumberFormat="1" applyFont="1" applyBorder="1"/>
    <xf numFmtId="166" fontId="10" fillId="0" borderId="31" xfId="1" applyNumberFormat="1" applyFont="1" applyBorder="1"/>
    <xf numFmtId="166" fontId="23" fillId="0" borderId="3" xfId="1" applyNumberFormat="1" applyFont="1" applyBorder="1"/>
    <xf numFmtId="166" fontId="23" fillId="0" borderId="0" xfId="1" applyNumberFormat="1" applyFont="1" applyBorder="1"/>
    <xf numFmtId="166" fontId="16" fillId="0" borderId="3" xfId="1" applyNumberFormat="1" applyFont="1" applyFill="1" applyBorder="1"/>
    <xf numFmtId="166" fontId="16" fillId="0" borderId="0" xfId="1" applyNumberFormat="1" applyFont="1" applyFill="1" applyBorder="1"/>
    <xf numFmtId="166" fontId="14" fillId="3" borderId="26" xfId="1" applyNumberFormat="1" applyFont="1" applyFill="1" applyBorder="1"/>
    <xf numFmtId="166" fontId="14" fillId="3" borderId="29" xfId="1" applyNumberFormat="1" applyFont="1" applyFill="1" applyBorder="1"/>
    <xf numFmtId="166" fontId="14" fillId="3" borderId="27" xfId="1" applyNumberFormat="1" applyFont="1" applyFill="1" applyBorder="1"/>
    <xf numFmtId="166" fontId="14" fillId="3" borderId="8" xfId="1" applyNumberFormat="1" applyFont="1" applyFill="1" applyBorder="1"/>
    <xf numFmtId="165" fontId="23" fillId="0" borderId="3" xfId="2" applyNumberFormat="1" applyFont="1" applyBorder="1"/>
    <xf numFmtId="165" fontId="23" fillId="0" borderId="0" xfId="2" applyNumberFormat="1" applyFont="1" applyBorder="1"/>
    <xf numFmtId="165" fontId="23" fillId="0" borderId="22" xfId="2" applyNumberFormat="1" applyFont="1" applyBorder="1"/>
    <xf numFmtId="166" fontId="23" fillId="0" borderId="22" xfId="1" applyNumberFormat="1" applyFont="1" applyBorder="1"/>
    <xf numFmtId="0" fontId="14" fillId="2" borderId="0" xfId="0" applyFont="1" applyFill="1"/>
    <xf numFmtId="0" fontId="14" fillId="2" borderId="6" xfId="0" applyFont="1" applyFill="1" applyBorder="1"/>
    <xf numFmtId="0" fontId="22" fillId="2" borderId="0" xfId="0" applyFont="1" applyFill="1" applyBorder="1"/>
    <xf numFmtId="166" fontId="16" fillId="0" borderId="3" xfId="2" applyNumberFormat="1" applyFont="1" applyFill="1" applyBorder="1"/>
    <xf numFmtId="166" fontId="16" fillId="0" borderId="0" xfId="2" applyNumberFormat="1" applyFont="1" applyFill="1" applyBorder="1"/>
    <xf numFmtId="166" fontId="10" fillId="0" borderId="0" xfId="0" applyNumberFormat="1" applyFont="1"/>
    <xf numFmtId="166" fontId="10" fillId="0" borderId="0" xfId="0" applyNumberFormat="1" applyFont="1" applyBorder="1"/>
    <xf numFmtId="166" fontId="14" fillId="0" borderId="0" xfId="2" applyNumberFormat="1" applyFont="1" applyBorder="1"/>
    <xf numFmtId="165" fontId="14" fillId="3" borderId="8" xfId="0" applyNumberFormat="1" applyFont="1" applyFill="1" applyBorder="1"/>
    <xf numFmtId="165" fontId="14" fillId="3" borderId="26" xfId="0" applyNumberFormat="1" applyFont="1" applyFill="1" applyBorder="1"/>
    <xf numFmtId="165" fontId="14" fillId="3" borderId="29" xfId="0" applyNumberFormat="1" applyFont="1" applyFill="1" applyBorder="1"/>
    <xf numFmtId="165" fontId="14" fillId="3" borderId="27" xfId="0" applyNumberFormat="1" applyFont="1" applyFill="1" applyBorder="1"/>
    <xf numFmtId="165" fontId="10" fillId="0" borderId="0" xfId="1" applyNumberFormat="1" applyFont="1" applyBorder="1"/>
    <xf numFmtId="0" fontId="27" fillId="0" borderId="32" xfId="0" applyFont="1" applyBorder="1"/>
    <xf numFmtId="0" fontId="28" fillId="0" borderId="8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7" fillId="0" borderId="0" xfId="0" applyFont="1"/>
    <xf numFmtId="0" fontId="27" fillId="0" borderId="19" xfId="0" applyFont="1" applyBorder="1"/>
    <xf numFmtId="0" fontId="27" fillId="0" borderId="20" xfId="0" applyFont="1" applyBorder="1"/>
    <xf numFmtId="0" fontId="27" fillId="0" borderId="21" xfId="0" applyFont="1" applyBorder="1"/>
    <xf numFmtId="0" fontId="28" fillId="0" borderId="31" xfId="0" applyFont="1" applyBorder="1" applyAlignment="1">
      <alignment horizontal="center"/>
    </xf>
    <xf numFmtId="0" fontId="0" fillId="0" borderId="21" xfId="0" applyBorder="1"/>
    <xf numFmtId="0" fontId="10" fillId="0" borderId="33" xfId="0" applyFont="1" applyBorder="1"/>
    <xf numFmtId="0" fontId="15" fillId="3" borderId="34" xfId="0" applyFont="1" applyFill="1" applyBorder="1" applyAlignment="1">
      <alignment horizontal="left" vertical="center" indent="1"/>
    </xf>
    <xf numFmtId="0" fontId="10" fillId="0" borderId="33" xfId="0" applyFont="1" applyFill="1" applyBorder="1"/>
    <xf numFmtId="0" fontId="0" fillId="0" borderId="32" xfId="0" applyBorder="1"/>
    <xf numFmtId="0" fontId="0" fillId="0" borderId="3" xfId="0" applyBorder="1"/>
    <xf numFmtId="0" fontId="0" fillId="0" borderId="0" xfId="0" applyBorder="1"/>
    <xf numFmtId="0" fontId="0" fillId="0" borderId="22" xfId="0" applyBorder="1"/>
    <xf numFmtId="0" fontId="0" fillId="0" borderId="19" xfId="0" applyBorder="1"/>
    <xf numFmtId="0" fontId="0" fillId="0" borderId="20" xfId="0" applyBorder="1"/>
    <xf numFmtId="166" fontId="0" fillId="0" borderId="3" xfId="0" applyNumberFormat="1" applyBorder="1"/>
    <xf numFmtId="166" fontId="0" fillId="0" borderId="0" xfId="0" applyNumberFormat="1" applyBorder="1"/>
    <xf numFmtId="166" fontId="0" fillId="0" borderId="22" xfId="0" applyNumberFormat="1" applyBorder="1"/>
    <xf numFmtId="0" fontId="27" fillId="0" borderId="30" xfId="0" applyFont="1" applyBorder="1"/>
    <xf numFmtId="166" fontId="0" fillId="0" borderId="0" xfId="0" applyNumberFormat="1"/>
    <xf numFmtId="0" fontId="0" fillId="0" borderId="23" xfId="0" applyBorder="1"/>
    <xf numFmtId="0" fontId="0" fillId="0" borderId="25" xfId="0" applyBorder="1"/>
    <xf numFmtId="0" fontId="0" fillId="0" borderId="27" xfId="0" applyBorder="1"/>
    <xf numFmtId="0" fontId="0" fillId="0" borderId="8" xfId="0" applyBorder="1"/>
    <xf numFmtId="165" fontId="10" fillId="0" borderId="2" xfId="2" applyNumberFormat="1" applyFont="1" applyBorder="1"/>
    <xf numFmtId="165" fontId="10" fillId="0" borderId="3" xfId="2" applyNumberFormat="1" applyFont="1" applyBorder="1"/>
    <xf numFmtId="0" fontId="22" fillId="2" borderId="1" xfId="0" applyFont="1" applyFill="1" applyBorder="1" applyAlignment="1">
      <alignment vertical="center"/>
    </xf>
    <xf numFmtId="166" fontId="22" fillId="2" borderId="0" xfId="1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2" borderId="10" xfId="0" applyFont="1" applyFill="1" applyBorder="1" applyAlignment="1">
      <alignment vertical="center"/>
    </xf>
    <xf numFmtId="166" fontId="22" fillId="2" borderId="35" xfId="1" applyNumberFormat="1" applyFont="1" applyFill="1" applyBorder="1" applyAlignment="1">
      <alignment vertical="center"/>
    </xf>
    <xf numFmtId="0" fontId="29" fillId="0" borderId="0" xfId="0" applyFont="1"/>
    <xf numFmtId="166" fontId="29" fillId="3" borderId="8" xfId="0" applyNumberFormat="1" applyFont="1" applyFill="1" applyBorder="1"/>
    <xf numFmtId="166" fontId="29" fillId="3" borderId="26" xfId="0" applyNumberFormat="1" applyFont="1" applyFill="1" applyBorder="1"/>
    <xf numFmtId="166" fontId="29" fillId="3" borderId="27" xfId="0" applyNumberFormat="1" applyFont="1" applyFill="1" applyBorder="1"/>
    <xf numFmtId="0" fontId="29" fillId="3" borderId="8" xfId="0" applyFont="1" applyFill="1" applyBorder="1"/>
    <xf numFmtId="0" fontId="29" fillId="3" borderId="26" xfId="0" applyFont="1" applyFill="1" applyBorder="1"/>
    <xf numFmtId="0" fontId="29" fillId="3" borderId="27" xfId="0" applyFont="1" applyFill="1" applyBorder="1"/>
    <xf numFmtId="166" fontId="30" fillId="0" borderId="22" xfId="0" applyNumberFormat="1" applyFont="1" applyBorder="1"/>
    <xf numFmtId="166" fontId="30" fillId="3" borderId="27" xfId="0" applyNumberFormat="1" applyFont="1" applyFill="1" applyBorder="1"/>
    <xf numFmtId="166" fontId="30" fillId="0" borderId="22" xfId="0" applyNumberFormat="1" applyFont="1" applyFill="1" applyBorder="1"/>
    <xf numFmtId="165" fontId="13" fillId="0" borderId="22" xfId="2" applyNumberFormat="1" applyFont="1" applyBorder="1"/>
    <xf numFmtId="166" fontId="13" fillId="0" borderId="22" xfId="1" applyNumberFormat="1" applyFont="1" applyBorder="1"/>
    <xf numFmtId="165" fontId="10" fillId="0" borderId="0" xfId="2" applyNumberFormat="1" applyFont="1" applyBorder="1"/>
    <xf numFmtId="165" fontId="10" fillId="0" borderId="22" xfId="2" applyNumberFormat="1" applyFont="1" applyBorder="1"/>
    <xf numFmtId="0" fontId="0" fillId="0" borderId="0" xfId="0" applyProtection="1">
      <protection locked="0"/>
    </xf>
    <xf numFmtId="0" fontId="0" fillId="0" borderId="0" xfId="0" applyAlignment="1" applyProtection="1">
      <protection locked="0"/>
    </xf>
    <xf numFmtId="0" fontId="27" fillId="0" borderId="32" xfId="0" applyFont="1" applyBorder="1" applyAlignment="1" applyProtection="1">
      <protection locked="0"/>
    </xf>
    <xf numFmtId="0" fontId="28" fillId="0" borderId="31" xfId="0" applyFont="1" applyBorder="1" applyAlignment="1" applyProtection="1">
      <alignment horizontal="center"/>
      <protection locked="0"/>
    </xf>
    <xf numFmtId="0" fontId="0" fillId="0" borderId="32" xfId="0" applyBorder="1" applyAlignment="1" applyProtection="1">
      <protection locked="0"/>
    </xf>
    <xf numFmtId="0" fontId="10" fillId="0" borderId="33" xfId="0" applyFont="1" applyBorder="1" applyAlignment="1" applyProtection="1">
      <protection locked="0"/>
    </xf>
    <xf numFmtId="0" fontId="15" fillId="3" borderId="34" xfId="0" applyFont="1" applyFill="1" applyBorder="1" applyAlignment="1" applyProtection="1">
      <alignment horizontal="left" vertical="center" indent="1"/>
      <protection locked="0"/>
    </xf>
    <xf numFmtId="0" fontId="10" fillId="0" borderId="33" xfId="0" applyFont="1" applyFill="1" applyBorder="1" applyAlignment="1" applyProtection="1">
      <protection locked="0"/>
    </xf>
    <xf numFmtId="0" fontId="15" fillId="3" borderId="6" xfId="0" applyFont="1" applyFill="1" applyBorder="1" applyAlignment="1" applyProtection="1">
      <alignment horizontal="left" vertical="center" indent="1"/>
      <protection locked="0"/>
    </xf>
    <xf numFmtId="0" fontId="15" fillId="3" borderId="29" xfId="0" applyFont="1" applyFill="1" applyBorder="1" applyAlignment="1" applyProtection="1">
      <alignment horizontal="left" vertical="center" indent="1"/>
      <protection locked="0"/>
    </xf>
    <xf numFmtId="166" fontId="0" fillId="0" borderId="0" xfId="0" applyNumberFormat="1" applyBorder="1" applyAlignment="1">
      <alignment horizontal="center"/>
    </xf>
    <xf numFmtId="0" fontId="5" fillId="0" borderId="0" xfId="0" applyFont="1" applyFill="1" applyAlignment="1" applyProtection="1">
      <alignment horizontal="right"/>
      <protection locked="0"/>
    </xf>
    <xf numFmtId="164" fontId="7" fillId="0" borderId="0" xfId="0" applyNumberFormat="1" applyFont="1" applyFill="1" applyAlignment="1" applyProtection="1">
      <alignment horizontal="right"/>
      <protection locked="0"/>
    </xf>
    <xf numFmtId="164" fontId="7" fillId="0" borderId="0" xfId="0" quotePrefix="1" applyNumberFormat="1" applyFont="1" applyFill="1" applyAlignment="1" applyProtection="1">
      <alignment horizontal="right"/>
      <protection locked="0"/>
    </xf>
    <xf numFmtId="0" fontId="12" fillId="3" borderId="15" xfId="0" applyFont="1" applyFill="1" applyBorder="1" applyAlignment="1" applyProtection="1">
      <alignment horizontal="center"/>
      <protection locked="0"/>
    </xf>
    <xf numFmtId="0" fontId="12" fillId="3" borderId="16" xfId="0" applyFont="1" applyFill="1" applyBorder="1" applyAlignment="1" applyProtection="1">
      <alignment horizontal="center"/>
      <protection locked="0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protection locked="0"/>
    </xf>
    <xf numFmtId="0" fontId="10" fillId="0" borderId="3" xfId="0" applyFont="1" applyBorder="1" applyAlignment="1" applyProtection="1">
      <protection locked="0"/>
    </xf>
    <xf numFmtId="0" fontId="10" fillId="2" borderId="0" xfId="0" applyFont="1" applyFill="1" applyAlignment="1" applyProtection="1">
      <protection locked="0"/>
    </xf>
    <xf numFmtId="0" fontId="10" fillId="0" borderId="4" xfId="0" applyFont="1" applyBorder="1" applyAlignment="1" applyProtection="1">
      <protection locked="0"/>
    </xf>
    <xf numFmtId="165" fontId="10" fillId="0" borderId="2" xfId="2" applyNumberFormat="1" applyFont="1" applyBorder="1" applyAlignment="1" applyProtection="1">
      <protection locked="0"/>
    </xf>
    <xf numFmtId="165" fontId="10" fillId="0" borderId="3" xfId="2" applyNumberFormat="1" applyFont="1" applyBorder="1" applyAlignment="1" applyProtection="1">
      <protection locked="0"/>
    </xf>
    <xf numFmtId="166" fontId="14" fillId="0" borderId="3" xfId="1" applyNumberFormat="1" applyFont="1" applyBorder="1" applyAlignment="1" applyProtection="1">
      <protection locked="0"/>
    </xf>
    <xf numFmtId="166" fontId="14" fillId="0" borderId="4" xfId="1" applyNumberFormat="1" applyFont="1" applyBorder="1" applyAlignment="1" applyProtection="1">
      <protection locked="0"/>
    </xf>
    <xf numFmtId="166" fontId="14" fillId="2" borderId="0" xfId="1" applyNumberFormat="1" applyFont="1" applyFill="1" applyAlignment="1" applyProtection="1">
      <protection locked="0"/>
    </xf>
    <xf numFmtId="165" fontId="14" fillId="0" borderId="4" xfId="2" applyNumberFormat="1" applyFont="1" applyBorder="1" applyAlignment="1" applyProtection="1">
      <protection locked="0"/>
    </xf>
    <xf numFmtId="166" fontId="10" fillId="0" borderId="2" xfId="1" applyNumberFormat="1" applyFont="1" applyBorder="1" applyAlignment="1" applyProtection="1">
      <protection locked="0"/>
    </xf>
    <xf numFmtId="166" fontId="10" fillId="0" borderId="3" xfId="1" applyNumberFormat="1" applyFont="1" applyBorder="1" applyAlignment="1" applyProtection="1">
      <protection locked="0"/>
    </xf>
    <xf numFmtId="166" fontId="10" fillId="2" borderId="0" xfId="1" applyNumberFormat="1" applyFont="1" applyFill="1" applyAlignment="1" applyProtection="1">
      <protection locked="0"/>
    </xf>
    <xf numFmtId="166" fontId="15" fillId="3" borderId="7" xfId="1" applyNumberFormat="1" applyFont="1" applyFill="1" applyBorder="1" applyAlignment="1" applyProtection="1">
      <alignment vertical="center"/>
      <protection locked="0"/>
    </xf>
    <xf numFmtId="166" fontId="15" fillId="3" borderId="8" xfId="1" applyNumberFormat="1" applyFont="1" applyFill="1" applyBorder="1" applyAlignment="1" applyProtection="1">
      <alignment vertical="center"/>
      <protection locked="0"/>
    </xf>
    <xf numFmtId="166" fontId="15" fillId="3" borderId="9" xfId="1" applyNumberFormat="1" applyFont="1" applyFill="1" applyBorder="1" applyAlignment="1" applyProtection="1">
      <alignment vertical="center"/>
      <protection locked="0"/>
    </xf>
    <xf numFmtId="166" fontId="22" fillId="2" borderId="0" xfId="1" applyNumberFormat="1" applyFont="1" applyFill="1" applyAlignment="1" applyProtection="1">
      <alignment vertical="center"/>
      <protection locked="0"/>
    </xf>
    <xf numFmtId="166" fontId="10" fillId="0" borderId="2" xfId="1" applyNumberFormat="1" applyFont="1" applyFill="1" applyBorder="1" applyAlignment="1" applyProtection="1">
      <protection locked="0"/>
    </xf>
    <xf numFmtId="166" fontId="14" fillId="0" borderId="3" xfId="1" applyNumberFormat="1" applyFont="1" applyFill="1" applyBorder="1" applyAlignment="1" applyProtection="1">
      <protection locked="0"/>
    </xf>
    <xf numFmtId="166" fontId="10" fillId="0" borderId="3" xfId="1" applyNumberFormat="1" applyFont="1" applyFill="1" applyBorder="1" applyAlignment="1" applyProtection="1">
      <protection locked="0"/>
    </xf>
    <xf numFmtId="166" fontId="14" fillId="0" borderId="4" xfId="1" applyNumberFormat="1" applyFont="1" applyFill="1" applyBorder="1" applyAlignment="1" applyProtection="1">
      <protection locked="0"/>
    </xf>
    <xf numFmtId="165" fontId="15" fillId="3" borderId="11" xfId="2" applyNumberFormat="1" applyFont="1" applyFill="1" applyBorder="1" applyAlignment="1" applyProtection="1">
      <alignment vertical="center"/>
      <protection locked="0"/>
    </xf>
    <xf numFmtId="165" fontId="15" fillId="3" borderId="12" xfId="2" applyNumberFormat="1" applyFont="1" applyFill="1" applyBorder="1" applyAlignment="1" applyProtection="1">
      <alignment vertical="center"/>
      <protection locked="0"/>
    </xf>
    <xf numFmtId="165" fontId="15" fillId="3" borderId="18" xfId="2" applyNumberFormat="1" applyFont="1" applyFill="1" applyBorder="1" applyAlignment="1" applyProtection="1">
      <alignment vertical="center"/>
      <protection locked="0"/>
    </xf>
    <xf numFmtId="166" fontId="22" fillId="2" borderId="35" xfId="1" applyNumberFormat="1" applyFont="1" applyFill="1" applyBorder="1" applyAlignment="1" applyProtection="1">
      <alignment vertical="center"/>
      <protection locked="0"/>
    </xf>
    <xf numFmtId="0" fontId="10" fillId="0" borderId="0" xfId="0" applyFont="1" applyAlignment="1" applyProtection="1">
      <protection locked="0"/>
    </xf>
    <xf numFmtId="0" fontId="10" fillId="0" borderId="0" xfId="0" applyFont="1" applyBorder="1" applyAlignment="1" applyProtection="1">
      <protection locked="0"/>
    </xf>
    <xf numFmtId="0" fontId="11" fillId="3" borderId="8" xfId="0" applyFont="1" applyFill="1" applyBorder="1" applyAlignment="1" applyProtection="1">
      <alignment horizontal="left"/>
      <protection locked="0"/>
    </xf>
    <xf numFmtId="0" fontId="11" fillId="3" borderId="26" xfId="0" applyFont="1" applyFill="1" applyBorder="1" applyAlignment="1" applyProtection="1">
      <alignment horizontal="left"/>
      <protection locked="0"/>
    </xf>
    <xf numFmtId="0" fontId="14" fillId="0" borderId="3" xfId="0" applyFont="1" applyBorder="1" applyAlignment="1" applyProtection="1">
      <protection locked="0"/>
    </xf>
    <xf numFmtId="0" fontId="14" fillId="0" borderId="0" xfId="0" applyFont="1" applyBorder="1" applyAlignment="1" applyProtection="1">
      <protection locked="0"/>
    </xf>
    <xf numFmtId="166" fontId="14" fillId="0" borderId="20" xfId="1" applyNumberFormat="1" applyFont="1" applyBorder="1" applyAlignment="1" applyProtection="1">
      <alignment horizontal="center"/>
      <protection locked="0"/>
    </xf>
    <xf numFmtId="166" fontId="14" fillId="0" borderId="0" xfId="1" applyNumberFormat="1" applyFont="1" applyBorder="1" applyAlignment="1" applyProtection="1">
      <alignment horizontal="center"/>
      <protection locked="0"/>
    </xf>
    <xf numFmtId="0" fontId="14" fillId="0" borderId="23" xfId="0" applyFont="1" applyBorder="1" applyAlignment="1" applyProtection="1">
      <protection locked="0"/>
    </xf>
    <xf numFmtId="0" fontId="14" fillId="0" borderId="24" xfId="0" applyFont="1" applyBorder="1" applyAlignment="1" applyProtection="1">
      <protection locked="0"/>
    </xf>
    <xf numFmtId="166" fontId="14" fillId="0" borderId="24" xfId="1" applyNumberFormat="1" applyFont="1" applyBorder="1" applyAlignment="1" applyProtection="1">
      <alignment horizontal="center"/>
      <protection locked="0"/>
    </xf>
    <xf numFmtId="0" fontId="11" fillId="3" borderId="8" xfId="0" applyFont="1" applyFill="1" applyBorder="1" applyAlignment="1" applyProtection="1">
      <protection locked="0"/>
    </xf>
    <xf numFmtId="0" fontId="11" fillId="3" borderId="26" xfId="0" applyFont="1" applyFill="1" applyBorder="1" applyAlignment="1" applyProtection="1">
      <protection locked="0"/>
    </xf>
    <xf numFmtId="166" fontId="17" fillId="3" borderId="26" xfId="1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protection locked="0"/>
    </xf>
    <xf numFmtId="175" fontId="17" fillId="0" borderId="0" xfId="0" applyNumberFormat="1" applyFont="1" applyFill="1" applyBorder="1" applyAlignment="1" applyProtection="1">
      <alignment horizontal="right"/>
      <protection locked="0"/>
    </xf>
    <xf numFmtId="165" fontId="17" fillId="0" borderId="0" xfId="2" applyNumberFormat="1" applyFont="1" applyFill="1" applyBorder="1" applyAlignment="1" applyProtection="1">
      <alignment horizontal="center"/>
      <protection locked="0"/>
    </xf>
    <xf numFmtId="165" fontId="17" fillId="0" borderId="24" xfId="0" applyNumberFormat="1" applyFont="1" applyFill="1" applyBorder="1" applyAlignment="1" applyProtection="1">
      <alignment horizontal="center"/>
      <protection locked="0"/>
    </xf>
    <xf numFmtId="165" fontId="17" fillId="0" borderId="0" xfId="0" applyNumberFormat="1" applyFont="1" applyFill="1" applyBorder="1" applyAlignment="1" applyProtection="1">
      <protection locked="0"/>
    </xf>
    <xf numFmtId="42" fontId="17" fillId="0" borderId="0" xfId="0" applyNumberFormat="1" applyFont="1" applyAlignment="1" applyProtection="1">
      <alignment horizontal="left" vertical="top"/>
      <protection locked="0"/>
    </xf>
    <xf numFmtId="0" fontId="17" fillId="0" borderId="0" xfId="0" applyFont="1" applyFill="1" applyBorder="1" applyAlignment="1" applyProtection="1">
      <alignment vertical="top"/>
      <protection locked="0"/>
    </xf>
    <xf numFmtId="165" fontId="17" fillId="0" borderId="28" xfId="0" applyNumberFormat="1" applyFont="1" applyFill="1" applyBorder="1" applyAlignment="1" applyProtection="1">
      <alignment horizontal="center" vertical="top"/>
      <protection locked="0"/>
    </xf>
    <xf numFmtId="0" fontId="9" fillId="3" borderId="1" xfId="0" applyFont="1" applyFill="1" applyBorder="1" applyAlignment="1">
      <alignment vertical="center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41" fontId="10" fillId="0" borderId="3" xfId="2" applyNumberFormat="1" applyFont="1" applyBorder="1" applyAlignment="1" applyProtection="1">
      <protection locked="0"/>
    </xf>
    <xf numFmtId="0" fontId="12" fillId="3" borderId="36" xfId="0" applyFont="1" applyFill="1" applyBorder="1" applyAlignment="1" applyProtection="1">
      <alignment horizontal="center"/>
      <protection locked="0"/>
    </xf>
    <xf numFmtId="0" fontId="12" fillId="3" borderId="37" xfId="0" applyFont="1" applyFill="1" applyBorder="1" applyAlignment="1" applyProtection="1">
      <alignment horizontal="center"/>
      <protection locked="0"/>
    </xf>
    <xf numFmtId="0" fontId="12" fillId="3" borderId="36" xfId="0" applyFont="1" applyFill="1" applyBorder="1" applyAlignment="1">
      <alignment horizontal="center"/>
    </xf>
    <xf numFmtId="0" fontId="12" fillId="3" borderId="37" xfId="0" applyFont="1" applyFill="1" applyBorder="1" applyAlignment="1">
      <alignment horizontal="center"/>
    </xf>
    <xf numFmtId="0" fontId="12" fillId="3" borderId="38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66" fontId="10" fillId="0" borderId="39" xfId="1" applyNumberFormat="1" applyFont="1" applyBorder="1"/>
    <xf numFmtId="0" fontId="11" fillId="3" borderId="1" xfId="0" applyFont="1" applyFill="1" applyBorder="1" applyAlignment="1">
      <alignment horizontal="center"/>
    </xf>
    <xf numFmtId="0" fontId="17" fillId="0" borderId="0" xfId="0" applyFont="1" applyFill="1" applyBorder="1" applyAlignment="1" applyProtection="1">
      <alignment horizontal="left"/>
      <protection locked="0"/>
    </xf>
    <xf numFmtId="0" fontId="11" fillId="3" borderId="40" xfId="0" applyFont="1" applyFill="1" applyBorder="1" applyAlignment="1" applyProtection="1">
      <alignment horizontal="center" vertical="center"/>
      <protection locked="0"/>
    </xf>
    <xf numFmtId="166" fontId="10" fillId="0" borderId="3" xfId="2" applyNumberFormat="1" applyFont="1" applyBorder="1"/>
    <xf numFmtId="166" fontId="31" fillId="3" borderId="26" xfId="1" applyNumberFormat="1" applyFont="1" applyFill="1" applyBorder="1"/>
    <xf numFmtId="166" fontId="23" fillId="0" borderId="0" xfId="1" applyNumberFormat="1" applyFont="1" applyFill="1" applyBorder="1"/>
    <xf numFmtId="166" fontId="13" fillId="3" borderId="26" xfId="1" applyNumberFormat="1" applyFont="1" applyFill="1" applyBorder="1"/>
    <xf numFmtId="166" fontId="23" fillId="0" borderId="0" xfId="1" applyNumberFormat="1" applyFont="1"/>
    <xf numFmtId="166" fontId="23" fillId="0" borderId="0" xfId="0" applyNumberFormat="1" applyFont="1"/>
    <xf numFmtId="0" fontId="10" fillId="2" borderId="41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2" xfId="0" applyFont="1" applyFill="1" applyBorder="1"/>
    <xf numFmtId="0" fontId="11" fillId="3" borderId="42" xfId="0" applyFont="1" applyFill="1" applyBorder="1" applyAlignment="1" applyProtection="1">
      <alignment horizontal="centerContinuous" vertical="center"/>
      <protection locked="0"/>
    </xf>
    <xf numFmtId="0" fontId="10" fillId="2" borderId="42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2" borderId="43" xfId="0" applyFont="1" applyFill="1" applyBorder="1"/>
    <xf numFmtId="0" fontId="11" fillId="3" borderId="41" xfId="0" applyFont="1" applyFill="1" applyBorder="1" applyAlignment="1" applyProtection="1">
      <alignment horizontal="centerContinuous" vertical="center"/>
      <protection locked="0"/>
    </xf>
    <xf numFmtId="0" fontId="11" fillId="2" borderId="0" xfId="0" applyFont="1" applyFill="1" applyBorder="1" applyAlignment="1" applyProtection="1">
      <alignment horizontal="centerContinuous" vertical="center"/>
      <protection locked="0"/>
    </xf>
    <xf numFmtId="0" fontId="12" fillId="2" borderId="44" xfId="0" applyFont="1" applyFill="1" applyBorder="1" applyAlignment="1" applyProtection="1">
      <alignment horizontal="center"/>
      <protection locked="0"/>
    </xf>
    <xf numFmtId="0" fontId="10" fillId="2" borderId="0" xfId="0" applyFont="1" applyFill="1" applyBorder="1" applyAlignment="1" applyProtection="1">
      <protection locked="0"/>
    </xf>
    <xf numFmtId="165" fontId="10" fillId="2" borderId="0" xfId="2" applyNumberFormat="1" applyFont="1" applyFill="1" applyBorder="1" applyAlignment="1" applyProtection="1">
      <protection locked="0"/>
    </xf>
    <xf numFmtId="166" fontId="10" fillId="2" borderId="0" xfId="1" applyNumberFormat="1" applyFont="1" applyFill="1" applyBorder="1" applyAlignment="1" applyProtection="1">
      <protection locked="0"/>
    </xf>
    <xf numFmtId="166" fontId="15" fillId="2" borderId="26" xfId="1" applyNumberFormat="1" applyFont="1" applyFill="1" applyBorder="1" applyAlignment="1" applyProtection="1">
      <alignment vertical="center"/>
      <protection locked="0"/>
    </xf>
    <xf numFmtId="165" fontId="15" fillId="2" borderId="35" xfId="2" applyNumberFormat="1" applyFont="1" applyFill="1" applyBorder="1" applyAlignment="1" applyProtection="1">
      <alignment vertical="center"/>
      <protection locked="0"/>
    </xf>
    <xf numFmtId="0" fontId="10" fillId="0" borderId="45" xfId="0" applyFont="1" applyBorder="1" applyAlignment="1" applyProtection="1">
      <protection locked="0"/>
    </xf>
    <xf numFmtId="41" fontId="10" fillId="0" borderId="46" xfId="2" applyNumberFormat="1" applyFont="1" applyBorder="1" applyAlignment="1" applyProtection="1">
      <protection locked="0"/>
    </xf>
    <xf numFmtId="166" fontId="15" fillId="3" borderId="47" xfId="1" applyNumberFormat="1" applyFont="1" applyFill="1" applyBorder="1" applyAlignment="1" applyProtection="1">
      <alignment vertical="center"/>
      <protection locked="0"/>
    </xf>
    <xf numFmtId="166" fontId="10" fillId="0" borderId="46" xfId="1" applyNumberFormat="1" applyFont="1" applyBorder="1" applyAlignment="1" applyProtection="1">
      <protection locked="0"/>
    </xf>
    <xf numFmtId="166" fontId="10" fillId="0" borderId="46" xfId="1" applyNumberFormat="1" applyFont="1" applyFill="1" applyBorder="1" applyAlignment="1" applyProtection="1">
      <protection locked="0"/>
    </xf>
    <xf numFmtId="0" fontId="10" fillId="2" borderId="42" xfId="0" applyFont="1" applyFill="1" applyBorder="1" applyAlignment="1" applyProtection="1">
      <alignment vertical="center"/>
      <protection locked="0"/>
    </xf>
    <xf numFmtId="0" fontId="10" fillId="2" borderId="0" xfId="0" applyFont="1" applyFill="1" applyBorder="1" applyAlignment="1" applyProtection="1">
      <alignment vertical="center"/>
      <protection locked="0"/>
    </xf>
    <xf numFmtId="0" fontId="10" fillId="2" borderId="43" xfId="0" applyFont="1" applyFill="1" applyBorder="1" applyAlignment="1" applyProtection="1">
      <protection locked="0"/>
    </xf>
    <xf numFmtId="0" fontId="11" fillId="2" borderId="10" xfId="0" applyFont="1" applyFill="1" applyBorder="1" applyAlignment="1" applyProtection="1">
      <alignment horizontal="centerContinuous" vertical="center"/>
      <protection locked="0"/>
    </xf>
    <xf numFmtId="166" fontId="9" fillId="0" borderId="22" xfId="1" applyNumberFormat="1" applyFont="1" applyBorder="1"/>
    <xf numFmtId="166" fontId="10" fillId="0" borderId="0" xfId="1" applyNumberFormat="1" applyFont="1" applyFill="1" applyBorder="1" applyAlignment="1" applyProtection="1">
      <protection locked="0"/>
    </xf>
    <xf numFmtId="0" fontId="15" fillId="0" borderId="33" xfId="0" applyFont="1" applyFill="1" applyBorder="1" applyAlignment="1" applyProtection="1">
      <alignment horizontal="left" vertical="center" indent="1"/>
      <protection locked="0"/>
    </xf>
    <xf numFmtId="0" fontId="29" fillId="0" borderId="0" xfId="0" applyFont="1" applyFill="1"/>
    <xf numFmtId="166" fontId="29" fillId="0" borderId="0" xfId="0" applyNumberFormat="1" applyFont="1" applyFill="1" applyBorder="1"/>
    <xf numFmtId="166" fontId="29" fillId="0" borderId="3" xfId="0" applyNumberFormat="1" applyFont="1" applyFill="1" applyBorder="1"/>
    <xf numFmtId="0" fontId="29" fillId="0" borderId="3" xfId="0" applyFont="1" applyFill="1" applyBorder="1"/>
    <xf numFmtId="0" fontId="29" fillId="0" borderId="0" xfId="0" applyFont="1" applyFill="1" applyBorder="1"/>
    <xf numFmtId="0" fontId="29" fillId="0" borderId="22" xfId="0" applyFont="1" applyFill="1" applyBorder="1"/>
    <xf numFmtId="166" fontId="32" fillId="0" borderId="3" xfId="0" applyNumberFormat="1" applyFont="1" applyBorder="1"/>
    <xf numFmtId="166" fontId="10" fillId="0" borderId="4" xfId="1" applyNumberFormat="1" applyFont="1" applyFill="1" applyBorder="1"/>
    <xf numFmtId="166" fontId="10" fillId="0" borderId="4" xfId="1" applyNumberFormat="1" applyFont="1" applyBorder="1" applyAlignment="1" applyProtection="1">
      <protection locked="0"/>
    </xf>
    <xf numFmtId="166" fontId="10" fillId="0" borderId="4" xfId="1" applyNumberFormat="1" applyFont="1" applyBorder="1"/>
    <xf numFmtId="165" fontId="10" fillId="0" borderId="4" xfId="2" applyNumberFormat="1" applyFont="1" applyBorder="1"/>
    <xf numFmtId="166" fontId="10" fillId="0" borderId="33" xfId="1" applyNumberFormat="1" applyFont="1" applyBorder="1" applyAlignment="1" applyProtection="1">
      <protection locked="0"/>
    </xf>
    <xf numFmtId="166" fontId="10" fillId="0" borderId="0" xfId="1" applyNumberFormat="1" applyFont="1" applyBorder="1" applyAlignment="1" applyProtection="1">
      <protection locked="0"/>
    </xf>
    <xf numFmtId="166" fontId="10" fillId="0" borderId="22" xfId="1" applyNumberFormat="1" applyFont="1" applyBorder="1" applyAlignment="1" applyProtection="1">
      <protection locked="0"/>
    </xf>
    <xf numFmtId="166" fontId="10" fillId="0" borderId="39" xfId="1" applyNumberFormat="1" applyFont="1" applyBorder="1" applyAlignment="1" applyProtection="1">
      <protection locked="0"/>
    </xf>
    <xf numFmtId="166" fontId="10" fillId="0" borderId="25" xfId="1" applyNumberFormat="1" applyFont="1" applyBorder="1" applyAlignment="1" applyProtection="1">
      <protection locked="0"/>
    </xf>
    <xf numFmtId="166" fontId="10" fillId="0" borderId="5" xfId="1" applyNumberFormat="1" applyFont="1" applyBorder="1"/>
    <xf numFmtId="166" fontId="10" fillId="0" borderId="0" xfId="0" applyNumberFormat="1" applyFont="1" applyAlignment="1" applyProtection="1">
      <protection locked="0"/>
    </xf>
    <xf numFmtId="0" fontId="22" fillId="2" borderId="2" xfId="0" applyFont="1" applyFill="1" applyBorder="1" applyAlignment="1">
      <alignment vertical="center"/>
    </xf>
    <xf numFmtId="166" fontId="15" fillId="3" borderId="26" xfId="1" applyNumberFormat="1" applyFont="1" applyFill="1" applyBorder="1" applyAlignment="1">
      <alignment vertical="center"/>
    </xf>
    <xf numFmtId="166" fontId="15" fillId="3" borderId="27" xfId="1" applyNumberFormat="1" applyFont="1" applyFill="1" applyBorder="1" applyAlignment="1">
      <alignment vertical="center"/>
    </xf>
    <xf numFmtId="167" fontId="10" fillId="0" borderId="0" xfId="0" applyNumberFormat="1" applyFont="1"/>
    <xf numFmtId="167" fontId="10" fillId="0" borderId="0" xfId="0" applyNumberFormat="1" applyFont="1" applyBorder="1"/>
    <xf numFmtId="0" fontId="10" fillId="0" borderId="24" xfId="0" applyFont="1" applyBorder="1"/>
    <xf numFmtId="177" fontId="10" fillId="0" borderId="0" xfId="0" applyNumberFormat="1" applyFont="1"/>
    <xf numFmtId="166" fontId="15" fillId="3" borderId="29" xfId="1" applyNumberFormat="1" applyFont="1" applyFill="1" applyBorder="1" applyAlignment="1">
      <alignment vertical="center"/>
    </xf>
    <xf numFmtId="165" fontId="15" fillId="3" borderId="36" xfId="2" applyNumberFormat="1" applyFont="1" applyFill="1" applyBorder="1" applyAlignment="1" applyProtection="1">
      <alignment vertical="center"/>
      <protection locked="0"/>
    </xf>
    <xf numFmtId="165" fontId="15" fillId="3" borderId="37" xfId="2" applyNumberFormat="1" applyFont="1" applyFill="1" applyBorder="1" applyAlignment="1" applyProtection="1">
      <alignment vertical="center"/>
      <protection locked="0"/>
    </xf>
    <xf numFmtId="165" fontId="15" fillId="3" borderId="38" xfId="2" applyNumberFormat="1" applyFont="1" applyFill="1" applyBorder="1" applyAlignment="1" applyProtection="1">
      <alignment vertical="center"/>
      <protection locked="0"/>
    </xf>
    <xf numFmtId="166" fontId="10" fillId="0" borderId="48" xfId="1" applyNumberFormat="1" applyFont="1" applyFill="1" applyBorder="1" applyAlignment="1" applyProtection="1">
      <protection locked="0"/>
    </xf>
    <xf numFmtId="166" fontId="10" fillId="0" borderId="49" xfId="1" applyNumberFormat="1" applyFont="1" applyFill="1" applyBorder="1" applyAlignment="1" applyProtection="1">
      <protection locked="0"/>
    </xf>
    <xf numFmtId="166" fontId="14" fillId="0" borderId="18" xfId="1" applyNumberFormat="1" applyFont="1" applyFill="1" applyBorder="1" applyAlignment="1" applyProtection="1">
      <protection locked="0"/>
    </xf>
    <xf numFmtId="166" fontId="15" fillId="3" borderId="48" xfId="1" applyNumberFormat="1" applyFont="1" applyFill="1" applyBorder="1" applyAlignment="1">
      <alignment vertical="center"/>
    </xf>
    <xf numFmtId="166" fontId="15" fillId="3" borderId="49" xfId="1" applyNumberFormat="1" applyFont="1" applyFill="1" applyBorder="1" applyAlignment="1">
      <alignment vertical="center"/>
    </xf>
    <xf numFmtId="166" fontId="15" fillId="3" borderId="18" xfId="1" applyNumberFormat="1" applyFont="1" applyFill="1" applyBorder="1" applyAlignment="1">
      <alignment vertical="center"/>
    </xf>
    <xf numFmtId="0" fontId="10" fillId="0" borderId="32" xfId="0" applyFont="1" applyBorder="1"/>
    <xf numFmtId="165" fontId="10" fillId="0" borderId="30" xfId="2" applyNumberFormat="1" applyFont="1" applyBorder="1"/>
    <xf numFmtId="164" fontId="20" fillId="2" borderId="0" xfId="0" applyNumberFormat="1" applyFont="1" applyFill="1" applyAlignment="1">
      <alignment horizontal="center"/>
    </xf>
    <xf numFmtId="41" fontId="10" fillId="0" borderId="33" xfId="2" applyNumberFormat="1" applyFont="1" applyBorder="1" applyAlignment="1" applyProtection="1">
      <protection locked="0"/>
    </xf>
    <xf numFmtId="166" fontId="10" fillId="0" borderId="33" xfId="1" applyNumberFormat="1" applyFont="1" applyBorder="1"/>
    <xf numFmtId="41" fontId="10" fillId="0" borderId="39" xfId="2" applyNumberFormat="1" applyFont="1" applyBorder="1" applyAlignment="1" applyProtection="1">
      <protection locked="0"/>
    </xf>
    <xf numFmtId="166" fontId="10" fillId="0" borderId="30" xfId="1" applyNumberFormat="1" applyFont="1" applyFill="1" applyBorder="1"/>
    <xf numFmtId="166" fontId="10" fillId="0" borderId="0" xfId="1" applyNumberFormat="1" applyFont="1" applyFill="1"/>
    <xf numFmtId="165" fontId="10" fillId="0" borderId="0" xfId="2" applyNumberFormat="1" applyFont="1" applyFill="1" applyBorder="1"/>
    <xf numFmtId="0" fontId="22" fillId="2" borderId="5" xfId="0" applyFont="1" applyFill="1" applyBorder="1" applyAlignment="1">
      <alignment vertical="center"/>
    </xf>
    <xf numFmtId="0" fontId="10" fillId="0" borderId="30" xfId="0" applyFont="1" applyBorder="1"/>
    <xf numFmtId="0" fontId="29" fillId="0" borderId="0" xfId="0" applyFont="1" applyBorder="1"/>
    <xf numFmtId="0" fontId="10" fillId="0" borderId="30" xfId="0" applyFont="1" applyFill="1" applyBorder="1"/>
    <xf numFmtId="0" fontId="29" fillId="0" borderId="24" xfId="0" applyFont="1" applyBorder="1"/>
    <xf numFmtId="166" fontId="22" fillId="3" borderId="25" xfId="1" applyNumberFormat="1" applyFont="1" applyFill="1" applyBorder="1"/>
    <xf numFmtId="166" fontId="22" fillId="3" borderId="24" xfId="1" applyNumberFormat="1" applyFont="1" applyFill="1" applyBorder="1"/>
    <xf numFmtId="166" fontId="10" fillId="0" borderId="23" xfId="1" applyNumberFormat="1" applyFont="1" applyBorder="1"/>
    <xf numFmtId="166" fontId="10" fillId="0" borderId="24" xfId="1" applyNumberFormat="1" applyFont="1" applyBorder="1"/>
    <xf numFmtId="165" fontId="10" fillId="0" borderId="25" xfId="2" applyNumberFormat="1" applyFont="1" applyBorder="1"/>
    <xf numFmtId="166" fontId="10" fillId="0" borderId="0" xfId="1" applyNumberFormat="1" applyFont="1" applyAlignment="1" applyProtection="1">
      <protection locked="0"/>
    </xf>
    <xf numFmtId="166" fontId="16" fillId="0" borderId="0" xfId="0" applyNumberFormat="1" applyFont="1" applyAlignment="1">
      <alignment vertical="center"/>
    </xf>
    <xf numFmtId="166" fontId="15" fillId="3" borderId="29" xfId="1" applyNumberFormat="1" applyFont="1" applyFill="1" applyBorder="1" applyAlignment="1" applyProtection="1">
      <alignment vertical="center"/>
      <protection locked="0"/>
    </xf>
    <xf numFmtId="166" fontId="10" fillId="0" borderId="0" xfId="0" applyNumberFormat="1" applyFont="1" applyFill="1"/>
    <xf numFmtId="0" fontId="11" fillId="3" borderId="50" xfId="0" applyFont="1" applyFill="1" applyBorder="1" applyAlignment="1" applyProtection="1">
      <alignment horizontal="center" vertical="center"/>
      <protection locked="0"/>
    </xf>
    <xf numFmtId="0" fontId="11" fillId="3" borderId="24" xfId="0" applyFont="1" applyFill="1" applyBorder="1" applyAlignment="1" applyProtection="1">
      <alignment horizontal="center" vertical="center"/>
      <protection locked="0"/>
    </xf>
    <xf numFmtId="0" fontId="11" fillId="3" borderId="51" xfId="0" applyFont="1" applyFill="1" applyBorder="1" applyAlignment="1" applyProtection="1">
      <alignment horizontal="center" vertical="center"/>
      <protection locked="0"/>
    </xf>
    <xf numFmtId="0" fontId="11" fillId="3" borderId="8" xfId="0" applyFont="1" applyFill="1" applyBorder="1" applyAlignment="1">
      <alignment horizontal="left"/>
    </xf>
    <xf numFmtId="0" fontId="11" fillId="3" borderId="26" xfId="0" applyFont="1" applyFill="1" applyBorder="1" applyAlignment="1">
      <alignment horizontal="left"/>
    </xf>
    <xf numFmtId="0" fontId="11" fillId="3" borderId="27" xfId="0" applyFont="1" applyFill="1" applyBorder="1" applyAlignment="1">
      <alignment horizontal="left"/>
    </xf>
    <xf numFmtId="0" fontId="11" fillId="3" borderId="41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0" fontId="11" fillId="3" borderId="40" xfId="0" applyFont="1" applyFill="1" applyBorder="1" applyAlignment="1">
      <alignment horizontal="center" vertical="center"/>
    </xf>
    <xf numFmtId="0" fontId="11" fillId="3" borderId="50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51" xfId="0" applyFont="1" applyFill="1" applyBorder="1" applyAlignment="1">
      <alignment horizontal="center" vertical="center"/>
    </xf>
    <xf numFmtId="0" fontId="11" fillId="3" borderId="41" xfId="0" applyFont="1" applyFill="1" applyBorder="1" applyAlignment="1" applyProtection="1">
      <alignment horizontal="center" vertical="center"/>
      <protection locked="0"/>
    </xf>
    <xf numFmtId="0" fontId="11" fillId="3" borderId="42" xfId="0" applyFont="1" applyFill="1" applyBorder="1" applyAlignment="1" applyProtection="1">
      <alignment horizontal="center" vertical="center"/>
      <protection locked="0"/>
    </xf>
    <xf numFmtId="0" fontId="11" fillId="3" borderId="4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right"/>
      <protection locked="0"/>
    </xf>
    <xf numFmtId="0" fontId="11" fillId="3" borderId="36" xfId="0" applyFont="1" applyFill="1" applyBorder="1" applyAlignment="1" applyProtection="1">
      <alignment horizontal="center" vertical="center"/>
      <protection locked="0"/>
    </xf>
    <xf numFmtId="0" fontId="11" fillId="3" borderId="43" xfId="0" applyFont="1" applyFill="1" applyBorder="1" applyAlignment="1" applyProtection="1">
      <alignment horizontal="center" vertical="center"/>
      <protection locked="0"/>
    </xf>
    <xf numFmtId="0" fontId="11" fillId="3" borderId="52" xfId="0" applyFont="1" applyFill="1" applyBorder="1" applyAlignment="1" applyProtection="1">
      <alignment horizontal="center" vertical="center"/>
      <protection locked="0"/>
    </xf>
    <xf numFmtId="0" fontId="11" fillId="3" borderId="36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/>
    </xf>
    <xf numFmtId="0" fontId="11" fillId="3" borderId="52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164" fontId="20" fillId="2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26" fillId="2" borderId="0" xfId="0" applyNumberFormat="1" applyFont="1" applyFill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4" fillId="2" borderId="0" xfId="0" applyFont="1" applyFill="1" applyAlignment="1" applyProtection="1">
      <alignment horizontal="center"/>
      <protection locked="0"/>
    </xf>
    <xf numFmtId="0" fontId="25" fillId="2" borderId="0" xfId="0" applyFont="1" applyFill="1" applyAlignment="1" applyProtection="1">
      <alignment horizontal="center"/>
      <protection locked="0"/>
    </xf>
    <xf numFmtId="0" fontId="24" fillId="2" borderId="19" xfId="0" applyFont="1" applyFill="1" applyBorder="1" applyAlignment="1">
      <alignment horizontal="center"/>
    </xf>
    <xf numFmtId="0" fontId="24" fillId="2" borderId="20" xfId="0" applyFont="1" applyFill="1" applyBorder="1" applyAlignment="1">
      <alignment horizontal="center"/>
    </xf>
    <xf numFmtId="0" fontId="24" fillId="2" borderId="21" xfId="0" applyFont="1" applyFill="1" applyBorder="1" applyAlignment="1">
      <alignment horizontal="center"/>
    </xf>
    <xf numFmtId="0" fontId="25" fillId="2" borderId="3" xfId="0" applyFont="1" applyFill="1" applyBorder="1" applyAlignment="1">
      <alignment horizontal="center"/>
    </xf>
    <xf numFmtId="0" fontId="25" fillId="2" borderId="0" xfId="0" applyFont="1" applyFill="1" applyBorder="1" applyAlignment="1">
      <alignment horizontal="center"/>
    </xf>
    <xf numFmtId="0" fontId="25" fillId="2" borderId="22" xfId="0" applyFont="1" applyFill="1" applyBorder="1" applyAlignment="1">
      <alignment horizontal="center"/>
    </xf>
    <xf numFmtId="180" fontId="26" fillId="2" borderId="3" xfId="0" applyNumberFormat="1" applyFont="1" applyFill="1" applyBorder="1" applyAlignment="1">
      <alignment horizontal="center"/>
    </xf>
    <xf numFmtId="180" fontId="26" fillId="2" borderId="0" xfId="0" applyNumberFormat="1" applyFont="1" applyFill="1" applyBorder="1" applyAlignment="1">
      <alignment horizontal="center"/>
    </xf>
    <xf numFmtId="180" fontId="26" fillId="2" borderId="22" xfId="0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426720</xdr:colOff>
      <xdr:row>0</xdr:row>
      <xdr:rowOff>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944880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6146" name="Line 2"/>
        <xdr:cNvSpPr>
          <a:spLocks noChangeShapeType="1"/>
        </xdr:cNvSpPr>
      </xdr:nvSpPr>
      <xdr:spPr bwMode="auto">
        <a:xfrm flipH="1">
          <a:off x="7620" y="45720"/>
          <a:ext cx="3962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16</xdr:col>
      <xdr:colOff>586740</xdr:colOff>
      <xdr:row>3</xdr:row>
      <xdr:rowOff>114300</xdr:rowOff>
    </xdr:to>
    <xdr:sp macro="" textlink="">
      <xdr:nvSpPr>
        <xdr:cNvPr id="6147" name="Line 3"/>
        <xdr:cNvSpPr>
          <a:spLocks noChangeShapeType="1"/>
        </xdr:cNvSpPr>
      </xdr:nvSpPr>
      <xdr:spPr bwMode="auto">
        <a:xfrm flipH="1">
          <a:off x="2537460" y="800100"/>
          <a:ext cx="68427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426720</xdr:colOff>
      <xdr:row>0</xdr:row>
      <xdr:rowOff>0</xdr:rowOff>
    </xdr:to>
    <xdr:sp macro="" textlink="">
      <xdr:nvSpPr>
        <xdr:cNvPr id="6148" name="Text Box 4"/>
        <xdr:cNvSpPr txBox="1">
          <a:spLocks noChangeArrowheads="1"/>
        </xdr:cNvSpPr>
      </xdr:nvSpPr>
      <xdr:spPr bwMode="auto">
        <a:xfrm>
          <a:off x="944880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3</xdr:col>
      <xdr:colOff>0</xdr:colOff>
      <xdr:row>3</xdr:row>
      <xdr:rowOff>114300</xdr:rowOff>
    </xdr:from>
    <xdr:to>
      <xdr:col>16</xdr:col>
      <xdr:colOff>586740</xdr:colOff>
      <xdr:row>3</xdr:row>
      <xdr:rowOff>114300</xdr:rowOff>
    </xdr:to>
    <xdr:sp macro="" textlink="">
      <xdr:nvSpPr>
        <xdr:cNvPr id="6150" name="Line 6"/>
        <xdr:cNvSpPr>
          <a:spLocks noChangeShapeType="1"/>
        </xdr:cNvSpPr>
      </xdr:nvSpPr>
      <xdr:spPr bwMode="auto">
        <a:xfrm flipH="1">
          <a:off x="2537460" y="800100"/>
          <a:ext cx="68427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426720</xdr:colOff>
      <xdr:row>0</xdr:row>
      <xdr:rowOff>0</xdr:rowOff>
    </xdr:to>
    <xdr:sp macro="" textlink="">
      <xdr:nvSpPr>
        <xdr:cNvPr id="12289" name="Text Box 1"/>
        <xdr:cNvSpPr txBox="1">
          <a:spLocks noChangeArrowheads="1"/>
        </xdr:cNvSpPr>
      </xdr:nvSpPr>
      <xdr:spPr bwMode="auto">
        <a:xfrm>
          <a:off x="961644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H="1">
          <a:off x="7620" y="45720"/>
          <a:ext cx="3962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114300</xdr:rowOff>
    </xdr:from>
    <xdr:to>
      <xdr:col>16</xdr:col>
      <xdr:colOff>586740</xdr:colOff>
      <xdr:row>4</xdr:row>
      <xdr:rowOff>114300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 flipH="1">
          <a:off x="2644140" y="998220"/>
          <a:ext cx="69037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426720</xdr:colOff>
      <xdr:row>0</xdr:row>
      <xdr:rowOff>0</xdr:rowOff>
    </xdr:to>
    <xdr:sp macro="" textlink="">
      <xdr:nvSpPr>
        <xdr:cNvPr id="12292" name="Text Box 4"/>
        <xdr:cNvSpPr txBox="1">
          <a:spLocks noChangeArrowheads="1"/>
        </xdr:cNvSpPr>
      </xdr:nvSpPr>
      <xdr:spPr bwMode="auto">
        <a:xfrm>
          <a:off x="961644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0</xdr:row>
      <xdr:rowOff>76200</xdr:rowOff>
    </xdr:from>
    <xdr:to>
      <xdr:col>10</xdr:col>
      <xdr:colOff>525780</xdr:colOff>
      <xdr:row>2</xdr:row>
      <xdr:rowOff>38100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5379720" y="76200"/>
          <a:ext cx="195834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205740</xdr:colOff>
      <xdr:row>0</xdr:row>
      <xdr:rowOff>83820</xdr:rowOff>
    </xdr:from>
    <xdr:to>
      <xdr:col>13</xdr:col>
      <xdr:colOff>381000</xdr:colOff>
      <xdr:row>2</xdr:row>
      <xdr:rowOff>45720</xdr:rowOff>
    </xdr:to>
    <xdr:sp macro="" textlink="">
      <xdr:nvSpPr>
        <xdr:cNvPr id="8193" name="Text Box 1"/>
        <xdr:cNvSpPr txBox="1">
          <a:spLocks noChangeArrowheads="1"/>
        </xdr:cNvSpPr>
      </xdr:nvSpPr>
      <xdr:spPr bwMode="auto">
        <a:xfrm>
          <a:off x="7056120" y="83820"/>
          <a:ext cx="195834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68580</xdr:rowOff>
    </xdr:from>
    <xdr:to>
      <xdr:col>9</xdr:col>
      <xdr:colOff>1005840</xdr:colOff>
      <xdr:row>2</xdr:row>
      <xdr:rowOff>45720</xdr:rowOff>
    </xdr:to>
    <xdr:sp macro="" textlink="">
      <xdr:nvSpPr>
        <xdr:cNvPr id="10241" name="Text Box 1"/>
        <xdr:cNvSpPr txBox="1">
          <a:spLocks noChangeArrowheads="1"/>
        </xdr:cNvSpPr>
      </xdr:nvSpPr>
      <xdr:spPr bwMode="auto">
        <a:xfrm>
          <a:off x="6256020" y="68580"/>
          <a:ext cx="192786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0</xdr:row>
      <xdr:rowOff>68580</xdr:rowOff>
    </xdr:from>
    <xdr:to>
      <xdr:col>9</xdr:col>
      <xdr:colOff>1005840</xdr:colOff>
      <xdr:row>2</xdr:row>
      <xdr:rowOff>45720</xdr:rowOff>
    </xdr:to>
    <xdr:sp macro="" textlink="">
      <xdr:nvSpPr>
        <xdr:cNvPr id="10242" name="Text Box 2"/>
        <xdr:cNvSpPr txBox="1">
          <a:spLocks noChangeArrowheads="1"/>
        </xdr:cNvSpPr>
      </xdr:nvSpPr>
      <xdr:spPr bwMode="auto">
        <a:xfrm>
          <a:off x="6256020" y="68580"/>
          <a:ext cx="192786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0</xdr:row>
      <xdr:rowOff>68580</xdr:rowOff>
    </xdr:from>
    <xdr:to>
      <xdr:col>13</xdr:col>
      <xdr:colOff>1005840</xdr:colOff>
      <xdr:row>2</xdr:row>
      <xdr:rowOff>53340</xdr:rowOff>
    </xdr:to>
    <xdr:sp macro="" textlink="">
      <xdr:nvSpPr>
        <xdr:cNvPr id="9217" name="Text Box 1"/>
        <xdr:cNvSpPr txBox="1">
          <a:spLocks noChangeArrowheads="1"/>
        </xdr:cNvSpPr>
      </xdr:nvSpPr>
      <xdr:spPr bwMode="auto">
        <a:xfrm>
          <a:off x="9128760" y="6858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12</xdr:col>
      <xdr:colOff>7620</xdr:colOff>
      <xdr:row>0</xdr:row>
      <xdr:rowOff>68580</xdr:rowOff>
    </xdr:from>
    <xdr:to>
      <xdr:col>13</xdr:col>
      <xdr:colOff>1005840</xdr:colOff>
      <xdr:row>2</xdr:row>
      <xdr:rowOff>53340</xdr:rowOff>
    </xdr:to>
    <xdr:sp macro="" textlink="">
      <xdr:nvSpPr>
        <xdr:cNvPr id="9218" name="Text Box 2"/>
        <xdr:cNvSpPr txBox="1">
          <a:spLocks noChangeArrowheads="1"/>
        </xdr:cNvSpPr>
      </xdr:nvSpPr>
      <xdr:spPr bwMode="auto">
        <a:xfrm>
          <a:off x="9128760" y="6858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12</xdr:col>
      <xdr:colOff>7620</xdr:colOff>
      <xdr:row>0</xdr:row>
      <xdr:rowOff>68580</xdr:rowOff>
    </xdr:from>
    <xdr:to>
      <xdr:col>13</xdr:col>
      <xdr:colOff>1005840</xdr:colOff>
      <xdr:row>2</xdr:row>
      <xdr:rowOff>53340</xdr:rowOff>
    </xdr:to>
    <xdr:sp macro="" textlink="">
      <xdr:nvSpPr>
        <xdr:cNvPr id="9221" name="Text Box 5"/>
        <xdr:cNvSpPr txBox="1">
          <a:spLocks noChangeArrowheads="1"/>
        </xdr:cNvSpPr>
      </xdr:nvSpPr>
      <xdr:spPr bwMode="auto">
        <a:xfrm>
          <a:off x="9128760" y="6858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12</xdr:col>
      <xdr:colOff>7620</xdr:colOff>
      <xdr:row>0</xdr:row>
      <xdr:rowOff>68580</xdr:rowOff>
    </xdr:from>
    <xdr:to>
      <xdr:col>13</xdr:col>
      <xdr:colOff>1005840</xdr:colOff>
      <xdr:row>2</xdr:row>
      <xdr:rowOff>53340</xdr:rowOff>
    </xdr:to>
    <xdr:sp macro="" textlink="">
      <xdr:nvSpPr>
        <xdr:cNvPr id="9222" name="Text Box 6"/>
        <xdr:cNvSpPr txBox="1">
          <a:spLocks noChangeArrowheads="1"/>
        </xdr:cNvSpPr>
      </xdr:nvSpPr>
      <xdr:spPr bwMode="auto">
        <a:xfrm>
          <a:off x="9128760" y="6858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8</xdr:col>
      <xdr:colOff>0</xdr:colOff>
      <xdr:row>2</xdr:row>
      <xdr:rowOff>60960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6446520" y="76200"/>
          <a:ext cx="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6</xdr:col>
      <xdr:colOff>114300</xdr:colOff>
      <xdr:row>0</xdr:row>
      <xdr:rowOff>15240</xdr:rowOff>
    </xdr:from>
    <xdr:to>
      <xdr:col>8</xdr:col>
      <xdr:colOff>0</xdr:colOff>
      <xdr:row>2</xdr:row>
      <xdr:rowOff>0</xdr:rowOff>
    </xdr:to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4815840" y="15240"/>
          <a:ext cx="163068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426720</xdr:colOff>
      <xdr:row>0</xdr:row>
      <xdr:rowOff>0</xdr:rowOff>
    </xdr:to>
    <xdr:sp macro="" textlink="">
      <xdr:nvSpPr>
        <xdr:cNvPr id="14337" name="Text Box 1"/>
        <xdr:cNvSpPr txBox="1">
          <a:spLocks noChangeArrowheads="1"/>
        </xdr:cNvSpPr>
      </xdr:nvSpPr>
      <xdr:spPr bwMode="auto">
        <a:xfrm>
          <a:off x="961644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14338" name="Line 2"/>
        <xdr:cNvSpPr>
          <a:spLocks noChangeShapeType="1"/>
        </xdr:cNvSpPr>
      </xdr:nvSpPr>
      <xdr:spPr bwMode="auto">
        <a:xfrm flipH="1">
          <a:off x="7620" y="45720"/>
          <a:ext cx="3962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114300</xdr:rowOff>
    </xdr:from>
    <xdr:to>
      <xdr:col>16</xdr:col>
      <xdr:colOff>586740</xdr:colOff>
      <xdr:row>4</xdr:row>
      <xdr:rowOff>114300</xdr:rowOff>
    </xdr:to>
    <xdr:sp macro="" textlink="">
      <xdr:nvSpPr>
        <xdr:cNvPr id="14339" name="Line 3"/>
        <xdr:cNvSpPr>
          <a:spLocks noChangeShapeType="1"/>
        </xdr:cNvSpPr>
      </xdr:nvSpPr>
      <xdr:spPr bwMode="auto">
        <a:xfrm flipH="1">
          <a:off x="2644140" y="998220"/>
          <a:ext cx="69037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426720</xdr:colOff>
      <xdr:row>0</xdr:row>
      <xdr:rowOff>0</xdr:rowOff>
    </xdr:to>
    <xdr:sp macro="" textlink="">
      <xdr:nvSpPr>
        <xdr:cNvPr id="14340" name="Text Box 4"/>
        <xdr:cNvSpPr txBox="1">
          <a:spLocks noChangeArrowheads="1"/>
        </xdr:cNvSpPr>
      </xdr:nvSpPr>
      <xdr:spPr bwMode="auto">
        <a:xfrm>
          <a:off x="961644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4Q%202000/MgmtSum-Q4_122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4Q%202000/MgmtSum-Q4_122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1/1Q%202001/MgmtSum-Q1_2001_0330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YTD"/>
      <sheetName val="Sept YTD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YTD"/>
      <sheetName val="Sept YTD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 YTD Mgmt Summary"/>
      <sheetName val="QTD Mgmt Summary"/>
      <sheetName val="GM-WklyChnge"/>
      <sheetName val="GrossMargin"/>
      <sheetName val="Expenses"/>
      <sheetName val="WeeklyExpChange"/>
      <sheetName val="CapChrg"/>
    </sheetNames>
    <sheetDataSet>
      <sheetData sheetId="0" refreshError="1"/>
      <sheetData sheetId="1" refreshError="1"/>
      <sheetData sheetId="2">
        <row r="9">
          <cell r="C9">
            <v>3302</v>
          </cell>
          <cell r="G9">
            <v>668</v>
          </cell>
          <cell r="K9">
            <v>0</v>
          </cell>
        </row>
        <row r="10">
          <cell r="C10">
            <v>17462</v>
          </cell>
          <cell r="G10">
            <v>982</v>
          </cell>
          <cell r="K10">
            <v>11</v>
          </cell>
        </row>
        <row r="11">
          <cell r="C11">
            <v>2409</v>
          </cell>
          <cell r="G11">
            <v>792</v>
          </cell>
          <cell r="K11">
            <v>0</v>
          </cell>
        </row>
        <row r="12">
          <cell r="C12">
            <v>39038</v>
          </cell>
          <cell r="G12">
            <v>1239</v>
          </cell>
          <cell r="K12">
            <v>0</v>
          </cell>
        </row>
        <row r="13">
          <cell r="C13">
            <v>3188</v>
          </cell>
          <cell r="G13">
            <v>3150</v>
          </cell>
          <cell r="K13">
            <v>0</v>
          </cell>
        </row>
        <row r="14">
          <cell r="C14">
            <v>-5589</v>
          </cell>
          <cell r="G14">
            <v>141</v>
          </cell>
          <cell r="K14">
            <v>0</v>
          </cell>
        </row>
        <row r="15">
          <cell r="C15">
            <v>5711</v>
          </cell>
          <cell r="G15">
            <v>2008</v>
          </cell>
          <cell r="K15">
            <v>0</v>
          </cell>
        </row>
        <row r="16">
          <cell r="C16">
            <v>0</v>
          </cell>
          <cell r="G16">
            <v>426</v>
          </cell>
          <cell r="K16">
            <v>0</v>
          </cell>
        </row>
        <row r="17">
          <cell r="C17">
            <v>0</v>
          </cell>
          <cell r="G17">
            <v>683</v>
          </cell>
          <cell r="K17">
            <v>0</v>
          </cell>
        </row>
        <row r="20">
          <cell r="C20">
            <v>733</v>
          </cell>
          <cell r="G20">
            <v>1753</v>
          </cell>
          <cell r="K20">
            <v>111</v>
          </cell>
        </row>
        <row r="21">
          <cell r="C21">
            <v>-4195</v>
          </cell>
          <cell r="G21">
            <v>315</v>
          </cell>
          <cell r="K21">
            <v>2529</v>
          </cell>
        </row>
        <row r="22">
          <cell r="C22">
            <v>-1000</v>
          </cell>
          <cell r="G22">
            <v>807</v>
          </cell>
          <cell r="K22">
            <v>0</v>
          </cell>
        </row>
        <row r="23">
          <cell r="C23">
            <v>360460</v>
          </cell>
          <cell r="G23">
            <v>4119</v>
          </cell>
          <cell r="K23">
            <v>0</v>
          </cell>
        </row>
        <row r="24">
          <cell r="C24">
            <v>10647</v>
          </cell>
          <cell r="G24">
            <v>346</v>
          </cell>
          <cell r="K24">
            <v>0</v>
          </cell>
        </row>
        <row r="25">
          <cell r="C25">
            <v>0</v>
          </cell>
          <cell r="G25">
            <v>172</v>
          </cell>
          <cell r="K25">
            <v>0</v>
          </cell>
        </row>
        <row r="28">
          <cell r="C28">
            <v>351334</v>
          </cell>
          <cell r="G28">
            <v>1662</v>
          </cell>
          <cell r="K28">
            <v>0</v>
          </cell>
        </row>
        <row r="29">
          <cell r="C29">
            <v>-1695</v>
          </cell>
          <cell r="G29">
            <v>2008</v>
          </cell>
          <cell r="K29">
            <v>154</v>
          </cell>
        </row>
        <row r="30">
          <cell r="C30">
            <v>-51507</v>
          </cell>
          <cell r="G30">
            <v>2818</v>
          </cell>
          <cell r="K30">
            <v>869</v>
          </cell>
        </row>
        <row r="31">
          <cell r="C31">
            <v>56708</v>
          </cell>
          <cell r="G31">
            <v>1290</v>
          </cell>
          <cell r="K31">
            <v>0</v>
          </cell>
        </row>
        <row r="32">
          <cell r="C32">
            <v>230802</v>
          </cell>
          <cell r="G32">
            <v>364</v>
          </cell>
          <cell r="K32">
            <v>0</v>
          </cell>
        </row>
        <row r="33">
          <cell r="C33">
            <v>9510</v>
          </cell>
          <cell r="G33">
            <v>1009</v>
          </cell>
          <cell r="K33">
            <v>0</v>
          </cell>
        </row>
        <row r="34">
          <cell r="C34">
            <v>0</v>
          </cell>
          <cell r="G34">
            <v>497</v>
          </cell>
          <cell r="K34">
            <v>0</v>
          </cell>
        </row>
        <row r="35">
          <cell r="C35">
            <v>0</v>
          </cell>
          <cell r="G35">
            <v>272</v>
          </cell>
          <cell r="K35">
            <v>0</v>
          </cell>
        </row>
        <row r="36">
          <cell r="C36">
            <v>-40000</v>
          </cell>
          <cell r="G36">
            <v>0</v>
          </cell>
          <cell r="K36">
            <v>0</v>
          </cell>
        </row>
        <row r="39">
          <cell r="C39">
            <v>-13481</v>
          </cell>
          <cell r="G39">
            <v>1851</v>
          </cell>
          <cell r="K39">
            <v>110</v>
          </cell>
        </row>
        <row r="40">
          <cell r="C40">
            <v>2886</v>
          </cell>
          <cell r="G40">
            <v>456</v>
          </cell>
          <cell r="K40">
            <v>1413</v>
          </cell>
        </row>
        <row r="41">
          <cell r="C41">
            <v>113427</v>
          </cell>
          <cell r="G41">
            <v>395</v>
          </cell>
          <cell r="K41">
            <v>0</v>
          </cell>
        </row>
        <row r="42">
          <cell r="C42">
            <v>0</v>
          </cell>
          <cell r="G42">
            <v>351</v>
          </cell>
          <cell r="K42">
            <v>0</v>
          </cell>
        </row>
        <row r="43">
          <cell r="C43">
            <v>0</v>
          </cell>
          <cell r="G43">
            <v>31</v>
          </cell>
          <cell r="K43">
            <v>0</v>
          </cell>
        </row>
        <row r="44">
          <cell r="C44">
            <v>1112</v>
          </cell>
          <cell r="G44">
            <v>586</v>
          </cell>
          <cell r="K44">
            <v>0</v>
          </cell>
        </row>
        <row r="45">
          <cell r="C45">
            <v>-6360</v>
          </cell>
          <cell r="G45">
            <v>0</v>
          </cell>
          <cell r="K45">
            <v>0</v>
          </cell>
        </row>
        <row r="48">
          <cell r="C48">
            <v>118</v>
          </cell>
          <cell r="G48">
            <v>124</v>
          </cell>
          <cell r="K48">
            <v>0</v>
          </cell>
        </row>
        <row r="49">
          <cell r="C49">
            <v>551</v>
          </cell>
          <cell r="G49">
            <v>417</v>
          </cell>
          <cell r="K49">
            <v>0</v>
          </cell>
        </row>
        <row r="50">
          <cell r="C50">
            <v>3027</v>
          </cell>
          <cell r="G50">
            <v>605</v>
          </cell>
          <cell r="K50">
            <v>1094</v>
          </cell>
        </row>
        <row r="51">
          <cell r="C51">
            <v>0</v>
          </cell>
          <cell r="G51">
            <v>85</v>
          </cell>
          <cell r="K51">
            <v>0</v>
          </cell>
        </row>
        <row r="52">
          <cell r="C52">
            <v>397</v>
          </cell>
          <cell r="G52">
            <v>14</v>
          </cell>
          <cell r="K52">
            <v>0</v>
          </cell>
        </row>
        <row r="53">
          <cell r="C53">
            <v>184</v>
          </cell>
          <cell r="G53">
            <v>9</v>
          </cell>
          <cell r="K53">
            <v>0</v>
          </cell>
        </row>
        <row r="54">
          <cell r="C54">
            <v>4703</v>
          </cell>
          <cell r="G54">
            <v>0</v>
          </cell>
          <cell r="K54">
            <v>3647</v>
          </cell>
        </row>
        <row r="55">
          <cell r="C55">
            <v>24490</v>
          </cell>
          <cell r="G55">
            <v>57749</v>
          </cell>
          <cell r="K55">
            <v>0</v>
          </cell>
        </row>
        <row r="56">
          <cell r="C56">
            <v>0</v>
          </cell>
          <cell r="G56">
            <v>257</v>
          </cell>
          <cell r="K56">
            <v>0</v>
          </cell>
        </row>
        <row r="57">
          <cell r="C57">
            <v>65</v>
          </cell>
          <cell r="G57">
            <v>1106</v>
          </cell>
          <cell r="K57">
            <v>0</v>
          </cell>
        </row>
        <row r="58">
          <cell r="C58">
            <v>10955</v>
          </cell>
          <cell r="G58">
            <v>2008</v>
          </cell>
          <cell r="K58">
            <v>19621</v>
          </cell>
        </row>
        <row r="59">
          <cell r="C59">
            <v>-3592</v>
          </cell>
          <cell r="G59">
            <v>979</v>
          </cell>
          <cell r="K59">
            <v>4963</v>
          </cell>
        </row>
        <row r="60">
          <cell r="C60">
            <v>10729</v>
          </cell>
          <cell r="G60">
            <v>1981</v>
          </cell>
          <cell r="K60">
            <v>8137</v>
          </cell>
        </row>
        <row r="62">
          <cell r="C62">
            <v>-18675</v>
          </cell>
          <cell r="G62">
            <v>1193</v>
          </cell>
          <cell r="K62">
            <v>11259</v>
          </cell>
        </row>
        <row r="63">
          <cell r="C63">
            <v>225333</v>
          </cell>
          <cell r="G63">
            <v>10645</v>
          </cell>
          <cell r="K63">
            <v>32320</v>
          </cell>
        </row>
        <row r="64">
          <cell r="C64">
            <v>-16596</v>
          </cell>
          <cell r="G64">
            <v>0</v>
          </cell>
          <cell r="K64">
            <v>0</v>
          </cell>
        </row>
        <row r="65">
          <cell r="C65">
            <v>-23432</v>
          </cell>
          <cell r="G65">
            <v>1278</v>
          </cell>
          <cell r="K65">
            <v>0</v>
          </cell>
        </row>
        <row r="66">
          <cell r="C66">
            <v>0</v>
          </cell>
          <cell r="G66">
            <v>253300</v>
          </cell>
          <cell r="K66">
            <v>0</v>
          </cell>
        </row>
        <row r="69">
          <cell r="C69">
            <v>0</v>
          </cell>
          <cell r="G69">
            <v>2119</v>
          </cell>
          <cell r="K69">
            <v>0</v>
          </cell>
        </row>
        <row r="70">
          <cell r="C70">
            <v>0</v>
          </cell>
          <cell r="G70">
            <v>767</v>
          </cell>
          <cell r="K70">
            <v>0</v>
          </cell>
        </row>
        <row r="71">
          <cell r="C71">
            <v>0</v>
          </cell>
          <cell r="G71">
            <v>1717</v>
          </cell>
          <cell r="K71">
            <v>0</v>
          </cell>
        </row>
        <row r="72">
          <cell r="C72">
            <v>0</v>
          </cell>
          <cell r="G72">
            <v>10540</v>
          </cell>
          <cell r="K72">
            <v>0</v>
          </cell>
        </row>
        <row r="73">
          <cell r="C73">
            <v>0</v>
          </cell>
          <cell r="G73">
            <v>936</v>
          </cell>
          <cell r="K73">
            <v>0</v>
          </cell>
        </row>
        <row r="74">
          <cell r="C74">
            <v>0</v>
          </cell>
          <cell r="G74">
            <v>2483</v>
          </cell>
          <cell r="K74">
            <v>0</v>
          </cell>
        </row>
        <row r="75">
          <cell r="C75">
            <v>0</v>
          </cell>
          <cell r="G75">
            <v>10</v>
          </cell>
          <cell r="K75">
            <v>0</v>
          </cell>
        </row>
        <row r="76">
          <cell r="C76">
            <v>0</v>
          </cell>
          <cell r="G76">
            <v>357</v>
          </cell>
          <cell r="K76">
            <v>0</v>
          </cell>
        </row>
        <row r="77">
          <cell r="C77">
            <v>0</v>
          </cell>
          <cell r="G77">
            <v>200</v>
          </cell>
          <cell r="K77">
            <v>0</v>
          </cell>
        </row>
        <row r="78">
          <cell r="C78">
            <v>0</v>
          </cell>
          <cell r="G78">
            <v>189</v>
          </cell>
          <cell r="K78">
            <v>0</v>
          </cell>
        </row>
        <row r="79">
          <cell r="C79">
            <v>0</v>
          </cell>
          <cell r="G79">
            <v>471</v>
          </cell>
          <cell r="K79">
            <v>0</v>
          </cell>
        </row>
        <row r="80">
          <cell r="C80">
            <v>0</v>
          </cell>
          <cell r="G80">
            <v>1119</v>
          </cell>
          <cell r="K80">
            <v>0</v>
          </cell>
        </row>
        <row r="81">
          <cell r="C81">
            <v>0</v>
          </cell>
          <cell r="G81">
            <v>26414</v>
          </cell>
          <cell r="K81">
            <v>0</v>
          </cell>
        </row>
        <row r="82">
          <cell r="C82">
            <v>0</v>
          </cell>
          <cell r="G82">
            <v>48754</v>
          </cell>
          <cell r="K82">
            <v>0</v>
          </cell>
        </row>
        <row r="84">
          <cell r="C84">
            <v>0</v>
          </cell>
          <cell r="G84">
            <v>14566</v>
          </cell>
          <cell r="K84">
            <v>0</v>
          </cell>
        </row>
        <row r="85">
          <cell r="C85">
            <v>49140</v>
          </cell>
          <cell r="G85">
            <v>1742</v>
          </cell>
          <cell r="K85">
            <v>0</v>
          </cell>
        </row>
        <row r="86">
          <cell r="C86">
            <v>-24207</v>
          </cell>
          <cell r="G86">
            <v>0</v>
          </cell>
          <cell r="K86">
            <v>0</v>
          </cell>
        </row>
        <row r="87">
          <cell r="C87">
            <v>0</v>
          </cell>
          <cell r="G87">
            <v>0</v>
          </cell>
          <cell r="K87">
            <v>-99933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107"/>
  <sheetViews>
    <sheetView topLeftCell="A71" workbookViewId="0">
      <selection activeCell="G86" sqref="G86"/>
    </sheetView>
  </sheetViews>
  <sheetFormatPr defaultColWidth="9.109375" defaultRowHeight="10.199999999999999" x14ac:dyDescent="0.2"/>
  <cols>
    <col min="1" max="1" width="27.44140625" style="10" customWidth="1"/>
    <col min="2" max="2" width="0.88671875" style="10" customWidth="1"/>
    <col min="3" max="4" width="8.6640625" style="10" customWidth="1"/>
    <col min="5" max="5" width="11.6640625" style="10" customWidth="1"/>
    <col min="6" max="6" width="0.88671875" style="10" customWidth="1"/>
    <col min="7" max="9" width="8.6640625" style="216" customWidth="1"/>
    <col min="10" max="10" width="1.109375" style="216" customWidth="1"/>
    <col min="11" max="12" width="8.6640625" style="216" customWidth="1"/>
    <col min="13" max="13" width="7.33203125" style="216" customWidth="1"/>
    <col min="14" max="14" width="0.88671875" style="216" customWidth="1"/>
    <col min="15" max="17" width="8.6640625" style="216" customWidth="1"/>
    <col min="18" max="18" width="0.88671875" style="10" customWidth="1"/>
    <col min="19" max="19" width="8.6640625" style="10" customWidth="1"/>
    <col min="20" max="23" width="7.6640625" style="10" customWidth="1"/>
    <col min="24" max="25" width="8.6640625" style="10" customWidth="1"/>
    <col min="26" max="26" width="0.88671875" style="10" customWidth="1"/>
    <col min="27" max="16384" width="9.109375" style="10"/>
  </cols>
  <sheetData>
    <row r="1" spans="1:26" s="2" customFormat="1" ht="9.9" customHeight="1" x14ac:dyDescent="0.3">
      <c r="A1"/>
      <c r="B1"/>
      <c r="C1"/>
      <c r="D1"/>
      <c r="E1"/>
      <c r="F1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5">
      <c r="A2" s="3" t="s">
        <v>70</v>
      </c>
      <c r="B2" s="4"/>
      <c r="C2" s="4"/>
      <c r="D2" s="4"/>
      <c r="E2" s="4"/>
      <c r="F2" s="4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85" t="s">
        <v>108</v>
      </c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25">
      <c r="A3"/>
      <c r="B3"/>
      <c r="C3"/>
      <c r="D3"/>
      <c r="E3"/>
      <c r="F3"/>
      <c r="G3" s="175"/>
      <c r="H3" s="186"/>
      <c r="I3" s="186"/>
      <c r="J3" s="186"/>
      <c r="K3" s="186"/>
      <c r="L3" s="186"/>
      <c r="M3" s="187"/>
      <c r="N3" s="187"/>
      <c r="O3" s="187"/>
      <c r="P3" s="187"/>
      <c r="Q3" s="187"/>
      <c r="R3"/>
      <c r="S3"/>
      <c r="T3"/>
      <c r="U3"/>
      <c r="V3"/>
      <c r="W3"/>
      <c r="X3"/>
      <c r="Z3" s="6"/>
    </row>
    <row r="4" spans="1:26" s="2" customFormat="1" ht="15" customHeight="1" thickBot="1" x14ac:dyDescent="0.35">
      <c r="A4"/>
      <c r="B4"/>
      <c r="C4"/>
      <c r="D4"/>
      <c r="E4"/>
      <c r="F4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/>
      <c r="S4"/>
      <c r="T4"/>
      <c r="U4"/>
      <c r="V4"/>
      <c r="W4"/>
      <c r="X4"/>
      <c r="Y4"/>
      <c r="Z4" s="7"/>
    </row>
    <row r="5" spans="1:26" s="8" customFormat="1" ht="18" customHeight="1" thickBot="1" x14ac:dyDescent="0.3">
      <c r="A5" s="45"/>
      <c r="B5" s="257"/>
      <c r="C5" s="348"/>
      <c r="D5" s="349"/>
      <c r="E5" s="350"/>
      <c r="F5" s="261"/>
      <c r="G5" s="354" t="s">
        <v>121</v>
      </c>
      <c r="H5" s="355"/>
      <c r="I5" s="356"/>
      <c r="J5" s="280"/>
      <c r="K5" s="264"/>
      <c r="L5" s="260"/>
      <c r="M5" s="250"/>
      <c r="N5" s="277"/>
      <c r="O5" s="239"/>
      <c r="P5" s="239"/>
      <c r="Q5" s="239"/>
    </row>
    <row r="6" spans="1:26" s="8" customFormat="1" ht="18" customHeight="1" x14ac:dyDescent="0.25">
      <c r="A6" s="238"/>
      <c r="B6" s="258"/>
      <c r="C6" s="351" t="s">
        <v>0</v>
      </c>
      <c r="D6" s="352"/>
      <c r="E6" s="353"/>
      <c r="F6" s="262"/>
      <c r="G6" s="342" t="s">
        <v>114</v>
      </c>
      <c r="H6" s="343"/>
      <c r="I6" s="344"/>
      <c r="J6" s="265"/>
      <c r="K6" s="342" t="s">
        <v>99</v>
      </c>
      <c r="L6" s="343"/>
      <c r="M6" s="344"/>
      <c r="N6" s="278"/>
      <c r="O6" s="342" t="s">
        <v>1</v>
      </c>
      <c r="P6" s="343"/>
      <c r="Q6" s="344"/>
    </row>
    <row r="7" spans="1:26" ht="15" customHeight="1" thickBot="1" x14ac:dyDescent="0.35">
      <c r="A7" s="46" t="s">
        <v>2</v>
      </c>
      <c r="B7" s="259"/>
      <c r="C7" s="47" t="s">
        <v>3</v>
      </c>
      <c r="D7" s="48" t="s">
        <v>4</v>
      </c>
      <c r="E7" s="49" t="s">
        <v>5</v>
      </c>
      <c r="F7" s="263"/>
      <c r="G7" s="241" t="s">
        <v>6</v>
      </c>
      <c r="H7" s="242" t="s">
        <v>4</v>
      </c>
      <c r="I7" s="246" t="s">
        <v>5</v>
      </c>
      <c r="J7" s="266"/>
      <c r="K7" s="188" t="s">
        <v>6</v>
      </c>
      <c r="L7" s="189" t="s">
        <v>4</v>
      </c>
      <c r="M7" s="190" t="s">
        <v>5</v>
      </c>
      <c r="N7" s="279"/>
      <c r="O7" s="188" t="s">
        <v>6</v>
      </c>
      <c r="P7" s="189" t="s">
        <v>4</v>
      </c>
      <c r="Q7" s="190" t="s">
        <v>5</v>
      </c>
    </row>
    <row r="8" spans="1:26" x14ac:dyDescent="0.2">
      <c r="A8" s="11"/>
      <c r="B8" s="9"/>
      <c r="C8" s="12"/>
      <c r="D8" s="13"/>
      <c r="E8" s="14"/>
      <c r="F8" s="15"/>
      <c r="G8" s="191"/>
      <c r="H8" s="192"/>
      <c r="I8" s="272"/>
      <c r="J8" s="267"/>
      <c r="K8" s="192"/>
      <c r="L8" s="192"/>
      <c r="M8" s="192"/>
      <c r="N8" s="193"/>
      <c r="O8" s="191"/>
      <c r="P8" s="192"/>
      <c r="Q8" s="194"/>
    </row>
    <row r="9" spans="1:26" s="18" customFormat="1" ht="12.75" customHeight="1" x14ac:dyDescent="0.2">
      <c r="A9" s="11" t="s">
        <v>20</v>
      </c>
      <c r="B9" s="17"/>
      <c r="C9" s="153">
        <f>GrossMargin!I8</f>
        <v>-3151</v>
      </c>
      <c r="D9" s="154">
        <f>GrossMargin!M8</f>
        <v>8750</v>
      </c>
      <c r="E9" s="50">
        <f t="shared" ref="E9:E17" si="0">-D9+C9</f>
        <v>-11901</v>
      </c>
      <c r="F9" s="34"/>
      <c r="G9" s="240">
        <f>Expenses!C8+Expenses!G8</f>
        <v>1006</v>
      </c>
      <c r="H9" s="240">
        <f>Expenses!D8+Expenses!H8</f>
        <v>1006</v>
      </c>
      <c r="I9" s="273">
        <f>G9-H9</f>
        <v>0</v>
      </c>
      <c r="J9" s="268"/>
      <c r="K9" s="240">
        <f>CapChrg!D8</f>
        <v>0</v>
      </c>
      <c r="L9" s="197">
        <f>CapChrg!E8</f>
        <v>0</v>
      </c>
      <c r="M9" s="198">
        <f>K9-L9</f>
        <v>0</v>
      </c>
      <c r="N9" s="199"/>
      <c r="O9" s="195">
        <f>C9-G9-K9</f>
        <v>-4157</v>
      </c>
      <c r="P9" s="196">
        <f>D9-H9-L9</f>
        <v>7744</v>
      </c>
      <c r="Q9" s="200">
        <f t="shared" ref="Q9:Q17" si="1">O9-P9</f>
        <v>-11901</v>
      </c>
    </row>
    <row r="10" spans="1:26" s="18" customFormat="1" ht="12.75" customHeight="1" x14ac:dyDescent="0.2">
      <c r="A10" s="11" t="s">
        <v>21</v>
      </c>
      <c r="B10" s="19"/>
      <c r="C10" s="21">
        <f>GrossMargin!I9</f>
        <v>-2203</v>
      </c>
      <c r="D10" s="251">
        <f>GrossMargin!M9</f>
        <v>20000</v>
      </c>
      <c r="E10" s="24">
        <f t="shared" si="0"/>
        <v>-22203</v>
      </c>
      <c r="F10" s="34"/>
      <c r="G10" s="240">
        <f>Expenses!C9+Expenses!G9</f>
        <v>1494</v>
      </c>
      <c r="H10" s="240">
        <f>Expenses!D9+Expenses!H9</f>
        <v>1494</v>
      </c>
      <c r="I10" s="273">
        <f t="shared" ref="I10:I17" si="2">G10-H10</f>
        <v>0</v>
      </c>
      <c r="J10" s="269"/>
      <c r="K10" s="240">
        <f>CapChrg!D9</f>
        <v>0</v>
      </c>
      <c r="L10" s="197">
        <f>CapChrg!E9</f>
        <v>75</v>
      </c>
      <c r="M10" s="198">
        <f t="shared" ref="M10:M17" si="3">K10-L10</f>
        <v>-75</v>
      </c>
      <c r="N10" s="199"/>
      <c r="O10" s="201">
        <f>C10-G10-K10</f>
        <v>-3697</v>
      </c>
      <c r="P10" s="202">
        <f>D10-H10-L10</f>
        <v>18431</v>
      </c>
      <c r="Q10" s="198">
        <f t="shared" si="1"/>
        <v>-22128</v>
      </c>
    </row>
    <row r="11" spans="1:26" ht="12" customHeight="1" x14ac:dyDescent="0.2">
      <c r="A11" s="11" t="s">
        <v>22</v>
      </c>
      <c r="B11" s="20"/>
      <c r="C11" s="21">
        <f>GrossMargin!I10</f>
        <v>83176</v>
      </c>
      <c r="D11" s="251">
        <f>GrossMargin!M10</f>
        <v>20000</v>
      </c>
      <c r="E11" s="24">
        <f t="shared" si="0"/>
        <v>63176</v>
      </c>
      <c r="F11" s="23"/>
      <c r="G11" s="240">
        <f>Expenses!C10+Expenses!G10</f>
        <v>1457</v>
      </c>
      <c r="H11" s="240">
        <f>Expenses!D10+Expenses!H10</f>
        <v>1457</v>
      </c>
      <c r="I11" s="273">
        <f t="shared" si="2"/>
        <v>0</v>
      </c>
      <c r="J11" s="269"/>
      <c r="K11" s="240">
        <f>CapChrg!D10</f>
        <v>0</v>
      </c>
      <c r="L11" s="202">
        <f>CapChrg!E10</f>
        <v>0</v>
      </c>
      <c r="M11" s="198">
        <f t="shared" si="3"/>
        <v>0</v>
      </c>
      <c r="N11" s="203"/>
      <c r="O11" s="201">
        <f t="shared" ref="O11:O17" si="4">C11-G11-K11</f>
        <v>81719</v>
      </c>
      <c r="P11" s="202">
        <f t="shared" ref="P11:P17" si="5">D11-H11-L11</f>
        <v>18543</v>
      </c>
      <c r="Q11" s="198">
        <f t="shared" si="1"/>
        <v>63176</v>
      </c>
    </row>
    <row r="12" spans="1:26" ht="12" customHeight="1" x14ac:dyDescent="0.2">
      <c r="A12" s="11" t="s">
        <v>23</v>
      </c>
      <c r="B12" s="20"/>
      <c r="C12" s="21">
        <f>GrossMargin!I11</f>
        <v>87177</v>
      </c>
      <c r="D12" s="251">
        <f>GrossMargin!M11</f>
        <v>20000</v>
      </c>
      <c r="E12" s="24">
        <f t="shared" si="0"/>
        <v>67177</v>
      </c>
      <c r="F12" s="23"/>
      <c r="G12" s="240">
        <f>Expenses!C11+Expenses!G11</f>
        <v>1885</v>
      </c>
      <c r="H12" s="240">
        <f>Expenses!D11+Expenses!H11</f>
        <v>1885</v>
      </c>
      <c r="I12" s="273">
        <f t="shared" si="2"/>
        <v>0</v>
      </c>
      <c r="J12" s="269"/>
      <c r="K12" s="240">
        <f>CapChrg!D11</f>
        <v>0</v>
      </c>
      <c r="L12" s="202">
        <f>CapChrg!E11</f>
        <v>0</v>
      </c>
      <c r="M12" s="198">
        <f t="shared" si="3"/>
        <v>0</v>
      </c>
      <c r="N12" s="203"/>
      <c r="O12" s="201">
        <f t="shared" si="4"/>
        <v>85292</v>
      </c>
      <c r="P12" s="202">
        <f t="shared" si="5"/>
        <v>18115</v>
      </c>
      <c r="Q12" s="198">
        <f t="shared" si="1"/>
        <v>67177</v>
      </c>
    </row>
    <row r="13" spans="1:26" ht="12" customHeight="1" x14ac:dyDescent="0.2">
      <c r="A13" s="11" t="s">
        <v>24</v>
      </c>
      <c r="B13" s="20"/>
      <c r="C13" s="21">
        <f>GrossMargin!I12</f>
        <v>32523</v>
      </c>
      <c r="D13" s="251">
        <f>GrossMargin!M12</f>
        <v>6250</v>
      </c>
      <c r="E13" s="24">
        <f t="shared" si="0"/>
        <v>26273</v>
      </c>
      <c r="F13" s="23"/>
      <c r="G13" s="240">
        <f>Expenses!C12+Expenses!G12</f>
        <v>2583</v>
      </c>
      <c r="H13" s="240">
        <f>Expenses!D12+Expenses!H13</f>
        <v>2583</v>
      </c>
      <c r="I13" s="273">
        <f t="shared" si="2"/>
        <v>0</v>
      </c>
      <c r="J13" s="269"/>
      <c r="K13" s="240">
        <f>CapChrg!D12</f>
        <v>0</v>
      </c>
      <c r="L13" s="202">
        <f>CapChrg!E12</f>
        <v>0</v>
      </c>
      <c r="M13" s="198">
        <f t="shared" si="3"/>
        <v>0</v>
      </c>
      <c r="N13" s="203"/>
      <c r="O13" s="201">
        <f t="shared" si="4"/>
        <v>29940</v>
      </c>
      <c r="P13" s="202">
        <f t="shared" si="5"/>
        <v>3667</v>
      </c>
      <c r="Q13" s="198">
        <f t="shared" si="1"/>
        <v>26273</v>
      </c>
    </row>
    <row r="14" spans="1:26" ht="12" customHeight="1" x14ac:dyDescent="0.2">
      <c r="A14" s="11" t="s">
        <v>64</v>
      </c>
      <c r="B14" s="20"/>
      <c r="C14" s="21">
        <f>GrossMargin!I15</f>
        <v>-3756</v>
      </c>
      <c r="D14" s="251">
        <f>GrossMargin!M15</f>
        <v>-5000</v>
      </c>
      <c r="E14" s="24">
        <f t="shared" si="0"/>
        <v>1244</v>
      </c>
      <c r="F14" s="23"/>
      <c r="G14" s="240">
        <f>Expenses!C15+Expenses!G15</f>
        <v>156</v>
      </c>
      <c r="H14" s="240">
        <f>Expenses!D15+Expenses!H15</f>
        <v>156</v>
      </c>
      <c r="I14" s="273">
        <f t="shared" si="2"/>
        <v>0</v>
      </c>
      <c r="J14" s="269"/>
      <c r="K14" s="240">
        <f>CapChrg!D15</f>
        <v>0</v>
      </c>
      <c r="L14" s="202">
        <f>CapChrg!E15</f>
        <v>0</v>
      </c>
      <c r="M14" s="198">
        <f t="shared" si="3"/>
        <v>0</v>
      </c>
      <c r="N14" s="203"/>
      <c r="O14" s="201">
        <f t="shared" si="4"/>
        <v>-3912</v>
      </c>
      <c r="P14" s="202">
        <f t="shared" si="5"/>
        <v>-5156</v>
      </c>
      <c r="Q14" s="198">
        <f t="shared" si="1"/>
        <v>1244</v>
      </c>
    </row>
    <row r="15" spans="1:26" ht="12" customHeight="1" x14ac:dyDescent="0.2">
      <c r="A15" s="11" t="s">
        <v>27</v>
      </c>
      <c r="B15" s="20"/>
      <c r="C15" s="21">
        <f>GrossMargin!I16</f>
        <v>8484</v>
      </c>
      <c r="D15" s="251">
        <f>GrossMargin!M16</f>
        <v>6000</v>
      </c>
      <c r="E15" s="24">
        <f t="shared" si="0"/>
        <v>2484</v>
      </c>
      <c r="F15" s="23"/>
      <c r="G15" s="240">
        <f>Expenses!C16+Expenses!G16</f>
        <v>2096</v>
      </c>
      <c r="H15" s="240">
        <f>Expenses!D16+Expenses!H16</f>
        <v>2096</v>
      </c>
      <c r="I15" s="273">
        <f t="shared" si="2"/>
        <v>0</v>
      </c>
      <c r="J15" s="269"/>
      <c r="K15" s="240">
        <f>CapChrg!D16</f>
        <v>236</v>
      </c>
      <c r="L15" s="202">
        <f>CapChrg!E16</f>
        <v>41</v>
      </c>
      <c r="M15" s="198">
        <f t="shared" si="3"/>
        <v>195</v>
      </c>
      <c r="N15" s="203"/>
      <c r="O15" s="201">
        <f t="shared" si="4"/>
        <v>6152</v>
      </c>
      <c r="P15" s="202">
        <f t="shared" si="5"/>
        <v>3863</v>
      </c>
      <c r="Q15" s="198">
        <f t="shared" si="1"/>
        <v>2289</v>
      </c>
    </row>
    <row r="16" spans="1:26" ht="12" customHeight="1" x14ac:dyDescent="0.2">
      <c r="A16" s="11" t="s">
        <v>28</v>
      </c>
      <c r="B16" s="20"/>
      <c r="C16" s="21">
        <f>GrossMargin!I17</f>
        <v>0</v>
      </c>
      <c r="D16" s="251">
        <f>GrossMargin!M17</f>
        <v>0</v>
      </c>
      <c r="E16" s="24">
        <f t="shared" si="0"/>
        <v>0</v>
      </c>
      <c r="F16" s="23"/>
      <c r="G16" s="240">
        <f>Expenses!C17+Expenses!G17</f>
        <v>730</v>
      </c>
      <c r="H16" s="240">
        <f>Expenses!D17+Expenses!H17</f>
        <v>730</v>
      </c>
      <c r="I16" s="273">
        <f t="shared" si="2"/>
        <v>0</v>
      </c>
      <c r="J16" s="269"/>
      <c r="K16" s="240">
        <f>CapChrg!D17</f>
        <v>0</v>
      </c>
      <c r="L16" s="202">
        <f>CapChrg!E17</f>
        <v>0</v>
      </c>
      <c r="M16" s="198">
        <f t="shared" si="3"/>
        <v>0</v>
      </c>
      <c r="N16" s="203"/>
      <c r="O16" s="201">
        <f t="shared" si="4"/>
        <v>-730</v>
      </c>
      <c r="P16" s="202">
        <f t="shared" si="5"/>
        <v>-730</v>
      </c>
      <c r="Q16" s="198">
        <f t="shared" si="1"/>
        <v>0</v>
      </c>
    </row>
    <row r="17" spans="1:17" ht="12" customHeight="1" x14ac:dyDescent="0.2">
      <c r="A17" s="11" t="s">
        <v>29</v>
      </c>
      <c r="B17" s="20"/>
      <c r="C17" s="21">
        <f>GrossMargin!I18</f>
        <v>0</v>
      </c>
      <c r="D17" s="251">
        <f>GrossMargin!M18</f>
        <v>0</v>
      </c>
      <c r="E17" s="24">
        <f t="shared" si="0"/>
        <v>0</v>
      </c>
      <c r="F17" s="23"/>
      <c r="G17" s="240">
        <f>Expenses!C18+Expenses!G18</f>
        <v>734</v>
      </c>
      <c r="H17" s="240">
        <f>Expenses!D18+Expenses!H18</f>
        <v>734</v>
      </c>
      <c r="I17" s="273">
        <f t="shared" si="2"/>
        <v>0</v>
      </c>
      <c r="J17" s="269"/>
      <c r="K17" s="240">
        <f>CapChrg!D18</f>
        <v>0</v>
      </c>
      <c r="L17" s="202">
        <f>CapChrg!E18</f>
        <v>0</v>
      </c>
      <c r="M17" s="198">
        <f t="shared" si="3"/>
        <v>0</v>
      </c>
      <c r="N17" s="203"/>
      <c r="O17" s="201">
        <f t="shared" si="4"/>
        <v>-734</v>
      </c>
      <c r="P17" s="202">
        <f t="shared" si="5"/>
        <v>-734</v>
      </c>
      <c r="Q17" s="198">
        <f t="shared" si="1"/>
        <v>0</v>
      </c>
    </row>
    <row r="18" spans="1:17" s="42" customFormat="1" ht="12" customHeight="1" x14ac:dyDescent="0.2">
      <c r="A18" s="25" t="s">
        <v>7</v>
      </c>
      <c r="B18" s="155"/>
      <c r="C18" s="26">
        <f>SUM(C8:C17)</f>
        <v>202250</v>
      </c>
      <c r="D18" s="27">
        <f>SUM(D8:D17)</f>
        <v>76000</v>
      </c>
      <c r="E18" s="28">
        <f>SUM(E8:E17)</f>
        <v>126250</v>
      </c>
      <c r="F18" s="156"/>
      <c r="G18" s="204">
        <f>SUM(G9:G17)</f>
        <v>12141</v>
      </c>
      <c r="H18" s="205">
        <f>SUM(H9:H17)</f>
        <v>12141</v>
      </c>
      <c r="I18" s="274">
        <f>SUM(I9:I17)</f>
        <v>0</v>
      </c>
      <c r="J18" s="270"/>
      <c r="K18" s="205">
        <f>SUM(K9:K17)</f>
        <v>236</v>
      </c>
      <c r="L18" s="205">
        <f>SUM(L9:L17)</f>
        <v>116</v>
      </c>
      <c r="M18" s="206">
        <f>SUM(M9:M17)</f>
        <v>120</v>
      </c>
      <c r="N18" s="207"/>
      <c r="O18" s="204">
        <f>SUM(O9:O17)</f>
        <v>189873</v>
      </c>
      <c r="P18" s="205">
        <f>SUM(P9:P17)</f>
        <v>63743</v>
      </c>
      <c r="Q18" s="206">
        <f>SUM(Q9:Q17)</f>
        <v>126130</v>
      </c>
    </row>
    <row r="19" spans="1:17" ht="7.5" customHeight="1" x14ac:dyDescent="0.2">
      <c r="A19" s="11"/>
      <c r="B19" s="9"/>
      <c r="C19" s="21"/>
      <c r="D19" s="22"/>
      <c r="E19" s="24"/>
      <c r="F19" s="23"/>
      <c r="G19" s="201"/>
      <c r="H19" s="202"/>
      <c r="I19" s="275"/>
      <c r="J19" s="269"/>
      <c r="K19" s="202"/>
      <c r="L19" s="202"/>
      <c r="M19" s="198"/>
      <c r="N19" s="203"/>
      <c r="O19" s="201"/>
      <c r="P19" s="202"/>
      <c r="Q19" s="198"/>
    </row>
    <row r="20" spans="1:17" ht="14.25" customHeight="1" x14ac:dyDescent="0.2">
      <c r="A20" s="11" t="s">
        <v>25</v>
      </c>
      <c r="B20" s="9"/>
      <c r="C20" s="21">
        <f>GrossMargin!I21</f>
        <v>16410</v>
      </c>
      <c r="D20" s="251">
        <f>GrossMargin!M21</f>
        <v>12000</v>
      </c>
      <c r="E20" s="24">
        <f t="shared" ref="E20:E25" si="6">-D20+C20</f>
        <v>4410</v>
      </c>
      <c r="F20" s="23"/>
      <c r="G20" s="240">
        <f>Expenses!C21+Expenses!G21</f>
        <v>1635</v>
      </c>
      <c r="H20" s="240">
        <f>Expenses!D21+Expenses!H21</f>
        <v>1635</v>
      </c>
      <c r="I20" s="273">
        <f t="shared" ref="I20:I25" si="7">G20-H20</f>
        <v>0</v>
      </c>
      <c r="J20" s="269"/>
      <c r="K20" s="240">
        <f>CapChrg!D21</f>
        <v>111</v>
      </c>
      <c r="L20" s="197">
        <f>CapChrg!E21</f>
        <v>852</v>
      </c>
      <c r="M20" s="198">
        <f t="shared" ref="M20:M25" si="8">K20-L20</f>
        <v>-741</v>
      </c>
      <c r="N20" s="203"/>
      <c r="O20" s="201">
        <f t="shared" ref="O20:P25" si="9">C20-G20-K20</f>
        <v>14664</v>
      </c>
      <c r="P20" s="202">
        <f t="shared" si="9"/>
        <v>9513</v>
      </c>
      <c r="Q20" s="198">
        <f t="shared" ref="Q20:Q25" si="10">O20-P20</f>
        <v>5151</v>
      </c>
    </row>
    <row r="21" spans="1:17" ht="14.25" customHeight="1" x14ac:dyDescent="0.2">
      <c r="A21" s="11" t="s">
        <v>26</v>
      </c>
      <c r="B21" s="9"/>
      <c r="C21" s="21">
        <f>GrossMargin!I22</f>
        <v>10500</v>
      </c>
      <c r="D21" s="251">
        <f>GrossMargin!M22</f>
        <v>10000</v>
      </c>
      <c r="E21" s="24">
        <f t="shared" si="6"/>
        <v>500</v>
      </c>
      <c r="F21" s="23"/>
      <c r="G21" s="240">
        <f>Expenses!C22+Expenses!G22</f>
        <v>354</v>
      </c>
      <c r="H21" s="240">
        <f>Expenses!D22+Expenses!H22</f>
        <v>354</v>
      </c>
      <c r="I21" s="273">
        <f t="shared" si="7"/>
        <v>0</v>
      </c>
      <c r="J21" s="269"/>
      <c r="K21" s="240">
        <f>CapChrg!D22</f>
        <v>0</v>
      </c>
      <c r="L21" s="197">
        <f>CapChrg!E22</f>
        <v>0</v>
      </c>
      <c r="M21" s="198">
        <f t="shared" si="8"/>
        <v>0</v>
      </c>
      <c r="N21" s="203"/>
      <c r="O21" s="201">
        <f t="shared" si="9"/>
        <v>10146</v>
      </c>
      <c r="P21" s="202">
        <f t="shared" si="9"/>
        <v>9646</v>
      </c>
      <c r="Q21" s="198">
        <f t="shared" si="10"/>
        <v>500</v>
      </c>
    </row>
    <row r="22" spans="1:17" ht="14.25" customHeight="1" x14ac:dyDescent="0.2">
      <c r="A22" s="11" t="s">
        <v>32</v>
      </c>
      <c r="B22" s="9"/>
      <c r="C22" s="21">
        <f>GrossMargin!I23</f>
        <v>42396</v>
      </c>
      <c r="D22" s="251">
        <f>GrossMargin!M23</f>
        <v>6000</v>
      </c>
      <c r="E22" s="24">
        <f t="shared" si="6"/>
        <v>36396</v>
      </c>
      <c r="F22" s="23"/>
      <c r="G22" s="240">
        <f>Expenses!C23+Expenses!G23</f>
        <v>2094</v>
      </c>
      <c r="H22" s="240">
        <f>Expenses!D23+Expenses!H23</f>
        <v>2094</v>
      </c>
      <c r="I22" s="273">
        <f t="shared" si="7"/>
        <v>0</v>
      </c>
      <c r="J22" s="269"/>
      <c r="K22" s="240">
        <f>CapChrg!D23</f>
        <v>4139</v>
      </c>
      <c r="L22" s="197">
        <f>CapChrg!E23</f>
        <v>-2103</v>
      </c>
      <c r="M22" s="198">
        <f t="shared" si="8"/>
        <v>6242</v>
      </c>
      <c r="N22" s="203"/>
      <c r="O22" s="201">
        <f t="shared" si="9"/>
        <v>36163</v>
      </c>
      <c r="P22" s="202">
        <f t="shared" si="9"/>
        <v>6009</v>
      </c>
      <c r="Q22" s="198">
        <f t="shared" si="10"/>
        <v>30154</v>
      </c>
    </row>
    <row r="23" spans="1:17" ht="14.25" customHeight="1" x14ac:dyDescent="0.2">
      <c r="A23" s="11" t="s">
        <v>30</v>
      </c>
      <c r="B23" s="9"/>
      <c r="C23" s="21">
        <f>GrossMargin!I24</f>
        <v>172789</v>
      </c>
      <c r="D23" s="251">
        <f>GrossMargin!M24</f>
        <v>62499</v>
      </c>
      <c r="E23" s="24">
        <f t="shared" si="6"/>
        <v>110290</v>
      </c>
      <c r="F23" s="23"/>
      <c r="G23" s="240">
        <f>Expenses!C24+Expenses!G24</f>
        <v>2702</v>
      </c>
      <c r="H23" s="240">
        <f>Expenses!D24+Expenses!H24</f>
        <v>2702</v>
      </c>
      <c r="I23" s="273">
        <f t="shared" si="7"/>
        <v>0</v>
      </c>
      <c r="J23" s="269"/>
      <c r="K23" s="240">
        <f>CapChrg!D24</f>
        <v>0</v>
      </c>
      <c r="L23" s="197">
        <f>CapChrg!E24</f>
        <v>0</v>
      </c>
      <c r="M23" s="198">
        <f t="shared" si="8"/>
        <v>0</v>
      </c>
      <c r="N23" s="203"/>
      <c r="O23" s="201">
        <f t="shared" si="9"/>
        <v>170087</v>
      </c>
      <c r="P23" s="202">
        <f t="shared" si="9"/>
        <v>59797</v>
      </c>
      <c r="Q23" s="198">
        <f t="shared" si="10"/>
        <v>110290</v>
      </c>
    </row>
    <row r="24" spans="1:17" ht="14.25" customHeight="1" x14ac:dyDescent="0.2">
      <c r="A24" s="11" t="s">
        <v>31</v>
      </c>
      <c r="B24" s="9"/>
      <c r="C24" s="21">
        <f>GrossMargin!I25</f>
        <v>25794</v>
      </c>
      <c r="D24" s="251">
        <f>GrossMargin!M25</f>
        <v>12499</v>
      </c>
      <c r="E24" s="24">
        <f t="shared" si="6"/>
        <v>13295</v>
      </c>
      <c r="F24" s="23"/>
      <c r="G24" s="240">
        <f>Expenses!C25+Expenses!G25</f>
        <v>438</v>
      </c>
      <c r="H24" s="240">
        <f>Expenses!D25+Expenses!H25</f>
        <v>438</v>
      </c>
      <c r="I24" s="273">
        <f t="shared" si="7"/>
        <v>0</v>
      </c>
      <c r="J24" s="269"/>
      <c r="K24" s="240">
        <f>CapChrg!D25</f>
        <v>0</v>
      </c>
      <c r="L24" s="197">
        <f>CapChrg!E25</f>
        <v>0</v>
      </c>
      <c r="M24" s="198">
        <f t="shared" si="8"/>
        <v>0</v>
      </c>
      <c r="N24" s="203"/>
      <c r="O24" s="201">
        <f t="shared" si="9"/>
        <v>25356</v>
      </c>
      <c r="P24" s="202">
        <f t="shared" si="9"/>
        <v>12061</v>
      </c>
      <c r="Q24" s="198">
        <f t="shared" si="10"/>
        <v>13295</v>
      </c>
    </row>
    <row r="25" spans="1:17" ht="14.25" customHeight="1" x14ac:dyDescent="0.2">
      <c r="A25" s="11" t="s">
        <v>33</v>
      </c>
      <c r="B25" s="9"/>
      <c r="C25" s="21">
        <f>GrossMargin!I26</f>
        <v>0</v>
      </c>
      <c r="D25" s="251">
        <f>GrossMargin!M26</f>
        <v>0</v>
      </c>
      <c r="E25" s="24">
        <f t="shared" si="6"/>
        <v>0</v>
      </c>
      <c r="F25" s="23"/>
      <c r="G25" s="240">
        <f>Expenses!C26+Expenses!G26</f>
        <v>273</v>
      </c>
      <c r="H25" s="240">
        <f>Expenses!D26+Expenses!H26</f>
        <v>273</v>
      </c>
      <c r="I25" s="273">
        <f t="shared" si="7"/>
        <v>0</v>
      </c>
      <c r="J25" s="269"/>
      <c r="K25" s="240">
        <f>CapChrg!D26</f>
        <v>0</v>
      </c>
      <c r="L25" s="197">
        <f>CapChrg!E26</f>
        <v>0</v>
      </c>
      <c r="M25" s="198">
        <f t="shared" si="8"/>
        <v>0</v>
      </c>
      <c r="N25" s="203"/>
      <c r="O25" s="201">
        <f t="shared" si="9"/>
        <v>-273</v>
      </c>
      <c r="P25" s="202">
        <f t="shared" si="9"/>
        <v>-273</v>
      </c>
      <c r="Q25" s="198">
        <f t="shared" si="10"/>
        <v>0</v>
      </c>
    </row>
    <row r="26" spans="1:17" s="42" customFormat="1" ht="14.25" customHeight="1" x14ac:dyDescent="0.2">
      <c r="A26" s="25" t="s">
        <v>8</v>
      </c>
      <c r="B26" s="155"/>
      <c r="C26" s="26">
        <f>SUM(C20:C25)</f>
        <v>267889</v>
      </c>
      <c r="D26" s="27">
        <f>SUM(D20:D25)</f>
        <v>102998</v>
      </c>
      <c r="E26" s="28">
        <f>SUM(E20:E25)</f>
        <v>164891</v>
      </c>
      <c r="F26" s="156"/>
      <c r="G26" s="204">
        <f>SUM(G20:G25)</f>
        <v>7496</v>
      </c>
      <c r="H26" s="205">
        <f>SUM(H20:H25)</f>
        <v>7496</v>
      </c>
      <c r="I26" s="274">
        <f>G26-H26</f>
        <v>0</v>
      </c>
      <c r="J26" s="270"/>
      <c r="K26" s="205">
        <f>SUM(K20:K25)</f>
        <v>4250</v>
      </c>
      <c r="L26" s="205">
        <f>SUM(L20:L25)</f>
        <v>-1251</v>
      </c>
      <c r="M26" s="206">
        <f>SUM(M20:M25)</f>
        <v>5501</v>
      </c>
      <c r="N26" s="207"/>
      <c r="O26" s="204">
        <f>SUM(O20:O25)</f>
        <v>256143</v>
      </c>
      <c r="P26" s="205">
        <f>SUM(P20:P25)</f>
        <v>96753</v>
      </c>
      <c r="Q26" s="206">
        <f>SUM(Q20:Q25)</f>
        <v>159390</v>
      </c>
    </row>
    <row r="27" spans="1:17" ht="7.5" customHeight="1" x14ac:dyDescent="0.2">
      <c r="A27" s="11"/>
      <c r="B27" s="9"/>
      <c r="C27" s="21"/>
      <c r="D27" s="22"/>
      <c r="E27" s="24"/>
      <c r="F27" s="23"/>
      <c r="G27" s="201"/>
      <c r="H27" s="202"/>
      <c r="I27" s="275"/>
      <c r="J27" s="269"/>
      <c r="K27" s="202"/>
      <c r="L27" s="202"/>
      <c r="M27" s="198"/>
      <c r="N27" s="203"/>
      <c r="O27" s="201"/>
      <c r="P27" s="202"/>
      <c r="Q27" s="198"/>
    </row>
    <row r="28" spans="1:17" x14ac:dyDescent="0.2">
      <c r="A28" s="11" t="s">
        <v>34</v>
      </c>
      <c r="B28" s="9"/>
      <c r="C28" s="21">
        <f>GrossMargin!I29</f>
        <v>-400952</v>
      </c>
      <c r="D28" s="251">
        <f>GrossMargin!M29</f>
        <v>31500</v>
      </c>
      <c r="E28" s="24">
        <f t="shared" ref="E28:E36" si="11">-D28+C28</f>
        <v>-432452</v>
      </c>
      <c r="F28" s="23"/>
      <c r="G28" s="240" t="e">
        <f>Expenses!#REF!+Expenses!E29</f>
        <v>#REF!</v>
      </c>
      <c r="H28" s="240" t="e">
        <f>Expenses!#REF!+Expenses!F29</f>
        <v>#REF!</v>
      </c>
      <c r="I28" s="273" t="e">
        <f t="shared" ref="I28:I36" si="12">G28-H28</f>
        <v>#REF!</v>
      </c>
      <c r="J28" s="269"/>
      <c r="K28" s="240">
        <f>CapChrg!D29</f>
        <v>0</v>
      </c>
      <c r="L28" s="197">
        <f>CapChrg!E29</f>
        <v>0</v>
      </c>
      <c r="M28" s="198">
        <f t="shared" ref="M28:M36" si="13">K28-L28</f>
        <v>0</v>
      </c>
      <c r="N28" s="203"/>
      <c r="O28" s="201" t="e">
        <f t="shared" ref="O28:P36" si="14">C28-G28-K28</f>
        <v>#REF!</v>
      </c>
      <c r="P28" s="202" t="e">
        <f t="shared" si="14"/>
        <v>#REF!</v>
      </c>
      <c r="Q28" s="198" t="e">
        <f t="shared" ref="Q28:Q35" si="15">O28-P28</f>
        <v>#REF!</v>
      </c>
    </row>
    <row r="29" spans="1:17" x14ac:dyDescent="0.2">
      <c r="A29" s="11" t="s">
        <v>35</v>
      </c>
      <c r="B29" s="9"/>
      <c r="C29" s="21">
        <f>GrossMargin!I30</f>
        <v>74111</v>
      </c>
      <c r="D29" s="251">
        <f>GrossMargin!M30</f>
        <v>19250</v>
      </c>
      <c r="E29" s="24">
        <f t="shared" si="11"/>
        <v>54861</v>
      </c>
      <c r="F29" s="23"/>
      <c r="G29" s="240" t="e">
        <f>Expenses!#REF!+Expenses!E30</f>
        <v>#REF!</v>
      </c>
      <c r="H29" s="240" t="e">
        <f>Expenses!#REF!+Expenses!F30</f>
        <v>#REF!</v>
      </c>
      <c r="I29" s="273" t="e">
        <f t="shared" si="12"/>
        <v>#REF!</v>
      </c>
      <c r="J29" s="269"/>
      <c r="K29" s="240">
        <f>CapChrg!D30</f>
        <v>144</v>
      </c>
      <c r="L29" s="197">
        <f>CapChrg!E30</f>
        <v>226</v>
      </c>
      <c r="M29" s="198">
        <f t="shared" si="13"/>
        <v>-82</v>
      </c>
      <c r="N29" s="203"/>
      <c r="O29" s="201" t="e">
        <f t="shared" si="14"/>
        <v>#REF!</v>
      </c>
      <c r="P29" s="202" t="e">
        <f t="shared" si="14"/>
        <v>#REF!</v>
      </c>
      <c r="Q29" s="198" t="e">
        <f t="shared" si="15"/>
        <v>#REF!</v>
      </c>
    </row>
    <row r="30" spans="1:17" x14ac:dyDescent="0.2">
      <c r="A30" s="11" t="s">
        <v>36</v>
      </c>
      <c r="B30" s="9"/>
      <c r="C30" s="21">
        <f>GrossMargin!I31</f>
        <v>29513</v>
      </c>
      <c r="D30" s="251">
        <f>GrossMargin!M31</f>
        <v>21000</v>
      </c>
      <c r="E30" s="24">
        <f t="shared" si="11"/>
        <v>8513</v>
      </c>
      <c r="F30" s="23"/>
      <c r="G30" s="240" t="e">
        <f>Expenses!#REF!+Expenses!E31</f>
        <v>#REF!</v>
      </c>
      <c r="H30" s="240" t="e">
        <f>Expenses!#REF!+Expenses!F31</f>
        <v>#REF!</v>
      </c>
      <c r="I30" s="273" t="e">
        <f t="shared" si="12"/>
        <v>#REF!</v>
      </c>
      <c r="J30" s="269"/>
      <c r="K30" s="240">
        <f>CapChrg!D31</f>
        <v>1572</v>
      </c>
      <c r="L30" s="197">
        <f>CapChrg!E31</f>
        <v>-1364</v>
      </c>
      <c r="M30" s="198">
        <f t="shared" si="13"/>
        <v>2936</v>
      </c>
      <c r="N30" s="203"/>
      <c r="O30" s="201" t="e">
        <f t="shared" si="14"/>
        <v>#REF!</v>
      </c>
      <c r="P30" s="202" t="e">
        <f t="shared" si="14"/>
        <v>#REF!</v>
      </c>
      <c r="Q30" s="198" t="e">
        <f t="shared" si="15"/>
        <v>#REF!</v>
      </c>
    </row>
    <row r="31" spans="1:17" x14ac:dyDescent="0.2">
      <c r="A31" s="11" t="s">
        <v>37</v>
      </c>
      <c r="B31" s="9"/>
      <c r="C31" s="21">
        <f>GrossMargin!I32</f>
        <v>55410</v>
      </c>
      <c r="D31" s="251">
        <f>GrossMargin!M32</f>
        <v>10000</v>
      </c>
      <c r="E31" s="24">
        <f t="shared" si="11"/>
        <v>45410</v>
      </c>
      <c r="F31" s="23"/>
      <c r="G31" s="240" t="e">
        <f>Expenses!#REF!+Expenses!E32</f>
        <v>#REF!</v>
      </c>
      <c r="H31" s="240" t="e">
        <f>Expenses!#REF!+Expenses!F32</f>
        <v>#REF!</v>
      </c>
      <c r="I31" s="273" t="e">
        <f t="shared" si="12"/>
        <v>#REF!</v>
      </c>
      <c r="J31" s="269"/>
      <c r="K31" s="240">
        <f>CapChrg!D32</f>
        <v>0</v>
      </c>
      <c r="L31" s="197">
        <f>CapChrg!E32</f>
        <v>0</v>
      </c>
      <c r="M31" s="198">
        <f t="shared" si="13"/>
        <v>0</v>
      </c>
      <c r="N31" s="203"/>
      <c r="O31" s="201" t="e">
        <f t="shared" si="14"/>
        <v>#REF!</v>
      </c>
      <c r="P31" s="202" t="e">
        <f t="shared" si="14"/>
        <v>#REF!</v>
      </c>
      <c r="Q31" s="198" t="e">
        <f t="shared" si="15"/>
        <v>#REF!</v>
      </c>
    </row>
    <row r="32" spans="1:17" x14ac:dyDescent="0.2">
      <c r="A32" s="11" t="s">
        <v>38</v>
      </c>
      <c r="B32" s="9"/>
      <c r="C32" s="21">
        <f>GrossMargin!I33</f>
        <v>277939</v>
      </c>
      <c r="D32" s="251">
        <f>GrossMargin!M33</f>
        <v>31250</v>
      </c>
      <c r="E32" s="24">
        <f t="shared" si="11"/>
        <v>246689</v>
      </c>
      <c r="F32" s="23"/>
      <c r="G32" s="240" t="e">
        <f>Expenses!#REF!+Expenses!E33</f>
        <v>#REF!</v>
      </c>
      <c r="H32" s="240" t="e">
        <f>Expenses!#REF!+Expenses!F33</f>
        <v>#REF!</v>
      </c>
      <c r="I32" s="273" t="e">
        <f t="shared" si="12"/>
        <v>#REF!</v>
      </c>
      <c r="J32" s="269"/>
      <c r="K32" s="240">
        <f>CapChrg!D33</f>
        <v>0</v>
      </c>
      <c r="L32" s="197">
        <f>CapChrg!E33</f>
        <v>0</v>
      </c>
      <c r="M32" s="198">
        <f t="shared" si="13"/>
        <v>0</v>
      </c>
      <c r="N32" s="203"/>
      <c r="O32" s="201" t="e">
        <f t="shared" si="14"/>
        <v>#REF!</v>
      </c>
      <c r="P32" s="202" t="e">
        <f t="shared" si="14"/>
        <v>#REF!</v>
      </c>
      <c r="Q32" s="198" t="e">
        <f t="shared" si="15"/>
        <v>#REF!</v>
      </c>
    </row>
    <row r="33" spans="1:17" x14ac:dyDescent="0.2">
      <c r="A33" s="11" t="s">
        <v>39</v>
      </c>
      <c r="B33" s="9"/>
      <c r="C33" s="21">
        <f>GrossMargin!I34</f>
        <v>8818</v>
      </c>
      <c r="D33" s="251">
        <f>GrossMargin!M34</f>
        <v>6250</v>
      </c>
      <c r="E33" s="24">
        <f t="shared" si="11"/>
        <v>2568</v>
      </c>
      <c r="F33" s="23"/>
      <c r="G33" s="240" t="e">
        <f>Expenses!#REF!+Expenses!E34</f>
        <v>#REF!</v>
      </c>
      <c r="H33" s="240" t="e">
        <f>Expenses!#REF!+Expenses!F34</f>
        <v>#REF!</v>
      </c>
      <c r="I33" s="273" t="e">
        <f t="shared" si="12"/>
        <v>#REF!</v>
      </c>
      <c r="J33" s="269"/>
      <c r="K33" s="240">
        <f>CapChrg!D34</f>
        <v>0</v>
      </c>
      <c r="L33" s="197">
        <f>CapChrg!E34</f>
        <v>0</v>
      </c>
      <c r="M33" s="198">
        <f t="shared" si="13"/>
        <v>0</v>
      </c>
      <c r="N33" s="203"/>
      <c r="O33" s="201" t="e">
        <f t="shared" si="14"/>
        <v>#REF!</v>
      </c>
      <c r="P33" s="202" t="e">
        <f t="shared" si="14"/>
        <v>#REF!</v>
      </c>
      <c r="Q33" s="198" t="e">
        <f t="shared" si="15"/>
        <v>#REF!</v>
      </c>
    </row>
    <row r="34" spans="1:17" x14ac:dyDescent="0.2">
      <c r="A34" s="11" t="s">
        <v>40</v>
      </c>
      <c r="B34" s="9"/>
      <c r="C34" s="21">
        <f>GrossMargin!I35</f>
        <v>0</v>
      </c>
      <c r="D34" s="251">
        <f>GrossMargin!M35</f>
        <v>0</v>
      </c>
      <c r="E34" s="24">
        <f t="shared" si="11"/>
        <v>0</v>
      </c>
      <c r="F34" s="23"/>
      <c r="G34" s="240" t="e">
        <f>Expenses!#REF!+Expenses!E35</f>
        <v>#REF!</v>
      </c>
      <c r="H34" s="240" t="e">
        <f>Expenses!#REF!+Expenses!F35</f>
        <v>#REF!</v>
      </c>
      <c r="I34" s="273" t="e">
        <f t="shared" si="12"/>
        <v>#REF!</v>
      </c>
      <c r="J34" s="269"/>
      <c r="K34" s="240">
        <f>CapChrg!D35</f>
        <v>0</v>
      </c>
      <c r="L34" s="197">
        <f>CapChrg!E35</f>
        <v>0</v>
      </c>
      <c r="M34" s="198">
        <f t="shared" si="13"/>
        <v>0</v>
      </c>
      <c r="N34" s="203"/>
      <c r="O34" s="201" t="e">
        <f t="shared" si="14"/>
        <v>#REF!</v>
      </c>
      <c r="P34" s="202" t="e">
        <f t="shared" si="14"/>
        <v>#REF!</v>
      </c>
      <c r="Q34" s="198" t="e">
        <f t="shared" si="15"/>
        <v>#REF!</v>
      </c>
    </row>
    <row r="35" spans="1:17" x14ac:dyDescent="0.2">
      <c r="A35" s="11" t="s">
        <v>41</v>
      </c>
      <c r="B35" s="9"/>
      <c r="C35" s="21">
        <f>GrossMargin!I36</f>
        <v>0</v>
      </c>
      <c r="D35" s="251">
        <f>GrossMargin!M36</f>
        <v>0</v>
      </c>
      <c r="E35" s="24">
        <f t="shared" si="11"/>
        <v>0</v>
      </c>
      <c r="F35" s="23"/>
      <c r="G35" s="240" t="e">
        <f>Expenses!#REF!+Expenses!E36</f>
        <v>#REF!</v>
      </c>
      <c r="H35" s="240" t="e">
        <f>Expenses!#REF!+Expenses!F36</f>
        <v>#REF!</v>
      </c>
      <c r="I35" s="273" t="e">
        <f t="shared" si="12"/>
        <v>#REF!</v>
      </c>
      <c r="J35" s="269"/>
      <c r="K35" s="240">
        <f>CapChrg!D36</f>
        <v>0</v>
      </c>
      <c r="L35" s="197">
        <f>CapChrg!E36</f>
        <v>0</v>
      </c>
      <c r="M35" s="198">
        <f t="shared" si="13"/>
        <v>0</v>
      </c>
      <c r="N35" s="203"/>
      <c r="O35" s="201" t="e">
        <f t="shared" si="14"/>
        <v>#REF!</v>
      </c>
      <c r="P35" s="202" t="e">
        <f t="shared" si="14"/>
        <v>#REF!</v>
      </c>
      <c r="Q35" s="198" t="e">
        <f t="shared" si="15"/>
        <v>#REF!</v>
      </c>
    </row>
    <row r="36" spans="1:17" x14ac:dyDescent="0.2">
      <c r="A36" s="11" t="s">
        <v>101</v>
      </c>
      <c r="B36" s="9"/>
      <c r="C36" s="21">
        <f>GrossMargin!I37</f>
        <v>-200000</v>
      </c>
      <c r="D36" s="251">
        <f>GrossMargin!M37</f>
        <v>0</v>
      </c>
      <c r="E36" s="24">
        <f t="shared" si="11"/>
        <v>-200000</v>
      </c>
      <c r="F36" s="23"/>
      <c r="G36" s="240">
        <f>Expenses!C37+Expenses!G37</f>
        <v>0</v>
      </c>
      <c r="H36" s="240">
        <f>Expenses!D37+Expenses!H37</f>
        <v>0</v>
      </c>
      <c r="I36" s="273">
        <f t="shared" si="12"/>
        <v>0</v>
      </c>
      <c r="J36" s="269"/>
      <c r="K36" s="240">
        <f>CapChrg!D37</f>
        <v>0</v>
      </c>
      <c r="L36" s="197">
        <f>CapChrg!E37</f>
        <v>0</v>
      </c>
      <c r="M36" s="198">
        <f t="shared" si="13"/>
        <v>0</v>
      </c>
      <c r="N36" s="203"/>
      <c r="O36" s="201">
        <f t="shared" si="14"/>
        <v>-200000</v>
      </c>
      <c r="P36" s="202">
        <f t="shared" si="14"/>
        <v>0</v>
      </c>
      <c r="Q36" s="198">
        <f>O36-P36</f>
        <v>-200000</v>
      </c>
    </row>
    <row r="37" spans="1:17" s="42" customFormat="1" ht="13.2" x14ac:dyDescent="0.2">
      <c r="A37" s="25" t="s">
        <v>9</v>
      </c>
      <c r="B37" s="155"/>
      <c r="C37" s="26">
        <f>SUM(C28:C35)</f>
        <v>44839</v>
      </c>
      <c r="D37" s="27">
        <f>SUM(D28:D35)</f>
        <v>119250</v>
      </c>
      <c r="E37" s="28">
        <f>SUM(E28:E35)</f>
        <v>-74411</v>
      </c>
      <c r="F37" s="156"/>
      <c r="G37" s="204" t="e">
        <f>SUM(G28:G35)</f>
        <v>#REF!</v>
      </c>
      <c r="H37" s="205" t="e">
        <f>SUM(H28:H35)</f>
        <v>#REF!</v>
      </c>
      <c r="I37" s="274" t="e">
        <f>G37-H37</f>
        <v>#REF!</v>
      </c>
      <c r="J37" s="270"/>
      <c r="K37" s="205">
        <f>SUM(K28:K36)</f>
        <v>1716</v>
      </c>
      <c r="L37" s="205">
        <f>SUM(L28:L35)</f>
        <v>-1138</v>
      </c>
      <c r="M37" s="206">
        <f>SUM(M28:M35)</f>
        <v>2854</v>
      </c>
      <c r="N37" s="207"/>
      <c r="O37" s="204" t="e">
        <f>SUM(O28:O35)</f>
        <v>#REF!</v>
      </c>
      <c r="P37" s="205" t="e">
        <f>SUM(P28:P35)</f>
        <v>#REF!</v>
      </c>
      <c r="Q37" s="206" t="e">
        <f>SUM(Q28:Q35)</f>
        <v>#REF!</v>
      </c>
    </row>
    <row r="38" spans="1:17" ht="8.25" customHeight="1" x14ac:dyDescent="0.2">
      <c r="A38" s="11"/>
      <c r="B38" s="9"/>
      <c r="C38" s="21"/>
      <c r="D38" s="22"/>
      <c r="E38" s="24"/>
      <c r="F38" s="23"/>
      <c r="G38" s="201"/>
      <c r="H38" s="202"/>
      <c r="I38" s="275"/>
      <c r="J38" s="269"/>
      <c r="K38" s="202"/>
      <c r="L38" s="202"/>
      <c r="M38" s="198"/>
      <c r="N38" s="203"/>
      <c r="O38" s="201"/>
      <c r="P38" s="202"/>
      <c r="Q38" s="198"/>
    </row>
    <row r="39" spans="1:17" ht="13.5" customHeight="1" x14ac:dyDescent="0.2">
      <c r="A39" s="11" t="s">
        <v>42</v>
      </c>
      <c r="B39" s="9"/>
      <c r="C39" s="21">
        <f>GrossMargin!I40</f>
        <v>-27507</v>
      </c>
      <c r="D39" s="251">
        <f>GrossMargin!M40</f>
        <v>12500</v>
      </c>
      <c r="E39" s="24">
        <f t="shared" ref="E39:E44" si="16">-D39+C39</f>
        <v>-40007</v>
      </c>
      <c r="F39" s="23"/>
      <c r="G39" s="240">
        <f>Expenses!C40+Expenses!G40</f>
        <v>1217</v>
      </c>
      <c r="H39" s="240">
        <f>Expenses!D40+Expenses!H40</f>
        <v>1217</v>
      </c>
      <c r="I39" s="275">
        <f t="shared" ref="I39:I45" si="17">G39-H39</f>
        <v>0</v>
      </c>
      <c r="J39" s="269"/>
      <c r="K39" s="240">
        <f>CapChrg!D40</f>
        <v>99</v>
      </c>
      <c r="L39" s="202">
        <f>CapChrg!E40</f>
        <v>-67</v>
      </c>
      <c r="M39" s="198">
        <f t="shared" ref="M39:M44" si="18">K39-L39</f>
        <v>166</v>
      </c>
      <c r="N39" s="203"/>
      <c r="O39" s="201">
        <f t="shared" ref="O39:O44" si="19">C39-G39-K39</f>
        <v>-28823</v>
      </c>
      <c r="P39" s="202">
        <f t="shared" ref="P39:P44" si="20">D39-H39-L39</f>
        <v>11350</v>
      </c>
      <c r="Q39" s="198">
        <f t="shared" ref="Q39:Q44" si="21">O39-P39</f>
        <v>-40173</v>
      </c>
    </row>
    <row r="40" spans="1:17" ht="13.5" customHeight="1" x14ac:dyDescent="0.2">
      <c r="A40" s="11" t="s">
        <v>43</v>
      </c>
      <c r="B40" s="9"/>
      <c r="C40" s="21">
        <f>GrossMargin!I41</f>
        <v>3226</v>
      </c>
      <c r="D40" s="251">
        <f>GrossMargin!M41</f>
        <v>5000</v>
      </c>
      <c r="E40" s="24">
        <f t="shared" si="16"/>
        <v>-1774</v>
      </c>
      <c r="F40" s="23"/>
      <c r="G40" s="240">
        <f>Expenses!C41+Expenses!G41</f>
        <v>423</v>
      </c>
      <c r="H40" s="240">
        <f>Expenses!D41+Expenses!H41</f>
        <v>423</v>
      </c>
      <c r="I40" s="275">
        <f t="shared" si="17"/>
        <v>0</v>
      </c>
      <c r="J40" s="269"/>
      <c r="K40" s="240">
        <f>CapChrg!D41</f>
        <v>304</v>
      </c>
      <c r="L40" s="202">
        <f>CapChrg!E41</f>
        <v>1141</v>
      </c>
      <c r="M40" s="198">
        <f t="shared" si="18"/>
        <v>-837</v>
      </c>
      <c r="N40" s="203"/>
      <c r="O40" s="201">
        <f t="shared" si="19"/>
        <v>2499</v>
      </c>
      <c r="P40" s="202">
        <f t="shared" si="20"/>
        <v>3436</v>
      </c>
      <c r="Q40" s="198">
        <f t="shared" si="21"/>
        <v>-937</v>
      </c>
    </row>
    <row r="41" spans="1:17" ht="13.5" customHeight="1" x14ac:dyDescent="0.2">
      <c r="A41" s="11" t="s">
        <v>65</v>
      </c>
      <c r="B41" s="9"/>
      <c r="C41" s="21">
        <f>GrossMargin!I42</f>
        <v>-33757</v>
      </c>
      <c r="D41" s="251">
        <f>GrossMargin!M42</f>
        <v>38750</v>
      </c>
      <c r="E41" s="24">
        <f t="shared" si="16"/>
        <v>-72507</v>
      </c>
      <c r="F41" s="23"/>
      <c r="G41" s="240">
        <f>Expenses!C42+Expenses!G42</f>
        <v>574</v>
      </c>
      <c r="H41" s="240">
        <f>Expenses!D42+Expenses!H42</f>
        <v>574</v>
      </c>
      <c r="I41" s="275">
        <f t="shared" si="17"/>
        <v>0</v>
      </c>
      <c r="J41" s="269"/>
      <c r="K41" s="240">
        <f>CapChrg!D42</f>
        <v>0</v>
      </c>
      <c r="L41" s="202">
        <f>CapChrg!E42</f>
        <v>0</v>
      </c>
      <c r="M41" s="198">
        <f t="shared" si="18"/>
        <v>0</v>
      </c>
      <c r="N41" s="203"/>
      <c r="O41" s="201">
        <f t="shared" si="19"/>
        <v>-34331</v>
      </c>
      <c r="P41" s="202">
        <f t="shared" si="20"/>
        <v>38176</v>
      </c>
      <c r="Q41" s="198">
        <f t="shared" si="21"/>
        <v>-72507</v>
      </c>
    </row>
    <row r="42" spans="1:17" ht="13.5" customHeight="1" x14ac:dyDescent="0.2">
      <c r="A42" s="11" t="s">
        <v>66</v>
      </c>
      <c r="B42" s="9"/>
      <c r="C42" s="21">
        <f>GrossMargin!I43</f>
        <v>500</v>
      </c>
      <c r="D42" s="251">
        <f>GrossMargin!M43</f>
        <v>12500</v>
      </c>
      <c r="E42" s="24">
        <f t="shared" si="16"/>
        <v>-12000</v>
      </c>
      <c r="F42" s="23"/>
      <c r="G42" s="240">
        <f>Expenses!C43+Expenses!G43</f>
        <v>1155</v>
      </c>
      <c r="H42" s="240">
        <f>Expenses!D43+Expenses!H43</f>
        <v>1155</v>
      </c>
      <c r="I42" s="275">
        <f t="shared" si="17"/>
        <v>0</v>
      </c>
      <c r="J42" s="269"/>
      <c r="K42" s="240">
        <f>CapChrg!D43</f>
        <v>447</v>
      </c>
      <c r="L42" s="202">
        <f>CapChrg!E43</f>
        <v>-447</v>
      </c>
      <c r="M42" s="198">
        <f t="shared" si="18"/>
        <v>894</v>
      </c>
      <c r="N42" s="203"/>
      <c r="O42" s="201">
        <f t="shared" si="19"/>
        <v>-1102</v>
      </c>
      <c r="P42" s="202">
        <f t="shared" si="20"/>
        <v>11792</v>
      </c>
      <c r="Q42" s="198">
        <f t="shared" si="21"/>
        <v>-12894</v>
      </c>
    </row>
    <row r="43" spans="1:17" x14ac:dyDescent="0.2">
      <c r="A43" s="11" t="s">
        <v>44</v>
      </c>
      <c r="B43" s="9"/>
      <c r="C43" s="21">
        <f>GrossMargin!I44</f>
        <v>0</v>
      </c>
      <c r="D43" s="251">
        <f>GrossMargin!M44</f>
        <v>2500</v>
      </c>
      <c r="E43" s="24">
        <f t="shared" si="16"/>
        <v>-2500</v>
      </c>
      <c r="F43" s="23"/>
      <c r="G43" s="240">
        <f>Expenses!C44+Expenses!G44</f>
        <v>212</v>
      </c>
      <c r="H43" s="240">
        <f>Expenses!D44+Expenses!H44</f>
        <v>212</v>
      </c>
      <c r="I43" s="275">
        <f t="shared" si="17"/>
        <v>0</v>
      </c>
      <c r="J43" s="269"/>
      <c r="K43" s="240">
        <f>CapChrg!D44</f>
        <v>0</v>
      </c>
      <c r="L43" s="202">
        <f>CapChrg!E44</f>
        <v>0</v>
      </c>
      <c r="M43" s="198">
        <f t="shared" si="18"/>
        <v>0</v>
      </c>
      <c r="N43" s="203"/>
      <c r="O43" s="201">
        <f t="shared" si="19"/>
        <v>-212</v>
      </c>
      <c r="P43" s="202">
        <f t="shared" si="20"/>
        <v>2288</v>
      </c>
      <c r="Q43" s="198">
        <f t="shared" si="21"/>
        <v>-2500</v>
      </c>
    </row>
    <row r="44" spans="1:17" x14ac:dyDescent="0.2">
      <c r="A44" s="11" t="s">
        <v>45</v>
      </c>
      <c r="B44" s="9"/>
      <c r="C44" s="21">
        <f>GrossMargin!I45</f>
        <v>0</v>
      </c>
      <c r="D44" s="251">
        <f>GrossMargin!M45</f>
        <v>0</v>
      </c>
      <c r="E44" s="24">
        <f t="shared" si="16"/>
        <v>0</v>
      </c>
      <c r="F44" s="23"/>
      <c r="G44" s="240">
        <f>Expenses!C45+Expenses!G45</f>
        <v>1102</v>
      </c>
      <c r="H44" s="240">
        <f>Expenses!D45+Expenses!H45</f>
        <v>1102</v>
      </c>
      <c r="I44" s="275">
        <f t="shared" si="17"/>
        <v>0</v>
      </c>
      <c r="J44" s="269"/>
      <c r="K44" s="240">
        <f>CapChrg!D45</f>
        <v>0</v>
      </c>
      <c r="L44" s="202">
        <f>CapChrg!E45</f>
        <v>0</v>
      </c>
      <c r="M44" s="198">
        <f t="shared" si="18"/>
        <v>0</v>
      </c>
      <c r="N44" s="203"/>
      <c r="O44" s="201">
        <f t="shared" si="19"/>
        <v>-1102</v>
      </c>
      <c r="P44" s="202">
        <f t="shared" si="20"/>
        <v>-1102</v>
      </c>
      <c r="Q44" s="198">
        <f t="shared" si="21"/>
        <v>0</v>
      </c>
    </row>
    <row r="45" spans="1:17" s="42" customFormat="1" ht="12" customHeight="1" x14ac:dyDescent="0.2">
      <c r="A45" s="25" t="s">
        <v>10</v>
      </c>
      <c r="B45" s="155"/>
      <c r="C45" s="26">
        <f>SUM(C39:C44)</f>
        <v>-57538</v>
      </c>
      <c r="D45" s="27">
        <f>SUM(D39:D44)</f>
        <v>71250</v>
      </c>
      <c r="E45" s="28">
        <f>SUM(E39:E44)</f>
        <v>-128788</v>
      </c>
      <c r="F45" s="156"/>
      <c r="G45" s="204">
        <f>SUM(G39:G44)</f>
        <v>4683</v>
      </c>
      <c r="H45" s="205">
        <f>SUM(H39:H44)</f>
        <v>4683</v>
      </c>
      <c r="I45" s="274">
        <f t="shared" si="17"/>
        <v>0</v>
      </c>
      <c r="J45" s="270"/>
      <c r="K45" s="205">
        <f>SUM(K39:K44)</f>
        <v>850</v>
      </c>
      <c r="L45" s="205">
        <f>SUM(L39:L44)</f>
        <v>627</v>
      </c>
      <c r="M45" s="206">
        <f>SUM(M39:M44)</f>
        <v>223</v>
      </c>
      <c r="N45" s="207"/>
      <c r="O45" s="204">
        <f>SUM(O39:O44)</f>
        <v>-63071</v>
      </c>
      <c r="P45" s="205">
        <f>SUM(P39:P44)</f>
        <v>65940</v>
      </c>
      <c r="Q45" s="206">
        <f>SUM(Q39:Q44)</f>
        <v>-129011</v>
      </c>
    </row>
    <row r="46" spans="1:17" ht="8.25" customHeight="1" x14ac:dyDescent="0.2">
      <c r="A46" s="11"/>
      <c r="B46" s="9"/>
      <c r="C46" s="21"/>
      <c r="D46" s="22"/>
      <c r="E46" s="24"/>
      <c r="F46" s="23"/>
      <c r="G46" s="201"/>
      <c r="H46" s="202"/>
      <c r="I46" s="275"/>
      <c r="J46" s="269"/>
      <c r="K46" s="202"/>
      <c r="L46" s="202"/>
      <c r="M46" s="198"/>
      <c r="N46" s="203"/>
      <c r="O46" s="201"/>
      <c r="P46" s="202"/>
      <c r="Q46" s="198"/>
    </row>
    <row r="47" spans="1:17" x14ac:dyDescent="0.2">
      <c r="A47" s="11" t="s">
        <v>74</v>
      </c>
      <c r="B47" s="9"/>
      <c r="C47" s="21">
        <f>GrossMargin!I49</f>
        <v>6071</v>
      </c>
      <c r="D47" s="251">
        <f>GrossMargin!M49</f>
        <v>0</v>
      </c>
      <c r="E47" s="24">
        <f t="shared" ref="E47:E66" si="22">-D47+C47</f>
        <v>6071</v>
      </c>
      <c r="F47" s="23"/>
      <c r="G47" s="240">
        <f>Expenses!C48+Expenses!G48</f>
        <v>178</v>
      </c>
      <c r="H47" s="240">
        <f>Expenses!D48+Expenses!H48</f>
        <v>221</v>
      </c>
      <c r="I47" s="275">
        <f>G47-H47</f>
        <v>-43</v>
      </c>
      <c r="J47" s="269"/>
      <c r="K47" s="240">
        <f>CapChrg!D48</f>
        <v>0</v>
      </c>
      <c r="L47" s="197">
        <f>CapChrg!E48</f>
        <v>0</v>
      </c>
      <c r="M47" s="198">
        <f t="shared" ref="M47:M66" si="23">K47-L47</f>
        <v>0</v>
      </c>
      <c r="N47" s="203"/>
      <c r="O47" s="201">
        <f t="shared" ref="O47:O66" si="24">C47-G47-K47</f>
        <v>5893</v>
      </c>
      <c r="P47" s="202">
        <f t="shared" ref="P47:P66" si="25">D47-H47-L47</f>
        <v>-221</v>
      </c>
      <c r="Q47" s="198">
        <f t="shared" ref="Q47:Q66" si="26">O47-P47</f>
        <v>6114</v>
      </c>
    </row>
    <row r="48" spans="1:17" x14ac:dyDescent="0.2">
      <c r="A48" s="11" t="s">
        <v>102</v>
      </c>
      <c r="B48" s="9"/>
      <c r="C48" s="21">
        <f>GrossMargin!I50</f>
        <v>4001</v>
      </c>
      <c r="D48" s="251">
        <f>GrossMargin!M50</f>
        <v>4334</v>
      </c>
      <c r="E48" s="24">
        <f t="shared" si="22"/>
        <v>-333</v>
      </c>
      <c r="F48" s="23"/>
      <c r="G48" s="240">
        <f>Expenses!C49+Expenses!G49</f>
        <v>1237</v>
      </c>
      <c r="H48" s="240">
        <f>Expenses!D49+Expenses!H49</f>
        <v>767</v>
      </c>
      <c r="I48" s="275">
        <f t="shared" ref="I48:I66" si="27">G48-H48</f>
        <v>470</v>
      </c>
      <c r="J48" s="269"/>
      <c r="K48" s="240">
        <f>CapChrg!D49</f>
        <v>0</v>
      </c>
      <c r="L48" s="197">
        <f>CapChrg!E49</f>
        <v>0</v>
      </c>
      <c r="M48" s="198">
        <f t="shared" si="23"/>
        <v>0</v>
      </c>
      <c r="N48" s="203"/>
      <c r="O48" s="201">
        <f t="shared" si="24"/>
        <v>2764</v>
      </c>
      <c r="P48" s="202">
        <f t="shared" si="25"/>
        <v>3567</v>
      </c>
      <c r="Q48" s="198">
        <f t="shared" si="26"/>
        <v>-803</v>
      </c>
    </row>
    <row r="49" spans="1:17" x14ac:dyDescent="0.2">
      <c r="A49" s="11" t="s">
        <v>103</v>
      </c>
      <c r="B49" s="9"/>
      <c r="C49" s="21">
        <f>GrossMargin!I51</f>
        <v>1310</v>
      </c>
      <c r="D49" s="251">
        <f>GrossMargin!M51</f>
        <v>6181</v>
      </c>
      <c r="E49" s="24">
        <f t="shared" si="22"/>
        <v>-4871</v>
      </c>
      <c r="F49" s="23"/>
      <c r="G49" s="240">
        <f>Expenses!C50+Expenses!G50</f>
        <v>1166</v>
      </c>
      <c r="H49" s="240">
        <f>Expenses!D50+Expenses!H50</f>
        <v>1484</v>
      </c>
      <c r="I49" s="275">
        <f t="shared" si="27"/>
        <v>-318</v>
      </c>
      <c r="J49" s="269"/>
      <c r="K49" s="240">
        <f>CapChrg!D50</f>
        <v>653</v>
      </c>
      <c r="L49" s="197">
        <f>CapChrg!E50</f>
        <v>-724</v>
      </c>
      <c r="M49" s="198">
        <f t="shared" si="23"/>
        <v>1377</v>
      </c>
      <c r="N49" s="203"/>
      <c r="O49" s="201">
        <f t="shared" si="24"/>
        <v>-509</v>
      </c>
      <c r="P49" s="202">
        <f t="shared" si="25"/>
        <v>5421</v>
      </c>
      <c r="Q49" s="198">
        <f t="shared" si="26"/>
        <v>-5930</v>
      </c>
    </row>
    <row r="50" spans="1:17" x14ac:dyDescent="0.2">
      <c r="A50" s="11" t="s">
        <v>104</v>
      </c>
      <c r="B50" s="9"/>
      <c r="C50" s="21">
        <f>GrossMargin!I52</f>
        <v>375</v>
      </c>
      <c r="D50" s="251">
        <f>GrossMargin!M52</f>
        <v>2000</v>
      </c>
      <c r="E50" s="24">
        <f t="shared" si="22"/>
        <v>-1625</v>
      </c>
      <c r="F50" s="23"/>
      <c r="G50" s="240">
        <f>Expenses!C51+Expenses!G51</f>
        <v>271</v>
      </c>
      <c r="H50" s="240">
        <f>Expenses!D51+Expenses!H51</f>
        <v>265</v>
      </c>
      <c r="I50" s="275">
        <f t="shared" si="27"/>
        <v>6</v>
      </c>
      <c r="J50" s="269"/>
      <c r="K50" s="240">
        <f>CapChrg!D51</f>
        <v>0</v>
      </c>
      <c r="L50" s="197">
        <f>CapChrg!E51</f>
        <v>0</v>
      </c>
      <c r="M50" s="198">
        <f t="shared" si="23"/>
        <v>0</v>
      </c>
      <c r="N50" s="203"/>
      <c r="O50" s="201">
        <f t="shared" si="24"/>
        <v>104</v>
      </c>
      <c r="P50" s="202">
        <f t="shared" si="25"/>
        <v>1735</v>
      </c>
      <c r="Q50" s="198">
        <f t="shared" si="26"/>
        <v>-1631</v>
      </c>
    </row>
    <row r="51" spans="1:17" x14ac:dyDescent="0.2">
      <c r="A51" s="11" t="s">
        <v>105</v>
      </c>
      <c r="B51" s="9"/>
      <c r="C51" s="21">
        <f>GrossMargin!I53</f>
        <v>1193</v>
      </c>
      <c r="D51" s="251">
        <f>GrossMargin!M53</f>
        <v>1000</v>
      </c>
      <c r="E51" s="24">
        <f t="shared" si="22"/>
        <v>193</v>
      </c>
      <c r="F51" s="23"/>
      <c r="G51" s="240">
        <f>Expenses!C52+Expenses!G52</f>
        <v>186</v>
      </c>
      <c r="H51" s="240">
        <f>Expenses!D52+Expenses!H52</f>
        <v>186</v>
      </c>
      <c r="I51" s="275">
        <f t="shared" si="27"/>
        <v>0</v>
      </c>
      <c r="J51" s="269"/>
      <c r="K51" s="240">
        <f>CapChrg!D52</f>
        <v>0</v>
      </c>
      <c r="L51" s="197">
        <f>CapChrg!E52</f>
        <v>0</v>
      </c>
      <c r="M51" s="198">
        <f t="shared" si="23"/>
        <v>0</v>
      </c>
      <c r="N51" s="203"/>
      <c r="O51" s="201">
        <f t="shared" si="24"/>
        <v>1007</v>
      </c>
      <c r="P51" s="202">
        <f t="shared" si="25"/>
        <v>814</v>
      </c>
      <c r="Q51" s="198">
        <f t="shared" si="26"/>
        <v>193</v>
      </c>
    </row>
    <row r="52" spans="1:17" x14ac:dyDescent="0.2">
      <c r="A52" s="11" t="s">
        <v>106</v>
      </c>
      <c r="B52" s="9"/>
      <c r="C52" s="21">
        <f>GrossMargin!I54</f>
        <v>-110</v>
      </c>
      <c r="D52" s="251">
        <f>GrossMargin!M54</f>
        <v>500</v>
      </c>
      <c r="E52" s="24">
        <f t="shared" si="22"/>
        <v>-610</v>
      </c>
      <c r="F52" s="23"/>
      <c r="G52" s="240">
        <f>Expenses!C53+Expenses!G53</f>
        <v>96</v>
      </c>
      <c r="H52" s="240">
        <f>Expenses!D53+Expenses!H53</f>
        <v>144</v>
      </c>
      <c r="I52" s="275">
        <f t="shared" si="27"/>
        <v>-48</v>
      </c>
      <c r="J52" s="269"/>
      <c r="K52" s="240">
        <f>CapChrg!D53</f>
        <v>0</v>
      </c>
      <c r="L52" s="197">
        <f>CapChrg!E53</f>
        <v>0</v>
      </c>
      <c r="M52" s="198">
        <f t="shared" si="23"/>
        <v>0</v>
      </c>
      <c r="N52" s="203"/>
      <c r="O52" s="201">
        <f t="shared" si="24"/>
        <v>-206</v>
      </c>
      <c r="P52" s="202">
        <f t="shared" si="25"/>
        <v>356</v>
      </c>
      <c r="Q52" s="198">
        <f t="shared" si="26"/>
        <v>-562</v>
      </c>
    </row>
    <row r="53" spans="1:17" x14ac:dyDescent="0.2">
      <c r="A53" s="11" t="s">
        <v>69</v>
      </c>
      <c r="B53" s="9"/>
      <c r="C53" s="21">
        <f>GrossMargin!I55</f>
        <v>2084</v>
      </c>
      <c r="D53" s="251">
        <f>GrossMargin!M55</f>
        <v>2909</v>
      </c>
      <c r="E53" s="24">
        <f t="shared" si="22"/>
        <v>-825</v>
      </c>
      <c r="F53" s="23"/>
      <c r="G53" s="240">
        <f>Expenses!C54+Expenses!G54</f>
        <v>0</v>
      </c>
      <c r="H53" s="240">
        <f>Expenses!D54+Expenses!H54</f>
        <v>0</v>
      </c>
      <c r="I53" s="275">
        <f t="shared" si="27"/>
        <v>0</v>
      </c>
      <c r="J53" s="269"/>
      <c r="K53" s="240">
        <f>CapChrg!D54</f>
        <v>6282</v>
      </c>
      <c r="L53" s="197">
        <f>CapChrg!E54</f>
        <v>1583</v>
      </c>
      <c r="M53" s="198">
        <f t="shared" si="23"/>
        <v>4699</v>
      </c>
      <c r="N53" s="203"/>
      <c r="O53" s="201">
        <f t="shared" si="24"/>
        <v>-4198</v>
      </c>
      <c r="P53" s="202">
        <f t="shared" si="25"/>
        <v>1326</v>
      </c>
      <c r="Q53" s="198">
        <f t="shared" si="26"/>
        <v>-5524</v>
      </c>
    </row>
    <row r="54" spans="1:17" x14ac:dyDescent="0.2">
      <c r="A54" s="11" t="s">
        <v>68</v>
      </c>
      <c r="B54" s="9"/>
      <c r="C54" s="21">
        <f>GrossMargin!I56</f>
        <v>9474</v>
      </c>
      <c r="D54" s="251">
        <f>GrossMargin!M56</f>
        <v>9445</v>
      </c>
      <c r="E54" s="24">
        <f t="shared" si="22"/>
        <v>29</v>
      </c>
      <c r="F54" s="23"/>
      <c r="G54" s="240">
        <f>Expenses!C55+Expenses!G55</f>
        <v>69814</v>
      </c>
      <c r="H54" s="240">
        <f>Expenses!D55+Expenses!H55</f>
        <v>63228</v>
      </c>
      <c r="I54" s="275">
        <f t="shared" si="27"/>
        <v>6586</v>
      </c>
      <c r="J54" s="269"/>
      <c r="K54" s="240">
        <f>CapChrg!D55</f>
        <v>0</v>
      </c>
      <c r="L54" s="197">
        <f>CapChrg!E55</f>
        <v>0</v>
      </c>
      <c r="M54" s="198">
        <f t="shared" si="23"/>
        <v>0</v>
      </c>
      <c r="N54" s="203"/>
      <c r="O54" s="201">
        <f t="shared" si="24"/>
        <v>-60340</v>
      </c>
      <c r="P54" s="202">
        <f t="shared" si="25"/>
        <v>-53783</v>
      </c>
      <c r="Q54" s="198">
        <f t="shared" si="26"/>
        <v>-6557</v>
      </c>
    </row>
    <row r="55" spans="1:17" x14ac:dyDescent="0.2">
      <c r="A55" s="11" t="s">
        <v>67</v>
      </c>
      <c r="B55" s="9"/>
      <c r="C55" s="21">
        <f>GrossMargin!I57</f>
        <v>0</v>
      </c>
      <c r="D55" s="251">
        <f>GrossMargin!M57</f>
        <v>0</v>
      </c>
      <c r="E55" s="24">
        <f t="shared" si="22"/>
        <v>0</v>
      </c>
      <c r="F55" s="23"/>
      <c r="G55" s="240">
        <f>Expenses!C56+Expenses!G56</f>
        <v>273</v>
      </c>
      <c r="H55" s="240">
        <f>Expenses!D56+Expenses!H56</f>
        <v>294</v>
      </c>
      <c r="I55" s="275">
        <f t="shared" si="27"/>
        <v>-21</v>
      </c>
      <c r="J55" s="269"/>
      <c r="K55" s="240">
        <f>CapChrg!D56</f>
        <v>0</v>
      </c>
      <c r="L55" s="197">
        <f>CapChrg!E56</f>
        <v>0</v>
      </c>
      <c r="M55" s="198">
        <f t="shared" si="23"/>
        <v>0</v>
      </c>
      <c r="N55" s="203"/>
      <c r="O55" s="201">
        <f t="shared" si="24"/>
        <v>-273</v>
      </c>
      <c r="P55" s="202">
        <f t="shared" si="25"/>
        <v>-294</v>
      </c>
      <c r="Q55" s="198">
        <f t="shared" si="26"/>
        <v>21</v>
      </c>
    </row>
    <row r="56" spans="1:17" x14ac:dyDescent="0.2">
      <c r="A56" s="11" t="s">
        <v>46</v>
      </c>
      <c r="B56" s="9"/>
      <c r="C56" s="21">
        <f>GrossMargin!I58</f>
        <v>1527</v>
      </c>
      <c r="D56" s="251">
        <f>GrossMargin!M58</f>
        <v>15000</v>
      </c>
      <c r="E56" s="24">
        <f t="shared" si="22"/>
        <v>-13473</v>
      </c>
      <c r="F56" s="23"/>
      <c r="G56" s="240">
        <f>Expenses!C57+Expenses!G57</f>
        <v>1416</v>
      </c>
      <c r="H56" s="240">
        <f>Expenses!D57+Expenses!H57</f>
        <v>1416</v>
      </c>
      <c r="I56" s="275">
        <f t="shared" si="27"/>
        <v>0</v>
      </c>
      <c r="J56" s="269"/>
      <c r="K56" s="240">
        <f>CapChrg!D57</f>
        <v>0</v>
      </c>
      <c r="L56" s="197">
        <f>CapChrg!E57</f>
        <v>41</v>
      </c>
      <c r="M56" s="198">
        <f t="shared" si="23"/>
        <v>-41</v>
      </c>
      <c r="N56" s="203"/>
      <c r="O56" s="201">
        <f t="shared" si="24"/>
        <v>111</v>
      </c>
      <c r="P56" s="202">
        <f t="shared" si="25"/>
        <v>13543</v>
      </c>
      <c r="Q56" s="198">
        <f t="shared" si="26"/>
        <v>-13432</v>
      </c>
    </row>
    <row r="57" spans="1:17" ht="12" customHeight="1" x14ac:dyDescent="0.2">
      <c r="A57" s="11" t="s">
        <v>47</v>
      </c>
      <c r="B57" s="9"/>
      <c r="C57" s="21">
        <f>GrossMargin!I59</f>
        <v>-69</v>
      </c>
      <c r="D57" s="251">
        <f>GrossMargin!M59</f>
        <v>20000</v>
      </c>
      <c r="E57" s="24">
        <f t="shared" si="22"/>
        <v>-20069</v>
      </c>
      <c r="F57" s="23"/>
      <c r="G57" s="240">
        <f>Expenses!C58+Expenses!G58</f>
        <v>1737</v>
      </c>
      <c r="H57" s="240">
        <f>Expenses!D58+Expenses!H58</f>
        <v>1770</v>
      </c>
      <c r="I57" s="275">
        <f t="shared" si="27"/>
        <v>-33</v>
      </c>
      <c r="J57" s="269"/>
      <c r="K57" s="240">
        <f>CapChrg!D58</f>
        <v>15946</v>
      </c>
      <c r="L57" s="197">
        <f>CapChrg!E58</f>
        <v>6731</v>
      </c>
      <c r="M57" s="198">
        <f t="shared" si="23"/>
        <v>9215</v>
      </c>
      <c r="N57" s="203"/>
      <c r="O57" s="201">
        <f t="shared" si="24"/>
        <v>-17752</v>
      </c>
      <c r="P57" s="202">
        <f t="shared" si="25"/>
        <v>11499</v>
      </c>
      <c r="Q57" s="198">
        <f t="shared" si="26"/>
        <v>-29251</v>
      </c>
    </row>
    <row r="58" spans="1:17" ht="12" customHeight="1" x14ac:dyDescent="0.2">
      <c r="A58" s="11" t="s">
        <v>48</v>
      </c>
      <c r="B58" s="9"/>
      <c r="C58" s="21">
        <f>GrossMargin!I60</f>
        <v>-1850</v>
      </c>
      <c r="D58" s="251">
        <f>GrossMargin!M60</f>
        <v>15781</v>
      </c>
      <c r="E58" s="24">
        <f t="shared" si="22"/>
        <v>-17631</v>
      </c>
      <c r="F58" s="23"/>
      <c r="G58" s="240">
        <f>Expenses!C59+Expenses!G59</f>
        <v>829</v>
      </c>
      <c r="H58" s="240">
        <f>Expenses!D59+Expenses!H59</f>
        <v>891</v>
      </c>
      <c r="I58" s="275">
        <f t="shared" si="27"/>
        <v>-62</v>
      </c>
      <c r="J58" s="269"/>
      <c r="K58" s="240">
        <f>CapChrg!D59</f>
        <v>7109</v>
      </c>
      <c r="L58" s="197">
        <f>CapChrg!E59</f>
        <v>-2335</v>
      </c>
      <c r="M58" s="198">
        <f t="shared" si="23"/>
        <v>9444</v>
      </c>
      <c r="N58" s="203"/>
      <c r="O58" s="201">
        <f t="shared" si="24"/>
        <v>-9788</v>
      </c>
      <c r="P58" s="202">
        <f t="shared" si="25"/>
        <v>17225</v>
      </c>
      <c r="Q58" s="198">
        <f t="shared" si="26"/>
        <v>-27013</v>
      </c>
    </row>
    <row r="59" spans="1:17" ht="12" customHeight="1" x14ac:dyDescent="0.2">
      <c r="A59" s="11" t="s">
        <v>63</v>
      </c>
      <c r="B59" s="9"/>
      <c r="C59" s="21">
        <f>GrossMargin!I61</f>
        <v>7087</v>
      </c>
      <c r="D59" s="251">
        <f>GrossMargin!M61</f>
        <v>7150</v>
      </c>
      <c r="E59" s="24">
        <f t="shared" si="22"/>
        <v>-63</v>
      </c>
      <c r="F59" s="23"/>
      <c r="G59" s="240">
        <f>Expenses!C60+Expenses!G60</f>
        <v>1786</v>
      </c>
      <c r="H59" s="240">
        <f>Expenses!D60+Expenses!H60</f>
        <v>2254</v>
      </c>
      <c r="I59" s="275">
        <f t="shared" si="27"/>
        <v>-468</v>
      </c>
      <c r="J59" s="269"/>
      <c r="K59" s="240">
        <f>CapChrg!D60</f>
        <v>17615</v>
      </c>
      <c r="L59" s="197">
        <f>CapChrg!E60</f>
        <v>7143</v>
      </c>
      <c r="M59" s="198">
        <f t="shared" si="23"/>
        <v>10472</v>
      </c>
      <c r="N59" s="203"/>
      <c r="O59" s="201">
        <f t="shared" si="24"/>
        <v>-12314</v>
      </c>
      <c r="P59" s="202">
        <f t="shared" si="25"/>
        <v>-2247</v>
      </c>
      <c r="Q59" s="198">
        <f t="shared" si="26"/>
        <v>-10067</v>
      </c>
    </row>
    <row r="60" spans="1:17" ht="12" customHeight="1" x14ac:dyDescent="0.2">
      <c r="A60" s="11" t="s">
        <v>49</v>
      </c>
      <c r="B60" s="9"/>
      <c r="C60" s="21" t="e">
        <f>GrossMargin!#REF!</f>
        <v>#REF!</v>
      </c>
      <c r="D60" s="251" t="e">
        <f>GrossMargin!#REF!</f>
        <v>#REF!</v>
      </c>
      <c r="E60" s="24" t="e">
        <f t="shared" si="22"/>
        <v>#REF!</v>
      </c>
      <c r="F60" s="23"/>
      <c r="G60" s="240" t="e">
        <f>Expenses!#REF!+Expenses!#REF!</f>
        <v>#REF!</v>
      </c>
      <c r="H60" s="240" t="e">
        <f>Expenses!#REF!+Expenses!#REF!</f>
        <v>#REF!</v>
      </c>
      <c r="I60" s="275" t="e">
        <f t="shared" si="27"/>
        <v>#REF!</v>
      </c>
      <c r="J60" s="269"/>
      <c r="K60" s="240" t="e">
        <f>CapChrg!#REF!</f>
        <v>#REF!</v>
      </c>
      <c r="L60" s="197" t="e">
        <f>CapChrg!#REF!</f>
        <v>#REF!</v>
      </c>
      <c r="M60" s="198" t="e">
        <f t="shared" si="23"/>
        <v>#REF!</v>
      </c>
      <c r="N60" s="203"/>
      <c r="O60" s="201" t="e">
        <f t="shared" si="24"/>
        <v>#REF!</v>
      </c>
      <c r="P60" s="202" t="e">
        <f t="shared" si="25"/>
        <v>#REF!</v>
      </c>
      <c r="Q60" s="198" t="e">
        <f t="shared" si="26"/>
        <v>#REF!</v>
      </c>
    </row>
    <row r="61" spans="1:17" ht="12" customHeight="1" x14ac:dyDescent="0.2">
      <c r="A61" s="11" t="s">
        <v>50</v>
      </c>
      <c r="B61" s="9"/>
      <c r="C61" s="21">
        <f>GrossMargin!I62</f>
        <v>9613</v>
      </c>
      <c r="D61" s="251">
        <f>GrossMargin!M62</f>
        <v>-12300</v>
      </c>
      <c r="E61" s="24">
        <f t="shared" si="22"/>
        <v>21913</v>
      </c>
      <c r="F61" s="23"/>
      <c r="G61" s="240">
        <f>Expenses!C61+Expenses!G61</f>
        <v>1628</v>
      </c>
      <c r="H61" s="240">
        <f>Expenses!D61+Expenses!H61</f>
        <v>1637</v>
      </c>
      <c r="I61" s="275">
        <f t="shared" si="27"/>
        <v>-9</v>
      </c>
      <c r="J61" s="269"/>
      <c r="K61" s="240">
        <f>CapChrg!D61</f>
        <v>14447</v>
      </c>
      <c r="L61" s="197">
        <f>CapChrg!E61</f>
        <v>-5269</v>
      </c>
      <c r="M61" s="198">
        <f t="shared" si="23"/>
        <v>19716</v>
      </c>
      <c r="N61" s="203"/>
      <c r="O61" s="201">
        <f t="shared" si="24"/>
        <v>-6462</v>
      </c>
      <c r="P61" s="202">
        <f t="shared" si="25"/>
        <v>-8668</v>
      </c>
      <c r="Q61" s="198">
        <f t="shared" si="26"/>
        <v>2206</v>
      </c>
    </row>
    <row r="62" spans="1:17" ht="12" customHeight="1" x14ac:dyDescent="0.2">
      <c r="A62" s="11" t="s">
        <v>71</v>
      </c>
      <c r="B62" s="20"/>
      <c r="C62" s="21">
        <f>GrossMargin!I64</f>
        <v>431798</v>
      </c>
      <c r="D62" s="251">
        <f>GrossMargin!M64</f>
        <v>-12065</v>
      </c>
      <c r="E62" s="24">
        <f t="shared" si="22"/>
        <v>443863</v>
      </c>
      <c r="F62" s="23"/>
      <c r="G62" s="240">
        <f>Expenses!C63+Expenses!G63</f>
        <v>1482</v>
      </c>
      <c r="H62" s="240">
        <f>Expenses!D63+Expenses!H63</f>
        <v>994</v>
      </c>
      <c r="I62" s="275">
        <f t="shared" si="27"/>
        <v>488</v>
      </c>
      <c r="J62" s="269"/>
      <c r="K62" s="240">
        <f>CapChrg!D63</f>
        <v>32888</v>
      </c>
      <c r="L62" s="202">
        <f>CapChrg!E63</f>
        <v>-24683</v>
      </c>
      <c r="M62" s="198">
        <f t="shared" si="23"/>
        <v>57571</v>
      </c>
      <c r="N62" s="203"/>
      <c r="O62" s="201">
        <f t="shared" si="24"/>
        <v>397428</v>
      </c>
      <c r="P62" s="202">
        <f t="shared" si="25"/>
        <v>11624</v>
      </c>
      <c r="Q62" s="198">
        <f t="shared" si="26"/>
        <v>385804</v>
      </c>
    </row>
    <row r="63" spans="1:17" ht="12" customHeight="1" x14ac:dyDescent="0.2">
      <c r="A63" s="11" t="s">
        <v>73</v>
      </c>
      <c r="B63" s="20"/>
      <c r="C63" s="21">
        <f>GrossMargin!I65</f>
        <v>15666</v>
      </c>
      <c r="D63" s="251">
        <f>GrossMargin!M65</f>
        <v>0</v>
      </c>
      <c r="E63" s="24">
        <f t="shared" si="22"/>
        <v>15666</v>
      </c>
      <c r="F63" s="23"/>
      <c r="G63" s="240">
        <f>Expenses!C64+Expenses!G64</f>
        <v>0</v>
      </c>
      <c r="H63" s="240">
        <f>Expenses!D64+Expenses!H64</f>
        <v>0</v>
      </c>
      <c r="I63" s="275">
        <f t="shared" si="27"/>
        <v>0</v>
      </c>
      <c r="J63" s="269"/>
      <c r="K63" s="240">
        <f>CapChrg!D64</f>
        <v>0</v>
      </c>
      <c r="L63" s="202">
        <f>CapChrg!E64</f>
        <v>0</v>
      </c>
      <c r="M63" s="198">
        <f t="shared" si="23"/>
        <v>0</v>
      </c>
      <c r="N63" s="203"/>
      <c r="O63" s="201">
        <f t="shared" si="24"/>
        <v>15666</v>
      </c>
      <c r="P63" s="202">
        <f t="shared" si="25"/>
        <v>0</v>
      </c>
      <c r="Q63" s="198">
        <f t="shared" si="26"/>
        <v>15666</v>
      </c>
    </row>
    <row r="64" spans="1:17" ht="12" customHeight="1" x14ac:dyDescent="0.2">
      <c r="A64" s="29" t="s">
        <v>72</v>
      </c>
      <c r="B64" s="9"/>
      <c r="C64" s="30">
        <f>GrossMargin!I66</f>
        <v>-9990</v>
      </c>
      <c r="D64" s="251">
        <f>GrossMargin!M66</f>
        <v>73552</v>
      </c>
      <c r="E64" s="24">
        <f t="shared" si="22"/>
        <v>-83542</v>
      </c>
      <c r="F64" s="23"/>
      <c r="G64" s="240">
        <f>Expenses!C65+Expenses!G65</f>
        <v>1526</v>
      </c>
      <c r="H64" s="240">
        <f>Expenses!D65+Expenses!H65</f>
        <v>1373</v>
      </c>
      <c r="I64" s="275">
        <f t="shared" si="27"/>
        <v>153</v>
      </c>
      <c r="J64" s="269"/>
      <c r="K64" s="240">
        <f>CapChrg!D65</f>
        <v>0</v>
      </c>
      <c r="L64" s="209">
        <f>CapChrg!E65</f>
        <v>0</v>
      </c>
      <c r="M64" s="198">
        <f t="shared" si="23"/>
        <v>0</v>
      </c>
      <c r="N64" s="203"/>
      <c r="O64" s="201">
        <f t="shared" si="24"/>
        <v>-11516</v>
      </c>
      <c r="P64" s="202">
        <f t="shared" si="25"/>
        <v>72179</v>
      </c>
      <c r="Q64" s="198">
        <f t="shared" si="26"/>
        <v>-83695</v>
      </c>
    </row>
    <row r="65" spans="1:17" ht="12" customHeight="1" x14ac:dyDescent="0.2">
      <c r="A65" s="29" t="s">
        <v>125</v>
      </c>
      <c r="B65" s="9"/>
      <c r="C65" s="30">
        <f>GrossMargin!I67</f>
        <v>0</v>
      </c>
      <c r="D65" s="251">
        <f>GrossMargin!M67</f>
        <v>0</v>
      </c>
      <c r="E65" s="24">
        <f>-D65+C65</f>
        <v>0</v>
      </c>
      <c r="F65" s="23"/>
      <c r="G65" s="240">
        <f>Expenses!C66+Expenses!G66</f>
        <v>0</v>
      </c>
      <c r="H65" s="240">
        <f>Expenses!D66+Expenses!H66</f>
        <v>0</v>
      </c>
      <c r="I65" s="275">
        <f>G65-H65</f>
        <v>0</v>
      </c>
      <c r="J65" s="269"/>
      <c r="K65" s="240">
        <f>CapChrg!D66</f>
        <v>0</v>
      </c>
      <c r="L65" s="209">
        <f>CapChrg!E66</f>
        <v>0</v>
      </c>
      <c r="M65" s="198">
        <f>K65-L65</f>
        <v>0</v>
      </c>
      <c r="N65" s="203"/>
      <c r="O65" s="201">
        <f>C65-G65-K65</f>
        <v>0</v>
      </c>
      <c r="P65" s="202">
        <f>D65-H65-L65</f>
        <v>0</v>
      </c>
      <c r="Q65" s="198">
        <f>O65-P65</f>
        <v>0</v>
      </c>
    </row>
    <row r="66" spans="1:17" ht="12" customHeight="1" x14ac:dyDescent="0.2">
      <c r="A66" s="29" t="s">
        <v>11</v>
      </c>
      <c r="B66" s="9"/>
      <c r="C66" s="30" t="e">
        <f>GrossMargin!#REF!</f>
        <v>#REF!</v>
      </c>
      <c r="D66" s="251" t="e">
        <f>GrossMargin!#REF!</f>
        <v>#REF!</v>
      </c>
      <c r="E66" s="32" t="e">
        <f t="shared" si="22"/>
        <v>#REF!</v>
      </c>
      <c r="F66" s="23"/>
      <c r="G66" s="240">
        <f>Expenses!C67+Expenses!G67</f>
        <v>0</v>
      </c>
      <c r="H66" s="240">
        <f>Expenses!D67+Expenses!H67</f>
        <v>0</v>
      </c>
      <c r="I66" s="275">
        <f t="shared" si="27"/>
        <v>0</v>
      </c>
      <c r="J66" s="269"/>
      <c r="K66" s="240">
        <f>CapChrg!D67</f>
        <v>0</v>
      </c>
      <c r="L66" s="209">
        <f>CapChrg!E67</f>
        <v>0</v>
      </c>
      <c r="M66" s="198">
        <f t="shared" si="23"/>
        <v>0</v>
      </c>
      <c r="N66" s="203"/>
      <c r="O66" s="201" t="e">
        <f t="shared" si="24"/>
        <v>#REF!</v>
      </c>
      <c r="P66" s="202" t="e">
        <f t="shared" si="25"/>
        <v>#REF!</v>
      </c>
      <c r="Q66" s="211" t="e">
        <f t="shared" si="26"/>
        <v>#REF!</v>
      </c>
    </row>
    <row r="67" spans="1:17" s="157" customFormat="1" ht="12" customHeight="1" x14ac:dyDescent="0.25">
      <c r="A67" s="25" t="s">
        <v>12</v>
      </c>
      <c r="B67" s="155"/>
      <c r="C67" s="26" t="e">
        <f>SUM(C47:C66)+C45+C37+C26+C18</f>
        <v>#REF!</v>
      </c>
      <c r="D67" s="27" t="e">
        <f>SUM(D47:D66)+D45+D37+D26+D18</f>
        <v>#REF!</v>
      </c>
      <c r="E67" s="28" t="e">
        <f>SUM(E47:E66)+E45+E37+E26+E18</f>
        <v>#REF!</v>
      </c>
      <c r="F67" s="156"/>
      <c r="G67" s="204" t="e">
        <f>SUM(G47:G66)+G45+G37+G26+G18</f>
        <v>#REF!</v>
      </c>
      <c r="H67" s="205" t="e">
        <f>SUM(H47:H66)+H45+H37+H26+H18</f>
        <v>#REF!</v>
      </c>
      <c r="I67" s="274" t="e">
        <f>G67-H67</f>
        <v>#REF!</v>
      </c>
      <c r="J67" s="270"/>
      <c r="K67" s="205" t="e">
        <f>SUM(K47:K66)+K45+K37+K26+K18</f>
        <v>#REF!</v>
      </c>
      <c r="L67" s="205" t="e">
        <f>SUM(L47:L66)+L45+L37+L26+L18</f>
        <v>#REF!</v>
      </c>
      <c r="M67" s="206" t="e">
        <f>SUM(M47:M66)+M45+M37+M26+M18</f>
        <v>#REF!</v>
      </c>
      <c r="N67" s="207"/>
      <c r="O67" s="204" t="e">
        <f>SUM(O47:O66)+O45+O37+O26+O18</f>
        <v>#REF!</v>
      </c>
      <c r="P67" s="205" t="e">
        <f>SUM(P47:P66)+P45+P37+P26+P18</f>
        <v>#REF!</v>
      </c>
      <c r="Q67" s="206" t="e">
        <f>SUM(Q47:Q66)+Q45+Q37+Q26+Q18</f>
        <v>#REF!</v>
      </c>
    </row>
    <row r="68" spans="1:17" ht="6.75" customHeight="1" x14ac:dyDescent="0.2">
      <c r="A68" s="29"/>
      <c r="B68" s="9"/>
      <c r="C68" s="30"/>
      <c r="D68" s="31"/>
      <c r="E68" s="32"/>
      <c r="F68" s="23"/>
      <c r="G68" s="208"/>
      <c r="H68" s="210"/>
      <c r="I68" s="276"/>
      <c r="J68" s="269"/>
      <c r="K68" s="210"/>
      <c r="L68" s="210"/>
      <c r="M68" s="211"/>
      <c r="N68" s="203"/>
      <c r="O68" s="208"/>
      <c r="P68" s="210"/>
      <c r="Q68" s="211"/>
    </row>
    <row r="69" spans="1:17" ht="12" customHeight="1" x14ac:dyDescent="0.2">
      <c r="A69" s="29" t="s">
        <v>51</v>
      </c>
      <c r="B69" s="9"/>
      <c r="C69" s="30">
        <v>0</v>
      </c>
      <c r="D69" s="22">
        <v>0</v>
      </c>
      <c r="E69" s="32">
        <f t="shared" ref="E69:E82" si="28">-D69+C69</f>
        <v>0</v>
      </c>
      <c r="F69" s="23"/>
      <c r="G69" s="240">
        <f>Expenses!C70+Expenses!G70</f>
        <v>2705</v>
      </c>
      <c r="H69" s="240">
        <f>Expenses!D70+Expenses!H70</f>
        <v>2705</v>
      </c>
      <c r="I69" s="275">
        <f>G69-H69</f>
        <v>0</v>
      </c>
      <c r="J69" s="269"/>
      <c r="K69" s="240">
        <v>0</v>
      </c>
      <c r="L69" s="209">
        <v>0</v>
      </c>
      <c r="M69" s="198">
        <f t="shared" ref="M69:M87" si="29">K69-L69</f>
        <v>0</v>
      </c>
      <c r="N69" s="203"/>
      <c r="O69" s="201">
        <f t="shared" ref="O69:O87" si="30">C69-G69-K69</f>
        <v>-2705</v>
      </c>
      <c r="P69" s="202">
        <f t="shared" ref="P69:P87" si="31">D69-H69-L69</f>
        <v>-2705</v>
      </c>
      <c r="Q69" s="211">
        <f t="shared" ref="Q69:Q82" si="32">O69-P69</f>
        <v>0</v>
      </c>
    </row>
    <row r="70" spans="1:17" ht="12" customHeight="1" x14ac:dyDescent="0.2">
      <c r="A70" s="29" t="s">
        <v>52</v>
      </c>
      <c r="B70" s="9"/>
      <c r="C70" s="30">
        <v>0</v>
      </c>
      <c r="D70" s="22">
        <v>0</v>
      </c>
      <c r="E70" s="32">
        <f t="shared" si="28"/>
        <v>0</v>
      </c>
      <c r="F70" s="23"/>
      <c r="G70" s="240">
        <f>Expenses!C71+Expenses!G71</f>
        <v>499</v>
      </c>
      <c r="H70" s="240">
        <f>Expenses!D71+Expenses!H71</f>
        <v>499</v>
      </c>
      <c r="I70" s="275">
        <f t="shared" ref="I70:I82" si="33">G70-H70</f>
        <v>0</v>
      </c>
      <c r="J70" s="269"/>
      <c r="K70" s="240">
        <v>0</v>
      </c>
      <c r="L70" s="209">
        <v>0</v>
      </c>
      <c r="M70" s="198">
        <f t="shared" si="29"/>
        <v>0</v>
      </c>
      <c r="N70" s="203"/>
      <c r="O70" s="201">
        <f t="shared" si="30"/>
        <v>-499</v>
      </c>
      <c r="P70" s="202">
        <f t="shared" si="31"/>
        <v>-499</v>
      </c>
      <c r="Q70" s="211">
        <f t="shared" si="32"/>
        <v>0</v>
      </c>
    </row>
    <row r="71" spans="1:17" ht="12" customHeight="1" x14ac:dyDescent="0.2">
      <c r="A71" s="29" t="s">
        <v>107</v>
      </c>
      <c r="B71" s="9"/>
      <c r="C71" s="30">
        <v>0</v>
      </c>
      <c r="D71" s="22">
        <v>0</v>
      </c>
      <c r="E71" s="32">
        <f t="shared" si="28"/>
        <v>0</v>
      </c>
      <c r="F71" s="23"/>
      <c r="G71" s="240">
        <f>Expenses!C72+Expenses!G72</f>
        <v>1418</v>
      </c>
      <c r="H71" s="240">
        <f>Expenses!D72+Expenses!H72</f>
        <v>1418</v>
      </c>
      <c r="I71" s="275">
        <f t="shared" si="33"/>
        <v>0</v>
      </c>
      <c r="J71" s="269"/>
      <c r="K71" s="240">
        <v>0</v>
      </c>
      <c r="L71" s="209">
        <v>0</v>
      </c>
      <c r="M71" s="198">
        <f t="shared" si="29"/>
        <v>0</v>
      </c>
      <c r="N71" s="203"/>
      <c r="O71" s="201">
        <f t="shared" si="30"/>
        <v>-1418</v>
      </c>
      <c r="P71" s="202">
        <f t="shared" si="31"/>
        <v>-1418</v>
      </c>
      <c r="Q71" s="211">
        <f t="shared" si="32"/>
        <v>0</v>
      </c>
    </row>
    <row r="72" spans="1:17" ht="12" customHeight="1" x14ac:dyDescent="0.2">
      <c r="A72" s="29" t="s">
        <v>53</v>
      </c>
      <c r="B72" s="9"/>
      <c r="C72" s="30">
        <v>0</v>
      </c>
      <c r="D72" s="22">
        <v>0</v>
      </c>
      <c r="E72" s="32">
        <f t="shared" si="28"/>
        <v>0</v>
      </c>
      <c r="F72" s="23"/>
      <c r="G72" s="240">
        <f>Expenses!C73+Expenses!G73</f>
        <v>10143</v>
      </c>
      <c r="H72" s="240">
        <f>Expenses!D73+Expenses!H73</f>
        <v>10143</v>
      </c>
      <c r="I72" s="275">
        <f t="shared" si="33"/>
        <v>0</v>
      </c>
      <c r="J72" s="269"/>
      <c r="K72" s="240">
        <v>0</v>
      </c>
      <c r="L72" s="209">
        <v>0</v>
      </c>
      <c r="M72" s="198">
        <f t="shared" si="29"/>
        <v>0</v>
      </c>
      <c r="N72" s="203"/>
      <c r="O72" s="201">
        <f t="shared" si="30"/>
        <v>-10143</v>
      </c>
      <c r="P72" s="202">
        <f t="shared" si="31"/>
        <v>-10143</v>
      </c>
      <c r="Q72" s="211">
        <f t="shared" si="32"/>
        <v>0</v>
      </c>
    </row>
    <row r="73" spans="1:17" ht="12" customHeight="1" x14ac:dyDescent="0.2">
      <c r="A73" s="29" t="s">
        <v>54</v>
      </c>
      <c r="B73" s="9"/>
      <c r="C73" s="30">
        <v>0</v>
      </c>
      <c r="D73" s="22">
        <v>0</v>
      </c>
      <c r="E73" s="32">
        <f t="shared" si="28"/>
        <v>0</v>
      </c>
      <c r="F73" s="23"/>
      <c r="G73" s="240">
        <f>Expenses!C74+Expenses!G74</f>
        <v>1204</v>
      </c>
      <c r="H73" s="240">
        <f>Expenses!D74+Expenses!H74</f>
        <v>1204</v>
      </c>
      <c r="I73" s="275">
        <f t="shared" si="33"/>
        <v>0</v>
      </c>
      <c r="J73" s="269"/>
      <c r="K73" s="240">
        <v>0</v>
      </c>
      <c r="L73" s="209">
        <v>0</v>
      </c>
      <c r="M73" s="198">
        <f t="shared" si="29"/>
        <v>0</v>
      </c>
      <c r="N73" s="203"/>
      <c r="O73" s="201">
        <f t="shared" si="30"/>
        <v>-1204</v>
      </c>
      <c r="P73" s="202">
        <f t="shared" si="31"/>
        <v>-1204</v>
      </c>
      <c r="Q73" s="211">
        <f t="shared" si="32"/>
        <v>0</v>
      </c>
    </row>
    <row r="74" spans="1:17" ht="12" customHeight="1" x14ac:dyDescent="0.2">
      <c r="A74" s="29" t="s">
        <v>55</v>
      </c>
      <c r="B74" s="9"/>
      <c r="C74" s="30">
        <v>0</v>
      </c>
      <c r="D74" s="22">
        <v>0</v>
      </c>
      <c r="E74" s="32">
        <f t="shared" si="28"/>
        <v>0</v>
      </c>
      <c r="F74" s="23"/>
      <c r="G74" s="240">
        <f>Expenses!C75+Expenses!G75</f>
        <v>2251</v>
      </c>
      <c r="H74" s="240">
        <f>Expenses!D75+Expenses!H75</f>
        <v>2251</v>
      </c>
      <c r="I74" s="275">
        <f t="shared" si="33"/>
        <v>0</v>
      </c>
      <c r="J74" s="269"/>
      <c r="K74" s="240">
        <v>0</v>
      </c>
      <c r="L74" s="209">
        <v>0</v>
      </c>
      <c r="M74" s="198">
        <f t="shared" si="29"/>
        <v>0</v>
      </c>
      <c r="N74" s="203"/>
      <c r="O74" s="201">
        <f t="shared" si="30"/>
        <v>-2251</v>
      </c>
      <c r="P74" s="202">
        <f t="shared" si="31"/>
        <v>-2251</v>
      </c>
      <c r="Q74" s="211">
        <f t="shared" si="32"/>
        <v>0</v>
      </c>
    </row>
    <row r="75" spans="1:17" ht="12" customHeight="1" x14ac:dyDescent="0.2">
      <c r="A75" s="29" t="s">
        <v>56</v>
      </c>
      <c r="B75" s="9"/>
      <c r="C75" s="30">
        <v>0</v>
      </c>
      <c r="D75" s="22">
        <v>0</v>
      </c>
      <c r="E75" s="32">
        <f t="shared" si="28"/>
        <v>0</v>
      </c>
      <c r="F75" s="34"/>
      <c r="G75" s="240">
        <f>Expenses!C76+Expenses!G76</f>
        <v>318</v>
      </c>
      <c r="H75" s="240">
        <f>Expenses!D76+Expenses!H76</f>
        <v>318</v>
      </c>
      <c r="I75" s="275">
        <f t="shared" si="33"/>
        <v>0</v>
      </c>
      <c r="J75" s="269"/>
      <c r="K75" s="240">
        <v>0</v>
      </c>
      <c r="L75" s="209">
        <v>0</v>
      </c>
      <c r="M75" s="198">
        <f t="shared" si="29"/>
        <v>0</v>
      </c>
      <c r="N75" s="203"/>
      <c r="O75" s="201">
        <f t="shared" si="30"/>
        <v>-318</v>
      </c>
      <c r="P75" s="202">
        <f t="shared" si="31"/>
        <v>-318</v>
      </c>
      <c r="Q75" s="211">
        <f t="shared" si="32"/>
        <v>0</v>
      </c>
    </row>
    <row r="76" spans="1:17" ht="12" customHeight="1" x14ac:dyDescent="0.2">
      <c r="A76" s="29" t="s">
        <v>57</v>
      </c>
      <c r="B76" s="9"/>
      <c r="C76" s="30">
        <v>0</v>
      </c>
      <c r="D76" s="22">
        <v>0</v>
      </c>
      <c r="E76" s="32">
        <f t="shared" si="28"/>
        <v>0</v>
      </c>
      <c r="F76" s="34"/>
      <c r="G76" s="240">
        <f>Expenses!C77+Expenses!G77</f>
        <v>593</v>
      </c>
      <c r="H76" s="240">
        <f>Expenses!D77+Expenses!H77</f>
        <v>593</v>
      </c>
      <c r="I76" s="275">
        <f t="shared" si="33"/>
        <v>0</v>
      </c>
      <c r="J76" s="269"/>
      <c r="K76" s="240">
        <v>0</v>
      </c>
      <c r="L76" s="209">
        <v>0</v>
      </c>
      <c r="M76" s="198">
        <f t="shared" si="29"/>
        <v>0</v>
      </c>
      <c r="N76" s="203"/>
      <c r="O76" s="201">
        <f t="shared" si="30"/>
        <v>-593</v>
      </c>
      <c r="P76" s="202">
        <f t="shared" si="31"/>
        <v>-593</v>
      </c>
      <c r="Q76" s="211">
        <f t="shared" si="32"/>
        <v>0</v>
      </c>
    </row>
    <row r="77" spans="1:17" ht="12" customHeight="1" x14ac:dyDescent="0.2">
      <c r="A77" s="29" t="s">
        <v>59</v>
      </c>
      <c r="B77" s="9"/>
      <c r="C77" s="30">
        <v>0</v>
      </c>
      <c r="D77" s="22">
        <v>0</v>
      </c>
      <c r="E77" s="32">
        <f t="shared" si="28"/>
        <v>0</v>
      </c>
      <c r="F77" s="34"/>
      <c r="G77" s="240">
        <f>Expenses!C78+Expenses!G78</f>
        <v>539</v>
      </c>
      <c r="H77" s="240">
        <f>Expenses!D78+Expenses!H78</f>
        <v>539</v>
      </c>
      <c r="I77" s="275">
        <f t="shared" si="33"/>
        <v>0</v>
      </c>
      <c r="J77" s="269"/>
      <c r="K77" s="240">
        <v>0</v>
      </c>
      <c r="L77" s="209">
        <v>0</v>
      </c>
      <c r="M77" s="198">
        <f t="shared" si="29"/>
        <v>0</v>
      </c>
      <c r="N77" s="203"/>
      <c r="O77" s="201">
        <f t="shared" si="30"/>
        <v>-539</v>
      </c>
      <c r="P77" s="202">
        <f t="shared" si="31"/>
        <v>-539</v>
      </c>
      <c r="Q77" s="211">
        <f t="shared" si="32"/>
        <v>0</v>
      </c>
    </row>
    <row r="78" spans="1:17" ht="12" customHeight="1" x14ac:dyDescent="0.2">
      <c r="A78" s="29" t="s">
        <v>60</v>
      </c>
      <c r="B78" s="9"/>
      <c r="C78" s="30">
        <v>0</v>
      </c>
      <c r="D78" s="22">
        <v>0</v>
      </c>
      <c r="E78" s="32">
        <f t="shared" si="28"/>
        <v>0</v>
      </c>
      <c r="F78" s="34"/>
      <c r="G78" s="240">
        <f>Expenses!C79+Expenses!G79</f>
        <v>194</v>
      </c>
      <c r="H78" s="240">
        <f>Expenses!D79+Expenses!H79</f>
        <v>194</v>
      </c>
      <c r="I78" s="275">
        <f t="shared" si="33"/>
        <v>0</v>
      </c>
      <c r="J78" s="269"/>
      <c r="K78" s="240">
        <v>0</v>
      </c>
      <c r="L78" s="209">
        <v>0</v>
      </c>
      <c r="M78" s="198">
        <f t="shared" si="29"/>
        <v>0</v>
      </c>
      <c r="N78" s="203"/>
      <c r="O78" s="201">
        <f t="shared" si="30"/>
        <v>-194</v>
      </c>
      <c r="P78" s="202">
        <f t="shared" si="31"/>
        <v>-194</v>
      </c>
      <c r="Q78" s="211">
        <f t="shared" si="32"/>
        <v>0</v>
      </c>
    </row>
    <row r="79" spans="1:17" ht="12" customHeight="1" x14ac:dyDescent="0.2">
      <c r="A79" s="29" t="s">
        <v>61</v>
      </c>
      <c r="B79" s="9"/>
      <c r="C79" s="30">
        <v>0</v>
      </c>
      <c r="D79" s="22">
        <v>0</v>
      </c>
      <c r="E79" s="32">
        <f t="shared" si="28"/>
        <v>0</v>
      </c>
      <c r="F79" s="34"/>
      <c r="G79" s="240">
        <f>Expenses!C80+Expenses!G80</f>
        <v>682</v>
      </c>
      <c r="H79" s="240">
        <f>Expenses!D80+Expenses!H80</f>
        <v>682</v>
      </c>
      <c r="I79" s="275">
        <f t="shared" si="33"/>
        <v>0</v>
      </c>
      <c r="J79" s="269"/>
      <c r="K79" s="240">
        <v>0</v>
      </c>
      <c r="L79" s="209">
        <v>0</v>
      </c>
      <c r="M79" s="198">
        <f t="shared" si="29"/>
        <v>0</v>
      </c>
      <c r="N79" s="203"/>
      <c r="O79" s="201">
        <f t="shared" si="30"/>
        <v>-682</v>
      </c>
      <c r="P79" s="202">
        <f t="shared" si="31"/>
        <v>-682</v>
      </c>
      <c r="Q79" s="211">
        <f t="shared" si="32"/>
        <v>0</v>
      </c>
    </row>
    <row r="80" spans="1:17" ht="12" customHeight="1" x14ac:dyDescent="0.2">
      <c r="A80" s="29" t="s">
        <v>62</v>
      </c>
      <c r="B80" s="9"/>
      <c r="C80" s="30">
        <v>0</v>
      </c>
      <c r="D80" s="22">
        <v>0</v>
      </c>
      <c r="E80" s="32">
        <f t="shared" si="28"/>
        <v>0</v>
      </c>
      <c r="F80" s="34"/>
      <c r="G80" s="240">
        <f>Expenses!C81+Expenses!G81</f>
        <v>1419</v>
      </c>
      <c r="H80" s="240">
        <f>Expenses!D81+Expenses!H81</f>
        <v>1419</v>
      </c>
      <c r="I80" s="275">
        <f t="shared" si="33"/>
        <v>0</v>
      </c>
      <c r="J80" s="269"/>
      <c r="K80" s="240">
        <v>0</v>
      </c>
      <c r="L80" s="209">
        <v>0</v>
      </c>
      <c r="M80" s="198">
        <f t="shared" si="29"/>
        <v>0</v>
      </c>
      <c r="N80" s="203"/>
      <c r="O80" s="201">
        <f t="shared" si="30"/>
        <v>-1419</v>
      </c>
      <c r="P80" s="202">
        <f t="shared" si="31"/>
        <v>-1419</v>
      </c>
      <c r="Q80" s="211">
        <f t="shared" si="32"/>
        <v>0</v>
      </c>
    </row>
    <row r="81" spans="1:17" x14ac:dyDescent="0.2">
      <c r="A81" s="29" t="s">
        <v>58</v>
      </c>
      <c r="B81" s="9"/>
      <c r="C81" s="21">
        <v>0</v>
      </c>
      <c r="D81" s="22">
        <v>0</v>
      </c>
      <c r="E81" s="24">
        <f t="shared" si="28"/>
        <v>0</v>
      </c>
      <c r="F81" s="23"/>
      <c r="G81" s="240">
        <f>Expenses!C82+Expenses!G82</f>
        <v>28318</v>
      </c>
      <c r="H81" s="240">
        <f>Expenses!D82+Expenses!H82</f>
        <v>23075</v>
      </c>
      <c r="I81" s="275">
        <f t="shared" si="33"/>
        <v>5243</v>
      </c>
      <c r="J81" s="269"/>
      <c r="K81" s="240">
        <v>0</v>
      </c>
      <c r="L81" s="209">
        <v>0</v>
      </c>
      <c r="M81" s="198">
        <f t="shared" si="29"/>
        <v>0</v>
      </c>
      <c r="N81" s="203"/>
      <c r="O81" s="201">
        <f t="shared" si="30"/>
        <v>-28318</v>
      </c>
      <c r="P81" s="202">
        <f t="shared" si="31"/>
        <v>-23075</v>
      </c>
      <c r="Q81" s="198">
        <f t="shared" si="32"/>
        <v>-5243</v>
      </c>
    </row>
    <row r="82" spans="1:17" ht="12" customHeight="1" x14ac:dyDescent="0.2">
      <c r="A82" s="29" t="s">
        <v>17</v>
      </c>
      <c r="B82" s="9"/>
      <c r="C82" s="30">
        <v>0</v>
      </c>
      <c r="D82" s="22">
        <v>0</v>
      </c>
      <c r="E82" s="32">
        <f t="shared" si="28"/>
        <v>0</v>
      </c>
      <c r="F82" s="34"/>
      <c r="G82" s="240">
        <f>Expenses!C83+Expenses!G83</f>
        <v>48011</v>
      </c>
      <c r="H82" s="240">
        <f>Expenses!D83+Expenses!H83</f>
        <v>46611</v>
      </c>
      <c r="I82" s="275">
        <f t="shared" si="33"/>
        <v>1400</v>
      </c>
      <c r="J82" s="269"/>
      <c r="K82" s="240">
        <v>0</v>
      </c>
      <c r="L82" s="209">
        <v>0</v>
      </c>
      <c r="M82" s="198">
        <f t="shared" si="29"/>
        <v>0</v>
      </c>
      <c r="N82" s="203"/>
      <c r="O82" s="201">
        <f t="shared" si="30"/>
        <v>-48011</v>
      </c>
      <c r="P82" s="202">
        <f t="shared" si="31"/>
        <v>-46611</v>
      </c>
      <c r="Q82" s="211">
        <f t="shared" si="32"/>
        <v>-1400</v>
      </c>
    </row>
    <row r="83" spans="1:17" s="157" customFormat="1" ht="12" customHeight="1" x14ac:dyDescent="0.25">
      <c r="A83" s="25" t="s">
        <v>13</v>
      </c>
      <c r="B83" s="155"/>
      <c r="C83" s="26">
        <f>SUM(C69:C82)</f>
        <v>0</v>
      </c>
      <c r="D83" s="27">
        <f>SUM(D69:D82)</f>
        <v>0</v>
      </c>
      <c r="E83" s="28">
        <f>SUM(E69:E82)</f>
        <v>0</v>
      </c>
      <c r="F83" s="156"/>
      <c r="G83" s="204">
        <f>SUM(G69:G82)</f>
        <v>98294</v>
      </c>
      <c r="H83" s="205">
        <f>SUM(H69:H82)</f>
        <v>91651</v>
      </c>
      <c r="I83" s="274">
        <f>G83-H83</f>
        <v>6643</v>
      </c>
      <c r="J83" s="270"/>
      <c r="K83" s="205">
        <f>SUM(K69:K82)</f>
        <v>0</v>
      </c>
      <c r="L83" s="205">
        <f>SUM(L69:L82)</f>
        <v>0</v>
      </c>
      <c r="M83" s="206">
        <f>SUM(M69:M82)</f>
        <v>0</v>
      </c>
      <c r="N83" s="207"/>
      <c r="O83" s="204">
        <f>SUM(O69:O82)</f>
        <v>-98294</v>
      </c>
      <c r="P83" s="205">
        <f>SUM(P69:P82)</f>
        <v>-91651</v>
      </c>
      <c r="Q83" s="206">
        <f>SUM(Q69:Q82)</f>
        <v>-6643</v>
      </c>
    </row>
    <row r="84" spans="1:17" s="33" customFormat="1" ht="12" customHeight="1" x14ac:dyDescent="0.2">
      <c r="A84" s="181" t="s">
        <v>119</v>
      </c>
      <c r="B84" s="9"/>
      <c r="C84" s="30">
        <v>0</v>
      </c>
      <c r="D84" s="22">
        <v>0</v>
      </c>
      <c r="E84" s="32">
        <f>-D84+C84</f>
        <v>0</v>
      </c>
      <c r="F84" s="34"/>
      <c r="G84" s="240">
        <f>Expenses!C85+Expenses!G85</f>
        <v>38777</v>
      </c>
      <c r="H84" s="240">
        <f>Expenses!D85+Expenses!H85</f>
        <v>37754</v>
      </c>
      <c r="I84" s="275">
        <f>G84-H84</f>
        <v>1023</v>
      </c>
      <c r="J84" s="269"/>
      <c r="K84" s="240">
        <f>Expenses!H85+CapChrg!D84</f>
        <v>0</v>
      </c>
      <c r="L84" s="210">
        <f>CapChrg!E70</f>
        <v>0</v>
      </c>
      <c r="M84" s="198">
        <f t="shared" si="29"/>
        <v>0</v>
      </c>
      <c r="N84" s="203"/>
      <c r="O84" s="201">
        <f t="shared" si="30"/>
        <v>-38777</v>
      </c>
      <c r="P84" s="202">
        <f t="shared" si="31"/>
        <v>-37754</v>
      </c>
      <c r="Q84" s="211">
        <f>O84-P84</f>
        <v>-1023</v>
      </c>
    </row>
    <row r="85" spans="1:17" s="33" customFormat="1" ht="12" customHeight="1" x14ac:dyDescent="0.2">
      <c r="A85" s="181" t="s">
        <v>120</v>
      </c>
      <c r="B85" s="9"/>
      <c r="C85" s="30"/>
      <c r="D85" s="22">
        <v>0</v>
      </c>
      <c r="E85" s="32"/>
      <c r="F85" s="34"/>
      <c r="G85" s="240">
        <f>Expenses!C86+Expenses!G86</f>
        <v>3060</v>
      </c>
      <c r="H85" s="240">
        <f>Expenses!D86+Expenses!H86</f>
        <v>3060</v>
      </c>
      <c r="I85" s="275">
        <f>G85-H85</f>
        <v>0</v>
      </c>
      <c r="J85" s="269"/>
      <c r="K85" s="240">
        <f>Expenses!H86+CapChrg!D85</f>
        <v>0</v>
      </c>
      <c r="L85" s="210"/>
      <c r="M85" s="198">
        <f t="shared" si="29"/>
        <v>0</v>
      </c>
      <c r="N85" s="203"/>
      <c r="O85" s="201">
        <f t="shared" si="30"/>
        <v>-3060</v>
      </c>
      <c r="P85" s="202">
        <f t="shared" si="31"/>
        <v>-3060</v>
      </c>
      <c r="Q85" s="211"/>
    </row>
    <row r="86" spans="1:17" s="33" customFormat="1" ht="12" customHeight="1" x14ac:dyDescent="0.2">
      <c r="A86" s="181" t="s">
        <v>116</v>
      </c>
      <c r="B86" s="9"/>
      <c r="C86" s="30"/>
      <c r="D86" s="22">
        <v>0</v>
      </c>
      <c r="E86" s="32"/>
      <c r="F86" s="34"/>
      <c r="G86" s="240" t="e">
        <f>Expenses!#REF!+Expenses!#REF!</f>
        <v>#REF!</v>
      </c>
      <c r="H86" s="240" t="e">
        <f>Expenses!#REF!+Expenses!#REF!</f>
        <v>#REF!</v>
      </c>
      <c r="I86" s="275" t="e">
        <f>G86-H86</f>
        <v>#REF!</v>
      </c>
      <c r="J86" s="269"/>
      <c r="K86" s="240" t="e">
        <f>Expenses!#REF!+CapChrg!D86</f>
        <v>#REF!</v>
      </c>
      <c r="L86" s="210"/>
      <c r="M86" s="198" t="e">
        <f t="shared" si="29"/>
        <v>#REF!</v>
      </c>
      <c r="N86" s="203"/>
      <c r="O86" s="201" t="e">
        <f t="shared" si="30"/>
        <v>#REF!</v>
      </c>
      <c r="P86" s="202" t="e">
        <f t="shared" si="31"/>
        <v>#REF!</v>
      </c>
      <c r="Q86" s="211"/>
    </row>
    <row r="87" spans="1:17" ht="12" customHeight="1" x14ac:dyDescent="0.2">
      <c r="A87" s="29" t="s">
        <v>115</v>
      </c>
      <c r="B87" s="9"/>
      <c r="C87" s="30">
        <v>0</v>
      </c>
      <c r="D87" s="22">
        <v>0</v>
      </c>
      <c r="E87" s="24">
        <f>-D87+C87</f>
        <v>0</v>
      </c>
      <c r="F87" s="23"/>
      <c r="G87" s="240">
        <f>Expenses!C87+Expenses!G87</f>
        <v>259710</v>
      </c>
      <c r="H87" s="240">
        <f>Expenses!D87+Expenses!H87</f>
        <v>245343</v>
      </c>
      <c r="I87" s="275">
        <f>G87-H87</f>
        <v>14367</v>
      </c>
      <c r="J87" s="269"/>
      <c r="K87" s="240">
        <f>CapChrg!D71</f>
        <v>-101992</v>
      </c>
      <c r="L87" s="209">
        <f>CapChrg!E71</f>
        <v>19159</v>
      </c>
      <c r="M87" s="198">
        <f t="shared" si="29"/>
        <v>-121151</v>
      </c>
      <c r="N87" s="203"/>
      <c r="O87" s="201">
        <f t="shared" si="30"/>
        <v>-157718</v>
      </c>
      <c r="P87" s="202">
        <f t="shared" si="31"/>
        <v>-264502</v>
      </c>
      <c r="Q87" s="198">
        <f>O87-P87</f>
        <v>106784</v>
      </c>
    </row>
    <row r="88" spans="1:17" s="157" customFormat="1" ht="12" customHeight="1" x14ac:dyDescent="0.25">
      <c r="A88" s="25" t="s">
        <v>14</v>
      </c>
      <c r="B88" s="155"/>
      <c r="C88" s="26" t="e">
        <f>C87+C84+C83+C67</f>
        <v>#REF!</v>
      </c>
      <c r="D88" s="27" t="e">
        <f>D87+D84+D83+D67</f>
        <v>#REF!</v>
      </c>
      <c r="E88" s="28" t="e">
        <f>E87+E84+E83+E67</f>
        <v>#REF!</v>
      </c>
      <c r="F88" s="156"/>
      <c r="G88" s="205" t="e">
        <f>SUM(G84:G87)+G83+G67</f>
        <v>#REF!</v>
      </c>
      <c r="H88" s="205" t="e">
        <f>SUM(H84:H87)+H83+H67</f>
        <v>#REF!</v>
      </c>
      <c r="I88" s="274" t="e">
        <f>SUM(I84:I87)+I83+I67</f>
        <v>#REF!</v>
      </c>
      <c r="J88" s="270"/>
      <c r="K88" s="205" t="e">
        <f>SUM(K84:K87)+K83+K67</f>
        <v>#REF!</v>
      </c>
      <c r="L88" s="205" t="e">
        <f>SUM(L84:L87)+L83+L67</f>
        <v>#REF!</v>
      </c>
      <c r="M88" s="206" t="e">
        <f>M87+M84+M83+M67</f>
        <v>#REF!</v>
      </c>
      <c r="N88" s="207"/>
      <c r="O88" s="205" t="e">
        <f>SUM(O84:O87)+O83+O67</f>
        <v>#REF!</v>
      </c>
      <c r="P88" s="205" t="e">
        <f>SUM(P84:P87)+P83+P67</f>
        <v>#REF!</v>
      </c>
      <c r="Q88" s="206" t="e">
        <f>Q87+Q84+Q83+Q67</f>
        <v>#REF!</v>
      </c>
    </row>
    <row r="89" spans="1:17" ht="12.75" customHeight="1" thickBot="1" x14ac:dyDescent="0.25">
      <c r="A89" s="29" t="s">
        <v>15</v>
      </c>
      <c r="B89" s="9"/>
      <c r="C89" s="30">
        <v>0</v>
      </c>
      <c r="D89" s="31">
        <v>0</v>
      </c>
      <c r="E89" s="32">
        <f>D89-C89</f>
        <v>0</v>
      </c>
      <c r="F89" s="23"/>
      <c r="G89" s="208">
        <v>0</v>
      </c>
      <c r="H89" s="210">
        <v>0</v>
      </c>
      <c r="I89" s="276"/>
      <c r="J89" s="269"/>
      <c r="K89" s="210"/>
      <c r="L89" s="210">
        <f>CapChrg!E73</f>
        <v>0</v>
      </c>
      <c r="M89" s="211">
        <f>-(H89-G89)-L89</f>
        <v>0</v>
      </c>
      <c r="N89" s="203"/>
      <c r="O89" s="208">
        <f>C89-G89</f>
        <v>0</v>
      </c>
      <c r="P89" s="210">
        <f>D89-H89</f>
        <v>0</v>
      </c>
      <c r="Q89" s="211">
        <f>O89-P89</f>
        <v>0</v>
      </c>
    </row>
    <row r="90" spans="1:17" s="157" customFormat="1" ht="12" customHeight="1" thickBot="1" x14ac:dyDescent="0.3">
      <c r="A90" s="35" t="s">
        <v>16</v>
      </c>
      <c r="B90" s="158"/>
      <c r="C90" s="36" t="e">
        <f>SUM(C88:C89)</f>
        <v>#REF!</v>
      </c>
      <c r="D90" s="37" t="e">
        <f>SUM(D88:D89)</f>
        <v>#REF!</v>
      </c>
      <c r="E90" s="51" t="e">
        <f>SUM(E88:E89)</f>
        <v>#REF!</v>
      </c>
      <c r="F90" s="159"/>
      <c r="G90" s="212" t="e">
        <f>SUM(G88:G89)</f>
        <v>#REF!</v>
      </c>
      <c r="H90" s="213" t="e">
        <f>SUM(H88:H89)</f>
        <v>#REF!</v>
      </c>
      <c r="I90" s="274" t="e">
        <f>SUM(I86:I89)+I85+I69</f>
        <v>#REF!</v>
      </c>
      <c r="J90" s="271"/>
      <c r="K90" s="212" t="e">
        <f>SUM(K88:K89)</f>
        <v>#REF!</v>
      </c>
      <c r="L90" s="213" t="e">
        <f>SUM(L88:L89)</f>
        <v>#REF!</v>
      </c>
      <c r="M90" s="214" t="e">
        <f>SUM(M88:M89)</f>
        <v>#REF!</v>
      </c>
      <c r="N90" s="215"/>
      <c r="O90" s="212" t="e">
        <f>SUM(O88:O89)</f>
        <v>#REF!</v>
      </c>
      <c r="P90" s="213" t="e">
        <f>SUM(P88:P89)</f>
        <v>#REF!</v>
      </c>
      <c r="Q90" s="214" t="e">
        <f>SUM(Q88:Q89)</f>
        <v>#REF!</v>
      </c>
    </row>
    <row r="91" spans="1:17" ht="3" customHeight="1" x14ac:dyDescent="0.3">
      <c r="A91" s="38"/>
      <c r="C91" s="39"/>
      <c r="D91" s="40"/>
      <c r="E91" s="38"/>
      <c r="F91" s="41"/>
    </row>
    <row r="92" spans="1:17" x14ac:dyDescent="0.2">
      <c r="A92" s="43"/>
      <c r="C92" s="41"/>
      <c r="D92" s="40"/>
      <c r="E92" s="41"/>
      <c r="F92" s="41"/>
    </row>
    <row r="93" spans="1:17" ht="13.5" customHeight="1" x14ac:dyDescent="0.2">
      <c r="A93" s="42"/>
      <c r="D93" s="44"/>
      <c r="E93" s="44"/>
      <c r="F93" s="44"/>
      <c r="G93" s="217"/>
      <c r="H93" s="217"/>
      <c r="I93" s="217"/>
      <c r="J93" s="217"/>
      <c r="K93" s="217"/>
      <c r="L93" s="217"/>
      <c r="M93" s="217"/>
    </row>
    <row r="94" spans="1:17" ht="13.5" customHeight="1" x14ac:dyDescent="0.2">
      <c r="A94" s="42"/>
      <c r="D94" s="44"/>
      <c r="E94" s="44"/>
      <c r="F94" s="44"/>
      <c r="G94" s="217"/>
      <c r="H94" s="217"/>
      <c r="I94" s="217"/>
      <c r="J94" s="217"/>
      <c r="K94" s="217"/>
      <c r="L94" s="217"/>
      <c r="M94" s="217"/>
    </row>
    <row r="95" spans="1:17" ht="13.8" x14ac:dyDescent="0.3">
      <c r="C95" s="345" t="s">
        <v>111</v>
      </c>
      <c r="D95" s="346"/>
      <c r="E95" s="347"/>
      <c r="G95" s="218" t="s">
        <v>112</v>
      </c>
      <c r="H95" s="219"/>
      <c r="I95" s="219"/>
      <c r="J95" s="219"/>
      <c r="K95" s="219"/>
      <c r="L95" s="219"/>
      <c r="M95" s="219"/>
    </row>
    <row r="96" spans="1:17" x14ac:dyDescent="0.2">
      <c r="C96" s="68" t="s">
        <v>87</v>
      </c>
      <c r="D96" s="69"/>
      <c r="E96" s="70">
        <v>0</v>
      </c>
      <c r="G96" s="220" t="s">
        <v>88</v>
      </c>
      <c r="H96" s="221"/>
      <c r="I96" s="221"/>
      <c r="J96" s="221"/>
      <c r="K96" s="221"/>
      <c r="L96" s="221"/>
      <c r="M96" s="222">
        <v>0</v>
      </c>
    </row>
    <row r="97" spans="3:13" x14ac:dyDescent="0.2">
      <c r="C97" s="68" t="s">
        <v>89</v>
      </c>
      <c r="D97" s="69"/>
      <c r="E97" s="70">
        <v>0</v>
      </c>
      <c r="G97" s="220" t="s">
        <v>90</v>
      </c>
      <c r="H97" s="221"/>
      <c r="I97" s="221"/>
      <c r="J97" s="221"/>
      <c r="K97" s="221"/>
      <c r="L97" s="221"/>
      <c r="M97" s="223">
        <v>0</v>
      </c>
    </row>
    <row r="98" spans="3:13" x14ac:dyDescent="0.2">
      <c r="C98" s="68" t="s">
        <v>91</v>
      </c>
      <c r="D98" s="69"/>
      <c r="E98" s="70">
        <v>0</v>
      </c>
      <c r="G98" s="220" t="s">
        <v>81</v>
      </c>
      <c r="H98" s="221"/>
      <c r="I98" s="221"/>
      <c r="J98" s="221"/>
      <c r="K98" s="221"/>
      <c r="L98" s="221"/>
      <c r="M98" s="223"/>
    </row>
    <row r="99" spans="3:13" x14ac:dyDescent="0.2">
      <c r="C99" s="71"/>
      <c r="D99" s="72"/>
      <c r="E99" s="73"/>
      <c r="G99" s="224"/>
      <c r="H99" s="225"/>
      <c r="I99" s="225"/>
      <c r="J99" s="225"/>
      <c r="K99" s="225"/>
      <c r="L99" s="225"/>
      <c r="M99" s="226"/>
    </row>
    <row r="100" spans="3:13" ht="13.8" x14ac:dyDescent="0.3">
      <c r="C100" s="74" t="s">
        <v>92</v>
      </c>
      <c r="D100" s="75"/>
      <c r="E100" s="76">
        <f>SUM(E96:E99)</f>
        <v>0</v>
      </c>
      <c r="G100" s="227" t="s">
        <v>92</v>
      </c>
      <c r="H100" s="228"/>
      <c r="I100" s="228"/>
      <c r="J100" s="228"/>
      <c r="K100" s="228"/>
      <c r="L100" s="228"/>
      <c r="M100" s="229" t="e">
        <f>+#REF!+M97+M96+#REF!</f>
        <v>#REF!</v>
      </c>
    </row>
    <row r="103" spans="3:13" ht="13.8" x14ac:dyDescent="0.3">
      <c r="C103" s="77" t="s">
        <v>93</v>
      </c>
      <c r="D103" s="78"/>
      <c r="E103" s="79">
        <v>0</v>
      </c>
      <c r="G103" s="230" t="s">
        <v>93</v>
      </c>
      <c r="H103" s="231"/>
      <c r="I103" s="231"/>
      <c r="J103" s="231"/>
      <c r="K103" s="231"/>
      <c r="L103" s="231"/>
      <c r="M103" s="232">
        <v>0</v>
      </c>
    </row>
    <row r="104" spans="3:13" ht="13.8" x14ac:dyDescent="0.3">
      <c r="C104" s="77" t="s">
        <v>94</v>
      </c>
      <c r="D104" s="77"/>
      <c r="E104" s="80">
        <v>0</v>
      </c>
      <c r="F104" s="81"/>
      <c r="G104" s="230" t="s">
        <v>94</v>
      </c>
      <c r="H104" s="230"/>
      <c r="I104" s="230"/>
      <c r="J104" s="230"/>
      <c r="K104" s="230"/>
      <c r="L104" s="230"/>
      <c r="M104" s="233">
        <v>0</v>
      </c>
    </row>
    <row r="105" spans="3:13" ht="13.8" x14ac:dyDescent="0.3">
      <c r="C105" s="77"/>
      <c r="D105" s="77"/>
      <c r="E105" s="82"/>
      <c r="F105" s="81"/>
      <c r="G105" s="230"/>
      <c r="H105" s="230"/>
      <c r="I105" s="230"/>
      <c r="J105" s="230"/>
      <c r="K105" s="230"/>
      <c r="L105" s="230"/>
      <c r="M105" s="234"/>
    </row>
    <row r="106" spans="3:13" ht="14.4" thickBot="1" x14ac:dyDescent="0.25">
      <c r="C106" s="83" t="s">
        <v>95</v>
      </c>
      <c r="D106" s="84"/>
      <c r="E106" s="85">
        <f>+E104-E103</f>
        <v>0</v>
      </c>
      <c r="F106" s="81"/>
      <c r="G106" s="235" t="s">
        <v>95</v>
      </c>
      <c r="H106" s="236"/>
      <c r="I106" s="236"/>
      <c r="J106" s="236"/>
      <c r="K106" s="236"/>
      <c r="L106" s="236"/>
      <c r="M106" s="237">
        <f>+M104-M103</f>
        <v>0</v>
      </c>
    </row>
    <row r="107" spans="3:13" ht="10.8" thickTop="1" x14ac:dyDescent="0.2"/>
  </sheetData>
  <mergeCells count="7">
    <mergeCell ref="K6:M6"/>
    <mergeCell ref="O6:Q6"/>
    <mergeCell ref="C95:E95"/>
    <mergeCell ref="C5:E5"/>
    <mergeCell ref="C6:E6"/>
    <mergeCell ref="G5:I5"/>
    <mergeCell ref="G6:I6"/>
  </mergeCells>
  <phoneticPr fontId="0" type="noConversion"/>
  <printOptions horizontalCentered="1"/>
  <pageMargins left="0.25" right="0.25" top="0.2" bottom="0.16" header="0.17" footer="0.18"/>
  <pageSetup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124"/>
  <sheetViews>
    <sheetView tabSelected="1" workbookViewId="0">
      <pane ySplit="8" topLeftCell="A9" activePane="bottomLeft" state="frozen"/>
      <selection activeCell="A71" sqref="A71:I71"/>
      <selection pane="bottomLeft" activeCell="A3" sqref="A3"/>
    </sheetView>
  </sheetViews>
  <sheetFormatPr defaultColWidth="9.109375" defaultRowHeight="10.199999999999999" x14ac:dyDescent="0.2"/>
  <cols>
    <col min="1" max="1" width="29" style="10" customWidth="1"/>
    <col min="2" max="2" width="0.88671875" style="10" customWidth="1"/>
    <col min="3" max="4" width="8.6640625" style="10" customWidth="1"/>
    <col min="5" max="5" width="10.109375" style="10" customWidth="1"/>
    <col min="6" max="6" width="0.88671875" style="10" customWidth="1"/>
    <col min="7" max="7" width="9.33203125" style="216" customWidth="1"/>
    <col min="8" max="8" width="9" style="216" customWidth="1"/>
    <col min="9" max="9" width="8.6640625" style="216" customWidth="1"/>
    <col min="10" max="10" width="1" style="216" customWidth="1"/>
    <col min="11" max="12" width="8.6640625" style="216" customWidth="1"/>
    <col min="13" max="13" width="8.88671875" style="216" customWidth="1"/>
    <col min="14" max="14" width="0.88671875" style="216" customWidth="1"/>
    <col min="15" max="17" width="8.6640625" style="216" customWidth="1"/>
    <col min="18" max="18" width="0.88671875" style="10" customWidth="1"/>
    <col min="19" max="19" width="8.6640625" style="10" customWidth="1"/>
    <col min="20" max="23" width="7.6640625" style="10" customWidth="1"/>
    <col min="24" max="25" width="8.6640625" style="10" customWidth="1"/>
    <col min="26" max="26" width="0.88671875" style="10" customWidth="1"/>
    <col min="27" max="16384" width="9.109375" style="10"/>
  </cols>
  <sheetData>
    <row r="1" spans="1:26" s="2" customFormat="1" ht="9.9" customHeight="1" x14ac:dyDescent="0.3">
      <c r="A1"/>
      <c r="B1"/>
      <c r="C1"/>
      <c r="D1"/>
      <c r="E1"/>
      <c r="F1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5">
      <c r="A2" s="3" t="s">
        <v>70</v>
      </c>
      <c r="B2" s="4"/>
      <c r="C2" s="4"/>
      <c r="D2" s="4"/>
      <c r="E2" s="4"/>
      <c r="F2" s="4"/>
      <c r="G2" s="175"/>
      <c r="H2" s="175"/>
      <c r="I2" s="175"/>
      <c r="J2" s="175"/>
      <c r="K2" s="175"/>
      <c r="L2" s="357" t="s">
        <v>139</v>
      </c>
      <c r="M2" s="357"/>
      <c r="N2" s="357"/>
      <c r="O2" s="357"/>
      <c r="P2" s="357"/>
      <c r="Q2" s="357"/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25">
      <c r="A3" t="s">
        <v>85</v>
      </c>
      <c r="B3"/>
      <c r="C3"/>
      <c r="D3"/>
      <c r="E3"/>
      <c r="F3"/>
      <c r="G3" s="175"/>
      <c r="H3" s="186"/>
      <c r="I3" s="186"/>
      <c r="J3" s="186"/>
      <c r="K3" s="186"/>
      <c r="M3" s="186"/>
      <c r="N3" s="186"/>
      <c r="O3" s="186"/>
      <c r="P3" s="186"/>
      <c r="Q3" s="186" t="s">
        <v>163</v>
      </c>
      <c r="R3"/>
      <c r="S3"/>
      <c r="T3"/>
      <c r="U3"/>
      <c r="V3"/>
      <c r="W3"/>
      <c r="X3"/>
      <c r="Z3" s="6"/>
    </row>
    <row r="4" spans="1:26" s="2" customFormat="1" ht="15.75" customHeight="1" x14ac:dyDescent="0.25">
      <c r="A4"/>
      <c r="B4"/>
      <c r="C4"/>
      <c r="D4"/>
      <c r="E4"/>
      <c r="F4"/>
      <c r="G4" s="175"/>
      <c r="H4" s="186"/>
      <c r="I4" s="186"/>
      <c r="J4" s="186"/>
      <c r="K4" s="186"/>
      <c r="L4" s="186"/>
      <c r="M4" s="186"/>
      <c r="N4" s="186"/>
      <c r="O4" s="186"/>
      <c r="P4" s="186"/>
      <c r="Q4" s="186"/>
      <c r="R4"/>
      <c r="S4"/>
      <c r="T4"/>
      <c r="U4"/>
      <c r="V4"/>
      <c r="W4"/>
      <c r="X4"/>
      <c r="Z4" s="6"/>
    </row>
    <row r="5" spans="1:26" s="2" customFormat="1" ht="15" customHeight="1" thickBot="1" x14ac:dyDescent="0.35">
      <c r="A5"/>
      <c r="B5"/>
      <c r="C5"/>
      <c r="D5"/>
      <c r="E5"/>
      <c r="F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/>
      <c r="S5"/>
      <c r="T5"/>
      <c r="U5"/>
      <c r="V5"/>
      <c r="W5"/>
      <c r="X5"/>
      <c r="Y5"/>
      <c r="Z5" s="7"/>
    </row>
    <row r="6" spans="1:26" s="8" customFormat="1" ht="15" customHeight="1" x14ac:dyDescent="0.2">
      <c r="A6" s="45"/>
      <c r="B6" s="94"/>
      <c r="C6" s="348" t="s">
        <v>0</v>
      </c>
      <c r="D6" s="349"/>
      <c r="E6" s="350"/>
      <c r="F6" s="94"/>
      <c r="G6" s="354" t="s">
        <v>121</v>
      </c>
      <c r="H6" s="355"/>
      <c r="I6" s="356"/>
      <c r="J6" s="94"/>
      <c r="K6" s="354" t="s">
        <v>122</v>
      </c>
      <c r="L6" s="355"/>
      <c r="M6" s="356"/>
      <c r="N6" s="94"/>
      <c r="O6" s="354" t="s">
        <v>1</v>
      </c>
      <c r="P6" s="355"/>
      <c r="Q6" s="356"/>
    </row>
    <row r="7" spans="1:26" s="8" customFormat="1" ht="14.25" customHeight="1" thickBot="1" x14ac:dyDescent="0.35">
      <c r="A7" s="248" t="s">
        <v>2</v>
      </c>
      <c r="B7" s="9"/>
      <c r="C7" s="361"/>
      <c r="D7" s="362"/>
      <c r="E7" s="363"/>
      <c r="F7" s="9"/>
      <c r="G7" s="358" t="s">
        <v>114</v>
      </c>
      <c r="H7" s="359"/>
      <c r="I7" s="360"/>
      <c r="J7" s="9"/>
      <c r="K7" s="358" t="s">
        <v>123</v>
      </c>
      <c r="L7" s="359"/>
      <c r="M7" s="360"/>
      <c r="N7" s="9"/>
      <c r="O7" s="358"/>
      <c r="P7" s="359"/>
      <c r="Q7" s="360"/>
    </row>
    <row r="8" spans="1:26" ht="18" customHeight="1" thickBot="1" x14ac:dyDescent="0.35">
      <c r="A8" s="46"/>
      <c r="B8" s="9"/>
      <c r="C8" s="243" t="s">
        <v>3</v>
      </c>
      <c r="D8" s="244" t="s">
        <v>4</v>
      </c>
      <c r="E8" s="245" t="s">
        <v>5</v>
      </c>
      <c r="F8" s="9"/>
      <c r="G8" s="241" t="s">
        <v>6</v>
      </c>
      <c r="H8" s="242" t="s">
        <v>4</v>
      </c>
      <c r="I8" s="242" t="s">
        <v>5</v>
      </c>
      <c r="J8" s="9"/>
      <c r="K8" s="241" t="s">
        <v>6</v>
      </c>
      <c r="L8" s="242" t="s">
        <v>4</v>
      </c>
      <c r="M8" s="242" t="s">
        <v>5</v>
      </c>
      <c r="N8" s="9"/>
      <c r="O8" s="241" t="s">
        <v>6</v>
      </c>
      <c r="P8" s="242" t="s">
        <v>4</v>
      </c>
      <c r="Q8" s="246" t="s">
        <v>5</v>
      </c>
    </row>
    <row r="9" spans="1:26" ht="6" customHeight="1" x14ac:dyDescent="0.2">
      <c r="A9" s="11"/>
      <c r="B9" s="9"/>
      <c r="C9" s="12"/>
      <c r="D9" s="13"/>
      <c r="E9" s="14"/>
      <c r="F9" s="15"/>
      <c r="G9" s="12"/>
      <c r="H9" s="192"/>
      <c r="I9" s="192"/>
      <c r="J9" s="9"/>
      <c r="K9" s="192"/>
      <c r="L9" s="192"/>
      <c r="M9" s="192"/>
      <c r="N9" s="9"/>
      <c r="O9" s="191"/>
      <c r="P9" s="192"/>
      <c r="Q9" s="194"/>
    </row>
    <row r="10" spans="1:26" s="18" customFormat="1" ht="12.75" customHeight="1" x14ac:dyDescent="0.2">
      <c r="A10" s="11" t="s">
        <v>149</v>
      </c>
      <c r="B10" s="17"/>
      <c r="C10" s="153">
        <f>GrossMargin!I8</f>
        <v>-3151</v>
      </c>
      <c r="D10" s="154">
        <f>GrossMargin!M8</f>
        <v>8750</v>
      </c>
      <c r="E10" s="294">
        <f t="shared" ref="E10:E20" si="0">-D10+C10</f>
        <v>-11901</v>
      </c>
      <c r="F10" s="23"/>
      <c r="G10" s="240">
        <f>Expenses!C8+Expenses!G8</f>
        <v>1006</v>
      </c>
      <c r="H10" s="240">
        <f>Expenses!D8+Expenses!H8</f>
        <v>1006</v>
      </c>
      <c r="I10" s="292">
        <f>G10-H10</f>
        <v>0</v>
      </c>
      <c r="J10" s="9"/>
      <c r="K10" s="295">
        <f>CapChrg!C8+'[3]QTD Mgmt Summary'!K9</f>
        <v>0</v>
      </c>
      <c r="L10" s="296">
        <f>CapChrg!D8</f>
        <v>0</v>
      </c>
      <c r="M10" s="292">
        <f>K10-L10</f>
        <v>0</v>
      </c>
      <c r="N10" s="203"/>
      <c r="O10" s="195">
        <f>C10-G10-K10</f>
        <v>-4157</v>
      </c>
      <c r="P10" s="196">
        <f>(D10-H10-L10)</f>
        <v>7744</v>
      </c>
      <c r="Q10" s="200">
        <f>O10-P10</f>
        <v>-11901</v>
      </c>
    </row>
    <row r="11" spans="1:26" s="18" customFormat="1" ht="12.75" customHeight="1" x14ac:dyDescent="0.2">
      <c r="A11" s="11" t="s">
        <v>155</v>
      </c>
      <c r="B11" s="19"/>
      <c r="C11" s="240">
        <f>GrossMargin!I9</f>
        <v>-2203</v>
      </c>
      <c r="D11" s="240">
        <f>GrossMargin!M9</f>
        <v>20000</v>
      </c>
      <c r="E11" s="293">
        <f t="shared" si="0"/>
        <v>-22203</v>
      </c>
      <c r="F11" s="23"/>
      <c r="G11" s="240">
        <f>Expenses!C9+Expenses!G9</f>
        <v>1494</v>
      </c>
      <c r="H11" s="240">
        <f>Expenses!D9+Expenses!H9</f>
        <v>1494</v>
      </c>
      <c r="I11" s="292">
        <f t="shared" ref="I11:I20" si="1">G11-H11</f>
        <v>0</v>
      </c>
      <c r="J11" s="9"/>
      <c r="K11" s="295">
        <f>CapChrg!C9</f>
        <v>75</v>
      </c>
      <c r="L11" s="296">
        <f>CapChrg!D9</f>
        <v>0</v>
      </c>
      <c r="M11" s="292">
        <f t="shared" ref="M11:M20" si="2">K11-L11</f>
        <v>75</v>
      </c>
      <c r="N11" s="203"/>
      <c r="O11" s="201">
        <f>C11-G11-K11</f>
        <v>-3772</v>
      </c>
      <c r="P11" s="202">
        <f>D11-H11-L11</f>
        <v>18506</v>
      </c>
      <c r="Q11" s="198">
        <f>O11-P11</f>
        <v>-22278</v>
      </c>
    </row>
    <row r="12" spans="1:26" ht="12" customHeight="1" x14ac:dyDescent="0.2">
      <c r="A12" s="11" t="s">
        <v>22</v>
      </c>
      <c r="B12" s="20"/>
      <c r="C12" s="240">
        <f>GrossMargin!I10</f>
        <v>83176</v>
      </c>
      <c r="D12" s="240">
        <f>GrossMargin!M10</f>
        <v>20000</v>
      </c>
      <c r="E12" s="293">
        <f t="shared" si="0"/>
        <v>63176</v>
      </c>
      <c r="F12" s="23"/>
      <c r="G12" s="240">
        <f>Expenses!C10+Expenses!G10</f>
        <v>1457</v>
      </c>
      <c r="H12" s="240">
        <f>Expenses!D10+Expenses!H10</f>
        <v>1457</v>
      </c>
      <c r="I12" s="292">
        <f t="shared" si="1"/>
        <v>0</v>
      </c>
      <c r="J12" s="9"/>
      <c r="K12" s="295">
        <f>CapChrg!C10</f>
        <v>0</v>
      </c>
      <c r="L12" s="296">
        <f>CapChrg!D10</f>
        <v>0</v>
      </c>
      <c r="M12" s="292">
        <f t="shared" si="2"/>
        <v>0</v>
      </c>
      <c r="N12" s="203"/>
      <c r="O12" s="201">
        <f t="shared" ref="O12:O20" si="3">C12-G12-K12</f>
        <v>81719</v>
      </c>
      <c r="P12" s="202">
        <f t="shared" ref="P12:P20" si="4">D12-H12-L12</f>
        <v>18543</v>
      </c>
      <c r="Q12" s="198">
        <f t="shared" ref="Q12:Q20" si="5">O12-P12</f>
        <v>63176</v>
      </c>
    </row>
    <row r="13" spans="1:26" ht="12" customHeight="1" x14ac:dyDescent="0.2">
      <c r="A13" s="11" t="s">
        <v>148</v>
      </c>
      <c r="B13" s="20"/>
      <c r="C13" s="240">
        <f>GrossMargin!I11</f>
        <v>87177</v>
      </c>
      <c r="D13" s="240">
        <f>GrossMargin!M11</f>
        <v>20000</v>
      </c>
      <c r="E13" s="293">
        <f t="shared" si="0"/>
        <v>67177</v>
      </c>
      <c r="F13" s="23"/>
      <c r="G13" s="240">
        <f>Expenses!C11+Expenses!G11</f>
        <v>1885</v>
      </c>
      <c r="H13" s="240">
        <f>Expenses!D11+Expenses!H11</f>
        <v>1885</v>
      </c>
      <c r="I13" s="292">
        <f t="shared" si="1"/>
        <v>0</v>
      </c>
      <c r="J13" s="9"/>
      <c r="K13" s="295">
        <f>CapChrg!C11</f>
        <v>0</v>
      </c>
      <c r="L13" s="202">
        <f>CapChrg!D11</f>
        <v>0</v>
      </c>
      <c r="M13" s="292">
        <f t="shared" si="2"/>
        <v>0</v>
      </c>
      <c r="N13" s="203"/>
      <c r="O13" s="201">
        <f t="shared" si="3"/>
        <v>85292</v>
      </c>
      <c r="P13" s="202">
        <f t="shared" si="4"/>
        <v>18115</v>
      </c>
      <c r="Q13" s="198">
        <f t="shared" si="5"/>
        <v>67177</v>
      </c>
    </row>
    <row r="14" spans="1:26" ht="12" customHeight="1" x14ac:dyDescent="0.2">
      <c r="A14" s="11" t="s">
        <v>24</v>
      </c>
      <c r="B14" s="20"/>
      <c r="C14" s="240">
        <f>GrossMargin!I12</f>
        <v>32523</v>
      </c>
      <c r="D14" s="240">
        <f>GrossMargin!M12</f>
        <v>6250</v>
      </c>
      <c r="E14" s="293">
        <f t="shared" si="0"/>
        <v>26273</v>
      </c>
      <c r="F14" s="23"/>
      <c r="G14" s="240">
        <f>Expenses!C12+Expenses!G12</f>
        <v>2583</v>
      </c>
      <c r="H14" s="240">
        <f>Expenses!D12+Expenses!H13</f>
        <v>2583</v>
      </c>
      <c r="I14" s="292">
        <f t="shared" si="1"/>
        <v>0</v>
      </c>
      <c r="J14" s="9"/>
      <c r="K14" s="295">
        <f>CapChrg!C12</f>
        <v>0</v>
      </c>
      <c r="L14" s="202">
        <f>CapChrg!D12</f>
        <v>0</v>
      </c>
      <c r="M14" s="292">
        <f t="shared" si="2"/>
        <v>0</v>
      </c>
      <c r="N14" s="203"/>
      <c r="O14" s="201">
        <f t="shared" si="3"/>
        <v>29940</v>
      </c>
      <c r="P14" s="202">
        <f t="shared" si="4"/>
        <v>3667</v>
      </c>
      <c r="Q14" s="198">
        <f t="shared" si="5"/>
        <v>26273</v>
      </c>
    </row>
    <row r="15" spans="1:26" ht="12" customHeight="1" x14ac:dyDescent="0.2">
      <c r="A15" s="11" t="s">
        <v>150</v>
      </c>
      <c r="B15" s="20"/>
      <c r="C15" s="240">
        <f>GrossMargin!I13</f>
        <v>12644</v>
      </c>
      <c r="D15" s="240">
        <f>GrossMargin!M13</f>
        <v>0</v>
      </c>
      <c r="E15" s="293">
        <f t="shared" si="0"/>
        <v>12644</v>
      </c>
      <c r="F15" s="23"/>
      <c r="G15" s="240">
        <f>Expenses!C13+Expenses!G13</f>
        <v>0</v>
      </c>
      <c r="H15" s="240">
        <f>Expenses!D13+Expenses!H14</f>
        <v>0</v>
      </c>
      <c r="I15" s="292">
        <f t="shared" si="1"/>
        <v>0</v>
      </c>
      <c r="J15" s="9"/>
      <c r="K15" s="295">
        <f>CapChrg!C13</f>
        <v>0</v>
      </c>
      <c r="L15" s="202">
        <f>CapChrg!D13</f>
        <v>0</v>
      </c>
      <c r="M15" s="292">
        <f t="shared" si="2"/>
        <v>0</v>
      </c>
      <c r="N15" s="203"/>
      <c r="O15" s="201">
        <f t="shared" si="3"/>
        <v>12644</v>
      </c>
      <c r="P15" s="202">
        <f t="shared" si="4"/>
        <v>0</v>
      </c>
      <c r="Q15" s="198">
        <f t="shared" si="5"/>
        <v>12644</v>
      </c>
    </row>
    <row r="16" spans="1:26" ht="12" customHeight="1" x14ac:dyDescent="0.2">
      <c r="A16" s="11" t="s">
        <v>151</v>
      </c>
      <c r="B16" s="20"/>
      <c r="C16" s="240">
        <f>GrossMargin!I14</f>
        <v>1156</v>
      </c>
      <c r="D16" s="240">
        <f>GrossMargin!M14</f>
        <v>0</v>
      </c>
      <c r="E16" s="293">
        <f t="shared" si="0"/>
        <v>1156</v>
      </c>
      <c r="F16" s="23"/>
      <c r="G16" s="240">
        <f>Expenses!C14+Expenses!G14</f>
        <v>0</v>
      </c>
      <c r="H16" s="240">
        <f>Expenses!D14+Expenses!H15</f>
        <v>0</v>
      </c>
      <c r="I16" s="292">
        <f t="shared" si="1"/>
        <v>0</v>
      </c>
      <c r="J16" s="9"/>
      <c r="K16" s="295">
        <f>CapChrg!C14</f>
        <v>0</v>
      </c>
      <c r="L16" s="202">
        <f>CapChrg!D14</f>
        <v>0</v>
      </c>
      <c r="M16" s="292">
        <f t="shared" si="2"/>
        <v>0</v>
      </c>
      <c r="N16" s="203"/>
      <c r="O16" s="201">
        <f t="shared" si="3"/>
        <v>1156</v>
      </c>
      <c r="P16" s="202">
        <f t="shared" si="4"/>
        <v>0</v>
      </c>
      <c r="Q16" s="198">
        <f t="shared" si="5"/>
        <v>1156</v>
      </c>
    </row>
    <row r="17" spans="1:17" ht="12" customHeight="1" x14ac:dyDescent="0.2">
      <c r="A17" s="11" t="s">
        <v>64</v>
      </c>
      <c r="B17" s="20"/>
      <c r="C17" s="240">
        <f>GrossMargin!I15</f>
        <v>-3756</v>
      </c>
      <c r="D17" s="240">
        <f>GrossMargin!M15</f>
        <v>-5000</v>
      </c>
      <c r="E17" s="293">
        <f t="shared" si="0"/>
        <v>1244</v>
      </c>
      <c r="F17" s="23"/>
      <c r="G17" s="240">
        <f>Expenses!C15+Expenses!G15</f>
        <v>156</v>
      </c>
      <c r="H17" s="240">
        <f>Expenses!D15+Expenses!H16</f>
        <v>156</v>
      </c>
      <c r="I17" s="292">
        <f t="shared" si="1"/>
        <v>0</v>
      </c>
      <c r="J17" s="9"/>
      <c r="K17" s="295">
        <f>CapChrg!C15</f>
        <v>0</v>
      </c>
      <c r="L17" s="202">
        <f>CapChrg!D15</f>
        <v>0</v>
      </c>
      <c r="M17" s="292">
        <f t="shared" si="2"/>
        <v>0</v>
      </c>
      <c r="N17" s="203"/>
      <c r="O17" s="201">
        <f t="shared" si="3"/>
        <v>-3912</v>
      </c>
      <c r="P17" s="202">
        <f t="shared" si="4"/>
        <v>-5156</v>
      </c>
      <c r="Q17" s="198">
        <f t="shared" si="5"/>
        <v>1244</v>
      </c>
    </row>
    <row r="18" spans="1:17" ht="12" customHeight="1" x14ac:dyDescent="0.2">
      <c r="A18" s="11" t="s">
        <v>27</v>
      </c>
      <c r="B18" s="20"/>
      <c r="C18" s="240">
        <f>GrossMargin!I16</f>
        <v>8484</v>
      </c>
      <c r="D18" s="240">
        <f>GrossMargin!M16</f>
        <v>6000</v>
      </c>
      <c r="E18" s="293">
        <f t="shared" si="0"/>
        <v>2484</v>
      </c>
      <c r="F18" s="23"/>
      <c r="G18" s="240">
        <f>Expenses!C16+Expenses!G16</f>
        <v>2096</v>
      </c>
      <c r="H18" s="240">
        <f>Expenses!D16+Expenses!H16</f>
        <v>2096</v>
      </c>
      <c r="I18" s="292">
        <f t="shared" si="1"/>
        <v>0</v>
      </c>
      <c r="J18" s="9"/>
      <c r="K18" s="295">
        <f>CapChrg!C16</f>
        <v>277</v>
      </c>
      <c r="L18" s="202">
        <f>CapChrg!D16</f>
        <v>236</v>
      </c>
      <c r="M18" s="292">
        <f t="shared" si="2"/>
        <v>41</v>
      </c>
      <c r="N18" s="203"/>
      <c r="O18" s="201">
        <f t="shared" si="3"/>
        <v>6111</v>
      </c>
      <c r="P18" s="202">
        <f t="shared" si="4"/>
        <v>3668</v>
      </c>
      <c r="Q18" s="198">
        <f t="shared" si="5"/>
        <v>2443</v>
      </c>
    </row>
    <row r="19" spans="1:17" ht="12" customHeight="1" x14ac:dyDescent="0.2">
      <c r="A19" s="11" t="s">
        <v>156</v>
      </c>
      <c r="B19" s="20"/>
      <c r="C19" s="322">
        <f>GrossMargin!I17</f>
        <v>0</v>
      </c>
      <c r="D19" s="297">
        <f>GrossMargin!M17</f>
        <v>0</v>
      </c>
      <c r="E19" s="293">
        <f t="shared" si="0"/>
        <v>0</v>
      </c>
      <c r="F19" s="23"/>
      <c r="G19" s="240">
        <f>Expenses!C17+Expenses!G17</f>
        <v>730</v>
      </c>
      <c r="H19" s="240">
        <f>Expenses!D17+Expenses!H17</f>
        <v>730</v>
      </c>
      <c r="I19" s="292">
        <f t="shared" si="1"/>
        <v>0</v>
      </c>
      <c r="J19" s="9"/>
      <c r="K19" s="295">
        <f>CapChrg!C17</f>
        <v>0</v>
      </c>
      <c r="L19" s="202">
        <f>CapChrg!D17</f>
        <v>0</v>
      </c>
      <c r="M19" s="292">
        <f t="shared" si="2"/>
        <v>0</v>
      </c>
      <c r="N19" s="203"/>
      <c r="O19" s="201">
        <f t="shared" si="3"/>
        <v>-730</v>
      </c>
      <c r="P19" s="202">
        <f t="shared" si="4"/>
        <v>-730</v>
      </c>
      <c r="Q19" s="198">
        <f t="shared" si="5"/>
        <v>0</v>
      </c>
    </row>
    <row r="20" spans="1:17" ht="12" customHeight="1" x14ac:dyDescent="0.2">
      <c r="A20" s="11" t="s">
        <v>29</v>
      </c>
      <c r="B20" s="20"/>
      <c r="C20" s="297">
        <f>GrossMargin!I18</f>
        <v>0</v>
      </c>
      <c r="D20" s="297">
        <f>GrossMargin!M18</f>
        <v>0</v>
      </c>
      <c r="E20" s="293">
        <f t="shared" si="0"/>
        <v>0</v>
      </c>
      <c r="F20" s="23"/>
      <c r="G20" s="240">
        <f>Expenses!C18+Expenses!G18</f>
        <v>734</v>
      </c>
      <c r="H20" s="240">
        <f>Expenses!D18+Expenses!H18</f>
        <v>734</v>
      </c>
      <c r="I20" s="292">
        <f t="shared" si="1"/>
        <v>0</v>
      </c>
      <c r="J20" s="9"/>
      <c r="K20" s="295">
        <f>CapChrg!C18</f>
        <v>0</v>
      </c>
      <c r="L20" s="202">
        <f>CapChrg!D18</f>
        <v>0</v>
      </c>
      <c r="M20" s="292">
        <f t="shared" si="2"/>
        <v>0</v>
      </c>
      <c r="N20" s="203"/>
      <c r="O20" s="201">
        <f t="shared" si="3"/>
        <v>-734</v>
      </c>
      <c r="P20" s="202">
        <f t="shared" si="4"/>
        <v>-734</v>
      </c>
      <c r="Q20" s="198">
        <f t="shared" si="5"/>
        <v>0</v>
      </c>
    </row>
    <row r="21" spans="1:17" s="42" customFormat="1" ht="12" customHeight="1" x14ac:dyDescent="0.2">
      <c r="A21" s="25" t="s">
        <v>7</v>
      </c>
      <c r="B21" s="155"/>
      <c r="C21" s="27">
        <f>SUM(C9:C20)</f>
        <v>216050</v>
      </c>
      <c r="D21" s="27">
        <f>SUM(D9:D20)</f>
        <v>76000</v>
      </c>
      <c r="E21" s="28">
        <f>SUM(E9:E20)</f>
        <v>140050</v>
      </c>
      <c r="F21" s="156"/>
      <c r="G21" s="204">
        <f>SUM(G10:G20)</f>
        <v>12141</v>
      </c>
      <c r="H21" s="205">
        <f>SUM(H10:H20)</f>
        <v>12141</v>
      </c>
      <c r="I21" s="205">
        <f>SUM(I10:I20)</f>
        <v>0</v>
      </c>
      <c r="J21" s="9"/>
      <c r="K21" s="205">
        <f>SUM(K10:K20)</f>
        <v>352</v>
      </c>
      <c r="L21" s="205">
        <f>SUM(L10:L20)</f>
        <v>236</v>
      </c>
      <c r="M21" s="206">
        <f>SUM(M10:M20)</f>
        <v>116</v>
      </c>
      <c r="N21" s="207"/>
      <c r="O21" s="204">
        <f>SUM(O10:O20)</f>
        <v>203557</v>
      </c>
      <c r="P21" s="205">
        <f>SUM(P10:P20)</f>
        <v>63623</v>
      </c>
      <c r="Q21" s="206">
        <f>SUM(Q10:Q20)</f>
        <v>139934</v>
      </c>
    </row>
    <row r="22" spans="1:17" ht="7.5" customHeight="1" x14ac:dyDescent="0.2">
      <c r="A22" s="11"/>
      <c r="B22" s="9"/>
      <c r="C22" s="21"/>
      <c r="D22" s="22"/>
      <c r="E22" s="24"/>
      <c r="F22" s="23"/>
      <c r="G22" s="21"/>
      <c r="H22" s="202"/>
      <c r="I22" s="202"/>
      <c r="J22" s="9"/>
      <c r="K22" s="202"/>
      <c r="L22" s="202"/>
      <c r="M22" s="198"/>
      <c r="N22" s="203"/>
      <c r="O22" s="201"/>
      <c r="P22" s="202"/>
      <c r="Q22" s="198"/>
    </row>
    <row r="23" spans="1:17" ht="14.25" customHeight="1" x14ac:dyDescent="0.2">
      <c r="A23" s="11" t="s">
        <v>154</v>
      </c>
      <c r="B23" s="9"/>
      <c r="C23" s="21">
        <f>GrossMargin!I21</f>
        <v>16410</v>
      </c>
      <c r="D23" s="240">
        <f>GrossMargin!M21</f>
        <v>12000</v>
      </c>
      <c r="E23" s="293">
        <f t="shared" ref="E23:E28" si="6">-D23+C23</f>
        <v>4410</v>
      </c>
      <c r="F23" s="23"/>
      <c r="G23" s="240">
        <f>Expenses!C21+Expenses!G21</f>
        <v>1635</v>
      </c>
      <c r="H23" s="240">
        <f>Expenses!D21+Expenses!H21</f>
        <v>1635</v>
      </c>
      <c r="I23" s="292">
        <f t="shared" ref="I23:I28" si="7">G23-H23</f>
        <v>0</v>
      </c>
      <c r="J23" s="9"/>
      <c r="K23" s="240">
        <f>CapChrg!C21</f>
        <v>963</v>
      </c>
      <c r="L23" s="202">
        <f>CapChrg!D21</f>
        <v>111</v>
      </c>
      <c r="M23" s="292">
        <f t="shared" ref="M23:M28" si="8">K23-L23</f>
        <v>852</v>
      </c>
      <c r="N23" s="203"/>
      <c r="O23" s="201">
        <f t="shared" ref="O23:O28" si="9">C23-G23-K23</f>
        <v>13812</v>
      </c>
      <c r="P23" s="202">
        <f t="shared" ref="P23:P28" si="10">D23-H23-L23</f>
        <v>10254</v>
      </c>
      <c r="Q23" s="198">
        <f t="shared" ref="Q23:Q28" si="11">O23-P23</f>
        <v>3558</v>
      </c>
    </row>
    <row r="24" spans="1:17" ht="14.25" customHeight="1" x14ac:dyDescent="0.2">
      <c r="A24" s="11" t="s">
        <v>153</v>
      </c>
      <c r="B24" s="9"/>
      <c r="C24" s="21">
        <f>GrossMargin!I22</f>
        <v>10500</v>
      </c>
      <c r="D24" s="240">
        <f>GrossMargin!M22</f>
        <v>10000</v>
      </c>
      <c r="E24" s="293">
        <f t="shared" si="6"/>
        <v>500</v>
      </c>
      <c r="F24" s="23"/>
      <c r="G24" s="240">
        <f>Expenses!C22+Expenses!G22</f>
        <v>354</v>
      </c>
      <c r="H24" s="240">
        <f>Expenses!D22+Expenses!H22</f>
        <v>354</v>
      </c>
      <c r="I24" s="292">
        <f t="shared" si="7"/>
        <v>0</v>
      </c>
      <c r="J24" s="9"/>
      <c r="K24" s="240">
        <f>CapChrg!C22</f>
        <v>0</v>
      </c>
      <c r="L24" s="202">
        <f>CapChrg!D22</f>
        <v>0</v>
      </c>
      <c r="M24" s="292">
        <f t="shared" si="8"/>
        <v>0</v>
      </c>
      <c r="N24" s="203"/>
      <c r="O24" s="201">
        <f t="shared" si="9"/>
        <v>10146</v>
      </c>
      <c r="P24" s="202">
        <f t="shared" si="10"/>
        <v>9646</v>
      </c>
      <c r="Q24" s="198">
        <f t="shared" si="11"/>
        <v>500</v>
      </c>
    </row>
    <row r="25" spans="1:17" ht="14.25" customHeight="1" x14ac:dyDescent="0.2">
      <c r="A25" s="11" t="s">
        <v>152</v>
      </c>
      <c r="B25" s="9"/>
      <c r="C25" s="21">
        <f>GrossMargin!I23</f>
        <v>42396</v>
      </c>
      <c r="D25" s="240">
        <f>GrossMargin!M23</f>
        <v>6000</v>
      </c>
      <c r="E25" s="293">
        <f t="shared" si="6"/>
        <v>36396</v>
      </c>
      <c r="F25" s="23"/>
      <c r="G25" s="240">
        <f>Expenses!C23+Expenses!G23</f>
        <v>2094</v>
      </c>
      <c r="H25" s="240">
        <f>Expenses!D23+Expenses!H23</f>
        <v>2094</v>
      </c>
      <c r="I25" s="292">
        <f t="shared" si="7"/>
        <v>0</v>
      </c>
      <c r="J25" s="9"/>
      <c r="K25" s="240">
        <f>CapChrg!C23</f>
        <v>2036</v>
      </c>
      <c r="L25" s="202">
        <f>CapChrg!D23</f>
        <v>4139</v>
      </c>
      <c r="M25" s="292">
        <f t="shared" si="8"/>
        <v>-2103</v>
      </c>
      <c r="N25" s="203"/>
      <c r="O25" s="201">
        <f t="shared" si="9"/>
        <v>38266</v>
      </c>
      <c r="P25" s="202">
        <f t="shared" si="10"/>
        <v>-233</v>
      </c>
      <c r="Q25" s="198">
        <f t="shared" si="11"/>
        <v>38499</v>
      </c>
    </row>
    <row r="26" spans="1:17" ht="14.25" customHeight="1" x14ac:dyDescent="0.2">
      <c r="A26" s="11" t="s">
        <v>30</v>
      </c>
      <c r="B26" s="9"/>
      <c r="C26" s="21">
        <f>GrossMargin!I24</f>
        <v>172789</v>
      </c>
      <c r="D26" s="240">
        <f>GrossMargin!M24</f>
        <v>62499</v>
      </c>
      <c r="E26" s="293">
        <f t="shared" si="6"/>
        <v>110290</v>
      </c>
      <c r="F26" s="23"/>
      <c r="G26" s="240">
        <f>Expenses!C24+Expenses!G24</f>
        <v>2702</v>
      </c>
      <c r="H26" s="240">
        <f>Expenses!D24+Expenses!H24</f>
        <v>2702</v>
      </c>
      <c r="I26" s="292">
        <f t="shared" si="7"/>
        <v>0</v>
      </c>
      <c r="J26" s="9"/>
      <c r="K26" s="240">
        <f>CapChrg!C24</f>
        <v>0</v>
      </c>
      <c r="L26" s="202">
        <f>CapChrg!D24</f>
        <v>0</v>
      </c>
      <c r="M26" s="292">
        <f t="shared" si="8"/>
        <v>0</v>
      </c>
      <c r="N26" s="203"/>
      <c r="O26" s="201">
        <f t="shared" si="9"/>
        <v>170087</v>
      </c>
      <c r="P26" s="202">
        <f t="shared" si="10"/>
        <v>59797</v>
      </c>
      <c r="Q26" s="198">
        <f t="shared" si="11"/>
        <v>110290</v>
      </c>
    </row>
    <row r="27" spans="1:17" ht="14.25" customHeight="1" x14ac:dyDescent="0.2">
      <c r="A27" s="11" t="s">
        <v>31</v>
      </c>
      <c r="B27" s="9"/>
      <c r="C27" s="21">
        <f>GrossMargin!I25</f>
        <v>25794</v>
      </c>
      <c r="D27" s="240">
        <f>GrossMargin!M25</f>
        <v>12499</v>
      </c>
      <c r="E27" s="293">
        <f t="shared" si="6"/>
        <v>13295</v>
      </c>
      <c r="F27" s="23"/>
      <c r="G27" s="240">
        <f>Expenses!C25+Expenses!G25</f>
        <v>438</v>
      </c>
      <c r="H27" s="240">
        <f>Expenses!D25+Expenses!H25</f>
        <v>438</v>
      </c>
      <c r="I27" s="292">
        <f t="shared" si="7"/>
        <v>0</v>
      </c>
      <c r="J27" s="9"/>
      <c r="K27" s="240">
        <f>CapChrg!C25</f>
        <v>0</v>
      </c>
      <c r="L27" s="202">
        <f>CapChrg!D25</f>
        <v>0</v>
      </c>
      <c r="M27" s="292">
        <f t="shared" si="8"/>
        <v>0</v>
      </c>
      <c r="N27" s="203"/>
      <c r="O27" s="201">
        <f t="shared" si="9"/>
        <v>25356</v>
      </c>
      <c r="P27" s="202">
        <f t="shared" si="10"/>
        <v>12061</v>
      </c>
      <c r="Q27" s="198">
        <f t="shared" si="11"/>
        <v>13295</v>
      </c>
    </row>
    <row r="28" spans="1:17" ht="14.25" customHeight="1" x14ac:dyDescent="0.2">
      <c r="A28" s="11" t="s">
        <v>157</v>
      </c>
      <c r="B28" s="9"/>
      <c r="C28" s="247">
        <f>GrossMargin!I26</f>
        <v>0</v>
      </c>
      <c r="D28" s="299">
        <f>GrossMargin!M26</f>
        <v>0</v>
      </c>
      <c r="E28" s="300">
        <f t="shared" si="6"/>
        <v>0</v>
      </c>
      <c r="F28" s="23"/>
      <c r="G28" s="240">
        <f>Expenses!C26+Expenses!G26</f>
        <v>273</v>
      </c>
      <c r="H28" s="240">
        <f>Expenses!D26+Expenses!H26</f>
        <v>273</v>
      </c>
      <c r="I28" s="292">
        <f t="shared" si="7"/>
        <v>0</v>
      </c>
      <c r="J28" s="9"/>
      <c r="K28" s="240">
        <f>CapChrg!C26</f>
        <v>0</v>
      </c>
      <c r="L28" s="202">
        <f>CapChrg!D26</f>
        <v>0</v>
      </c>
      <c r="M28" s="292">
        <f t="shared" si="8"/>
        <v>0</v>
      </c>
      <c r="N28" s="203"/>
      <c r="O28" s="201">
        <f t="shared" si="9"/>
        <v>-273</v>
      </c>
      <c r="P28" s="202">
        <f t="shared" si="10"/>
        <v>-273</v>
      </c>
      <c r="Q28" s="198">
        <f t="shared" si="11"/>
        <v>0</v>
      </c>
    </row>
    <row r="29" spans="1:17" s="42" customFormat="1" ht="14.25" customHeight="1" x14ac:dyDescent="0.2">
      <c r="A29" s="25" t="s">
        <v>8</v>
      </c>
      <c r="B29" s="155"/>
      <c r="C29" s="26">
        <f>SUM(C23:C28)</f>
        <v>267889</v>
      </c>
      <c r="D29" s="27">
        <f>SUM(D23:D28)</f>
        <v>102998</v>
      </c>
      <c r="E29" s="28">
        <f>SUM(E23:E28)</f>
        <v>164891</v>
      </c>
      <c r="F29" s="156"/>
      <c r="G29" s="204">
        <f>SUM(G23:G28)</f>
        <v>7496</v>
      </c>
      <c r="H29" s="205">
        <f>SUM(H23:H28)</f>
        <v>7496</v>
      </c>
      <c r="I29" s="205">
        <f>SUM(I23:I28)</f>
        <v>0</v>
      </c>
      <c r="J29" s="9"/>
      <c r="K29" s="205">
        <f>SUM(K23:K28)</f>
        <v>2999</v>
      </c>
      <c r="L29" s="205">
        <f>SUM(L23:L28)</f>
        <v>4250</v>
      </c>
      <c r="M29" s="206">
        <f>SUM(M23:M28)</f>
        <v>-1251</v>
      </c>
      <c r="N29" s="207"/>
      <c r="O29" s="204">
        <f>SUM(O23:O28)</f>
        <v>257394</v>
      </c>
      <c r="P29" s="205">
        <f>SUM(P23:P28)</f>
        <v>91252</v>
      </c>
      <c r="Q29" s="206">
        <f>SUM(Q23:Q28)</f>
        <v>166142</v>
      </c>
    </row>
    <row r="30" spans="1:17" ht="7.5" customHeight="1" x14ac:dyDescent="0.2">
      <c r="A30" s="11"/>
      <c r="B30" s="9"/>
      <c r="C30" s="21"/>
      <c r="D30" s="22"/>
      <c r="E30" s="24"/>
      <c r="F30" s="23"/>
      <c r="G30" s="21"/>
      <c r="H30" s="202"/>
      <c r="I30" s="202"/>
      <c r="J30" s="9"/>
      <c r="K30" s="202"/>
      <c r="L30" s="202"/>
      <c r="M30" s="198"/>
      <c r="N30" s="203"/>
      <c r="O30" s="201"/>
      <c r="P30" s="202"/>
      <c r="Q30" s="198"/>
    </row>
    <row r="31" spans="1:17" x14ac:dyDescent="0.2">
      <c r="A31" s="11" t="s">
        <v>34</v>
      </c>
      <c r="B31" s="9"/>
      <c r="C31" s="21">
        <f>GrossMargin!I29</f>
        <v>-400952</v>
      </c>
      <c r="D31" s="240">
        <f>GrossMargin!M29</f>
        <v>31500</v>
      </c>
      <c r="E31" s="293">
        <f t="shared" ref="E31:E39" si="12">-D31+C31</f>
        <v>-432452</v>
      </c>
      <c r="F31" s="23"/>
      <c r="G31" s="240">
        <f>Expenses!C29</f>
        <v>1804</v>
      </c>
      <c r="H31" s="240">
        <f>Expenses!D29</f>
        <v>1804</v>
      </c>
      <c r="I31" s="292">
        <f t="shared" ref="I31:I39" si="13">G31-H31</f>
        <v>0</v>
      </c>
      <c r="J31" s="9"/>
      <c r="K31" s="240">
        <f>CapChrg!C29</f>
        <v>0</v>
      </c>
      <c r="L31" s="202">
        <f>CapChrg!D29</f>
        <v>0</v>
      </c>
      <c r="M31" s="292">
        <f t="shared" ref="M31:M39" si="14">K31-L31</f>
        <v>0</v>
      </c>
      <c r="N31" s="203"/>
      <c r="O31" s="201">
        <f t="shared" ref="O31:O39" si="15">C31-G31-K31</f>
        <v>-402756</v>
      </c>
      <c r="P31" s="202">
        <f t="shared" ref="P31:P39" si="16">D31-H31-L31</f>
        <v>29696</v>
      </c>
      <c r="Q31" s="198">
        <f t="shared" ref="Q31:Q39" si="17">O31-P31</f>
        <v>-432452</v>
      </c>
    </row>
    <row r="32" spans="1:17" x14ac:dyDescent="0.2">
      <c r="A32" s="11" t="s">
        <v>135</v>
      </c>
      <c r="B32" s="9"/>
      <c r="C32" s="21">
        <f>GrossMargin!I30</f>
        <v>74111</v>
      </c>
      <c r="D32" s="240">
        <f>GrossMargin!M30</f>
        <v>19250</v>
      </c>
      <c r="E32" s="293">
        <f t="shared" si="12"/>
        <v>54861</v>
      </c>
      <c r="F32" s="23"/>
      <c r="G32" s="240">
        <f>Expenses!C30</f>
        <v>2567</v>
      </c>
      <c r="H32" s="240">
        <f>Expenses!D30</f>
        <v>2567</v>
      </c>
      <c r="I32" s="292">
        <f t="shared" si="13"/>
        <v>0</v>
      </c>
      <c r="J32" s="9"/>
      <c r="K32" s="240">
        <f>CapChrg!C30</f>
        <v>370</v>
      </c>
      <c r="L32" s="202">
        <f>CapChrg!D30</f>
        <v>144</v>
      </c>
      <c r="M32" s="292">
        <f t="shared" si="14"/>
        <v>226</v>
      </c>
      <c r="N32" s="203"/>
      <c r="O32" s="201">
        <f t="shared" si="15"/>
        <v>71174</v>
      </c>
      <c r="P32" s="202">
        <f t="shared" si="16"/>
        <v>16539</v>
      </c>
      <c r="Q32" s="198">
        <f t="shared" si="17"/>
        <v>54635</v>
      </c>
    </row>
    <row r="33" spans="1:17" x14ac:dyDescent="0.2">
      <c r="A33" s="11" t="s">
        <v>36</v>
      </c>
      <c r="B33" s="9"/>
      <c r="C33" s="21">
        <f>GrossMargin!I31</f>
        <v>29513</v>
      </c>
      <c r="D33" s="240">
        <f>GrossMargin!M31</f>
        <v>21000</v>
      </c>
      <c r="E33" s="293">
        <f t="shared" si="12"/>
        <v>8513</v>
      </c>
      <c r="F33" s="23"/>
      <c r="G33" s="240">
        <f>Expenses!C31</f>
        <v>2878</v>
      </c>
      <c r="H33" s="240">
        <f>Expenses!D31</f>
        <v>2878</v>
      </c>
      <c r="I33" s="292">
        <f t="shared" si="13"/>
        <v>0</v>
      </c>
      <c r="J33" s="9"/>
      <c r="K33" s="240">
        <f>CapChrg!C31</f>
        <v>208</v>
      </c>
      <c r="L33" s="202">
        <f>CapChrg!D31</f>
        <v>1572</v>
      </c>
      <c r="M33" s="292">
        <f t="shared" si="14"/>
        <v>-1364</v>
      </c>
      <c r="N33" s="203"/>
      <c r="O33" s="201">
        <f t="shared" si="15"/>
        <v>26427</v>
      </c>
      <c r="P33" s="202">
        <f t="shared" si="16"/>
        <v>16550</v>
      </c>
      <c r="Q33" s="198">
        <f t="shared" si="17"/>
        <v>9877</v>
      </c>
    </row>
    <row r="34" spans="1:17" x14ac:dyDescent="0.2">
      <c r="A34" s="11" t="s">
        <v>37</v>
      </c>
      <c r="B34" s="9"/>
      <c r="C34" s="21">
        <f>GrossMargin!I32</f>
        <v>55410</v>
      </c>
      <c r="D34" s="240">
        <f>GrossMargin!M32</f>
        <v>10000</v>
      </c>
      <c r="E34" s="293">
        <f t="shared" si="12"/>
        <v>45410</v>
      </c>
      <c r="F34" s="23"/>
      <c r="G34" s="240">
        <f>Expenses!C32</f>
        <v>1368</v>
      </c>
      <c r="H34" s="240">
        <f>Expenses!D32</f>
        <v>1368</v>
      </c>
      <c r="I34" s="292">
        <f t="shared" si="13"/>
        <v>0</v>
      </c>
      <c r="J34" s="9"/>
      <c r="K34" s="240">
        <f>CapChrg!C32</f>
        <v>0</v>
      </c>
      <c r="L34" s="202">
        <f>CapChrg!D32</f>
        <v>0</v>
      </c>
      <c r="M34" s="292">
        <f t="shared" si="14"/>
        <v>0</v>
      </c>
      <c r="N34" s="203"/>
      <c r="O34" s="201">
        <f t="shared" si="15"/>
        <v>54042</v>
      </c>
      <c r="P34" s="202">
        <f t="shared" si="16"/>
        <v>8632</v>
      </c>
      <c r="Q34" s="198">
        <f t="shared" si="17"/>
        <v>45410</v>
      </c>
    </row>
    <row r="35" spans="1:17" x14ac:dyDescent="0.2">
      <c r="A35" s="11" t="s">
        <v>38</v>
      </c>
      <c r="B35" s="9"/>
      <c r="C35" s="21">
        <f>GrossMargin!I33</f>
        <v>277939</v>
      </c>
      <c r="D35" s="240">
        <f>GrossMargin!M33</f>
        <v>31250</v>
      </c>
      <c r="E35" s="293">
        <f t="shared" si="12"/>
        <v>246689</v>
      </c>
      <c r="F35" s="23"/>
      <c r="G35" s="240">
        <f>Expenses!C33</f>
        <v>402</v>
      </c>
      <c r="H35" s="240">
        <f>Expenses!D33</f>
        <v>402</v>
      </c>
      <c r="I35" s="292">
        <f t="shared" si="13"/>
        <v>0</v>
      </c>
      <c r="J35" s="9"/>
      <c r="K35" s="240">
        <f>CapChrg!C33</f>
        <v>0</v>
      </c>
      <c r="L35" s="202">
        <f>CapChrg!D33</f>
        <v>0</v>
      </c>
      <c r="M35" s="292">
        <f t="shared" si="14"/>
        <v>0</v>
      </c>
      <c r="N35" s="203"/>
      <c r="O35" s="201">
        <f t="shared" si="15"/>
        <v>277537</v>
      </c>
      <c r="P35" s="202">
        <f t="shared" si="16"/>
        <v>30848</v>
      </c>
      <c r="Q35" s="198">
        <f t="shared" si="17"/>
        <v>246689</v>
      </c>
    </row>
    <row r="36" spans="1:17" x14ac:dyDescent="0.2">
      <c r="A36" s="11" t="s">
        <v>39</v>
      </c>
      <c r="B36" s="9"/>
      <c r="C36" s="21">
        <f>GrossMargin!I34</f>
        <v>8818</v>
      </c>
      <c r="D36" s="240">
        <f>GrossMargin!M34</f>
        <v>6250</v>
      </c>
      <c r="E36" s="293">
        <f t="shared" si="12"/>
        <v>2568</v>
      </c>
      <c r="F36" s="23"/>
      <c r="G36" s="240">
        <f>Expenses!C34</f>
        <v>1106</v>
      </c>
      <c r="H36" s="240">
        <f>Expenses!D34</f>
        <v>1106</v>
      </c>
      <c r="I36" s="292">
        <f t="shared" si="13"/>
        <v>0</v>
      </c>
      <c r="J36" s="9"/>
      <c r="K36" s="240">
        <f>CapChrg!C34</f>
        <v>0</v>
      </c>
      <c r="L36" s="202">
        <f>CapChrg!D34</f>
        <v>0</v>
      </c>
      <c r="M36" s="292">
        <f t="shared" si="14"/>
        <v>0</v>
      </c>
      <c r="N36" s="203"/>
      <c r="O36" s="201">
        <f t="shared" si="15"/>
        <v>7712</v>
      </c>
      <c r="P36" s="202">
        <f t="shared" si="16"/>
        <v>5144</v>
      </c>
      <c r="Q36" s="198">
        <f t="shared" si="17"/>
        <v>2568</v>
      </c>
    </row>
    <row r="37" spans="1:17" x14ac:dyDescent="0.2">
      <c r="A37" s="11" t="s">
        <v>40</v>
      </c>
      <c r="B37" s="9"/>
      <c r="C37" s="295">
        <f>GrossMargin!I35</f>
        <v>0</v>
      </c>
      <c r="D37" s="297">
        <f>GrossMargin!M35</f>
        <v>0</v>
      </c>
      <c r="E37" s="300">
        <f t="shared" si="12"/>
        <v>0</v>
      </c>
      <c r="F37" s="23"/>
      <c r="G37" s="240">
        <f>Expenses!C35</f>
        <v>664</v>
      </c>
      <c r="H37" s="240">
        <f>Expenses!D35</f>
        <v>664</v>
      </c>
      <c r="I37" s="292">
        <f t="shared" si="13"/>
        <v>0</v>
      </c>
      <c r="J37" s="9"/>
      <c r="K37" s="240">
        <f>CapChrg!C35</f>
        <v>0</v>
      </c>
      <c r="L37" s="202">
        <f>CapChrg!D35</f>
        <v>0</v>
      </c>
      <c r="M37" s="292">
        <f t="shared" si="14"/>
        <v>0</v>
      </c>
      <c r="N37" s="203"/>
      <c r="O37" s="201">
        <f t="shared" si="15"/>
        <v>-664</v>
      </c>
      <c r="P37" s="202">
        <f t="shared" si="16"/>
        <v>-664</v>
      </c>
      <c r="Q37" s="198">
        <f t="shared" si="17"/>
        <v>0</v>
      </c>
    </row>
    <row r="38" spans="1:17" x14ac:dyDescent="0.2">
      <c r="A38" s="11" t="s">
        <v>41</v>
      </c>
      <c r="B38" s="9"/>
      <c r="C38" s="295">
        <f>GrossMargin!I36</f>
        <v>0</v>
      </c>
      <c r="D38" s="297">
        <f>GrossMargin!M36</f>
        <v>0</v>
      </c>
      <c r="E38" s="300">
        <f t="shared" si="12"/>
        <v>0</v>
      </c>
      <c r="F38" s="23"/>
      <c r="G38" s="240">
        <f>Expenses!C36</f>
        <v>508</v>
      </c>
      <c r="H38" s="240">
        <f>Expenses!D36</f>
        <v>508</v>
      </c>
      <c r="I38" s="292">
        <f t="shared" si="13"/>
        <v>0</v>
      </c>
      <c r="J38" s="9"/>
      <c r="K38" s="240">
        <f>CapChrg!C36</f>
        <v>0</v>
      </c>
      <c r="L38" s="202">
        <f>CapChrg!D36</f>
        <v>0</v>
      </c>
      <c r="M38" s="292">
        <f t="shared" si="14"/>
        <v>0</v>
      </c>
      <c r="N38" s="203"/>
      <c r="O38" s="201">
        <f t="shared" si="15"/>
        <v>-508</v>
      </c>
      <c r="P38" s="202">
        <f t="shared" si="16"/>
        <v>-508</v>
      </c>
      <c r="Q38" s="198">
        <f t="shared" si="17"/>
        <v>0</v>
      </c>
    </row>
    <row r="39" spans="1:17" x14ac:dyDescent="0.2">
      <c r="A39" s="11" t="s">
        <v>101</v>
      </c>
      <c r="B39" s="9"/>
      <c r="C39" s="298">
        <f>GrossMargin!I37</f>
        <v>-200000</v>
      </c>
      <c r="D39" s="299">
        <f>GrossMargin!M37</f>
        <v>0</v>
      </c>
      <c r="E39" s="300">
        <f t="shared" si="12"/>
        <v>-200000</v>
      </c>
      <c r="F39" s="23"/>
      <c r="G39" s="240">
        <f>Expenses!C37+Expenses!G37</f>
        <v>0</v>
      </c>
      <c r="H39" s="240">
        <f>Expenses!D37+Expenses!H37</f>
        <v>0</v>
      </c>
      <c r="I39" s="292">
        <f t="shared" si="13"/>
        <v>0</v>
      </c>
      <c r="J39" s="9"/>
      <c r="K39" s="240">
        <f>CapChrg!C37</f>
        <v>0</v>
      </c>
      <c r="L39" s="202">
        <f>CapChrg!D37</f>
        <v>0</v>
      </c>
      <c r="M39" s="292">
        <f t="shared" si="14"/>
        <v>0</v>
      </c>
      <c r="N39" s="203"/>
      <c r="O39" s="201">
        <f t="shared" si="15"/>
        <v>-200000</v>
      </c>
      <c r="P39" s="202">
        <f t="shared" si="16"/>
        <v>0</v>
      </c>
      <c r="Q39" s="198">
        <f t="shared" si="17"/>
        <v>-200000</v>
      </c>
    </row>
    <row r="40" spans="1:17" s="42" customFormat="1" ht="13.2" x14ac:dyDescent="0.2">
      <c r="A40" s="25" t="s">
        <v>9</v>
      </c>
      <c r="B40" s="302"/>
      <c r="C40" s="309">
        <f>SUM(C31:C39)</f>
        <v>-155161</v>
      </c>
      <c r="D40" s="309">
        <f>SUM(D31:D39)</f>
        <v>119250</v>
      </c>
      <c r="E40" s="309">
        <f>SUM(E31:E39)</f>
        <v>-274411</v>
      </c>
      <c r="F40" s="156"/>
      <c r="G40" s="340">
        <f>SUM(G31:G39)</f>
        <v>11297</v>
      </c>
      <c r="H40" s="340">
        <f>SUM(H31:H39)</f>
        <v>11297</v>
      </c>
      <c r="I40" s="340">
        <f>SUM(I31:I39)</f>
        <v>0</v>
      </c>
      <c r="J40" s="15"/>
      <c r="K40" s="340">
        <f>SUM(K31:K39)</f>
        <v>578</v>
      </c>
      <c r="L40" s="340">
        <f>SUM(L31:L39)</f>
        <v>1716</v>
      </c>
      <c r="M40" s="340">
        <f>SUM(M31:M39)</f>
        <v>-1138</v>
      </c>
      <c r="N40" s="207"/>
      <c r="O40" s="340">
        <f>SUM(O31:O39)</f>
        <v>-167036</v>
      </c>
      <c r="P40" s="340">
        <f>SUM(P31:P39)</f>
        <v>106237</v>
      </c>
      <c r="Q40" s="340">
        <f>SUM(Q31:Q39)</f>
        <v>-273273</v>
      </c>
    </row>
    <row r="41" spans="1:17" ht="8.25" customHeight="1" x14ac:dyDescent="0.2">
      <c r="A41" s="11"/>
      <c r="B41" s="9"/>
      <c r="C41" s="21"/>
      <c r="D41" s="22"/>
      <c r="E41" s="24"/>
      <c r="F41" s="23"/>
      <c r="G41" s="201"/>
      <c r="H41" s="202"/>
      <c r="I41" s="202"/>
      <c r="J41" s="9"/>
      <c r="K41" s="202"/>
      <c r="L41" s="202"/>
      <c r="M41" s="198"/>
      <c r="N41" s="203"/>
      <c r="O41" s="201"/>
      <c r="P41" s="202"/>
      <c r="Q41" s="198"/>
    </row>
    <row r="42" spans="1:17" ht="13.5" customHeight="1" x14ac:dyDescent="0.2">
      <c r="A42" s="11" t="s">
        <v>42</v>
      </c>
      <c r="B42" s="9"/>
      <c r="C42" s="21">
        <f>GrossMargin!I40</f>
        <v>-27507</v>
      </c>
      <c r="D42" s="240">
        <f>GrossMargin!M40</f>
        <v>12500</v>
      </c>
      <c r="E42" s="293">
        <f t="shared" ref="E42:E47" si="18">-D42+C42</f>
        <v>-40007</v>
      </c>
      <c r="F42" s="23"/>
      <c r="G42" s="240">
        <f>Expenses!C40+Expenses!G40</f>
        <v>1217</v>
      </c>
      <c r="H42" s="240">
        <f>Expenses!D40+Expenses!H40</f>
        <v>1217</v>
      </c>
      <c r="I42" s="292">
        <f t="shared" ref="I42:I47" si="19">G42-H42</f>
        <v>0</v>
      </c>
      <c r="J42" s="9"/>
      <c r="K42" s="202">
        <f>CapChrg!C40</f>
        <v>32</v>
      </c>
      <c r="L42" s="202">
        <f>CapChrg!D40</f>
        <v>99</v>
      </c>
      <c r="M42" s="292">
        <f t="shared" ref="M42:M47" si="20">K42-L42</f>
        <v>-67</v>
      </c>
      <c r="N42" s="203"/>
      <c r="O42" s="201">
        <f t="shared" ref="O42:O47" si="21">C42-G42-K42</f>
        <v>-28756</v>
      </c>
      <c r="P42" s="202">
        <f t="shared" ref="P42:P47" si="22">D42-H42-L42</f>
        <v>11184</v>
      </c>
      <c r="Q42" s="198">
        <f t="shared" ref="Q42:Q47" si="23">O42-P42</f>
        <v>-39940</v>
      </c>
    </row>
    <row r="43" spans="1:17" ht="13.5" customHeight="1" x14ac:dyDescent="0.2">
      <c r="A43" s="11" t="s">
        <v>43</v>
      </c>
      <c r="B43" s="9"/>
      <c r="C43" s="21">
        <f>GrossMargin!I41</f>
        <v>3226</v>
      </c>
      <c r="D43" s="240">
        <f>GrossMargin!M41</f>
        <v>5000</v>
      </c>
      <c r="E43" s="293">
        <f t="shared" si="18"/>
        <v>-1774</v>
      </c>
      <c r="F43" s="23"/>
      <c r="G43" s="240">
        <f>Expenses!C41+Expenses!G41</f>
        <v>423</v>
      </c>
      <c r="H43" s="240">
        <f>Expenses!D41+Expenses!H41</f>
        <v>423</v>
      </c>
      <c r="I43" s="292">
        <f t="shared" si="19"/>
        <v>0</v>
      </c>
      <c r="J43" s="9"/>
      <c r="K43" s="240">
        <f>CapChrg!C41</f>
        <v>1445</v>
      </c>
      <c r="L43" s="202">
        <f>CapChrg!D41</f>
        <v>304</v>
      </c>
      <c r="M43" s="292">
        <f t="shared" si="20"/>
        <v>1141</v>
      </c>
      <c r="N43" s="203"/>
      <c r="O43" s="201">
        <f t="shared" si="21"/>
        <v>1358</v>
      </c>
      <c r="P43" s="202">
        <f t="shared" si="22"/>
        <v>4273</v>
      </c>
      <c r="Q43" s="198">
        <f t="shared" si="23"/>
        <v>-2915</v>
      </c>
    </row>
    <row r="44" spans="1:17" ht="13.5" customHeight="1" x14ac:dyDescent="0.2">
      <c r="A44" s="11" t="s">
        <v>65</v>
      </c>
      <c r="B44" s="9"/>
      <c r="C44" s="21">
        <f>GrossMargin!I42</f>
        <v>-33757</v>
      </c>
      <c r="D44" s="240">
        <f>GrossMargin!M42</f>
        <v>38750</v>
      </c>
      <c r="E44" s="293">
        <f t="shared" si="18"/>
        <v>-72507</v>
      </c>
      <c r="F44" s="23"/>
      <c r="G44" s="240">
        <f>Expenses!C42+Expenses!G42</f>
        <v>574</v>
      </c>
      <c r="H44" s="240">
        <f>Expenses!D42+Expenses!H42</f>
        <v>574</v>
      </c>
      <c r="I44" s="292">
        <f t="shared" si="19"/>
        <v>0</v>
      </c>
      <c r="J44" s="9"/>
      <c r="K44" s="202">
        <f>CapChrg!C42</f>
        <v>0</v>
      </c>
      <c r="L44" s="202">
        <f>CapChrg!D42</f>
        <v>0</v>
      </c>
      <c r="M44" s="292">
        <f t="shared" si="20"/>
        <v>0</v>
      </c>
      <c r="N44" s="203"/>
      <c r="O44" s="201">
        <f t="shared" si="21"/>
        <v>-34331</v>
      </c>
      <c r="P44" s="202">
        <f t="shared" si="22"/>
        <v>38176</v>
      </c>
      <c r="Q44" s="198">
        <f t="shared" si="23"/>
        <v>-72507</v>
      </c>
    </row>
    <row r="45" spans="1:17" ht="13.5" customHeight="1" x14ac:dyDescent="0.2">
      <c r="A45" s="11" t="s">
        <v>66</v>
      </c>
      <c r="B45" s="9"/>
      <c r="C45" s="21">
        <f>GrossMargin!I43</f>
        <v>500</v>
      </c>
      <c r="D45" s="240">
        <f>GrossMargin!M43</f>
        <v>12500</v>
      </c>
      <c r="E45" s="293">
        <f t="shared" si="18"/>
        <v>-12000</v>
      </c>
      <c r="F45" s="23"/>
      <c r="G45" s="240">
        <f>Expenses!C43+Expenses!G43</f>
        <v>1155</v>
      </c>
      <c r="H45" s="240">
        <f>Expenses!D43+Expenses!H43</f>
        <v>1155</v>
      </c>
      <c r="I45" s="292">
        <f t="shared" si="19"/>
        <v>0</v>
      </c>
      <c r="J45" s="9"/>
      <c r="K45" s="202">
        <f>CapChrg!C43</f>
        <v>0</v>
      </c>
      <c r="L45" s="202">
        <f>CapChrg!D43</f>
        <v>447</v>
      </c>
      <c r="M45" s="292">
        <f t="shared" si="20"/>
        <v>-447</v>
      </c>
      <c r="N45" s="203"/>
      <c r="O45" s="201">
        <f t="shared" si="21"/>
        <v>-655</v>
      </c>
      <c r="P45" s="202">
        <f t="shared" si="22"/>
        <v>10898</v>
      </c>
      <c r="Q45" s="198">
        <f t="shared" si="23"/>
        <v>-11553</v>
      </c>
    </row>
    <row r="46" spans="1:17" x14ac:dyDescent="0.2">
      <c r="A46" s="11" t="s">
        <v>131</v>
      </c>
      <c r="B46" s="9"/>
      <c r="C46" s="21">
        <f>GrossMargin!I44</f>
        <v>0</v>
      </c>
      <c r="D46" s="240">
        <f>GrossMargin!M44</f>
        <v>2500</v>
      </c>
      <c r="E46" s="293">
        <f t="shared" si="18"/>
        <v>-2500</v>
      </c>
      <c r="F46" s="23"/>
      <c r="G46" s="240">
        <f>Expenses!C44+Expenses!G44</f>
        <v>212</v>
      </c>
      <c r="H46" s="240">
        <f>Expenses!D44+Expenses!H44</f>
        <v>212</v>
      </c>
      <c r="I46" s="292">
        <f t="shared" si="19"/>
        <v>0</v>
      </c>
      <c r="J46" s="9"/>
      <c r="K46" s="202">
        <f>CapChrg!C44</f>
        <v>0</v>
      </c>
      <c r="L46" s="202">
        <f>CapChrg!D44</f>
        <v>0</v>
      </c>
      <c r="M46" s="292">
        <f t="shared" si="20"/>
        <v>0</v>
      </c>
      <c r="N46" s="203"/>
      <c r="O46" s="201">
        <f t="shared" si="21"/>
        <v>-212</v>
      </c>
      <c r="P46" s="202">
        <f t="shared" si="22"/>
        <v>2288</v>
      </c>
      <c r="Q46" s="198">
        <f t="shared" si="23"/>
        <v>-2500</v>
      </c>
    </row>
    <row r="47" spans="1:17" x14ac:dyDescent="0.2">
      <c r="A47" s="11" t="s">
        <v>45</v>
      </c>
      <c r="B47" s="9"/>
      <c r="C47" s="21">
        <f>GrossMargin!I45</f>
        <v>0</v>
      </c>
      <c r="D47" s="240">
        <f>GrossMargin!M45</f>
        <v>0</v>
      </c>
      <c r="E47" s="293">
        <f t="shared" si="18"/>
        <v>0</v>
      </c>
      <c r="F47" s="23"/>
      <c r="G47" s="240">
        <f>Expenses!C45+Expenses!G45</f>
        <v>1102</v>
      </c>
      <c r="H47" s="240">
        <f>Expenses!D45+Expenses!H45</f>
        <v>1102</v>
      </c>
      <c r="I47" s="292">
        <f t="shared" si="19"/>
        <v>0</v>
      </c>
      <c r="J47" s="9"/>
      <c r="K47" s="240">
        <f>CapChrg!C45</f>
        <v>0</v>
      </c>
      <c r="L47" s="202">
        <f>CapChrg!D45</f>
        <v>0</v>
      </c>
      <c r="M47" s="292">
        <f t="shared" si="20"/>
        <v>0</v>
      </c>
      <c r="N47" s="203"/>
      <c r="O47" s="201">
        <f t="shared" si="21"/>
        <v>-1102</v>
      </c>
      <c r="P47" s="202">
        <f t="shared" si="22"/>
        <v>-1102</v>
      </c>
      <c r="Q47" s="198">
        <f t="shared" si="23"/>
        <v>0</v>
      </c>
    </row>
    <row r="48" spans="1:17" x14ac:dyDescent="0.2">
      <c r="A48" s="11" t="s">
        <v>134</v>
      </c>
      <c r="B48" s="9"/>
      <c r="C48" s="21">
        <f>GrossMargin!I46</f>
        <v>0</v>
      </c>
      <c r="D48" s="240">
        <f>GrossMargin!M46</f>
        <v>0</v>
      </c>
      <c r="E48" s="293">
        <f>-D48+C48</f>
        <v>0</v>
      </c>
      <c r="F48" s="23"/>
      <c r="G48" s="21">
        <f>GrossMargin!M46</f>
        <v>0</v>
      </c>
      <c r="H48" s="240">
        <f>GrossMargin!Q46</f>
        <v>0</v>
      </c>
      <c r="I48" s="293">
        <f>-H48+G48</f>
        <v>0</v>
      </c>
      <c r="J48" s="9"/>
      <c r="K48" s="21">
        <f>GrossMargin!Q46</f>
        <v>0</v>
      </c>
      <c r="L48" s="240">
        <f>GrossMargin!U46</f>
        <v>0</v>
      </c>
      <c r="M48" s="293">
        <f>-L48+K48</f>
        <v>0</v>
      </c>
      <c r="N48" s="203"/>
      <c r="O48" s="201">
        <f>C48-G48-K48</f>
        <v>0</v>
      </c>
      <c r="P48" s="202">
        <f>D48-H48-L48</f>
        <v>0</v>
      </c>
      <c r="Q48" s="198">
        <f>O48-P48</f>
        <v>0</v>
      </c>
    </row>
    <row r="49" spans="1:17" s="42" customFormat="1" ht="12" customHeight="1" x14ac:dyDescent="0.2">
      <c r="A49" s="25" t="s">
        <v>10</v>
      </c>
      <c r="B49" s="302"/>
      <c r="C49" s="309">
        <f>SUM(C42:C48)</f>
        <v>-57538</v>
      </c>
      <c r="D49" s="309">
        <f>SUM(D42:D48)</f>
        <v>71250</v>
      </c>
      <c r="E49" s="309">
        <f>SUM(E42:E48)</f>
        <v>-128788</v>
      </c>
      <c r="F49" s="156"/>
      <c r="G49" s="309">
        <f>SUM(G42:G48)</f>
        <v>4683</v>
      </c>
      <c r="H49" s="309">
        <f>SUM(H42:H48)</f>
        <v>4683</v>
      </c>
      <c r="I49" s="309">
        <f>SUM(I42:I48)</f>
        <v>0</v>
      </c>
      <c r="J49" s="15"/>
      <c r="K49" s="309">
        <f>SUM(K42:K48)</f>
        <v>1477</v>
      </c>
      <c r="L49" s="309">
        <f>SUM(L42:L48)</f>
        <v>850</v>
      </c>
      <c r="M49" s="309">
        <f>SUM(M42:M48)</f>
        <v>627</v>
      </c>
      <c r="N49" s="207"/>
      <c r="O49" s="309">
        <f>SUM(O42:O48)</f>
        <v>-63698</v>
      </c>
      <c r="P49" s="309">
        <f>SUM(P42:P48)</f>
        <v>65717</v>
      </c>
      <c r="Q49" s="309">
        <f>SUM(Q42:Q48)</f>
        <v>-129415</v>
      </c>
    </row>
    <row r="50" spans="1:17" ht="8.25" customHeight="1" x14ac:dyDescent="0.2">
      <c r="A50" s="11"/>
      <c r="B50" s="9"/>
      <c r="C50" s="21"/>
      <c r="D50" s="22"/>
      <c r="E50" s="24"/>
      <c r="F50" s="23"/>
      <c r="G50" s="201"/>
      <c r="H50" s="202"/>
      <c r="I50" s="202"/>
      <c r="J50" s="9"/>
      <c r="K50" s="202"/>
      <c r="L50" s="202"/>
      <c r="M50" s="198"/>
      <c r="N50" s="203"/>
      <c r="O50" s="201"/>
      <c r="P50" s="202"/>
      <c r="Q50" s="198"/>
    </row>
    <row r="51" spans="1:17" x14ac:dyDescent="0.2">
      <c r="A51" s="11" t="s">
        <v>74</v>
      </c>
      <c r="B51" s="9"/>
      <c r="C51" s="202">
        <f>GrossMargin!I49</f>
        <v>6071</v>
      </c>
      <c r="D51" s="202">
        <f>GrossMargin!M49</f>
        <v>0</v>
      </c>
      <c r="E51" s="293">
        <f t="shared" ref="E51:E68" si="24">-D51+C51</f>
        <v>6071</v>
      </c>
      <c r="F51" s="23"/>
      <c r="G51" s="240">
        <f>Expenses!C48+Expenses!G48</f>
        <v>178</v>
      </c>
      <c r="H51" s="240">
        <f>Expenses!D48+Expenses!H48</f>
        <v>221</v>
      </c>
      <c r="I51" s="202">
        <f t="shared" ref="I51:I69" si="25">G51-H51</f>
        <v>-43</v>
      </c>
      <c r="J51" s="9"/>
      <c r="K51" s="240">
        <f>CapChrg!C48</f>
        <v>0</v>
      </c>
      <c r="L51" s="202">
        <f>CapChrg!D48</f>
        <v>0</v>
      </c>
      <c r="M51" s="292">
        <f t="shared" ref="M51:M68" si="26">K51-L51</f>
        <v>0</v>
      </c>
      <c r="N51" s="203"/>
      <c r="O51" s="201">
        <f t="shared" ref="O51:O68" si="27">C51-G51-K51</f>
        <v>5893</v>
      </c>
      <c r="P51" s="202">
        <f t="shared" ref="P51:P68" si="28">D51-H51-L51</f>
        <v>-221</v>
      </c>
      <c r="Q51" s="198">
        <f t="shared" ref="Q51:Q68" si="29">O51-P51</f>
        <v>6114</v>
      </c>
    </row>
    <row r="52" spans="1:17" x14ac:dyDescent="0.2">
      <c r="A52" s="11" t="s">
        <v>102</v>
      </c>
      <c r="B52" s="9"/>
      <c r="C52" s="202">
        <f>GrossMargin!I50</f>
        <v>4001</v>
      </c>
      <c r="D52" s="240">
        <f>GrossMargin!M50</f>
        <v>4334</v>
      </c>
      <c r="E52" s="293">
        <f t="shared" si="24"/>
        <v>-333</v>
      </c>
      <c r="F52" s="23"/>
      <c r="G52" s="240">
        <f>Expenses!C49+Expenses!G49</f>
        <v>1237</v>
      </c>
      <c r="H52" s="240">
        <f>Expenses!D49+Expenses!H49</f>
        <v>767</v>
      </c>
      <c r="I52" s="202">
        <f t="shared" si="25"/>
        <v>470</v>
      </c>
      <c r="J52" s="9"/>
      <c r="K52" s="202">
        <f>CapChrg!C49</f>
        <v>0</v>
      </c>
      <c r="L52" s="202">
        <f>CapChrg!D49</f>
        <v>0</v>
      </c>
      <c r="M52" s="292">
        <f t="shared" si="26"/>
        <v>0</v>
      </c>
      <c r="N52" s="203"/>
      <c r="O52" s="201">
        <f t="shared" si="27"/>
        <v>2764</v>
      </c>
      <c r="P52" s="202">
        <f t="shared" si="28"/>
        <v>3567</v>
      </c>
      <c r="Q52" s="198">
        <f t="shared" si="29"/>
        <v>-803</v>
      </c>
    </row>
    <row r="53" spans="1:17" x14ac:dyDescent="0.2">
      <c r="A53" s="11" t="s">
        <v>103</v>
      </c>
      <c r="B53" s="9"/>
      <c r="C53" s="202">
        <f>GrossMargin!I51</f>
        <v>1310</v>
      </c>
      <c r="D53" s="240">
        <f>GrossMargin!M51</f>
        <v>6181</v>
      </c>
      <c r="E53" s="293">
        <f t="shared" si="24"/>
        <v>-4871</v>
      </c>
      <c r="F53" s="23"/>
      <c r="G53" s="240">
        <f>Expenses!C50+Expenses!G50</f>
        <v>1166</v>
      </c>
      <c r="H53" s="240">
        <f>Expenses!D50+Expenses!H50</f>
        <v>1484</v>
      </c>
      <c r="I53" s="202">
        <f t="shared" si="25"/>
        <v>-318</v>
      </c>
      <c r="J53" s="9"/>
      <c r="K53" s="202">
        <f>CapChrg!C50</f>
        <v>-71</v>
      </c>
      <c r="L53" s="202">
        <f>CapChrg!D50</f>
        <v>653</v>
      </c>
      <c r="M53" s="292">
        <f t="shared" si="26"/>
        <v>-724</v>
      </c>
      <c r="N53" s="203"/>
      <c r="O53" s="201">
        <f t="shared" si="27"/>
        <v>215</v>
      </c>
      <c r="P53" s="202">
        <f t="shared" si="28"/>
        <v>4044</v>
      </c>
      <c r="Q53" s="198">
        <f t="shared" si="29"/>
        <v>-3829</v>
      </c>
    </row>
    <row r="54" spans="1:17" x14ac:dyDescent="0.2">
      <c r="A54" s="11" t="s">
        <v>104</v>
      </c>
      <c r="B54" s="9"/>
      <c r="C54" s="202">
        <f>GrossMargin!I52</f>
        <v>375</v>
      </c>
      <c r="D54" s="240">
        <f>GrossMargin!M52</f>
        <v>2000</v>
      </c>
      <c r="E54" s="293">
        <f t="shared" si="24"/>
        <v>-1625</v>
      </c>
      <c r="F54" s="23"/>
      <c r="G54" s="240">
        <f>Expenses!C51+Expenses!G51</f>
        <v>271</v>
      </c>
      <c r="H54" s="240">
        <f>Expenses!D51+Expenses!H51</f>
        <v>265</v>
      </c>
      <c r="I54" s="202">
        <f t="shared" si="25"/>
        <v>6</v>
      </c>
      <c r="J54" s="9"/>
      <c r="K54" s="202">
        <f>CapChrg!C51</f>
        <v>0</v>
      </c>
      <c r="L54" s="202">
        <f>CapChrg!D51</f>
        <v>0</v>
      </c>
      <c r="M54" s="292">
        <f t="shared" si="26"/>
        <v>0</v>
      </c>
      <c r="N54" s="203"/>
      <c r="O54" s="201">
        <f t="shared" si="27"/>
        <v>104</v>
      </c>
      <c r="P54" s="202">
        <f t="shared" si="28"/>
        <v>1735</v>
      </c>
      <c r="Q54" s="198">
        <f t="shared" si="29"/>
        <v>-1631</v>
      </c>
    </row>
    <row r="55" spans="1:17" x14ac:dyDescent="0.2">
      <c r="A55" s="11" t="s">
        <v>105</v>
      </c>
      <c r="B55" s="9"/>
      <c r="C55" s="202">
        <f>GrossMargin!I53</f>
        <v>1193</v>
      </c>
      <c r="D55" s="240">
        <f>GrossMargin!M53</f>
        <v>1000</v>
      </c>
      <c r="E55" s="293">
        <f t="shared" si="24"/>
        <v>193</v>
      </c>
      <c r="F55" s="23"/>
      <c r="G55" s="240">
        <f>Expenses!C52+Expenses!G52</f>
        <v>186</v>
      </c>
      <c r="H55" s="240">
        <f>Expenses!D52+Expenses!H52</f>
        <v>186</v>
      </c>
      <c r="I55" s="202">
        <f t="shared" si="25"/>
        <v>0</v>
      </c>
      <c r="J55" s="9"/>
      <c r="K55" s="202">
        <f>CapChrg!C52</f>
        <v>0</v>
      </c>
      <c r="L55" s="202">
        <f>CapChrg!D52</f>
        <v>0</v>
      </c>
      <c r="M55" s="292">
        <f t="shared" si="26"/>
        <v>0</v>
      </c>
      <c r="N55" s="203"/>
      <c r="O55" s="201">
        <f t="shared" si="27"/>
        <v>1007</v>
      </c>
      <c r="P55" s="202">
        <f t="shared" si="28"/>
        <v>814</v>
      </c>
      <c r="Q55" s="198">
        <f t="shared" si="29"/>
        <v>193</v>
      </c>
    </row>
    <row r="56" spans="1:17" x14ac:dyDescent="0.2">
      <c r="A56" s="11" t="s">
        <v>106</v>
      </c>
      <c r="B56" s="9"/>
      <c r="C56" s="202">
        <f>GrossMargin!I54</f>
        <v>-110</v>
      </c>
      <c r="D56" s="240">
        <f>GrossMargin!M54</f>
        <v>500</v>
      </c>
      <c r="E56" s="293">
        <f t="shared" si="24"/>
        <v>-610</v>
      </c>
      <c r="F56" s="23"/>
      <c r="G56" s="202">
        <f>Expenses!C53+Expenses!G53</f>
        <v>96</v>
      </c>
      <c r="H56" s="202">
        <f>Expenses!D53+Expenses!H53</f>
        <v>144</v>
      </c>
      <c r="I56" s="202">
        <f t="shared" si="25"/>
        <v>-48</v>
      </c>
      <c r="J56" s="9"/>
      <c r="K56" s="202">
        <f>CapChrg!C53</f>
        <v>0</v>
      </c>
      <c r="L56" s="202">
        <f>CapChrg!D53</f>
        <v>0</v>
      </c>
      <c r="M56" s="292">
        <f t="shared" si="26"/>
        <v>0</v>
      </c>
      <c r="N56" s="203"/>
      <c r="O56" s="201">
        <f t="shared" si="27"/>
        <v>-206</v>
      </c>
      <c r="P56" s="202">
        <f t="shared" si="28"/>
        <v>356</v>
      </c>
      <c r="Q56" s="198">
        <f t="shared" si="29"/>
        <v>-562</v>
      </c>
    </row>
    <row r="57" spans="1:17" x14ac:dyDescent="0.2">
      <c r="A57" s="11" t="s">
        <v>69</v>
      </c>
      <c r="B57" s="9"/>
      <c r="C57" s="202">
        <f>GrossMargin!I55</f>
        <v>2084</v>
      </c>
      <c r="D57" s="240">
        <f>GrossMargin!M55</f>
        <v>2909</v>
      </c>
      <c r="E57" s="293">
        <f t="shared" si="24"/>
        <v>-825</v>
      </c>
      <c r="F57" s="23"/>
      <c r="G57" s="202">
        <f>Expenses!C54+Expenses!G54</f>
        <v>0</v>
      </c>
      <c r="H57" s="202">
        <f>Expenses!D54+Expenses!H54</f>
        <v>0</v>
      </c>
      <c r="I57" s="202">
        <f t="shared" si="25"/>
        <v>0</v>
      </c>
      <c r="J57" s="9"/>
      <c r="K57" s="240">
        <f>CapChrg!C54</f>
        <v>7865</v>
      </c>
      <c r="L57" s="202">
        <f>CapChrg!D54</f>
        <v>6282</v>
      </c>
      <c r="M57" s="292">
        <f t="shared" si="26"/>
        <v>1583</v>
      </c>
      <c r="N57" s="203"/>
      <c r="O57" s="201">
        <f t="shared" si="27"/>
        <v>-5781</v>
      </c>
      <c r="P57" s="202">
        <f t="shared" si="28"/>
        <v>-3373</v>
      </c>
      <c r="Q57" s="198">
        <f t="shared" si="29"/>
        <v>-2408</v>
      </c>
    </row>
    <row r="58" spans="1:17" x14ac:dyDescent="0.2">
      <c r="A58" s="11" t="s">
        <v>68</v>
      </c>
      <c r="B58" s="9"/>
      <c r="C58" s="202">
        <f>GrossMargin!I56</f>
        <v>9474</v>
      </c>
      <c r="D58" s="240">
        <f>GrossMargin!M56</f>
        <v>9445</v>
      </c>
      <c r="E58" s="293">
        <f t="shared" si="24"/>
        <v>29</v>
      </c>
      <c r="F58" s="23"/>
      <c r="G58" s="240">
        <f>Expenses!C55+Expenses!G55</f>
        <v>69814</v>
      </c>
      <c r="H58" s="240">
        <f>Expenses!D55+Expenses!H55</f>
        <v>63228</v>
      </c>
      <c r="I58" s="202">
        <f t="shared" si="25"/>
        <v>6586</v>
      </c>
      <c r="J58" s="9"/>
      <c r="K58" s="240">
        <f>CapChrg!C55</f>
        <v>0</v>
      </c>
      <c r="L58" s="202">
        <f>CapChrg!D55</f>
        <v>0</v>
      </c>
      <c r="M58" s="292">
        <f t="shared" si="26"/>
        <v>0</v>
      </c>
      <c r="N58" s="203"/>
      <c r="O58" s="201">
        <f t="shared" si="27"/>
        <v>-60340</v>
      </c>
      <c r="P58" s="202">
        <f t="shared" si="28"/>
        <v>-53783</v>
      </c>
      <c r="Q58" s="198">
        <f t="shared" si="29"/>
        <v>-6557</v>
      </c>
    </row>
    <row r="59" spans="1:17" x14ac:dyDescent="0.2">
      <c r="A59" s="11" t="s">
        <v>67</v>
      </c>
      <c r="B59" s="9"/>
      <c r="C59" s="21">
        <f>GrossMargin!I57</f>
        <v>0</v>
      </c>
      <c r="D59" s="202">
        <f>GrossMargin!M57</f>
        <v>0</v>
      </c>
      <c r="E59" s="293">
        <f t="shared" si="24"/>
        <v>0</v>
      </c>
      <c r="F59" s="23"/>
      <c r="G59" s="240">
        <f>Expenses!C56+Expenses!G56</f>
        <v>273</v>
      </c>
      <c r="H59" s="240">
        <f>Expenses!D56+Expenses!H56</f>
        <v>294</v>
      </c>
      <c r="I59" s="202">
        <f t="shared" si="25"/>
        <v>-21</v>
      </c>
      <c r="J59" s="9"/>
      <c r="K59" s="202">
        <f>CapChrg!C56</f>
        <v>0</v>
      </c>
      <c r="L59" s="202">
        <f>CapChrg!D56</f>
        <v>0</v>
      </c>
      <c r="M59" s="292">
        <f t="shared" si="26"/>
        <v>0</v>
      </c>
      <c r="N59" s="203"/>
      <c r="O59" s="201">
        <f t="shared" si="27"/>
        <v>-273</v>
      </c>
      <c r="P59" s="202">
        <f t="shared" si="28"/>
        <v>-294</v>
      </c>
      <c r="Q59" s="198">
        <f t="shared" si="29"/>
        <v>21</v>
      </c>
    </row>
    <row r="60" spans="1:17" x14ac:dyDescent="0.2">
      <c r="A60" s="11" t="s">
        <v>46</v>
      </c>
      <c r="B60" s="9"/>
      <c r="C60" s="202">
        <f>GrossMargin!I58</f>
        <v>1527</v>
      </c>
      <c r="D60" s="240">
        <f>GrossMargin!M58</f>
        <v>15000</v>
      </c>
      <c r="E60" s="293">
        <f t="shared" si="24"/>
        <v>-13473</v>
      </c>
      <c r="F60" s="23"/>
      <c r="G60" s="240">
        <f>Expenses!C57+Expenses!G57</f>
        <v>1416</v>
      </c>
      <c r="H60" s="240">
        <f>Expenses!D57+Expenses!H57</f>
        <v>1416</v>
      </c>
      <c r="I60" s="202">
        <f t="shared" si="25"/>
        <v>0</v>
      </c>
      <c r="J60" s="9"/>
      <c r="K60" s="202">
        <f>CapChrg!C57</f>
        <v>41</v>
      </c>
      <c r="L60" s="202">
        <f>CapChrg!D57</f>
        <v>0</v>
      </c>
      <c r="M60" s="292">
        <f t="shared" si="26"/>
        <v>41</v>
      </c>
      <c r="N60" s="203"/>
      <c r="O60" s="201">
        <f t="shared" si="27"/>
        <v>70</v>
      </c>
      <c r="P60" s="202">
        <f t="shared" si="28"/>
        <v>13584</v>
      </c>
      <c r="Q60" s="198">
        <f t="shared" si="29"/>
        <v>-13514</v>
      </c>
    </row>
    <row r="61" spans="1:17" ht="12" customHeight="1" x14ac:dyDescent="0.2">
      <c r="A61" s="11" t="s">
        <v>47</v>
      </c>
      <c r="B61" s="9"/>
      <c r="C61" s="202">
        <f>GrossMargin!I59</f>
        <v>-69</v>
      </c>
      <c r="D61" s="240">
        <f>GrossMargin!M59</f>
        <v>20000</v>
      </c>
      <c r="E61" s="293">
        <f t="shared" si="24"/>
        <v>-20069</v>
      </c>
      <c r="F61" s="23"/>
      <c r="G61" s="240">
        <f>Expenses!C58+Expenses!G58</f>
        <v>1737</v>
      </c>
      <c r="H61" s="240">
        <f>Expenses!D58+Expenses!H58</f>
        <v>1770</v>
      </c>
      <c r="I61" s="202">
        <f t="shared" si="25"/>
        <v>-33</v>
      </c>
      <c r="J61" s="9"/>
      <c r="K61" s="240">
        <f>CapChrg!C58</f>
        <v>22677</v>
      </c>
      <c r="L61" s="202">
        <f>CapChrg!D58</f>
        <v>15946</v>
      </c>
      <c r="M61" s="292">
        <f t="shared" si="26"/>
        <v>6731</v>
      </c>
      <c r="N61" s="203"/>
      <c r="O61" s="201">
        <f t="shared" si="27"/>
        <v>-24483</v>
      </c>
      <c r="P61" s="202">
        <f t="shared" si="28"/>
        <v>2284</v>
      </c>
      <c r="Q61" s="198">
        <f t="shared" si="29"/>
        <v>-26767</v>
      </c>
    </row>
    <row r="62" spans="1:17" ht="12" customHeight="1" x14ac:dyDescent="0.2">
      <c r="A62" s="11" t="s">
        <v>48</v>
      </c>
      <c r="B62" s="9"/>
      <c r="C62" s="21">
        <f>GrossMargin!I60</f>
        <v>-1850</v>
      </c>
      <c r="D62" s="240">
        <f>GrossMargin!M60</f>
        <v>15781</v>
      </c>
      <c r="E62" s="293">
        <f t="shared" si="24"/>
        <v>-17631</v>
      </c>
      <c r="F62" s="23"/>
      <c r="G62" s="240">
        <f>Expenses!C59+Expenses!G59</f>
        <v>829</v>
      </c>
      <c r="H62" s="240">
        <f>Expenses!D59+Expenses!H59</f>
        <v>891</v>
      </c>
      <c r="I62" s="202">
        <f t="shared" si="25"/>
        <v>-62</v>
      </c>
      <c r="J62" s="9"/>
      <c r="K62" s="240">
        <f>CapChrg!C59</f>
        <v>4774</v>
      </c>
      <c r="L62" s="202">
        <f>CapChrg!D59</f>
        <v>7109</v>
      </c>
      <c r="M62" s="292">
        <f t="shared" si="26"/>
        <v>-2335</v>
      </c>
      <c r="N62" s="203"/>
      <c r="O62" s="201">
        <f t="shared" si="27"/>
        <v>-7453</v>
      </c>
      <c r="P62" s="202">
        <f t="shared" si="28"/>
        <v>7781</v>
      </c>
      <c r="Q62" s="198">
        <f t="shared" si="29"/>
        <v>-15234</v>
      </c>
    </row>
    <row r="63" spans="1:17" ht="12" customHeight="1" x14ac:dyDescent="0.2">
      <c r="A63" s="11" t="s">
        <v>63</v>
      </c>
      <c r="B63" s="9"/>
      <c r="C63" s="202">
        <f>GrossMargin!I61</f>
        <v>7087</v>
      </c>
      <c r="D63" s="240">
        <f>GrossMargin!M61</f>
        <v>7150</v>
      </c>
      <c r="E63" s="293">
        <f t="shared" si="24"/>
        <v>-63</v>
      </c>
      <c r="F63" s="23"/>
      <c r="G63" s="240">
        <f>Expenses!C60+Expenses!G60</f>
        <v>1786</v>
      </c>
      <c r="H63" s="240">
        <f>Expenses!D60+Expenses!H60</f>
        <v>2254</v>
      </c>
      <c r="I63" s="202">
        <f t="shared" si="25"/>
        <v>-468</v>
      </c>
      <c r="J63" s="9"/>
      <c r="K63" s="240">
        <f>CapChrg!C60</f>
        <v>24758</v>
      </c>
      <c r="L63" s="202">
        <f>CapChrg!D60</f>
        <v>17615</v>
      </c>
      <c r="M63" s="292">
        <f t="shared" si="26"/>
        <v>7143</v>
      </c>
      <c r="N63" s="203"/>
      <c r="O63" s="201">
        <f t="shared" si="27"/>
        <v>-19457</v>
      </c>
      <c r="P63" s="202">
        <f t="shared" si="28"/>
        <v>-12719</v>
      </c>
      <c r="Q63" s="198">
        <f t="shared" si="29"/>
        <v>-6738</v>
      </c>
    </row>
    <row r="64" spans="1:17" ht="12" customHeight="1" x14ac:dyDescent="0.2">
      <c r="A64" s="11" t="s">
        <v>162</v>
      </c>
      <c r="B64" s="9"/>
      <c r="C64" s="21">
        <f>GrossMargin!I62</f>
        <v>9613</v>
      </c>
      <c r="D64" s="240">
        <f>GrossMargin!M62</f>
        <v>-12300</v>
      </c>
      <c r="E64" s="293">
        <f t="shared" si="24"/>
        <v>21913</v>
      </c>
      <c r="F64" s="23"/>
      <c r="G64" s="240">
        <f>Expenses!C61+Expenses!G61</f>
        <v>1628</v>
      </c>
      <c r="H64" s="240">
        <f>Expenses!D61+Expenses!H61</f>
        <v>1637</v>
      </c>
      <c r="I64" s="202">
        <f t="shared" si="25"/>
        <v>-9</v>
      </c>
      <c r="J64" s="9"/>
      <c r="K64" s="240">
        <f>CapChrg!C61</f>
        <v>9178</v>
      </c>
      <c r="L64" s="202">
        <f>CapChrg!D61</f>
        <v>14447</v>
      </c>
      <c r="M64" s="292">
        <f t="shared" si="26"/>
        <v>-5269</v>
      </c>
      <c r="N64" s="203"/>
      <c r="O64" s="201">
        <f t="shared" si="27"/>
        <v>-1193</v>
      </c>
      <c r="P64" s="202">
        <f t="shared" si="28"/>
        <v>-28384</v>
      </c>
      <c r="Q64" s="198">
        <f t="shared" si="29"/>
        <v>27191</v>
      </c>
    </row>
    <row r="65" spans="1:20" ht="12" customHeight="1" x14ac:dyDescent="0.2">
      <c r="A65" s="11" t="s">
        <v>160</v>
      </c>
      <c r="B65" s="20"/>
      <c r="C65" s="21">
        <f>GrossMargin!I63</f>
        <v>0</v>
      </c>
      <c r="D65" s="240">
        <f>GrossMargin!M63</f>
        <v>0</v>
      </c>
      <c r="E65" s="293">
        <f>-D65+C65</f>
        <v>0</v>
      </c>
      <c r="F65" s="23"/>
      <c r="G65" s="240">
        <f>Expenses!C62</f>
        <v>337</v>
      </c>
      <c r="H65" s="240">
        <f>Expenses!D62+Expenses!H62</f>
        <v>337</v>
      </c>
      <c r="I65" s="202">
        <f t="shared" si="25"/>
        <v>0</v>
      </c>
      <c r="J65" s="9"/>
      <c r="K65" s="240">
        <f>CapChrg!C62</f>
        <v>0</v>
      </c>
      <c r="L65" s="202">
        <v>0</v>
      </c>
      <c r="M65" s="292">
        <f t="shared" si="26"/>
        <v>0</v>
      </c>
      <c r="N65" s="203"/>
      <c r="O65" s="201">
        <f>C65-G65-K65</f>
        <v>-337</v>
      </c>
      <c r="P65" s="202">
        <f>D65-H65-L65</f>
        <v>-337</v>
      </c>
      <c r="Q65" s="198">
        <f>O65-P65</f>
        <v>0</v>
      </c>
    </row>
    <row r="66" spans="1:20" ht="12" customHeight="1" x14ac:dyDescent="0.2">
      <c r="A66" s="11" t="s">
        <v>71</v>
      </c>
      <c r="B66" s="20"/>
      <c r="C66" s="202">
        <f>GrossMargin!I64</f>
        <v>431798</v>
      </c>
      <c r="D66" s="240">
        <f>GrossMargin!M64</f>
        <v>-12065</v>
      </c>
      <c r="E66" s="293">
        <f t="shared" si="24"/>
        <v>443863</v>
      </c>
      <c r="F66" s="23"/>
      <c r="G66" s="240">
        <f>Expenses!C63+Expenses!G63</f>
        <v>1482</v>
      </c>
      <c r="H66" s="240">
        <f>Expenses!D63+Expenses!H63</f>
        <v>994</v>
      </c>
      <c r="I66" s="202">
        <f t="shared" si="25"/>
        <v>488</v>
      </c>
      <c r="J66" s="9"/>
      <c r="K66" s="240">
        <f>CapChrg!C63</f>
        <v>8205</v>
      </c>
      <c r="L66" s="202">
        <f>CapChrg!D63</f>
        <v>32888</v>
      </c>
      <c r="M66" s="292">
        <f t="shared" si="26"/>
        <v>-24683</v>
      </c>
      <c r="N66" s="203"/>
      <c r="O66" s="201">
        <f t="shared" si="27"/>
        <v>422111</v>
      </c>
      <c r="P66" s="202">
        <f t="shared" si="28"/>
        <v>-45947</v>
      </c>
      <c r="Q66" s="198">
        <f t="shared" si="29"/>
        <v>468058</v>
      </c>
    </row>
    <row r="67" spans="1:20" ht="12" customHeight="1" x14ac:dyDescent="0.2">
      <c r="A67" s="11" t="s">
        <v>73</v>
      </c>
      <c r="B67" s="20"/>
      <c r="C67" s="21">
        <f>GrossMargin!I65</f>
        <v>15666</v>
      </c>
      <c r="D67" s="240">
        <f>GrossMargin!M65</f>
        <v>0</v>
      </c>
      <c r="E67" s="293">
        <f t="shared" si="24"/>
        <v>15666</v>
      </c>
      <c r="F67" s="23"/>
      <c r="G67" s="202">
        <f>Expenses!C64+Expenses!G64</f>
        <v>0</v>
      </c>
      <c r="H67" s="202">
        <f>Expenses!D64+Expenses!H64</f>
        <v>0</v>
      </c>
      <c r="I67" s="202">
        <f t="shared" si="25"/>
        <v>0</v>
      </c>
      <c r="J67" s="9"/>
      <c r="K67" s="202">
        <f>CapChrg!C64</f>
        <v>0</v>
      </c>
      <c r="L67" s="202">
        <f>CapChrg!D64</f>
        <v>0</v>
      </c>
      <c r="M67" s="292">
        <f t="shared" si="26"/>
        <v>0</v>
      </c>
      <c r="N67" s="203"/>
      <c r="O67" s="201">
        <f t="shared" si="27"/>
        <v>15666</v>
      </c>
      <c r="P67" s="202">
        <f t="shared" si="28"/>
        <v>0</v>
      </c>
      <c r="Q67" s="198">
        <f t="shared" si="29"/>
        <v>15666</v>
      </c>
    </row>
    <row r="68" spans="1:20" ht="12" customHeight="1" x14ac:dyDescent="0.2">
      <c r="A68" s="29" t="s">
        <v>129</v>
      </c>
      <c r="B68" s="9"/>
      <c r="C68" s="202">
        <f>GrossMargin!I66</f>
        <v>-9990</v>
      </c>
      <c r="D68" s="240">
        <f>GrossMargin!M66</f>
        <v>73552</v>
      </c>
      <c r="E68" s="293">
        <f t="shared" si="24"/>
        <v>-83542</v>
      </c>
      <c r="F68" s="23"/>
      <c r="G68" s="240">
        <f>Expenses!C65+Expenses!G65</f>
        <v>1526</v>
      </c>
      <c r="H68" s="240">
        <f>Expenses!D65+Expenses!H65</f>
        <v>1373</v>
      </c>
      <c r="I68" s="202">
        <f t="shared" si="25"/>
        <v>153</v>
      </c>
      <c r="J68" s="9"/>
      <c r="K68" s="202">
        <f>CapChrg!C65</f>
        <v>0</v>
      </c>
      <c r="L68" s="202">
        <f>CapChrg!D65</f>
        <v>0</v>
      </c>
      <c r="M68" s="292">
        <f t="shared" si="26"/>
        <v>0</v>
      </c>
      <c r="N68" s="203"/>
      <c r="O68" s="201">
        <f t="shared" si="27"/>
        <v>-11516</v>
      </c>
      <c r="P68" s="202">
        <f t="shared" si="28"/>
        <v>72179</v>
      </c>
      <c r="Q68" s="198">
        <f t="shared" si="29"/>
        <v>-83695</v>
      </c>
    </row>
    <row r="69" spans="1:20" ht="12" customHeight="1" x14ac:dyDescent="0.2">
      <c r="A69" s="29" t="s">
        <v>125</v>
      </c>
      <c r="B69" s="9"/>
      <c r="C69" s="202">
        <f>GrossMargin!I67</f>
        <v>0</v>
      </c>
      <c r="D69" s="240">
        <f>GrossMargin!M67</f>
        <v>0</v>
      </c>
      <c r="E69" s="293">
        <f>-D69+C69</f>
        <v>0</v>
      </c>
      <c r="F69" s="23"/>
      <c r="G69" s="240">
        <f>Expenses!C66+Expenses!G66</f>
        <v>0</v>
      </c>
      <c r="H69" s="240">
        <f>Expenses!D67+Expenses!H67</f>
        <v>0</v>
      </c>
      <c r="I69" s="202">
        <f t="shared" si="25"/>
        <v>0</v>
      </c>
      <c r="J69" s="9"/>
      <c r="K69" s="202">
        <f>CapChrg!C67</f>
        <v>0</v>
      </c>
      <c r="L69" s="202">
        <f>CapChrg!D67</f>
        <v>0</v>
      </c>
      <c r="M69" s="292">
        <f>K69-L69</f>
        <v>0</v>
      </c>
      <c r="N69" s="203"/>
      <c r="O69" s="201">
        <f>C69-G69-K69</f>
        <v>0</v>
      </c>
      <c r="P69" s="202">
        <f>D69-H69-L69</f>
        <v>0</v>
      </c>
      <c r="Q69" s="198">
        <f>O69-P69</f>
        <v>0</v>
      </c>
    </row>
    <row r="70" spans="1:20" s="157" customFormat="1" ht="12" customHeight="1" x14ac:dyDescent="0.2">
      <c r="A70" s="25" t="s">
        <v>12</v>
      </c>
      <c r="B70" s="155"/>
      <c r="C70" s="26">
        <f>SUM(C51:C69)+C49+C40+C29+C21</f>
        <v>749420</v>
      </c>
      <c r="D70" s="27">
        <f>SUM(D51:D69)+D49+D40+D29+D21</f>
        <v>502985</v>
      </c>
      <c r="E70" s="28">
        <f>SUM(E51:E69)+E49+E40+E29+E21</f>
        <v>246435</v>
      </c>
      <c r="F70" s="156"/>
      <c r="G70" s="204">
        <f>SUM(G51:G69)+G49+G40+G29+G21</f>
        <v>119579</v>
      </c>
      <c r="H70" s="205">
        <f>SUM(H51:H69)+H49+H40+H29+H21</f>
        <v>112878</v>
      </c>
      <c r="I70" s="205">
        <f>SUM(I51:I69)+I49+I40+I29+I21</f>
        <v>6701</v>
      </c>
      <c r="J70" s="9"/>
      <c r="K70" s="205">
        <f>SUM(K51:K69)+K49+K40+K29+K21</f>
        <v>82833</v>
      </c>
      <c r="L70" s="205">
        <f>SUM(L51:L69)+L49+L40+L29+L21</f>
        <v>101992</v>
      </c>
      <c r="M70" s="206">
        <f>SUM(M51:M69)+M49+M40+M29+M21</f>
        <v>-19159</v>
      </c>
      <c r="N70" s="207"/>
      <c r="O70" s="204">
        <f>SUM(O51:O69)+O49+O40+O29+O21</f>
        <v>547008</v>
      </c>
      <c r="P70" s="205">
        <f>SUM(P51:P69)+P49+P40+P29+P21</f>
        <v>288115</v>
      </c>
      <c r="Q70" s="206">
        <f>SUM(Q51:Q69)+Q49+Q40+Q29+Q21</f>
        <v>258893</v>
      </c>
      <c r="T70" s="339"/>
    </row>
    <row r="71" spans="1:20" ht="6.75" customHeight="1" x14ac:dyDescent="0.2">
      <c r="A71" s="29"/>
      <c r="B71" s="9"/>
      <c r="C71" s="65"/>
      <c r="D71" s="31"/>
      <c r="E71" s="32"/>
      <c r="F71" s="23"/>
      <c r="G71" s="282"/>
      <c r="H71" s="210"/>
      <c r="I71" s="210"/>
      <c r="J71" s="9"/>
      <c r="K71" s="210"/>
      <c r="L71" s="210"/>
      <c r="M71" s="211"/>
      <c r="N71" s="203"/>
      <c r="O71" s="208"/>
      <c r="P71" s="210"/>
      <c r="Q71" s="211"/>
    </row>
    <row r="72" spans="1:20" ht="12" customHeight="1" x14ac:dyDescent="0.2">
      <c r="A72" s="29" t="s">
        <v>51</v>
      </c>
      <c r="B72" s="9"/>
      <c r="C72" s="202">
        <v>0</v>
      </c>
      <c r="D72" s="202">
        <v>0</v>
      </c>
      <c r="E72" s="24">
        <f t="shared" ref="E72:E85" si="30">-D72+C72</f>
        <v>0</v>
      </c>
      <c r="F72" s="23"/>
      <c r="G72" s="240">
        <f>Expenses!C70+Expenses!G70</f>
        <v>2705</v>
      </c>
      <c r="H72" s="240">
        <f>Expenses!D70+Expenses!H70</f>
        <v>2705</v>
      </c>
      <c r="I72" s="202">
        <f t="shared" ref="I72:I85" si="31">G72-H72</f>
        <v>0</v>
      </c>
      <c r="J72" s="9"/>
      <c r="K72" s="197">
        <v>0</v>
      </c>
      <c r="L72" s="197">
        <v>0</v>
      </c>
      <c r="M72" s="198">
        <f t="shared" ref="M72:M85" si="32">K72-L72</f>
        <v>0</v>
      </c>
      <c r="N72" s="203"/>
      <c r="O72" s="201">
        <f t="shared" ref="O72:O85" si="33">C72-G72-K72</f>
        <v>-2705</v>
      </c>
      <c r="P72" s="202">
        <f t="shared" ref="P72:P85" si="34">D72-H72-L72</f>
        <v>-2705</v>
      </c>
      <c r="Q72" s="198">
        <f t="shared" ref="Q72:Q85" si="35">O72-P72</f>
        <v>0</v>
      </c>
    </row>
    <row r="73" spans="1:20" ht="12" customHeight="1" x14ac:dyDescent="0.2">
      <c r="A73" s="29" t="s">
        <v>52</v>
      </c>
      <c r="B73" s="9"/>
      <c r="C73" s="202">
        <v>0</v>
      </c>
      <c r="D73" s="202">
        <v>0</v>
      </c>
      <c r="E73" s="24">
        <f t="shared" si="30"/>
        <v>0</v>
      </c>
      <c r="F73" s="23"/>
      <c r="G73" s="240">
        <f>Expenses!C71+Expenses!G71</f>
        <v>499</v>
      </c>
      <c r="H73" s="240">
        <f>Expenses!D71+Expenses!H71</f>
        <v>499</v>
      </c>
      <c r="I73" s="202">
        <f t="shared" si="31"/>
        <v>0</v>
      </c>
      <c r="J73" s="9"/>
      <c r="K73" s="197">
        <v>0</v>
      </c>
      <c r="L73" s="197">
        <v>0</v>
      </c>
      <c r="M73" s="198">
        <f t="shared" si="32"/>
        <v>0</v>
      </c>
      <c r="N73" s="203"/>
      <c r="O73" s="201">
        <f t="shared" si="33"/>
        <v>-499</v>
      </c>
      <c r="P73" s="202">
        <f t="shared" si="34"/>
        <v>-499</v>
      </c>
      <c r="Q73" s="198">
        <f t="shared" si="35"/>
        <v>0</v>
      </c>
    </row>
    <row r="74" spans="1:20" ht="12" customHeight="1" x14ac:dyDescent="0.2">
      <c r="A74" s="29" t="s">
        <v>107</v>
      </c>
      <c r="B74" s="9"/>
      <c r="C74" s="202">
        <v>0</v>
      </c>
      <c r="D74" s="202">
        <v>0</v>
      </c>
      <c r="E74" s="24">
        <f t="shared" si="30"/>
        <v>0</v>
      </c>
      <c r="F74" s="23"/>
      <c r="G74" s="240">
        <f>Expenses!C72+Expenses!G72</f>
        <v>1418</v>
      </c>
      <c r="H74" s="240">
        <f>Expenses!D72+Expenses!H72</f>
        <v>1418</v>
      </c>
      <c r="I74" s="202">
        <f t="shared" si="31"/>
        <v>0</v>
      </c>
      <c r="J74" s="9"/>
      <c r="K74" s="197">
        <v>0</v>
      </c>
      <c r="L74" s="197">
        <v>0</v>
      </c>
      <c r="M74" s="198">
        <f t="shared" si="32"/>
        <v>0</v>
      </c>
      <c r="N74" s="203"/>
      <c r="O74" s="201">
        <f t="shared" si="33"/>
        <v>-1418</v>
      </c>
      <c r="P74" s="202">
        <f t="shared" si="34"/>
        <v>-1418</v>
      </c>
      <c r="Q74" s="198">
        <f t="shared" si="35"/>
        <v>0</v>
      </c>
    </row>
    <row r="75" spans="1:20" ht="12" customHeight="1" x14ac:dyDescent="0.2">
      <c r="A75" s="29" t="s">
        <v>53</v>
      </c>
      <c r="B75" s="9"/>
      <c r="C75" s="202">
        <v>0</v>
      </c>
      <c r="D75" s="202">
        <v>0</v>
      </c>
      <c r="E75" s="24">
        <f t="shared" si="30"/>
        <v>0</v>
      </c>
      <c r="F75" s="23"/>
      <c r="G75" s="240">
        <f>Expenses!C73+Expenses!G73</f>
        <v>10143</v>
      </c>
      <c r="H75" s="240">
        <f>Expenses!D73+Expenses!H73</f>
        <v>10143</v>
      </c>
      <c r="I75" s="202">
        <f t="shared" si="31"/>
        <v>0</v>
      </c>
      <c r="J75" s="9"/>
      <c r="K75" s="197">
        <v>0</v>
      </c>
      <c r="L75" s="197">
        <v>0</v>
      </c>
      <c r="M75" s="198">
        <f t="shared" si="32"/>
        <v>0</v>
      </c>
      <c r="N75" s="203"/>
      <c r="O75" s="201">
        <f t="shared" si="33"/>
        <v>-10143</v>
      </c>
      <c r="P75" s="202">
        <f t="shared" si="34"/>
        <v>-10143</v>
      </c>
      <c r="Q75" s="198">
        <f t="shared" si="35"/>
        <v>0</v>
      </c>
    </row>
    <row r="76" spans="1:20" ht="12" customHeight="1" x14ac:dyDescent="0.2">
      <c r="A76" s="29" t="s">
        <v>54</v>
      </c>
      <c r="B76" s="9"/>
      <c r="C76" s="202">
        <v>0</v>
      </c>
      <c r="D76" s="202">
        <v>0</v>
      </c>
      <c r="E76" s="24">
        <f t="shared" si="30"/>
        <v>0</v>
      </c>
      <c r="F76" s="23"/>
      <c r="G76" s="240">
        <f>Expenses!C74+Expenses!G74</f>
        <v>1204</v>
      </c>
      <c r="H76" s="240">
        <f>Expenses!D74+Expenses!H74</f>
        <v>1204</v>
      </c>
      <c r="I76" s="202">
        <f t="shared" si="31"/>
        <v>0</v>
      </c>
      <c r="J76" s="9"/>
      <c r="K76" s="197">
        <v>0</v>
      </c>
      <c r="L76" s="197">
        <v>0</v>
      </c>
      <c r="M76" s="198">
        <f t="shared" si="32"/>
        <v>0</v>
      </c>
      <c r="N76" s="203"/>
      <c r="O76" s="201">
        <f t="shared" si="33"/>
        <v>-1204</v>
      </c>
      <c r="P76" s="202">
        <f t="shared" si="34"/>
        <v>-1204</v>
      </c>
      <c r="Q76" s="198">
        <f t="shared" si="35"/>
        <v>0</v>
      </c>
    </row>
    <row r="77" spans="1:20" ht="12" customHeight="1" x14ac:dyDescent="0.2">
      <c r="A77" s="29" t="s">
        <v>55</v>
      </c>
      <c r="B77" s="9"/>
      <c r="C77" s="202">
        <v>0</v>
      </c>
      <c r="D77" s="202">
        <v>0</v>
      </c>
      <c r="E77" s="24">
        <f t="shared" si="30"/>
        <v>0</v>
      </c>
      <c r="F77" s="23"/>
      <c r="G77" s="240">
        <f>Expenses!C75+Expenses!G75</f>
        <v>2251</v>
      </c>
      <c r="H77" s="240">
        <f>Expenses!D75+Expenses!H75</f>
        <v>2251</v>
      </c>
      <c r="I77" s="202">
        <f t="shared" si="31"/>
        <v>0</v>
      </c>
      <c r="J77" s="9"/>
      <c r="K77" s="197">
        <v>0</v>
      </c>
      <c r="L77" s="197">
        <v>0</v>
      </c>
      <c r="M77" s="198">
        <f t="shared" si="32"/>
        <v>0</v>
      </c>
      <c r="N77" s="203"/>
      <c r="O77" s="201">
        <f t="shared" si="33"/>
        <v>-2251</v>
      </c>
      <c r="P77" s="202">
        <f t="shared" si="34"/>
        <v>-2251</v>
      </c>
      <c r="Q77" s="198">
        <f t="shared" si="35"/>
        <v>0</v>
      </c>
    </row>
    <row r="78" spans="1:20" ht="12" customHeight="1" x14ac:dyDescent="0.2">
      <c r="A78" s="29" t="s">
        <v>56</v>
      </c>
      <c r="B78" s="9"/>
      <c r="C78" s="202">
        <v>0</v>
      </c>
      <c r="D78" s="202">
        <v>0</v>
      </c>
      <c r="E78" s="24">
        <f t="shared" si="30"/>
        <v>0</v>
      </c>
      <c r="F78" s="23"/>
      <c r="G78" s="240">
        <f>Expenses!C76+Expenses!G76</f>
        <v>318</v>
      </c>
      <c r="H78" s="240">
        <f>Expenses!D76+Expenses!H76</f>
        <v>318</v>
      </c>
      <c r="I78" s="202">
        <f t="shared" si="31"/>
        <v>0</v>
      </c>
      <c r="J78" s="9"/>
      <c r="K78" s="197">
        <v>0</v>
      </c>
      <c r="L78" s="197">
        <v>0</v>
      </c>
      <c r="M78" s="198">
        <f t="shared" si="32"/>
        <v>0</v>
      </c>
      <c r="N78" s="203"/>
      <c r="O78" s="201">
        <f t="shared" si="33"/>
        <v>-318</v>
      </c>
      <c r="P78" s="202">
        <f t="shared" si="34"/>
        <v>-318</v>
      </c>
      <c r="Q78" s="198">
        <f t="shared" si="35"/>
        <v>0</v>
      </c>
    </row>
    <row r="79" spans="1:20" ht="12" customHeight="1" x14ac:dyDescent="0.2">
      <c r="A79" s="29" t="s">
        <v>57</v>
      </c>
      <c r="B79" s="9"/>
      <c r="C79" s="202">
        <v>0</v>
      </c>
      <c r="D79" s="202">
        <v>0</v>
      </c>
      <c r="E79" s="24">
        <f t="shared" si="30"/>
        <v>0</v>
      </c>
      <c r="F79" s="23"/>
      <c r="G79" s="240">
        <f>Expenses!C77+Expenses!G77</f>
        <v>593</v>
      </c>
      <c r="H79" s="240">
        <f>Expenses!D77+Expenses!H77</f>
        <v>593</v>
      </c>
      <c r="I79" s="202">
        <f t="shared" si="31"/>
        <v>0</v>
      </c>
      <c r="J79" s="9"/>
      <c r="K79" s="197">
        <v>0</v>
      </c>
      <c r="L79" s="197">
        <v>0</v>
      </c>
      <c r="M79" s="198">
        <f t="shared" si="32"/>
        <v>0</v>
      </c>
      <c r="N79" s="203"/>
      <c r="O79" s="201">
        <f t="shared" si="33"/>
        <v>-593</v>
      </c>
      <c r="P79" s="202">
        <f t="shared" si="34"/>
        <v>-593</v>
      </c>
      <c r="Q79" s="198">
        <f t="shared" si="35"/>
        <v>0</v>
      </c>
    </row>
    <row r="80" spans="1:20" ht="12" customHeight="1" x14ac:dyDescent="0.2">
      <c r="A80" s="29" t="s">
        <v>59</v>
      </c>
      <c r="B80" s="9"/>
      <c r="C80" s="202">
        <v>0</v>
      </c>
      <c r="D80" s="202">
        <v>0</v>
      </c>
      <c r="E80" s="24">
        <f t="shared" si="30"/>
        <v>0</v>
      </c>
      <c r="F80" s="23"/>
      <c r="G80" s="240">
        <f>Expenses!C78+Expenses!G78</f>
        <v>539</v>
      </c>
      <c r="H80" s="240">
        <f>Expenses!D78+Expenses!H78</f>
        <v>539</v>
      </c>
      <c r="I80" s="202">
        <f t="shared" si="31"/>
        <v>0</v>
      </c>
      <c r="J80" s="9"/>
      <c r="K80" s="197">
        <v>0</v>
      </c>
      <c r="L80" s="197">
        <v>0</v>
      </c>
      <c r="M80" s="198">
        <f t="shared" si="32"/>
        <v>0</v>
      </c>
      <c r="N80" s="203"/>
      <c r="O80" s="201">
        <f t="shared" si="33"/>
        <v>-539</v>
      </c>
      <c r="P80" s="202">
        <f t="shared" si="34"/>
        <v>-539</v>
      </c>
      <c r="Q80" s="198">
        <f t="shared" si="35"/>
        <v>0</v>
      </c>
    </row>
    <row r="81" spans="1:17" ht="12" customHeight="1" x14ac:dyDescent="0.2">
      <c r="A81" s="29" t="s">
        <v>60</v>
      </c>
      <c r="B81" s="9"/>
      <c r="C81" s="202">
        <v>0</v>
      </c>
      <c r="D81" s="202">
        <v>0</v>
      </c>
      <c r="E81" s="24">
        <f t="shared" si="30"/>
        <v>0</v>
      </c>
      <c r="F81" s="23"/>
      <c r="G81" s="240">
        <f>Expenses!C79+Expenses!G79</f>
        <v>194</v>
      </c>
      <c r="H81" s="240">
        <f>Expenses!D79+Expenses!H79</f>
        <v>194</v>
      </c>
      <c r="I81" s="202">
        <f t="shared" si="31"/>
        <v>0</v>
      </c>
      <c r="J81" s="9"/>
      <c r="K81" s="197">
        <v>0</v>
      </c>
      <c r="L81" s="197">
        <v>0</v>
      </c>
      <c r="M81" s="198">
        <f t="shared" si="32"/>
        <v>0</v>
      </c>
      <c r="N81" s="203"/>
      <c r="O81" s="201">
        <f t="shared" si="33"/>
        <v>-194</v>
      </c>
      <c r="P81" s="202">
        <f t="shared" si="34"/>
        <v>-194</v>
      </c>
      <c r="Q81" s="198">
        <f t="shared" si="35"/>
        <v>0</v>
      </c>
    </row>
    <row r="82" spans="1:17" ht="12" customHeight="1" x14ac:dyDescent="0.2">
      <c r="A82" s="29" t="s">
        <v>61</v>
      </c>
      <c r="B82" s="9"/>
      <c r="C82" s="202">
        <v>0</v>
      </c>
      <c r="D82" s="202">
        <v>0</v>
      </c>
      <c r="E82" s="24">
        <f t="shared" si="30"/>
        <v>0</v>
      </c>
      <c r="F82" s="23"/>
      <c r="G82" s="240">
        <f>Expenses!C80+Expenses!G80</f>
        <v>682</v>
      </c>
      <c r="H82" s="240">
        <f>Expenses!D80+Expenses!H80</f>
        <v>682</v>
      </c>
      <c r="I82" s="202">
        <f t="shared" si="31"/>
        <v>0</v>
      </c>
      <c r="J82" s="9"/>
      <c r="K82" s="197">
        <v>0</v>
      </c>
      <c r="L82" s="197">
        <v>0</v>
      </c>
      <c r="M82" s="198">
        <f t="shared" si="32"/>
        <v>0</v>
      </c>
      <c r="N82" s="203"/>
      <c r="O82" s="201">
        <f t="shared" si="33"/>
        <v>-682</v>
      </c>
      <c r="P82" s="202">
        <f t="shared" si="34"/>
        <v>-682</v>
      </c>
      <c r="Q82" s="198">
        <f t="shared" si="35"/>
        <v>0</v>
      </c>
    </row>
    <row r="83" spans="1:17" ht="12" customHeight="1" x14ac:dyDescent="0.2">
      <c r="A83" s="29" t="s">
        <v>62</v>
      </c>
      <c r="B83" s="9"/>
      <c r="C83" s="202">
        <v>0</v>
      </c>
      <c r="D83" s="202">
        <v>0</v>
      </c>
      <c r="E83" s="24">
        <f t="shared" si="30"/>
        <v>0</v>
      </c>
      <c r="F83" s="23"/>
      <c r="G83" s="240">
        <f>Expenses!C81+Expenses!G81</f>
        <v>1419</v>
      </c>
      <c r="H83" s="240">
        <f>Expenses!D81+Expenses!H81</f>
        <v>1419</v>
      </c>
      <c r="I83" s="202">
        <f t="shared" si="31"/>
        <v>0</v>
      </c>
      <c r="J83" s="9"/>
      <c r="K83" s="197">
        <v>0</v>
      </c>
      <c r="L83" s="197">
        <v>0</v>
      </c>
      <c r="M83" s="198">
        <f t="shared" si="32"/>
        <v>0</v>
      </c>
      <c r="N83" s="203"/>
      <c r="O83" s="201">
        <f t="shared" si="33"/>
        <v>-1419</v>
      </c>
      <c r="P83" s="202">
        <f t="shared" si="34"/>
        <v>-1419</v>
      </c>
      <c r="Q83" s="198">
        <f t="shared" si="35"/>
        <v>0</v>
      </c>
    </row>
    <row r="84" spans="1:17" x14ac:dyDescent="0.2">
      <c r="A84" s="29" t="s">
        <v>58</v>
      </c>
      <c r="B84" s="9"/>
      <c r="C84" s="202">
        <v>0</v>
      </c>
      <c r="D84" s="202">
        <v>0</v>
      </c>
      <c r="E84" s="24">
        <f t="shared" si="30"/>
        <v>0</v>
      </c>
      <c r="F84" s="23"/>
      <c r="G84" s="240">
        <f>Expenses!C82+Expenses!G82</f>
        <v>28318</v>
      </c>
      <c r="H84" s="240">
        <f>Expenses!D82+Expenses!H82</f>
        <v>23075</v>
      </c>
      <c r="I84" s="202">
        <f t="shared" si="31"/>
        <v>5243</v>
      </c>
      <c r="J84" s="9"/>
      <c r="K84" s="197">
        <v>0</v>
      </c>
      <c r="L84" s="197">
        <v>0</v>
      </c>
      <c r="M84" s="198">
        <f t="shared" si="32"/>
        <v>0</v>
      </c>
      <c r="N84" s="203"/>
      <c r="O84" s="201">
        <f t="shared" si="33"/>
        <v>-28318</v>
      </c>
      <c r="P84" s="202">
        <f t="shared" si="34"/>
        <v>-23075</v>
      </c>
      <c r="Q84" s="198">
        <f t="shared" si="35"/>
        <v>-5243</v>
      </c>
    </row>
    <row r="85" spans="1:17" ht="12" customHeight="1" x14ac:dyDescent="0.2">
      <c r="A85" s="29" t="s">
        <v>17</v>
      </c>
      <c r="B85" s="9"/>
      <c r="C85" s="202">
        <v>0</v>
      </c>
      <c r="D85" s="202">
        <v>0</v>
      </c>
      <c r="E85" s="24">
        <f t="shared" si="30"/>
        <v>0</v>
      </c>
      <c r="F85" s="23"/>
      <c r="G85" s="240">
        <f>Expenses!C83+Expenses!G83</f>
        <v>48011</v>
      </c>
      <c r="H85" s="240">
        <f>Expenses!D83+Expenses!H83</f>
        <v>46611</v>
      </c>
      <c r="I85" s="202">
        <f t="shared" si="31"/>
        <v>1400</v>
      </c>
      <c r="J85" s="9"/>
      <c r="K85" s="197">
        <v>0</v>
      </c>
      <c r="L85" s="197">
        <v>0</v>
      </c>
      <c r="M85" s="198">
        <f t="shared" si="32"/>
        <v>0</v>
      </c>
      <c r="N85" s="203"/>
      <c r="O85" s="201">
        <f t="shared" si="33"/>
        <v>-48011</v>
      </c>
      <c r="P85" s="202">
        <f t="shared" si="34"/>
        <v>-46611</v>
      </c>
      <c r="Q85" s="198">
        <f t="shared" si="35"/>
        <v>-1400</v>
      </c>
    </row>
    <row r="86" spans="1:17" s="157" customFormat="1" ht="12" customHeight="1" x14ac:dyDescent="0.2">
      <c r="A86" s="25" t="s">
        <v>13</v>
      </c>
      <c r="B86" s="155"/>
      <c r="C86" s="26">
        <f>SUM(C72:C85)</f>
        <v>0</v>
      </c>
      <c r="D86" s="27">
        <f>SUM(D72:D85)</f>
        <v>0</v>
      </c>
      <c r="E86" s="28">
        <f>SUM(E72:E85)</f>
        <v>0</v>
      </c>
      <c r="F86" s="156"/>
      <c r="G86" s="204">
        <f>SUM(G72:G85)</f>
        <v>98294</v>
      </c>
      <c r="H86" s="205">
        <f>SUM(H72:H85)</f>
        <v>91651</v>
      </c>
      <c r="I86" s="205">
        <f>SUM(I72:I85)</f>
        <v>6643</v>
      </c>
      <c r="J86" s="9"/>
      <c r="K86" s="205">
        <f>SUM(K72:K85)</f>
        <v>0</v>
      </c>
      <c r="L86" s="205">
        <f>SUM(L72:L85)</f>
        <v>0</v>
      </c>
      <c r="M86" s="206">
        <f>SUM(M72:M85)</f>
        <v>0</v>
      </c>
      <c r="N86" s="207"/>
      <c r="O86" s="204">
        <f>SUM(O72:O85)</f>
        <v>-98294</v>
      </c>
      <c r="P86" s="205">
        <f>SUM(P72:P85)</f>
        <v>-91651</v>
      </c>
      <c r="Q86" s="206">
        <f>SUM(Q72:Q85)</f>
        <v>-6643</v>
      </c>
    </row>
    <row r="87" spans="1:17" s="33" customFormat="1" ht="12" customHeight="1" x14ac:dyDescent="0.2">
      <c r="A87" s="181" t="s">
        <v>119</v>
      </c>
      <c r="B87" s="9"/>
      <c r="C87" s="202">
        <v>0</v>
      </c>
      <c r="D87" s="202">
        <v>0</v>
      </c>
      <c r="E87" s="291">
        <f>-D87+C87</f>
        <v>0</v>
      </c>
      <c r="F87" s="23"/>
      <c r="G87" s="240">
        <f>Expenses!C85+Expenses!G85</f>
        <v>38777</v>
      </c>
      <c r="H87" s="240">
        <f>Expenses!D85+Expenses!H85</f>
        <v>37754</v>
      </c>
      <c r="I87" s="202">
        <f t="shared" ref="I87:I93" si="36">G87-H87</f>
        <v>1023</v>
      </c>
      <c r="J87" s="9"/>
      <c r="K87" s="202">
        <f>CapChrg!C84</f>
        <v>0</v>
      </c>
      <c r="L87" s="202">
        <f>CapChrg!D84</f>
        <v>0</v>
      </c>
      <c r="M87" s="292">
        <f>K87-L87</f>
        <v>0</v>
      </c>
      <c r="N87" s="203"/>
      <c r="O87" s="201">
        <f t="shared" ref="O87:P90" si="37">C87-G87-K87</f>
        <v>-38777</v>
      </c>
      <c r="P87" s="202">
        <f t="shared" si="37"/>
        <v>-37754</v>
      </c>
      <c r="Q87" s="198">
        <f>O87-P87</f>
        <v>-1023</v>
      </c>
    </row>
    <row r="88" spans="1:17" s="33" customFormat="1" ht="12" customHeight="1" x14ac:dyDescent="0.2">
      <c r="A88" s="181" t="s">
        <v>120</v>
      </c>
      <c r="B88" s="9"/>
      <c r="C88" s="30">
        <f>GrossMargin!I68</f>
        <v>32135</v>
      </c>
      <c r="D88" s="240">
        <f>GrossMargin!M68</f>
        <v>32910</v>
      </c>
      <c r="E88" s="293">
        <f>-D88+C88</f>
        <v>-775</v>
      </c>
      <c r="F88" s="23"/>
      <c r="G88" s="240">
        <f>Expenses!C86+Expenses!G86</f>
        <v>3060</v>
      </c>
      <c r="H88" s="240">
        <f>Expenses!D86+Expenses!H86</f>
        <v>3060</v>
      </c>
      <c r="I88" s="202">
        <f t="shared" si="36"/>
        <v>0</v>
      </c>
      <c r="J88" s="9"/>
      <c r="K88" s="202">
        <f>CapChrg!C85</f>
        <v>0</v>
      </c>
      <c r="L88" s="202">
        <f>CapChrg!D85</f>
        <v>0</v>
      </c>
      <c r="M88" s="292">
        <f>K88-L88</f>
        <v>0</v>
      </c>
      <c r="N88" s="203"/>
      <c r="O88" s="201">
        <f t="shared" si="37"/>
        <v>29075</v>
      </c>
      <c r="P88" s="202">
        <f t="shared" si="37"/>
        <v>29850</v>
      </c>
      <c r="Q88" s="198">
        <f>O88-P88</f>
        <v>-775</v>
      </c>
    </row>
    <row r="89" spans="1:17" s="33" customFormat="1" ht="12" customHeight="1" x14ac:dyDescent="0.2">
      <c r="A89" s="181" t="s">
        <v>116</v>
      </c>
      <c r="B89" s="9"/>
      <c r="C89" s="202">
        <f>GrossMargin!I69</f>
        <v>-17124</v>
      </c>
      <c r="D89" s="202">
        <f>GrossMargin!M69</f>
        <v>-13000</v>
      </c>
      <c r="E89" s="293">
        <f>-D89+C89</f>
        <v>-4124</v>
      </c>
      <c r="F89" s="23"/>
      <c r="G89" s="240">
        <v>0</v>
      </c>
      <c r="H89" s="240">
        <v>0</v>
      </c>
      <c r="I89" s="202">
        <f t="shared" si="36"/>
        <v>0</v>
      </c>
      <c r="J89" s="9"/>
      <c r="K89" s="202">
        <v>0</v>
      </c>
      <c r="L89" s="202">
        <v>0</v>
      </c>
      <c r="M89" s="292">
        <f>K89-L89</f>
        <v>0</v>
      </c>
      <c r="N89" s="203"/>
      <c r="O89" s="201">
        <f>C89-G89-K89</f>
        <v>-17124</v>
      </c>
      <c r="P89" s="202">
        <f>D89-H89-L89</f>
        <v>-13000</v>
      </c>
      <c r="Q89" s="198">
        <f>O89-P89</f>
        <v>-4124</v>
      </c>
    </row>
    <row r="90" spans="1:17" ht="12" customHeight="1" thickBot="1" x14ac:dyDescent="0.25">
      <c r="A90" s="29" t="s">
        <v>115</v>
      </c>
      <c r="B90" s="9"/>
      <c r="C90" s="202">
        <f>2871+2874</f>
        <v>5745</v>
      </c>
      <c r="D90" s="202">
        <v>0</v>
      </c>
      <c r="E90" s="293">
        <f>-D90+C90</f>
        <v>5745</v>
      </c>
      <c r="F90" s="23"/>
      <c r="G90" s="202">
        <v>0</v>
      </c>
      <c r="H90" s="202">
        <v>0</v>
      </c>
      <c r="I90" s="202">
        <f t="shared" si="36"/>
        <v>0</v>
      </c>
      <c r="J90" s="9"/>
      <c r="K90" s="240">
        <f>CapChrg!C71</f>
        <v>-82833</v>
      </c>
      <c r="L90" s="240">
        <f>CapChrg!D71</f>
        <v>-101992</v>
      </c>
      <c r="M90" s="292">
        <f>K90-L90</f>
        <v>19159</v>
      </c>
      <c r="N90" s="203"/>
      <c r="O90" s="201">
        <f t="shared" si="37"/>
        <v>88578</v>
      </c>
      <c r="P90" s="202">
        <f t="shared" si="37"/>
        <v>101992</v>
      </c>
      <c r="Q90" s="198">
        <f>O90-P90</f>
        <v>-13414</v>
      </c>
    </row>
    <row r="91" spans="1:17" s="157" customFormat="1" ht="12" customHeight="1" thickBot="1" x14ac:dyDescent="0.25">
      <c r="A91" s="25" t="s">
        <v>140</v>
      </c>
      <c r="B91" s="302"/>
      <c r="C91" s="309">
        <f>C70+C86+C87+C88+C89+C90</f>
        <v>770176</v>
      </c>
      <c r="D91" s="309">
        <f>D70+D86+D87+D88+D89+D90</f>
        <v>522895</v>
      </c>
      <c r="E91" s="309">
        <f>E70+E86+E87+E88+E89+E90</f>
        <v>247281</v>
      </c>
      <c r="F91" s="156"/>
      <c r="G91" s="309">
        <f>G70+G86+G87+G88+G89+G90</f>
        <v>259710</v>
      </c>
      <c r="H91" s="309">
        <f>H70+H86+H87+H88+H89+H90</f>
        <v>245343</v>
      </c>
      <c r="I91" s="309">
        <f>I70+I86+I87+I88+I89+I90</f>
        <v>14367</v>
      </c>
      <c r="J91" s="15"/>
      <c r="K91" s="309">
        <f>K70+K86+K87+K88+K89+K90</f>
        <v>0</v>
      </c>
      <c r="L91" s="309">
        <f>L70+L86+L87+L88+L89+L90</f>
        <v>0</v>
      </c>
      <c r="M91" s="309">
        <f>M70+M86+M87+M88+M89+M90</f>
        <v>0</v>
      </c>
      <c r="N91" s="15"/>
      <c r="O91" s="316">
        <f>O70+O86+O87+O88+O89+O90</f>
        <v>510466</v>
      </c>
      <c r="P91" s="317">
        <f>P70+P86+P87+P88+P89+P90</f>
        <v>277552</v>
      </c>
      <c r="Q91" s="318">
        <f>Q70+Q86+Q87+Q88+Q89+Q90</f>
        <v>232914</v>
      </c>
    </row>
    <row r="92" spans="1:17" ht="12.75" customHeight="1" thickBot="1" x14ac:dyDescent="0.25">
      <c r="A92" s="29" t="s">
        <v>15</v>
      </c>
      <c r="B92" s="9"/>
      <c r="C92" s="30">
        <v>0</v>
      </c>
      <c r="D92" s="31">
        <v>0</v>
      </c>
      <c r="E92" s="32">
        <f>D92-C92</f>
        <v>0</v>
      </c>
      <c r="F92" s="23"/>
      <c r="G92" s="208">
        <f>Expenses!C88</f>
        <v>407</v>
      </c>
      <c r="H92" s="210">
        <f>Expenses!D88</f>
        <v>25828</v>
      </c>
      <c r="I92" s="202">
        <f t="shared" si="36"/>
        <v>-25421</v>
      </c>
      <c r="J92" s="9"/>
      <c r="K92" s="210">
        <v>0</v>
      </c>
      <c r="L92" s="210">
        <f>CapChrg!E73</f>
        <v>0</v>
      </c>
      <c r="M92" s="198">
        <v>0</v>
      </c>
      <c r="N92" s="203"/>
      <c r="O92" s="313">
        <f>C92-G92-K92</f>
        <v>-407</v>
      </c>
      <c r="P92" s="314">
        <f>D92-H92-L92</f>
        <v>-25828</v>
      </c>
      <c r="Q92" s="315">
        <f>O92-P92</f>
        <v>25421</v>
      </c>
    </row>
    <row r="93" spans="1:17" s="157" customFormat="1" ht="12" customHeight="1" thickBot="1" x14ac:dyDescent="0.3">
      <c r="A93" s="35" t="s">
        <v>141</v>
      </c>
      <c r="B93" s="158"/>
      <c r="C93" s="36">
        <f>SUM(C91:C92)</f>
        <v>770176</v>
      </c>
      <c r="D93" s="37">
        <f>SUM(D91:D92)</f>
        <v>522895</v>
      </c>
      <c r="E93" s="51">
        <f>SUM(E91:E92)</f>
        <v>247281</v>
      </c>
      <c r="F93" s="159"/>
      <c r="G93" s="212">
        <f>SUM(G91:G92)</f>
        <v>260117</v>
      </c>
      <c r="H93" s="213">
        <f>SUM(H91:H92)</f>
        <v>271171</v>
      </c>
      <c r="I93" s="213">
        <f t="shared" si="36"/>
        <v>-11054</v>
      </c>
      <c r="J93" s="159"/>
      <c r="K93" s="212">
        <f>SUM(K91:K92)</f>
        <v>0</v>
      </c>
      <c r="L93" s="213">
        <f>SUM(L91:L92)</f>
        <v>0</v>
      </c>
      <c r="M93" s="214">
        <f>SUM(M91:M92)</f>
        <v>0</v>
      </c>
      <c r="N93" s="215"/>
      <c r="O93" s="310">
        <f>SUM(O91:O92)</f>
        <v>510059</v>
      </c>
      <c r="P93" s="311">
        <f>SUM(P91:P92)</f>
        <v>251724</v>
      </c>
      <c r="Q93" s="312">
        <f>SUM(Q91:Q92)</f>
        <v>258335</v>
      </c>
    </row>
    <row r="94" spans="1:17" ht="3" customHeight="1" x14ac:dyDescent="0.3">
      <c r="A94" s="38"/>
      <c r="C94" s="39"/>
      <c r="D94" s="40"/>
      <c r="E94" s="38"/>
      <c r="F94" s="41"/>
    </row>
    <row r="95" spans="1:17" x14ac:dyDescent="0.2">
      <c r="A95" s="43"/>
      <c r="C95" s="41"/>
      <c r="D95" s="40"/>
      <c r="E95" s="41"/>
      <c r="F95" s="41"/>
    </row>
    <row r="96" spans="1:17" ht="13.5" hidden="1" customHeight="1" x14ac:dyDescent="0.2">
      <c r="A96" s="42"/>
      <c r="D96" s="44"/>
      <c r="E96" s="44"/>
      <c r="F96" s="44"/>
      <c r="G96" s="217"/>
      <c r="H96" s="217"/>
      <c r="I96" s="217"/>
      <c r="J96" s="217"/>
      <c r="K96" s="217"/>
      <c r="L96" s="217"/>
      <c r="M96" s="217"/>
      <c r="P96" s="301"/>
    </row>
    <row r="97" spans="1:13" ht="13.5" hidden="1" customHeight="1" x14ac:dyDescent="0.2">
      <c r="A97" s="42"/>
      <c r="C97" s="305"/>
      <c r="D97" s="306"/>
      <c r="E97" s="44"/>
      <c r="F97" s="44"/>
      <c r="G97" s="217"/>
      <c r="H97" s="217"/>
      <c r="I97" s="217"/>
      <c r="J97" s="217"/>
      <c r="K97" s="217"/>
      <c r="L97" s="217"/>
      <c r="M97" s="217"/>
    </row>
    <row r="98" spans="1:13" ht="13.8" hidden="1" x14ac:dyDescent="0.3">
      <c r="C98" s="345" t="s">
        <v>111</v>
      </c>
      <c r="D98" s="346"/>
      <c r="E98" s="347"/>
      <c r="G98" s="218" t="s">
        <v>112</v>
      </c>
      <c r="H98" s="219"/>
      <c r="I98" s="219"/>
      <c r="J98" s="219"/>
      <c r="K98" s="219"/>
      <c r="L98" s="219"/>
      <c r="M98" s="219"/>
    </row>
    <row r="99" spans="1:13" hidden="1" x14ac:dyDescent="0.2">
      <c r="C99" s="68" t="s">
        <v>87</v>
      </c>
      <c r="D99" s="69"/>
      <c r="E99" s="70">
        <v>0</v>
      </c>
      <c r="G99" s="220" t="s">
        <v>88</v>
      </c>
      <c r="H99" s="221"/>
      <c r="I99" s="221"/>
      <c r="J99" s="221"/>
      <c r="K99" s="221"/>
      <c r="L99" s="221"/>
      <c r="M99" s="222">
        <v>0</v>
      </c>
    </row>
    <row r="100" spans="1:13" hidden="1" x14ac:dyDescent="0.2">
      <c r="C100" s="68" t="s">
        <v>89</v>
      </c>
      <c r="D100" s="69"/>
      <c r="E100" s="70">
        <v>0</v>
      </c>
      <c r="G100" s="220" t="s">
        <v>90</v>
      </c>
      <c r="H100" s="221"/>
      <c r="I100" s="221"/>
      <c r="J100" s="221"/>
      <c r="K100" s="221"/>
      <c r="L100" s="221"/>
      <c r="M100" s="223">
        <v>0</v>
      </c>
    </row>
    <row r="101" spans="1:13" hidden="1" x14ac:dyDescent="0.2">
      <c r="C101" s="68" t="s">
        <v>91</v>
      </c>
      <c r="D101" s="69"/>
      <c r="E101" s="70">
        <v>0</v>
      </c>
      <c r="G101" s="220" t="s">
        <v>81</v>
      </c>
      <c r="H101" s="221"/>
      <c r="I101" s="221"/>
      <c r="J101" s="221"/>
      <c r="K101" s="221"/>
      <c r="L101" s="221"/>
      <c r="M101" s="223"/>
    </row>
    <row r="102" spans="1:13" hidden="1" x14ac:dyDescent="0.2">
      <c r="C102" s="71"/>
      <c r="D102" s="72"/>
      <c r="E102" s="73"/>
      <c r="G102" s="224"/>
      <c r="H102" s="225"/>
      <c r="I102" s="225"/>
      <c r="J102" s="225"/>
      <c r="K102" s="225"/>
      <c r="L102" s="225"/>
      <c r="M102" s="226"/>
    </row>
    <row r="103" spans="1:13" ht="13.8" hidden="1" x14ac:dyDescent="0.3">
      <c r="C103" s="74" t="s">
        <v>92</v>
      </c>
      <c r="D103" s="75"/>
      <c r="E103" s="76">
        <f>SUM(E99:E102)</f>
        <v>0</v>
      </c>
      <c r="G103" s="227" t="s">
        <v>92</v>
      </c>
      <c r="H103" s="228"/>
      <c r="I103" s="228"/>
      <c r="J103" s="228"/>
      <c r="K103" s="228"/>
      <c r="L103" s="228"/>
      <c r="M103" s="229" t="e">
        <f>+#REF!+M100+M99+#REF!</f>
        <v>#REF!</v>
      </c>
    </row>
    <row r="104" spans="1:13" hidden="1" x14ac:dyDescent="0.2"/>
    <row r="105" spans="1:13" hidden="1" x14ac:dyDescent="0.2"/>
    <row r="106" spans="1:13" ht="13.8" hidden="1" x14ac:dyDescent="0.3">
      <c r="C106" s="77" t="s">
        <v>93</v>
      </c>
      <c r="D106" s="78"/>
      <c r="E106" s="79">
        <v>0</v>
      </c>
      <c r="G106" s="249" t="s">
        <v>93</v>
      </c>
      <c r="H106" s="231"/>
      <c r="I106" s="231"/>
      <c r="J106" s="231"/>
      <c r="K106" s="231"/>
      <c r="L106" s="231"/>
      <c r="M106" s="232">
        <v>0</v>
      </c>
    </row>
    <row r="107" spans="1:13" ht="13.8" hidden="1" x14ac:dyDescent="0.3">
      <c r="C107" s="77" t="s">
        <v>94</v>
      </c>
      <c r="D107" s="77"/>
      <c r="E107" s="80">
        <v>0</v>
      </c>
      <c r="F107" s="81"/>
      <c r="G107" s="249" t="s">
        <v>94</v>
      </c>
      <c r="H107" s="230"/>
      <c r="I107" s="230"/>
      <c r="J107" s="230"/>
      <c r="K107" s="230"/>
      <c r="L107" s="230"/>
      <c r="M107" s="233">
        <v>0</v>
      </c>
    </row>
    <row r="108" spans="1:13" ht="13.8" hidden="1" x14ac:dyDescent="0.3">
      <c r="C108" s="77"/>
      <c r="D108" s="77"/>
      <c r="E108" s="82"/>
      <c r="F108" s="81"/>
      <c r="G108" s="249"/>
      <c r="H108" s="230"/>
      <c r="I108" s="230"/>
      <c r="J108" s="230"/>
      <c r="K108" s="230"/>
      <c r="L108" s="230"/>
      <c r="M108" s="234"/>
    </row>
    <row r="109" spans="1:13" ht="14.4" hidden="1" thickBot="1" x14ac:dyDescent="0.25">
      <c r="C109" s="83" t="s">
        <v>95</v>
      </c>
      <c r="D109" s="84"/>
      <c r="E109" s="85">
        <f>+E107-E106</f>
        <v>0</v>
      </c>
      <c r="F109" s="81"/>
      <c r="G109" s="235" t="s">
        <v>95</v>
      </c>
      <c r="H109" s="236"/>
      <c r="I109" s="236"/>
      <c r="J109" s="236"/>
      <c r="K109" s="236"/>
      <c r="L109" s="236"/>
      <c r="M109" s="237">
        <f>+M107-M106</f>
        <v>0</v>
      </c>
    </row>
    <row r="110" spans="1:13" ht="10.8" hidden="1" thickTop="1" x14ac:dyDescent="0.2">
      <c r="C110" s="10" t="s">
        <v>0</v>
      </c>
      <c r="D110" s="10" t="s">
        <v>138</v>
      </c>
      <c r="E110" s="10" t="s">
        <v>1</v>
      </c>
    </row>
    <row r="111" spans="1:13" hidden="1" x14ac:dyDescent="0.2">
      <c r="A111" s="10" t="s">
        <v>136</v>
      </c>
      <c r="C111" s="308">
        <f>C91/1000</f>
        <v>770.17600000000004</v>
      </c>
      <c r="D111" s="308">
        <f>G91/1000</f>
        <v>259.70999999999998</v>
      </c>
      <c r="E111" s="308">
        <f>C111-D111</f>
        <v>510.46600000000007</v>
      </c>
    </row>
    <row r="112" spans="1:13" hidden="1" x14ac:dyDescent="0.2">
      <c r="A112" s="10" t="s">
        <v>137</v>
      </c>
      <c r="C112" s="307">
        <v>9.3000000000000007</v>
      </c>
      <c r="D112" s="307">
        <v>18.7</v>
      </c>
      <c r="E112" s="307">
        <f>C112-D112</f>
        <v>-9.3999999999999986</v>
      </c>
    </row>
    <row r="113" spans="3:16" hidden="1" x14ac:dyDescent="0.2">
      <c r="C113" s="308">
        <f>SUM(C111:C112)</f>
        <v>779.476</v>
      </c>
      <c r="D113" s="308">
        <f>SUM(D111:D112)</f>
        <v>278.40999999999997</v>
      </c>
      <c r="E113" s="308">
        <f>C113-D113</f>
        <v>501.06600000000003</v>
      </c>
    </row>
    <row r="114" spans="3:16" hidden="1" x14ac:dyDescent="0.2"/>
    <row r="115" spans="3:16" hidden="1" x14ac:dyDescent="0.2"/>
    <row r="116" spans="3:16" hidden="1" x14ac:dyDescent="0.2"/>
    <row r="117" spans="3:16" hidden="1" x14ac:dyDescent="0.2"/>
    <row r="118" spans="3:16" x14ac:dyDescent="0.2">
      <c r="O118" s="338"/>
      <c r="P118" s="301"/>
    </row>
    <row r="119" spans="3:16" x14ac:dyDescent="0.2">
      <c r="C119" s="117"/>
      <c r="G119" s="301"/>
      <c r="O119" s="338"/>
      <c r="P119" s="301"/>
    </row>
    <row r="122" spans="3:16" x14ac:dyDescent="0.2">
      <c r="O122" s="301"/>
    </row>
    <row r="123" spans="3:16" x14ac:dyDescent="0.2">
      <c r="O123" s="338"/>
    </row>
    <row r="124" spans="3:16" x14ac:dyDescent="0.2">
      <c r="O124" s="301"/>
    </row>
  </sheetData>
  <mergeCells count="8">
    <mergeCell ref="L2:Q2"/>
    <mergeCell ref="O6:Q7"/>
    <mergeCell ref="C6:E7"/>
    <mergeCell ref="C98:E98"/>
    <mergeCell ref="G6:I6"/>
    <mergeCell ref="G7:I7"/>
    <mergeCell ref="K6:M6"/>
    <mergeCell ref="K7:M7"/>
  </mergeCells>
  <phoneticPr fontId="0" type="noConversion"/>
  <printOptions horizontalCentered="1"/>
  <pageMargins left="0.25" right="0.25" top="0.2" bottom="0.16" header="0.17" footer="0.18"/>
  <pageSetup scale="67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264"/>
  <sheetViews>
    <sheetView workbookViewId="0">
      <selection activeCell="H49" sqref="H49"/>
    </sheetView>
  </sheetViews>
  <sheetFormatPr defaultColWidth="9.109375" defaultRowHeight="10.199999999999999" x14ac:dyDescent="0.2"/>
  <cols>
    <col min="1" max="1" width="26.88671875" style="10" customWidth="1"/>
    <col min="2" max="2" width="2.109375" style="10" customWidth="1"/>
    <col min="3" max="4" width="8.6640625" style="10" customWidth="1"/>
    <col min="5" max="5" width="9.6640625" style="10" customWidth="1"/>
    <col min="6" max="11" width="8.6640625" style="10" customWidth="1"/>
    <col min="12" max="18" width="9.6640625" style="10" customWidth="1"/>
    <col min="19" max="16384" width="9.109375" style="10"/>
  </cols>
  <sheetData>
    <row r="1" spans="1:14" ht="15.6" x14ac:dyDescent="0.3">
      <c r="A1" s="364" t="s">
        <v>75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</row>
    <row r="2" spans="1:14" ht="13.8" x14ac:dyDescent="0.25">
      <c r="A2" s="365" t="s">
        <v>109</v>
      </c>
      <c r="B2" s="365"/>
      <c r="C2" s="365"/>
      <c r="D2" s="365"/>
      <c r="E2" s="365"/>
      <c r="F2" s="365"/>
      <c r="G2" s="365"/>
      <c r="H2" s="365"/>
      <c r="I2" s="365"/>
      <c r="J2" s="365"/>
      <c r="K2" s="365"/>
    </row>
    <row r="3" spans="1:14" ht="14.4" thickBot="1" x14ac:dyDescent="0.35">
      <c r="A3" s="366" t="s">
        <v>76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N3" s="52"/>
    </row>
    <row r="4" spans="1:14" ht="3" customHeight="1" x14ac:dyDescent="0.2">
      <c r="A4" s="44"/>
      <c r="B4" s="94"/>
    </row>
    <row r="5" spans="1:14" ht="12.75" customHeight="1" x14ac:dyDescent="0.2">
      <c r="A5" s="53"/>
      <c r="B5" s="9"/>
      <c r="C5" s="54"/>
      <c r="D5" s="54"/>
      <c r="E5" s="54"/>
      <c r="F5" s="54"/>
      <c r="G5" s="54"/>
      <c r="H5" s="54"/>
      <c r="I5" s="54"/>
      <c r="J5" s="54"/>
      <c r="K5" s="55"/>
    </row>
    <row r="6" spans="1:14" x14ac:dyDescent="0.2">
      <c r="A6" s="13"/>
      <c r="B6" s="9"/>
      <c r="C6" s="44"/>
      <c r="D6" s="44"/>
      <c r="E6" s="56"/>
      <c r="F6" s="56"/>
      <c r="G6" s="44"/>
      <c r="H6" s="56" t="s">
        <v>3</v>
      </c>
      <c r="I6" s="56" t="s">
        <v>77</v>
      </c>
      <c r="J6" s="56" t="s">
        <v>6</v>
      </c>
      <c r="K6" s="57" t="s">
        <v>78</v>
      </c>
      <c r="L6" s="58"/>
      <c r="M6" s="59"/>
      <c r="N6" s="58"/>
    </row>
    <row r="7" spans="1:14" ht="12.6" thickBot="1" x14ac:dyDescent="0.25">
      <c r="A7" s="60" t="s">
        <v>2</v>
      </c>
      <c r="B7" s="95"/>
      <c r="C7" s="61" t="s">
        <v>86</v>
      </c>
      <c r="D7" s="61" t="s">
        <v>79</v>
      </c>
      <c r="E7" s="61" t="s">
        <v>80</v>
      </c>
      <c r="F7" s="61" t="s">
        <v>81</v>
      </c>
      <c r="G7" s="61" t="s">
        <v>82</v>
      </c>
      <c r="H7" s="61" t="s">
        <v>0</v>
      </c>
      <c r="I7" s="61" t="s">
        <v>83</v>
      </c>
      <c r="J7" s="61" t="s">
        <v>0</v>
      </c>
      <c r="K7" s="62" t="s">
        <v>0</v>
      </c>
      <c r="L7" s="58"/>
      <c r="M7" s="58"/>
      <c r="N7" s="58"/>
    </row>
    <row r="8" spans="1:14" ht="6.75" customHeight="1" thickBot="1" x14ac:dyDescent="0.25">
      <c r="A8" s="53"/>
      <c r="B8" s="93"/>
      <c r="C8" s="44"/>
      <c r="D8" s="44"/>
      <c r="E8" s="44"/>
      <c r="F8" s="44"/>
      <c r="G8" s="44"/>
      <c r="H8" s="13"/>
      <c r="I8" s="13"/>
      <c r="J8" s="44"/>
      <c r="K8" s="63"/>
    </row>
    <row r="9" spans="1:14" s="18" customFormat="1" x14ac:dyDescent="0.2">
      <c r="A9" s="11" t="s">
        <v>20</v>
      </c>
      <c r="B9" s="90"/>
      <c r="C9" s="108">
        <v>0</v>
      </c>
      <c r="D9" s="109">
        <v>0</v>
      </c>
      <c r="E9" s="109">
        <v>0</v>
      </c>
      <c r="F9" s="124">
        <v>0</v>
      </c>
      <c r="G9" s="110">
        <v>0</v>
      </c>
      <c r="H9" s="109">
        <f>SUM(C9:G9)</f>
        <v>0</v>
      </c>
      <c r="I9" s="108">
        <v>0</v>
      </c>
      <c r="J9" s="109">
        <v>0</v>
      </c>
      <c r="K9" s="110">
        <f>SUM(H9:J9)</f>
        <v>0</v>
      </c>
    </row>
    <row r="10" spans="1:14" s="18" customFormat="1" x14ac:dyDescent="0.2">
      <c r="A10" s="11" t="s">
        <v>21</v>
      </c>
      <c r="B10" s="90"/>
      <c r="C10" s="100">
        <v>0</v>
      </c>
      <c r="D10" s="101">
        <f>[1]GrossMargin!E11-[2]GrossMargin!E11</f>
        <v>0</v>
      </c>
      <c r="E10" s="101">
        <f>[1]GrossMargin!F11-[2]GrossMargin!F11</f>
        <v>0</v>
      </c>
      <c r="F10" s="101">
        <f>[1]GrossMargin!G11-[2]GrossMargin!G11</f>
        <v>0</v>
      </c>
      <c r="G10" s="101">
        <f>[1]GrossMargin!H11-[2]GrossMargin!H11</f>
        <v>0</v>
      </c>
      <c r="H10" s="100">
        <f>SUM(C10:G10)</f>
        <v>0</v>
      </c>
      <c r="I10" s="100">
        <v>0</v>
      </c>
      <c r="J10" s="101">
        <v>0</v>
      </c>
      <c r="K10" s="111">
        <f>SUM(H10:J10)</f>
        <v>0</v>
      </c>
    </row>
    <row r="11" spans="1:14" x14ac:dyDescent="0.2">
      <c r="A11" s="11" t="s">
        <v>22</v>
      </c>
      <c r="B11" s="16"/>
      <c r="C11" s="22">
        <v>0</v>
      </c>
      <c r="D11" s="40">
        <v>0</v>
      </c>
      <c r="E11" s="40">
        <v>0</v>
      </c>
      <c r="F11" s="40">
        <v>0</v>
      </c>
      <c r="G11" s="40">
        <v>0</v>
      </c>
      <c r="H11" s="22">
        <f>SUM(H9:H10)</f>
        <v>0</v>
      </c>
      <c r="I11" s="22">
        <v>0</v>
      </c>
      <c r="J11" s="40">
        <f>SUM(J9:J10)</f>
        <v>0</v>
      </c>
      <c r="K11" s="64">
        <f>SUM(K9:K10)</f>
        <v>0</v>
      </c>
    </row>
    <row r="12" spans="1:14" x14ac:dyDescent="0.2">
      <c r="A12" s="11" t="s">
        <v>23</v>
      </c>
      <c r="B12" s="16"/>
      <c r="C12" s="22">
        <v>0</v>
      </c>
      <c r="D12" s="40">
        <v>0</v>
      </c>
      <c r="E12" s="40">
        <v>0</v>
      </c>
      <c r="F12" s="40">
        <v>0</v>
      </c>
      <c r="G12" s="40">
        <v>0</v>
      </c>
      <c r="H12" s="22">
        <f>SUM(C12:G12)</f>
        <v>0</v>
      </c>
      <c r="I12" s="22">
        <v>0</v>
      </c>
      <c r="J12" s="40">
        <v>0</v>
      </c>
      <c r="K12" s="64">
        <f>SUM(H12:J12)</f>
        <v>0</v>
      </c>
    </row>
    <row r="13" spans="1:14" x14ac:dyDescent="0.2">
      <c r="A13" s="11" t="s">
        <v>24</v>
      </c>
      <c r="B13" s="16"/>
      <c r="C13" s="22">
        <v>0</v>
      </c>
      <c r="D13" s="40">
        <v>0</v>
      </c>
      <c r="E13" s="40">
        <v>0</v>
      </c>
      <c r="F13" s="40">
        <v>0</v>
      </c>
      <c r="G13" s="40">
        <v>0</v>
      </c>
      <c r="H13" s="22">
        <f>SUM(C13:G13)</f>
        <v>0</v>
      </c>
      <c r="I13" s="22">
        <v>0</v>
      </c>
      <c r="J13" s="40">
        <v>0</v>
      </c>
      <c r="K13" s="64">
        <f>SUM(H13:J13)</f>
        <v>0</v>
      </c>
    </row>
    <row r="14" spans="1:14" x14ac:dyDescent="0.2">
      <c r="A14" s="11" t="s">
        <v>64</v>
      </c>
      <c r="B14" s="16"/>
      <c r="C14" s="22">
        <v>0</v>
      </c>
      <c r="D14" s="40">
        <v>0</v>
      </c>
      <c r="E14" s="40">
        <v>0</v>
      </c>
      <c r="F14" s="40">
        <v>0</v>
      </c>
      <c r="G14" s="40">
        <v>0</v>
      </c>
      <c r="H14" s="22">
        <f>SUM(C14:G14)</f>
        <v>0</v>
      </c>
      <c r="I14" s="22">
        <v>0</v>
      </c>
      <c r="J14" s="40">
        <v>0</v>
      </c>
      <c r="K14" s="64">
        <f>SUM(H14:J14)</f>
        <v>0</v>
      </c>
    </row>
    <row r="15" spans="1:14" x14ac:dyDescent="0.2">
      <c r="A15" s="11" t="s">
        <v>27</v>
      </c>
      <c r="B15" s="16"/>
      <c r="C15" s="22">
        <v>0</v>
      </c>
      <c r="D15" s="40">
        <v>0</v>
      </c>
      <c r="E15" s="40">
        <v>0</v>
      </c>
      <c r="F15" s="40">
        <v>0</v>
      </c>
      <c r="G15" s="40">
        <v>0</v>
      </c>
      <c r="H15" s="22">
        <f>SUM(C15:G15)</f>
        <v>0</v>
      </c>
      <c r="I15" s="22">
        <v>0</v>
      </c>
      <c r="J15" s="40">
        <v>0</v>
      </c>
      <c r="K15" s="64">
        <f>SUM(H15:J15)</f>
        <v>0</v>
      </c>
    </row>
    <row r="16" spans="1:14" x14ac:dyDescent="0.2">
      <c r="A16" s="11" t="s">
        <v>28</v>
      </c>
      <c r="B16" s="16"/>
      <c r="C16" s="22">
        <v>0</v>
      </c>
      <c r="D16" s="40">
        <v>0</v>
      </c>
      <c r="E16" s="40">
        <v>0</v>
      </c>
      <c r="F16" s="40">
        <v>0</v>
      </c>
      <c r="G16" s="40">
        <v>0</v>
      </c>
      <c r="H16" s="22">
        <f>SUM(C16:G16)</f>
        <v>0</v>
      </c>
      <c r="I16" s="22">
        <v>0</v>
      </c>
      <c r="J16" s="40">
        <v>0</v>
      </c>
      <c r="K16" s="64">
        <f>SUM(H16:J16)</f>
        <v>0</v>
      </c>
    </row>
    <row r="17" spans="1:11" x14ac:dyDescent="0.2">
      <c r="A17" s="11" t="s">
        <v>29</v>
      </c>
      <c r="B17" s="16"/>
      <c r="C17" s="22">
        <v>0</v>
      </c>
      <c r="D17" s="40">
        <v>0</v>
      </c>
      <c r="E17" s="40">
        <v>0</v>
      </c>
      <c r="F17" s="40">
        <v>0</v>
      </c>
      <c r="G17" s="40">
        <v>0</v>
      </c>
      <c r="H17" s="22">
        <v>0</v>
      </c>
      <c r="I17" s="22">
        <v>0</v>
      </c>
      <c r="J17" s="40">
        <v>0</v>
      </c>
      <c r="K17" s="64">
        <v>0</v>
      </c>
    </row>
    <row r="18" spans="1:11" s="42" customFormat="1" ht="13.2" x14ac:dyDescent="0.3">
      <c r="A18" s="25" t="s">
        <v>7</v>
      </c>
      <c r="B18" s="114"/>
      <c r="C18" s="86">
        <f>SUM(C9:C17)</f>
        <v>0</v>
      </c>
      <c r="D18" s="87">
        <f t="shared" ref="D18:K18" si="0">SUM(D9:D17)</f>
        <v>0</v>
      </c>
      <c r="E18" s="87">
        <f t="shared" si="0"/>
        <v>0</v>
      </c>
      <c r="F18" s="87">
        <f t="shared" si="0"/>
        <v>0</v>
      </c>
      <c r="G18" s="87">
        <f t="shared" si="0"/>
        <v>0</v>
      </c>
      <c r="H18" s="89">
        <f t="shared" si="0"/>
        <v>0</v>
      </c>
      <c r="I18" s="87">
        <f t="shared" si="0"/>
        <v>0</v>
      </c>
      <c r="J18" s="87">
        <f t="shared" si="0"/>
        <v>0</v>
      </c>
      <c r="K18" s="88">
        <f t="shared" si="0"/>
        <v>0</v>
      </c>
    </row>
    <row r="19" spans="1:11" ht="6" customHeight="1" x14ac:dyDescent="0.2">
      <c r="A19" s="11"/>
      <c r="B19" s="16"/>
      <c r="C19" s="22"/>
      <c r="D19" s="40"/>
      <c r="E19" s="40"/>
      <c r="F19" s="40"/>
      <c r="G19" s="40"/>
      <c r="H19" s="22"/>
      <c r="I19" s="22"/>
      <c r="J19" s="40"/>
      <c r="K19" s="64"/>
    </row>
    <row r="20" spans="1:11" x14ac:dyDescent="0.2">
      <c r="A20" s="11" t="s">
        <v>25</v>
      </c>
      <c r="B20" s="16"/>
      <c r="C20" s="22">
        <v>0</v>
      </c>
      <c r="D20" s="40">
        <v>0</v>
      </c>
      <c r="E20" s="40">
        <v>0</v>
      </c>
      <c r="F20" s="40">
        <v>0</v>
      </c>
      <c r="G20" s="40">
        <v>0</v>
      </c>
      <c r="H20" s="22">
        <f t="shared" ref="H20:H44" si="1">SUM(C20:G20)</f>
        <v>0</v>
      </c>
      <c r="I20" s="22">
        <v>0</v>
      </c>
      <c r="J20" s="40">
        <v>0</v>
      </c>
      <c r="K20" s="64">
        <f t="shared" ref="K20:K35" si="2">SUM(H20:J20)</f>
        <v>0</v>
      </c>
    </row>
    <row r="21" spans="1:11" x14ac:dyDescent="0.2">
      <c r="A21" s="11" t="s">
        <v>26</v>
      </c>
      <c r="B21" s="16"/>
      <c r="C21" s="22">
        <v>0</v>
      </c>
      <c r="D21" s="40">
        <v>0</v>
      </c>
      <c r="E21" s="40">
        <v>0</v>
      </c>
      <c r="F21" s="40">
        <v>0</v>
      </c>
      <c r="G21" s="40">
        <v>0</v>
      </c>
      <c r="H21" s="22">
        <f t="shared" si="1"/>
        <v>0</v>
      </c>
      <c r="I21" s="22">
        <v>0</v>
      </c>
      <c r="J21" s="40">
        <v>0</v>
      </c>
      <c r="K21" s="64">
        <f t="shared" si="2"/>
        <v>0</v>
      </c>
    </row>
    <row r="22" spans="1:11" x14ac:dyDescent="0.2">
      <c r="A22" s="11" t="s">
        <v>32</v>
      </c>
      <c r="B22" s="16"/>
      <c r="C22" s="22">
        <v>0</v>
      </c>
      <c r="D22" s="40">
        <v>0</v>
      </c>
      <c r="E22" s="40">
        <v>0</v>
      </c>
      <c r="F22" s="40">
        <v>0</v>
      </c>
      <c r="G22" s="40">
        <v>0</v>
      </c>
      <c r="H22" s="22">
        <f t="shared" si="1"/>
        <v>0</v>
      </c>
      <c r="I22" s="22">
        <v>0</v>
      </c>
      <c r="J22" s="40">
        <v>0</v>
      </c>
      <c r="K22" s="64">
        <f t="shared" si="2"/>
        <v>0</v>
      </c>
    </row>
    <row r="23" spans="1:11" x14ac:dyDescent="0.2">
      <c r="A23" s="11" t="s">
        <v>30</v>
      </c>
      <c r="B23" s="16"/>
      <c r="C23" s="22">
        <v>0</v>
      </c>
      <c r="D23" s="40">
        <v>0</v>
      </c>
      <c r="E23" s="40">
        <v>0</v>
      </c>
      <c r="F23" s="40">
        <v>0</v>
      </c>
      <c r="G23" s="40">
        <v>0</v>
      </c>
      <c r="H23" s="22">
        <f t="shared" si="1"/>
        <v>0</v>
      </c>
      <c r="I23" s="22">
        <v>0</v>
      </c>
      <c r="J23" s="40">
        <v>0</v>
      </c>
      <c r="K23" s="64">
        <f t="shared" si="2"/>
        <v>0</v>
      </c>
    </row>
    <row r="24" spans="1:11" x14ac:dyDescent="0.2">
      <c r="A24" s="11" t="s">
        <v>31</v>
      </c>
      <c r="B24" s="16"/>
      <c r="C24" s="22">
        <v>0</v>
      </c>
      <c r="D24" s="40">
        <v>0</v>
      </c>
      <c r="E24" s="40">
        <v>0</v>
      </c>
      <c r="F24" s="40">
        <v>0</v>
      </c>
      <c r="G24" s="40">
        <v>0</v>
      </c>
      <c r="H24" s="22">
        <f t="shared" si="1"/>
        <v>0</v>
      </c>
      <c r="I24" s="22">
        <v>0</v>
      </c>
      <c r="J24" s="40">
        <v>0</v>
      </c>
      <c r="K24" s="64">
        <f t="shared" si="2"/>
        <v>0</v>
      </c>
    </row>
    <row r="25" spans="1:11" x14ac:dyDescent="0.2">
      <c r="A25" s="11" t="s">
        <v>33</v>
      </c>
      <c r="B25" s="16"/>
      <c r="C25" s="22">
        <v>0</v>
      </c>
      <c r="D25" s="40">
        <v>0</v>
      </c>
      <c r="E25" s="40">
        <v>0</v>
      </c>
      <c r="F25" s="40">
        <v>0</v>
      </c>
      <c r="G25" s="40">
        <v>0</v>
      </c>
      <c r="H25" s="22">
        <f t="shared" si="1"/>
        <v>0</v>
      </c>
      <c r="I25" s="22">
        <v>0</v>
      </c>
      <c r="J25" s="40">
        <v>0</v>
      </c>
      <c r="K25" s="64">
        <f t="shared" si="2"/>
        <v>0</v>
      </c>
    </row>
    <row r="26" spans="1:11" s="42" customFormat="1" ht="13.8" thickBot="1" x14ac:dyDescent="0.35">
      <c r="A26" s="25" t="s">
        <v>8</v>
      </c>
      <c r="B26" s="112"/>
      <c r="C26" s="86">
        <f>SUM(C20:C25)</f>
        <v>0</v>
      </c>
      <c r="D26" s="87">
        <f t="shared" ref="D26:K26" si="3">SUM(D20:D25)</f>
        <v>0</v>
      </c>
      <c r="E26" s="87">
        <f t="shared" si="3"/>
        <v>0</v>
      </c>
      <c r="F26" s="87">
        <f t="shared" si="3"/>
        <v>0</v>
      </c>
      <c r="G26" s="87">
        <f t="shared" si="3"/>
        <v>0</v>
      </c>
      <c r="H26" s="89">
        <f t="shared" si="3"/>
        <v>0</v>
      </c>
      <c r="I26" s="87">
        <f t="shared" si="3"/>
        <v>0</v>
      </c>
      <c r="J26" s="87">
        <f t="shared" si="3"/>
        <v>0</v>
      </c>
      <c r="K26" s="88">
        <f t="shared" si="3"/>
        <v>0</v>
      </c>
    </row>
    <row r="27" spans="1:11" ht="9.75" customHeight="1" x14ac:dyDescent="0.2">
      <c r="A27" s="11"/>
      <c r="B27" s="94"/>
      <c r="C27" s="40"/>
      <c r="D27" s="40"/>
      <c r="E27" s="40"/>
      <c r="F27" s="40"/>
      <c r="G27" s="40"/>
      <c r="H27" s="22"/>
      <c r="I27" s="22"/>
      <c r="J27" s="40"/>
      <c r="K27" s="64"/>
    </row>
    <row r="28" spans="1:11" x14ac:dyDescent="0.2">
      <c r="A28" s="11" t="s">
        <v>34</v>
      </c>
      <c r="B28" s="9"/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98">
        <f t="shared" si="1"/>
        <v>0</v>
      </c>
      <c r="I28" s="40">
        <v>0</v>
      </c>
      <c r="J28" s="40">
        <v>0</v>
      </c>
      <c r="K28" s="64">
        <f t="shared" si="2"/>
        <v>0</v>
      </c>
    </row>
    <row r="29" spans="1:11" x14ac:dyDescent="0.2">
      <c r="A29" s="11" t="s">
        <v>35</v>
      </c>
      <c r="B29" s="9"/>
      <c r="C29" s="40">
        <v>0</v>
      </c>
      <c r="D29" s="40">
        <v>0</v>
      </c>
      <c r="E29" s="40">
        <v>0</v>
      </c>
      <c r="F29" s="40">
        <v>0</v>
      </c>
      <c r="G29" s="40">
        <v>0</v>
      </c>
      <c r="H29" s="98">
        <f t="shared" si="1"/>
        <v>0</v>
      </c>
      <c r="I29" s="40">
        <v>0</v>
      </c>
      <c r="J29" s="40">
        <v>0</v>
      </c>
      <c r="K29" s="64">
        <f t="shared" si="2"/>
        <v>0</v>
      </c>
    </row>
    <row r="30" spans="1:11" ht="13.2" x14ac:dyDescent="0.3">
      <c r="A30" s="11" t="s">
        <v>36</v>
      </c>
      <c r="B30" s="97"/>
      <c r="C30" s="103">
        <v>0</v>
      </c>
      <c r="D30" s="103">
        <v>0</v>
      </c>
      <c r="E30" s="103">
        <v>0</v>
      </c>
      <c r="F30" s="103">
        <v>0</v>
      </c>
      <c r="G30" s="103">
        <v>0</v>
      </c>
      <c r="H30" s="98">
        <f t="shared" si="1"/>
        <v>0</v>
      </c>
      <c r="I30" s="103">
        <v>0</v>
      </c>
      <c r="J30" s="103">
        <v>0</v>
      </c>
      <c r="K30" s="64">
        <f t="shared" si="2"/>
        <v>0</v>
      </c>
    </row>
    <row r="31" spans="1:11" x14ac:dyDescent="0.2">
      <c r="A31" s="11" t="s">
        <v>37</v>
      </c>
      <c r="B31" s="9"/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98">
        <f t="shared" si="1"/>
        <v>0</v>
      </c>
      <c r="I31" s="40">
        <v>0</v>
      </c>
      <c r="J31" s="40">
        <v>0</v>
      </c>
      <c r="K31" s="64">
        <f t="shared" si="2"/>
        <v>0</v>
      </c>
    </row>
    <row r="32" spans="1:11" x14ac:dyDescent="0.2">
      <c r="A32" s="11" t="s">
        <v>38</v>
      </c>
      <c r="B32" s="9"/>
      <c r="C32" s="65">
        <v>0</v>
      </c>
      <c r="D32" s="65">
        <v>0</v>
      </c>
      <c r="E32" s="65">
        <v>0</v>
      </c>
      <c r="F32" s="65">
        <v>0</v>
      </c>
      <c r="G32" s="65">
        <v>0</v>
      </c>
      <c r="H32" s="98">
        <f t="shared" si="1"/>
        <v>0</v>
      </c>
      <c r="I32" s="65">
        <v>0</v>
      </c>
      <c r="J32" s="65">
        <v>0</v>
      </c>
      <c r="K32" s="64">
        <f t="shared" si="2"/>
        <v>0</v>
      </c>
    </row>
    <row r="33" spans="1:11" x14ac:dyDescent="0.2">
      <c r="A33" s="11" t="s">
        <v>39</v>
      </c>
      <c r="B33" s="9"/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98">
        <f t="shared" si="1"/>
        <v>0</v>
      </c>
      <c r="I33" s="40">
        <v>0</v>
      </c>
      <c r="J33" s="40">
        <v>0</v>
      </c>
      <c r="K33" s="64">
        <f t="shared" si="2"/>
        <v>0</v>
      </c>
    </row>
    <row r="34" spans="1:11" x14ac:dyDescent="0.2">
      <c r="A34" s="11" t="s">
        <v>40</v>
      </c>
      <c r="B34" s="9"/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98">
        <f t="shared" si="1"/>
        <v>0</v>
      </c>
      <c r="I34" s="40">
        <v>0</v>
      </c>
      <c r="J34" s="40">
        <v>0</v>
      </c>
      <c r="K34" s="64">
        <f t="shared" si="2"/>
        <v>0</v>
      </c>
    </row>
    <row r="35" spans="1:11" x14ac:dyDescent="0.2">
      <c r="A35" s="11" t="s">
        <v>41</v>
      </c>
      <c r="B35" s="9"/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98">
        <f t="shared" si="1"/>
        <v>0</v>
      </c>
      <c r="I35" s="40">
        <v>0</v>
      </c>
      <c r="J35" s="40">
        <v>0</v>
      </c>
      <c r="K35" s="64">
        <f t="shared" si="2"/>
        <v>0</v>
      </c>
    </row>
    <row r="36" spans="1:11" x14ac:dyDescent="0.2">
      <c r="A36" s="11" t="s">
        <v>101</v>
      </c>
      <c r="B36" s="9"/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99">
        <f>SUM(C36:G36)</f>
        <v>0</v>
      </c>
      <c r="I36" s="40">
        <v>0</v>
      </c>
      <c r="J36" s="40">
        <v>0</v>
      </c>
      <c r="K36" s="64">
        <f>SUM(H36:J36)</f>
        <v>0</v>
      </c>
    </row>
    <row r="37" spans="1:11" s="42" customFormat="1" ht="13.2" x14ac:dyDescent="0.2">
      <c r="A37" s="25" t="s">
        <v>9</v>
      </c>
      <c r="B37" s="113"/>
      <c r="C37" s="104">
        <f t="shared" ref="C37:K37" si="4">SUM(C28:C35)</f>
        <v>0</v>
      </c>
      <c r="D37" s="104">
        <f t="shared" si="4"/>
        <v>0</v>
      </c>
      <c r="E37" s="104">
        <f t="shared" si="4"/>
        <v>0</v>
      </c>
      <c r="F37" s="104">
        <f t="shared" si="4"/>
        <v>0</v>
      </c>
      <c r="G37" s="104">
        <f t="shared" si="4"/>
        <v>0</v>
      </c>
      <c r="H37" s="105">
        <f t="shared" si="4"/>
        <v>0</v>
      </c>
      <c r="I37" s="104">
        <f t="shared" si="4"/>
        <v>0</v>
      </c>
      <c r="J37" s="104">
        <f t="shared" si="4"/>
        <v>0</v>
      </c>
      <c r="K37" s="106">
        <f t="shared" si="4"/>
        <v>0</v>
      </c>
    </row>
    <row r="38" spans="1:11" x14ac:dyDescent="0.2">
      <c r="A38" s="11"/>
      <c r="B38" s="16"/>
      <c r="C38" s="22"/>
      <c r="D38" s="40"/>
      <c r="E38" s="40"/>
      <c r="F38" s="40"/>
      <c r="G38" s="40"/>
      <c r="H38" s="98"/>
      <c r="I38" s="22"/>
      <c r="J38" s="40"/>
      <c r="K38" s="64"/>
    </row>
    <row r="39" spans="1:11" x14ac:dyDescent="0.2">
      <c r="A39" s="11" t="s">
        <v>42</v>
      </c>
      <c r="B39" s="92"/>
      <c r="C39" s="22">
        <v>0</v>
      </c>
      <c r="D39" s="40">
        <v>0</v>
      </c>
      <c r="E39" s="40">
        <v>0</v>
      </c>
      <c r="F39" s="40">
        <v>0</v>
      </c>
      <c r="G39" s="40">
        <v>0</v>
      </c>
      <c r="H39" s="98">
        <f t="shared" si="1"/>
        <v>0</v>
      </c>
      <c r="I39" s="40">
        <v>0</v>
      </c>
      <c r="J39" s="40">
        <v>0</v>
      </c>
      <c r="K39" s="64">
        <f t="shared" ref="K39:K44" si="5">SUM(H39:J39)</f>
        <v>0</v>
      </c>
    </row>
    <row r="40" spans="1:11" x14ac:dyDescent="0.2">
      <c r="A40" s="11" t="s">
        <v>43</v>
      </c>
      <c r="B40" s="16"/>
      <c r="C40" s="100">
        <v>0</v>
      </c>
      <c r="D40" s="101">
        <v>0</v>
      </c>
      <c r="E40" s="101">
        <v>0</v>
      </c>
      <c r="F40" s="101">
        <v>0</v>
      </c>
      <c r="G40" s="101">
        <v>0</v>
      </c>
      <c r="H40" s="98">
        <f t="shared" si="1"/>
        <v>0</v>
      </c>
      <c r="I40" s="101">
        <v>0</v>
      </c>
      <c r="J40" s="101">
        <v>0</v>
      </c>
      <c r="K40" s="64">
        <f t="shared" si="5"/>
        <v>0</v>
      </c>
    </row>
    <row r="41" spans="1:11" s="66" customFormat="1" ht="13.2" x14ac:dyDescent="0.3">
      <c r="A41" s="11" t="s">
        <v>65</v>
      </c>
      <c r="B41" s="91"/>
      <c r="C41" s="102">
        <v>0</v>
      </c>
      <c r="D41" s="103">
        <v>0</v>
      </c>
      <c r="E41" s="103">
        <v>0</v>
      </c>
      <c r="F41" s="103">
        <v>0</v>
      </c>
      <c r="G41" s="103">
        <v>0</v>
      </c>
      <c r="H41" s="98">
        <f t="shared" si="1"/>
        <v>0</v>
      </c>
      <c r="I41" s="103">
        <v>0</v>
      </c>
      <c r="J41" s="103">
        <v>0</v>
      </c>
      <c r="K41" s="64">
        <f t="shared" si="5"/>
        <v>0</v>
      </c>
    </row>
    <row r="42" spans="1:11" x14ac:dyDescent="0.2">
      <c r="A42" s="11" t="s">
        <v>66</v>
      </c>
      <c r="B42" s="16"/>
      <c r="C42" s="22">
        <v>0</v>
      </c>
      <c r="D42" s="40">
        <v>0</v>
      </c>
      <c r="E42" s="40">
        <v>0</v>
      </c>
      <c r="F42" s="40">
        <v>0</v>
      </c>
      <c r="G42" s="40">
        <v>0</v>
      </c>
      <c r="H42" s="98">
        <f t="shared" si="1"/>
        <v>0</v>
      </c>
      <c r="I42" s="40">
        <v>0</v>
      </c>
      <c r="J42" s="40">
        <v>0</v>
      </c>
      <c r="K42" s="64">
        <f t="shared" si="5"/>
        <v>0</v>
      </c>
    </row>
    <row r="43" spans="1:11" x14ac:dyDescent="0.2">
      <c r="A43" s="11" t="s">
        <v>44</v>
      </c>
      <c r="B43" s="16"/>
      <c r="C43" s="22">
        <v>0</v>
      </c>
      <c r="D43" s="40">
        <v>0</v>
      </c>
      <c r="E43" s="40">
        <v>0</v>
      </c>
      <c r="F43" s="40">
        <v>0</v>
      </c>
      <c r="G43" s="40">
        <v>0</v>
      </c>
      <c r="H43" s="98">
        <f t="shared" si="1"/>
        <v>0</v>
      </c>
      <c r="I43" s="40">
        <v>0</v>
      </c>
      <c r="J43" s="40">
        <v>0</v>
      </c>
      <c r="K43" s="64">
        <f t="shared" si="5"/>
        <v>0</v>
      </c>
    </row>
    <row r="44" spans="1:11" x14ac:dyDescent="0.2">
      <c r="A44" s="11" t="s">
        <v>45</v>
      </c>
      <c r="B44" s="16"/>
      <c r="C44" s="22">
        <v>0</v>
      </c>
      <c r="D44" s="40">
        <v>0</v>
      </c>
      <c r="E44" s="40">
        <v>0</v>
      </c>
      <c r="F44" s="40">
        <v>0</v>
      </c>
      <c r="G44" s="40">
        <v>0</v>
      </c>
      <c r="H44" s="98">
        <f t="shared" si="1"/>
        <v>0</v>
      </c>
      <c r="I44" s="40">
        <v>0</v>
      </c>
      <c r="J44" s="40">
        <v>0</v>
      </c>
      <c r="K44" s="281">
        <f t="shared" si="5"/>
        <v>0</v>
      </c>
    </row>
    <row r="45" spans="1:11" s="42" customFormat="1" ht="13.2" x14ac:dyDescent="0.2">
      <c r="A45" s="25" t="s">
        <v>10</v>
      </c>
      <c r="B45" s="112"/>
      <c r="C45" s="107">
        <f>SUM(C39:C44)</f>
        <v>0</v>
      </c>
      <c r="D45" s="104">
        <f>SUM(D39:D44)</f>
        <v>0</v>
      </c>
      <c r="E45" s="104">
        <f>SUM(E39:E44)</f>
        <v>0</v>
      </c>
      <c r="F45" s="104">
        <f>SUM(F39:F44)</f>
        <v>0</v>
      </c>
      <c r="G45" s="104">
        <f>SUM(G39:G44)</f>
        <v>0</v>
      </c>
      <c r="H45" s="105">
        <f>SUM(H37:H44)</f>
        <v>0</v>
      </c>
      <c r="I45" s="104">
        <f>SUM(I39:I44)</f>
        <v>0</v>
      </c>
      <c r="J45" s="104">
        <f>SUM(J39:J44)</f>
        <v>0</v>
      </c>
      <c r="K45" s="106">
        <f>SUM(K37:K44)</f>
        <v>0</v>
      </c>
    </row>
    <row r="46" spans="1:11" x14ac:dyDescent="0.2">
      <c r="A46" s="11"/>
      <c r="B46" s="16"/>
      <c r="C46" s="22"/>
      <c r="D46" s="40"/>
      <c r="E46" s="40"/>
      <c r="F46" s="40"/>
      <c r="G46" s="40"/>
      <c r="H46" s="22"/>
      <c r="I46" s="22"/>
      <c r="J46" s="40"/>
      <c r="K46" s="64"/>
    </row>
    <row r="47" spans="1:11" x14ac:dyDescent="0.2">
      <c r="A47" s="11" t="s">
        <v>74</v>
      </c>
      <c r="B47" s="16"/>
      <c r="C47" s="22">
        <v>0</v>
      </c>
      <c r="D47" s="40">
        <v>0</v>
      </c>
      <c r="E47" s="40">
        <v>0</v>
      </c>
      <c r="F47" s="40">
        <v>0</v>
      </c>
      <c r="G47" s="40">
        <v>0</v>
      </c>
      <c r="H47" s="98">
        <f t="shared" ref="H47:H65" si="6">SUM(C47:G47)</f>
        <v>0</v>
      </c>
      <c r="I47" s="40">
        <v>0</v>
      </c>
      <c r="J47" s="40">
        <v>0</v>
      </c>
      <c r="K47" s="64">
        <f t="shared" ref="K47:K65" si="7">SUM(H47:J47)</f>
        <v>0</v>
      </c>
    </row>
    <row r="48" spans="1:11" x14ac:dyDescent="0.2">
      <c r="A48" s="11" t="s">
        <v>102</v>
      </c>
      <c r="B48" s="16"/>
      <c r="C48" s="100">
        <v>0</v>
      </c>
      <c r="D48" s="101">
        <v>0</v>
      </c>
      <c r="E48" s="101">
        <v>0</v>
      </c>
      <c r="F48" s="101">
        <v>0</v>
      </c>
      <c r="G48" s="101">
        <v>0</v>
      </c>
      <c r="H48" s="98">
        <f t="shared" si="6"/>
        <v>0</v>
      </c>
      <c r="I48" s="101">
        <v>0</v>
      </c>
      <c r="J48" s="101">
        <v>0</v>
      </c>
      <c r="K48" s="64">
        <f t="shared" si="7"/>
        <v>0</v>
      </c>
    </row>
    <row r="49" spans="1:14" ht="13.2" x14ac:dyDescent="0.3">
      <c r="A49" s="11" t="s">
        <v>103</v>
      </c>
      <c r="B49" s="16"/>
      <c r="C49" s="115">
        <v>0</v>
      </c>
      <c r="D49" s="116">
        <v>0</v>
      </c>
      <c r="E49" s="116">
        <v>0</v>
      </c>
      <c r="F49" s="116">
        <v>0</v>
      </c>
      <c r="G49" s="116">
        <v>0</v>
      </c>
      <c r="H49" s="98">
        <f t="shared" si="6"/>
        <v>0</v>
      </c>
      <c r="I49" s="116">
        <v>0</v>
      </c>
      <c r="J49" s="116">
        <v>0</v>
      </c>
      <c r="K49" s="64">
        <f t="shared" si="7"/>
        <v>0</v>
      </c>
    </row>
    <row r="50" spans="1:14" x14ac:dyDescent="0.2">
      <c r="A50" s="11" t="s">
        <v>104</v>
      </c>
      <c r="B50" s="16"/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98">
        <f t="shared" si="6"/>
        <v>0</v>
      </c>
      <c r="I50" s="40">
        <v>0</v>
      </c>
      <c r="J50" s="40">
        <v>0</v>
      </c>
      <c r="K50" s="64">
        <f t="shared" si="7"/>
        <v>0</v>
      </c>
    </row>
    <row r="51" spans="1:14" x14ac:dyDescent="0.2">
      <c r="A51" s="11" t="s">
        <v>105</v>
      </c>
      <c r="B51" s="16"/>
      <c r="C51" s="41">
        <v>0</v>
      </c>
      <c r="D51" s="41">
        <v>0</v>
      </c>
      <c r="E51" s="41">
        <v>0</v>
      </c>
      <c r="F51" s="41">
        <v>0</v>
      </c>
      <c r="G51" s="41">
        <v>0</v>
      </c>
      <c r="H51" s="98">
        <f t="shared" si="6"/>
        <v>0</v>
      </c>
      <c r="I51" s="41">
        <v>0</v>
      </c>
      <c r="J51" s="41">
        <v>0</v>
      </c>
      <c r="K51" s="64">
        <f t="shared" si="7"/>
        <v>0</v>
      </c>
    </row>
    <row r="52" spans="1:14" x14ac:dyDescent="0.2">
      <c r="A52" s="11" t="s">
        <v>106</v>
      </c>
      <c r="B52" s="16"/>
      <c r="C52" s="41">
        <v>0</v>
      </c>
      <c r="D52" s="41">
        <v>0</v>
      </c>
      <c r="E52" s="41">
        <v>0</v>
      </c>
      <c r="F52" s="41">
        <v>0</v>
      </c>
      <c r="G52" s="41">
        <v>0</v>
      </c>
      <c r="H52" s="98">
        <f t="shared" si="6"/>
        <v>0</v>
      </c>
      <c r="I52" s="41">
        <v>0</v>
      </c>
      <c r="J52" s="41">
        <v>0</v>
      </c>
      <c r="K52" s="64">
        <f t="shared" si="7"/>
        <v>0</v>
      </c>
      <c r="L52" s="44"/>
      <c r="M52" s="67"/>
      <c r="N52" s="44"/>
    </row>
    <row r="53" spans="1:14" x14ac:dyDescent="0.2">
      <c r="A53" s="11" t="s">
        <v>69</v>
      </c>
      <c r="B53" s="16"/>
      <c r="C53" s="41">
        <v>0</v>
      </c>
      <c r="D53" s="41">
        <v>0</v>
      </c>
      <c r="E53" s="41">
        <v>0</v>
      </c>
      <c r="F53" s="41">
        <v>0</v>
      </c>
      <c r="G53" s="41">
        <v>0</v>
      </c>
      <c r="H53" s="98">
        <f t="shared" si="6"/>
        <v>0</v>
      </c>
      <c r="I53" s="41">
        <v>0</v>
      </c>
      <c r="J53" s="41">
        <v>0</v>
      </c>
      <c r="K53" s="64">
        <f t="shared" si="7"/>
        <v>0</v>
      </c>
      <c r="L53" s="44"/>
      <c r="M53" s="67"/>
      <c r="N53" s="44"/>
    </row>
    <row r="54" spans="1:14" x14ac:dyDescent="0.2">
      <c r="A54" s="11" t="s">
        <v>68</v>
      </c>
      <c r="B54" s="16"/>
      <c r="C54" s="41">
        <v>0</v>
      </c>
      <c r="D54" s="41">
        <v>0</v>
      </c>
      <c r="E54" s="41">
        <v>0</v>
      </c>
      <c r="F54" s="41">
        <v>0</v>
      </c>
      <c r="G54" s="41">
        <v>0</v>
      </c>
      <c r="H54" s="98">
        <f t="shared" si="6"/>
        <v>0</v>
      </c>
      <c r="I54" s="41">
        <v>0</v>
      </c>
      <c r="J54" s="41">
        <v>0</v>
      </c>
      <c r="K54" s="64">
        <f t="shared" si="7"/>
        <v>0</v>
      </c>
      <c r="L54" s="44"/>
      <c r="M54" s="67"/>
      <c r="N54" s="44"/>
    </row>
    <row r="55" spans="1:14" x14ac:dyDescent="0.2">
      <c r="A55" s="11" t="s">
        <v>67</v>
      </c>
      <c r="B55" s="16"/>
      <c r="C55" s="117">
        <v>0</v>
      </c>
      <c r="D55" s="117">
        <v>0</v>
      </c>
      <c r="E55" s="117">
        <v>0</v>
      </c>
      <c r="F55" s="117">
        <v>0</v>
      </c>
      <c r="G55" s="117">
        <v>0</v>
      </c>
      <c r="H55" s="98">
        <f t="shared" si="6"/>
        <v>0</v>
      </c>
      <c r="I55" s="117">
        <v>0</v>
      </c>
      <c r="J55" s="117">
        <v>0</v>
      </c>
      <c r="K55" s="64">
        <f t="shared" si="7"/>
        <v>0</v>
      </c>
      <c r="L55" s="44"/>
      <c r="M55" s="67"/>
      <c r="N55" s="44"/>
    </row>
    <row r="56" spans="1:14" x14ac:dyDescent="0.2">
      <c r="A56" s="11" t="s">
        <v>46</v>
      </c>
      <c r="B56" s="16"/>
      <c r="C56" s="117">
        <v>0</v>
      </c>
      <c r="D56" s="117">
        <v>0</v>
      </c>
      <c r="E56" s="117">
        <v>0</v>
      </c>
      <c r="F56" s="117">
        <v>0</v>
      </c>
      <c r="G56" s="117">
        <v>0</v>
      </c>
      <c r="H56" s="98">
        <f t="shared" si="6"/>
        <v>0</v>
      </c>
      <c r="I56" s="117">
        <v>0</v>
      </c>
      <c r="J56" s="117">
        <v>0</v>
      </c>
      <c r="K56" s="64">
        <f t="shared" si="7"/>
        <v>0</v>
      </c>
      <c r="L56" s="44"/>
      <c r="M56" s="67"/>
      <c r="N56" s="44"/>
    </row>
    <row r="57" spans="1:14" x14ac:dyDescent="0.2">
      <c r="A57" s="11" t="s">
        <v>47</v>
      </c>
      <c r="B57" s="16"/>
      <c r="C57" s="117">
        <v>0</v>
      </c>
      <c r="D57" s="117">
        <v>0</v>
      </c>
      <c r="E57" s="117">
        <v>0</v>
      </c>
      <c r="F57" s="117">
        <v>0</v>
      </c>
      <c r="G57" s="117">
        <v>0</v>
      </c>
      <c r="H57" s="98">
        <f t="shared" si="6"/>
        <v>0</v>
      </c>
      <c r="I57" s="117">
        <v>0</v>
      </c>
      <c r="J57" s="117">
        <v>0</v>
      </c>
      <c r="K57" s="64">
        <f t="shared" si="7"/>
        <v>0</v>
      </c>
      <c r="L57" s="44"/>
      <c r="M57" s="44" t="s">
        <v>85</v>
      </c>
      <c r="N57" s="44"/>
    </row>
    <row r="58" spans="1:14" x14ac:dyDescent="0.2">
      <c r="A58" s="11" t="s">
        <v>48</v>
      </c>
      <c r="B58" s="16"/>
      <c r="C58" s="117">
        <v>0</v>
      </c>
      <c r="D58" s="117">
        <v>0</v>
      </c>
      <c r="E58" s="117">
        <v>0</v>
      </c>
      <c r="F58" s="117">
        <v>0</v>
      </c>
      <c r="G58" s="117">
        <v>0</v>
      </c>
      <c r="H58" s="98">
        <f t="shared" si="6"/>
        <v>0</v>
      </c>
      <c r="I58" s="117">
        <v>0</v>
      </c>
      <c r="J58" s="117">
        <v>0</v>
      </c>
      <c r="K58" s="64">
        <f t="shared" si="7"/>
        <v>0</v>
      </c>
    </row>
    <row r="59" spans="1:14" x14ac:dyDescent="0.2">
      <c r="A59" s="11" t="s">
        <v>63</v>
      </c>
      <c r="B59" s="16"/>
      <c r="C59" s="117">
        <v>0</v>
      </c>
      <c r="D59" s="117">
        <v>0</v>
      </c>
      <c r="E59" s="117">
        <v>0</v>
      </c>
      <c r="F59" s="117">
        <v>0</v>
      </c>
      <c r="G59" s="117">
        <v>0</v>
      </c>
      <c r="H59" s="98">
        <f t="shared" si="6"/>
        <v>0</v>
      </c>
      <c r="I59" s="117">
        <v>0</v>
      </c>
      <c r="J59" s="117">
        <v>0</v>
      </c>
      <c r="K59" s="64">
        <f t="shared" si="7"/>
        <v>0</v>
      </c>
    </row>
    <row r="60" spans="1:14" x14ac:dyDescent="0.2">
      <c r="A60" s="11" t="s">
        <v>49</v>
      </c>
      <c r="B60" s="16"/>
      <c r="C60" s="117">
        <v>0</v>
      </c>
      <c r="D60" s="117">
        <v>0</v>
      </c>
      <c r="E60" s="117">
        <v>0</v>
      </c>
      <c r="F60" s="117">
        <v>0</v>
      </c>
      <c r="G60" s="117">
        <v>0</v>
      </c>
      <c r="H60" s="98">
        <f t="shared" si="6"/>
        <v>0</v>
      </c>
      <c r="I60" s="117">
        <v>0</v>
      </c>
      <c r="J60" s="117">
        <v>0</v>
      </c>
      <c r="K60" s="64">
        <f t="shared" si="7"/>
        <v>0</v>
      </c>
    </row>
    <row r="61" spans="1:14" x14ac:dyDescent="0.2">
      <c r="A61" s="11" t="s">
        <v>50</v>
      </c>
      <c r="B61" s="16"/>
      <c r="C61" s="117">
        <v>0</v>
      </c>
      <c r="D61" s="117">
        <v>0</v>
      </c>
      <c r="E61" s="117">
        <v>0</v>
      </c>
      <c r="F61" s="117">
        <v>0</v>
      </c>
      <c r="G61" s="117">
        <v>0</v>
      </c>
      <c r="H61" s="98">
        <f t="shared" si="6"/>
        <v>0</v>
      </c>
      <c r="I61" s="117">
        <v>0</v>
      </c>
      <c r="J61" s="117">
        <v>0</v>
      </c>
      <c r="K61" s="64">
        <f t="shared" si="7"/>
        <v>0</v>
      </c>
    </row>
    <row r="62" spans="1:14" x14ac:dyDescent="0.2">
      <c r="A62" s="11" t="s">
        <v>71</v>
      </c>
      <c r="B62" s="16"/>
      <c r="C62" s="117">
        <v>0</v>
      </c>
      <c r="D62" s="117">
        <v>0</v>
      </c>
      <c r="E62" s="117">
        <v>0</v>
      </c>
      <c r="F62" s="117">
        <v>0</v>
      </c>
      <c r="G62" s="117">
        <v>0</v>
      </c>
      <c r="H62" s="98">
        <f t="shared" si="6"/>
        <v>0</v>
      </c>
      <c r="I62" s="117">
        <v>0</v>
      </c>
      <c r="J62" s="117">
        <v>0</v>
      </c>
      <c r="K62" s="64">
        <f t="shared" si="7"/>
        <v>0</v>
      </c>
    </row>
    <row r="63" spans="1:14" x14ac:dyDescent="0.2">
      <c r="A63" s="11" t="s">
        <v>73</v>
      </c>
      <c r="B63" s="16"/>
      <c r="C63" s="117">
        <v>0</v>
      </c>
      <c r="D63" s="117">
        <v>0</v>
      </c>
      <c r="E63" s="117">
        <v>0</v>
      </c>
      <c r="F63" s="117">
        <v>0</v>
      </c>
      <c r="G63" s="117">
        <v>0</v>
      </c>
      <c r="H63" s="98">
        <f t="shared" si="6"/>
        <v>0</v>
      </c>
      <c r="I63" s="117">
        <v>0</v>
      </c>
      <c r="J63" s="117">
        <v>0</v>
      </c>
      <c r="K63" s="64">
        <f t="shared" si="7"/>
        <v>0</v>
      </c>
    </row>
    <row r="64" spans="1:14" x14ac:dyDescent="0.2">
      <c r="A64" s="29" t="s">
        <v>72</v>
      </c>
      <c r="B64" s="16"/>
      <c r="C64" s="117">
        <v>0</v>
      </c>
      <c r="D64" s="117">
        <v>0</v>
      </c>
      <c r="E64" s="117">
        <v>0</v>
      </c>
      <c r="F64" s="117">
        <v>0</v>
      </c>
      <c r="G64" s="117">
        <v>0</v>
      </c>
      <c r="H64" s="98">
        <f t="shared" si="6"/>
        <v>0</v>
      </c>
      <c r="I64" s="117">
        <v>0</v>
      </c>
      <c r="J64" s="117">
        <v>0</v>
      </c>
      <c r="K64" s="64">
        <f t="shared" si="7"/>
        <v>0</v>
      </c>
    </row>
    <row r="65" spans="1:11" x14ac:dyDescent="0.2">
      <c r="A65" s="29" t="s">
        <v>11</v>
      </c>
      <c r="B65" s="16"/>
      <c r="C65" s="117">
        <v>0</v>
      </c>
      <c r="D65" s="117">
        <v>0</v>
      </c>
      <c r="E65" s="117">
        <v>0</v>
      </c>
      <c r="F65" s="117">
        <v>0</v>
      </c>
      <c r="G65" s="117">
        <v>0</v>
      </c>
      <c r="H65" s="98">
        <f t="shared" si="6"/>
        <v>0</v>
      </c>
      <c r="I65" s="117">
        <v>0</v>
      </c>
      <c r="J65" s="117">
        <v>0</v>
      </c>
      <c r="K65" s="64">
        <f t="shared" si="7"/>
        <v>0</v>
      </c>
    </row>
    <row r="66" spans="1:11" s="42" customFormat="1" ht="13.2" x14ac:dyDescent="0.2">
      <c r="A66" s="25" t="s">
        <v>12</v>
      </c>
      <c r="B66" s="112"/>
      <c r="C66" s="120">
        <f t="shared" ref="C66:K66" si="8">SUM(C47:C65)+C45+C37+C26+C18</f>
        <v>0</v>
      </c>
      <c r="D66" s="121">
        <f t="shared" si="8"/>
        <v>0</v>
      </c>
      <c r="E66" s="121">
        <f t="shared" si="8"/>
        <v>0</v>
      </c>
      <c r="F66" s="121">
        <f t="shared" si="8"/>
        <v>0</v>
      </c>
      <c r="G66" s="121">
        <f t="shared" si="8"/>
        <v>0</v>
      </c>
      <c r="H66" s="122">
        <f t="shared" si="8"/>
        <v>0</v>
      </c>
      <c r="I66" s="121">
        <f t="shared" si="8"/>
        <v>0</v>
      </c>
      <c r="J66" s="121">
        <f t="shared" si="8"/>
        <v>0</v>
      </c>
      <c r="K66" s="123">
        <f t="shared" si="8"/>
        <v>0</v>
      </c>
    </row>
    <row r="67" spans="1:11" x14ac:dyDescent="0.2">
      <c r="A67" s="52" t="s">
        <v>84</v>
      </c>
      <c r="C67" s="117"/>
      <c r="D67" s="117"/>
      <c r="E67" s="117"/>
      <c r="F67" s="117"/>
      <c r="G67" s="117"/>
      <c r="H67" s="117"/>
      <c r="I67" s="117"/>
      <c r="J67" s="117"/>
      <c r="K67" s="117"/>
    </row>
    <row r="68" spans="1:11" x14ac:dyDescent="0.2">
      <c r="C68" s="117"/>
      <c r="D68" s="117"/>
      <c r="E68" s="117"/>
      <c r="F68" s="117"/>
      <c r="G68" s="117"/>
      <c r="H68" s="117"/>
      <c r="I68" s="117"/>
      <c r="J68" s="117"/>
      <c r="K68" s="117"/>
    </row>
    <row r="69" spans="1:11" x14ac:dyDescent="0.2">
      <c r="C69" s="117"/>
      <c r="D69" s="117"/>
      <c r="E69" s="117"/>
      <c r="F69" s="117"/>
      <c r="G69" s="117"/>
      <c r="H69" s="117"/>
      <c r="I69" s="117"/>
      <c r="J69" s="117"/>
      <c r="K69" s="117"/>
    </row>
    <row r="70" spans="1:11" x14ac:dyDescent="0.2">
      <c r="C70" s="118"/>
      <c r="D70" s="40"/>
      <c r="E70" s="67"/>
      <c r="F70" s="118"/>
      <c r="G70" s="40"/>
      <c r="H70" s="40"/>
      <c r="I70" s="40"/>
      <c r="J70" s="117"/>
      <c r="K70" s="117"/>
    </row>
    <row r="71" spans="1:11" x14ac:dyDescent="0.2">
      <c r="C71" s="118"/>
      <c r="D71" s="40"/>
      <c r="E71" s="67"/>
      <c r="F71" s="118"/>
      <c r="G71" s="40"/>
      <c r="H71" s="118"/>
      <c r="I71" s="40"/>
      <c r="J71" s="117"/>
      <c r="K71" s="117"/>
    </row>
    <row r="72" spans="1:11" x14ac:dyDescent="0.2">
      <c r="C72" s="118"/>
      <c r="D72" s="40"/>
      <c r="E72" s="67"/>
      <c r="F72" s="40"/>
      <c r="G72" s="40"/>
      <c r="H72" s="118"/>
      <c r="I72" s="40"/>
      <c r="J72" s="117"/>
      <c r="K72" s="117"/>
    </row>
    <row r="73" spans="1:11" x14ac:dyDescent="0.2">
      <c r="C73" s="118"/>
      <c r="D73" s="118"/>
      <c r="E73" s="67"/>
      <c r="F73" s="118"/>
      <c r="G73" s="118"/>
      <c r="H73" s="118"/>
      <c r="I73" s="40"/>
      <c r="J73" s="117"/>
      <c r="K73" s="117"/>
    </row>
    <row r="74" spans="1:11" x14ac:dyDescent="0.2">
      <c r="C74" s="118"/>
      <c r="D74" s="118"/>
      <c r="E74" s="118"/>
      <c r="F74" s="118"/>
      <c r="G74" s="118"/>
      <c r="H74" s="118"/>
      <c r="I74" s="40"/>
      <c r="J74" s="117"/>
      <c r="K74" s="117"/>
    </row>
    <row r="75" spans="1:11" x14ac:dyDescent="0.2">
      <c r="C75" s="118"/>
      <c r="D75" s="118"/>
      <c r="E75" s="118"/>
      <c r="F75" s="118"/>
      <c r="G75" s="118"/>
      <c r="H75" s="118"/>
      <c r="I75" s="119"/>
      <c r="J75" s="117"/>
      <c r="K75" s="117"/>
    </row>
    <row r="76" spans="1:11" x14ac:dyDescent="0.2">
      <c r="C76" s="118"/>
      <c r="D76" s="118"/>
      <c r="E76" s="118"/>
      <c r="F76" s="118"/>
      <c r="G76" s="118"/>
      <c r="H76" s="118"/>
      <c r="I76" s="118"/>
      <c r="J76" s="117"/>
      <c r="K76" s="117"/>
    </row>
    <row r="77" spans="1:11" x14ac:dyDescent="0.2">
      <c r="C77" s="117"/>
      <c r="D77" s="117"/>
      <c r="E77" s="117"/>
      <c r="F77" s="117"/>
      <c r="G77" s="117"/>
      <c r="H77" s="117"/>
      <c r="I77" s="117"/>
      <c r="J77" s="117"/>
      <c r="K77" s="117"/>
    </row>
    <row r="78" spans="1:11" x14ac:dyDescent="0.2">
      <c r="C78" s="117"/>
      <c r="D78" s="117"/>
      <c r="E78" s="117"/>
      <c r="F78" s="117"/>
      <c r="G78" s="117"/>
      <c r="H78" s="117"/>
      <c r="I78" s="117"/>
      <c r="J78" s="117"/>
      <c r="K78" s="117"/>
    </row>
    <row r="79" spans="1:11" x14ac:dyDescent="0.2">
      <c r="C79" s="117"/>
      <c r="D79" s="117"/>
      <c r="E79" s="117"/>
      <c r="F79" s="117"/>
      <c r="G79" s="117"/>
      <c r="H79" s="117"/>
      <c r="I79" s="117"/>
      <c r="J79" s="117"/>
      <c r="K79" s="117"/>
    </row>
    <row r="80" spans="1:11" x14ac:dyDescent="0.2">
      <c r="C80" s="117"/>
      <c r="D80" s="117"/>
      <c r="E80" s="117"/>
      <c r="F80" s="117"/>
      <c r="G80" s="117"/>
      <c r="H80" s="117"/>
      <c r="I80" s="117"/>
      <c r="J80" s="117"/>
      <c r="K80" s="117"/>
    </row>
    <row r="81" spans="3:11" x14ac:dyDescent="0.2">
      <c r="C81" s="117"/>
      <c r="D81" s="117"/>
      <c r="E81" s="117"/>
      <c r="F81" s="117"/>
      <c r="G81" s="117"/>
      <c r="H81" s="117"/>
      <c r="I81" s="117"/>
      <c r="J81" s="117"/>
      <c r="K81" s="117"/>
    </row>
    <row r="82" spans="3:11" x14ac:dyDescent="0.2">
      <c r="C82" s="117"/>
      <c r="D82" s="117"/>
      <c r="E82" s="117"/>
      <c r="F82" s="117"/>
      <c r="G82" s="117"/>
      <c r="H82" s="117"/>
      <c r="I82" s="117"/>
      <c r="J82" s="117"/>
      <c r="K82" s="117"/>
    </row>
    <row r="83" spans="3:11" x14ac:dyDescent="0.2">
      <c r="C83" s="117"/>
      <c r="D83" s="117"/>
      <c r="E83" s="117"/>
      <c r="F83" s="117"/>
      <c r="G83" s="117"/>
      <c r="H83" s="117"/>
      <c r="I83" s="117"/>
      <c r="J83" s="117"/>
      <c r="K83" s="117"/>
    </row>
    <row r="84" spans="3:11" x14ac:dyDescent="0.2">
      <c r="C84" s="117"/>
      <c r="D84" s="117"/>
      <c r="E84" s="117"/>
      <c r="F84" s="117"/>
      <c r="G84" s="117"/>
      <c r="H84" s="117"/>
      <c r="I84" s="117"/>
      <c r="J84" s="117"/>
      <c r="K84" s="117"/>
    </row>
    <row r="85" spans="3:11" x14ac:dyDescent="0.2">
      <c r="C85" s="117"/>
      <c r="D85" s="117"/>
      <c r="E85" s="117"/>
      <c r="F85" s="117"/>
      <c r="G85" s="117"/>
      <c r="H85" s="117"/>
      <c r="I85" s="117"/>
      <c r="J85" s="117"/>
      <c r="K85" s="117"/>
    </row>
    <row r="86" spans="3:11" x14ac:dyDescent="0.2">
      <c r="C86" s="117"/>
      <c r="D86" s="117"/>
      <c r="E86" s="117"/>
      <c r="F86" s="117"/>
      <c r="G86" s="117"/>
      <c r="H86" s="117"/>
      <c r="I86" s="117"/>
      <c r="J86" s="117"/>
      <c r="K86" s="117"/>
    </row>
    <row r="87" spans="3:11" x14ac:dyDescent="0.2">
      <c r="C87" s="117"/>
      <c r="D87" s="117"/>
      <c r="E87" s="117"/>
      <c r="F87" s="117"/>
      <c r="G87" s="117"/>
      <c r="H87" s="117"/>
      <c r="I87" s="117"/>
      <c r="J87" s="117"/>
      <c r="K87" s="117"/>
    </row>
    <row r="88" spans="3:11" x14ac:dyDescent="0.2">
      <c r="C88" s="117"/>
      <c r="D88" s="117"/>
      <c r="E88" s="117"/>
      <c r="F88" s="117"/>
      <c r="G88" s="117"/>
      <c r="H88" s="117"/>
      <c r="I88" s="117"/>
      <c r="J88" s="117"/>
      <c r="K88" s="117"/>
    </row>
    <row r="89" spans="3:11" x14ac:dyDescent="0.2">
      <c r="C89" s="117"/>
      <c r="D89" s="117"/>
      <c r="E89" s="117"/>
      <c r="F89" s="117"/>
      <c r="G89" s="117"/>
      <c r="H89" s="117"/>
      <c r="I89" s="117"/>
      <c r="J89" s="117"/>
      <c r="K89" s="117"/>
    </row>
    <row r="90" spans="3:11" x14ac:dyDescent="0.2">
      <c r="C90" s="117"/>
      <c r="D90" s="117"/>
      <c r="E90" s="117"/>
      <c r="F90" s="117"/>
      <c r="G90" s="117"/>
      <c r="H90" s="117"/>
      <c r="I90" s="117"/>
      <c r="J90" s="117"/>
      <c r="K90" s="117"/>
    </row>
    <row r="91" spans="3:11" x14ac:dyDescent="0.2">
      <c r="C91" s="117"/>
      <c r="D91" s="117"/>
      <c r="E91" s="117"/>
      <c r="F91" s="117"/>
      <c r="G91" s="117"/>
      <c r="H91" s="117"/>
      <c r="I91" s="117"/>
      <c r="J91" s="117"/>
      <c r="K91" s="117"/>
    </row>
    <row r="92" spans="3:11" x14ac:dyDescent="0.2">
      <c r="C92" s="117"/>
      <c r="D92" s="117"/>
      <c r="E92" s="117"/>
      <c r="F92" s="117"/>
      <c r="G92" s="117"/>
      <c r="H92" s="117"/>
      <c r="I92" s="117"/>
      <c r="J92" s="117"/>
      <c r="K92" s="117"/>
    </row>
    <row r="93" spans="3:11" x14ac:dyDescent="0.2">
      <c r="C93" s="117"/>
      <c r="D93" s="117"/>
      <c r="E93" s="117"/>
      <c r="F93" s="117"/>
      <c r="G93" s="117"/>
      <c r="H93" s="117"/>
      <c r="I93" s="117"/>
      <c r="J93" s="117"/>
      <c r="K93" s="117"/>
    </row>
    <row r="94" spans="3:11" x14ac:dyDescent="0.2">
      <c r="C94" s="117"/>
      <c r="D94" s="117"/>
      <c r="E94" s="117"/>
      <c r="F94" s="117"/>
      <c r="G94" s="117"/>
      <c r="H94" s="117"/>
      <c r="I94" s="117"/>
      <c r="J94" s="117"/>
      <c r="K94" s="117"/>
    </row>
    <row r="95" spans="3:11" x14ac:dyDescent="0.2">
      <c r="C95" s="117"/>
      <c r="D95" s="117"/>
      <c r="E95" s="117"/>
      <c r="F95" s="117"/>
      <c r="G95" s="117"/>
      <c r="H95" s="117"/>
      <c r="I95" s="117"/>
      <c r="J95" s="117"/>
      <c r="K95" s="117"/>
    </row>
    <row r="96" spans="3:11" x14ac:dyDescent="0.2">
      <c r="C96" s="117"/>
      <c r="D96" s="117"/>
      <c r="E96" s="117"/>
      <c r="F96" s="117"/>
      <c r="G96" s="117"/>
      <c r="H96" s="117"/>
      <c r="I96" s="117"/>
      <c r="J96" s="117"/>
      <c r="K96" s="117"/>
    </row>
    <row r="97" spans="3:11" x14ac:dyDescent="0.2">
      <c r="C97" s="117"/>
      <c r="D97" s="117"/>
      <c r="E97" s="117"/>
      <c r="F97" s="117"/>
      <c r="G97" s="117"/>
      <c r="H97" s="117"/>
      <c r="I97" s="117"/>
      <c r="J97" s="117"/>
      <c r="K97" s="117"/>
    </row>
    <row r="98" spans="3:11" x14ac:dyDescent="0.2">
      <c r="C98" s="117"/>
      <c r="D98" s="117"/>
      <c r="E98" s="117"/>
      <c r="F98" s="117"/>
      <c r="G98" s="117"/>
      <c r="H98" s="117"/>
      <c r="I98" s="117"/>
      <c r="J98" s="117"/>
      <c r="K98" s="117"/>
    </row>
    <row r="99" spans="3:11" x14ac:dyDescent="0.2">
      <c r="C99" s="117"/>
      <c r="D99" s="117"/>
      <c r="E99" s="117"/>
      <c r="F99" s="117"/>
      <c r="G99" s="117"/>
      <c r="H99" s="117"/>
      <c r="I99" s="117"/>
      <c r="J99" s="117"/>
      <c r="K99" s="117"/>
    </row>
    <row r="100" spans="3:11" x14ac:dyDescent="0.2">
      <c r="C100" s="117"/>
      <c r="D100" s="117"/>
      <c r="E100" s="117"/>
      <c r="F100" s="117"/>
      <c r="G100" s="117"/>
      <c r="H100" s="117"/>
      <c r="I100" s="117"/>
      <c r="J100" s="117"/>
      <c r="K100" s="117"/>
    </row>
    <row r="101" spans="3:11" x14ac:dyDescent="0.2">
      <c r="C101" s="117"/>
      <c r="D101" s="117"/>
      <c r="E101" s="117"/>
      <c r="F101" s="117"/>
      <c r="G101" s="117"/>
      <c r="H101" s="117"/>
      <c r="I101" s="117"/>
      <c r="J101" s="117"/>
      <c r="K101" s="117"/>
    </row>
    <row r="102" spans="3:11" x14ac:dyDescent="0.2">
      <c r="C102" s="117"/>
      <c r="D102" s="117"/>
      <c r="E102" s="117"/>
      <c r="F102" s="117"/>
      <c r="G102" s="117"/>
      <c r="H102" s="117"/>
      <c r="I102" s="117"/>
      <c r="J102" s="117"/>
      <c r="K102" s="117"/>
    </row>
    <row r="103" spans="3:11" x14ac:dyDescent="0.2">
      <c r="C103" s="117"/>
      <c r="D103" s="117"/>
      <c r="E103" s="117"/>
      <c r="F103" s="117"/>
      <c r="G103" s="117"/>
      <c r="H103" s="117"/>
      <c r="I103" s="117"/>
      <c r="J103" s="117"/>
      <c r="K103" s="117"/>
    </row>
    <row r="104" spans="3:11" x14ac:dyDescent="0.2">
      <c r="C104" s="117"/>
      <c r="D104" s="117"/>
      <c r="E104" s="117"/>
      <c r="F104" s="117"/>
      <c r="G104" s="117"/>
      <c r="H104" s="117"/>
      <c r="I104" s="117"/>
      <c r="J104" s="117"/>
      <c r="K104" s="117"/>
    </row>
    <row r="105" spans="3:11" x14ac:dyDescent="0.2">
      <c r="C105" s="117"/>
      <c r="D105" s="117"/>
      <c r="E105" s="117"/>
      <c r="F105" s="117"/>
      <c r="G105" s="117"/>
      <c r="H105" s="117"/>
      <c r="I105" s="117"/>
      <c r="J105" s="117"/>
      <c r="K105" s="117"/>
    </row>
    <row r="106" spans="3:11" x14ac:dyDescent="0.2">
      <c r="C106" s="117"/>
      <c r="D106" s="117"/>
      <c r="E106" s="117"/>
      <c r="F106" s="117"/>
      <c r="G106" s="117"/>
      <c r="H106" s="117"/>
      <c r="I106" s="117"/>
      <c r="J106" s="117"/>
      <c r="K106" s="117"/>
    </row>
    <row r="107" spans="3:11" x14ac:dyDescent="0.2">
      <c r="C107" s="117"/>
      <c r="D107" s="117"/>
      <c r="E107" s="117"/>
      <c r="F107" s="117"/>
      <c r="G107" s="117"/>
      <c r="H107" s="117"/>
      <c r="I107" s="117"/>
      <c r="J107" s="117"/>
      <c r="K107" s="117"/>
    </row>
    <row r="108" spans="3:11" x14ac:dyDescent="0.2">
      <c r="C108" s="117"/>
      <c r="D108" s="117"/>
      <c r="E108" s="117"/>
      <c r="F108" s="117"/>
      <c r="G108" s="117"/>
      <c r="H108" s="117"/>
      <c r="I108" s="117"/>
      <c r="J108" s="117"/>
      <c r="K108" s="117"/>
    </row>
    <row r="109" spans="3:11" x14ac:dyDescent="0.2">
      <c r="C109" s="117"/>
      <c r="D109" s="117"/>
      <c r="E109" s="117"/>
      <c r="F109" s="117"/>
      <c r="G109" s="117"/>
      <c r="H109" s="117"/>
      <c r="I109" s="117"/>
      <c r="J109" s="117"/>
      <c r="K109" s="117"/>
    </row>
    <row r="110" spans="3:11" x14ac:dyDescent="0.2">
      <c r="C110" s="117"/>
      <c r="D110" s="117"/>
      <c r="E110" s="117"/>
      <c r="F110" s="117"/>
      <c r="G110" s="117"/>
      <c r="H110" s="117"/>
      <c r="I110" s="117"/>
      <c r="J110" s="117"/>
      <c r="K110" s="117"/>
    </row>
    <row r="111" spans="3:11" x14ac:dyDescent="0.2">
      <c r="C111" s="117"/>
      <c r="D111" s="117"/>
      <c r="E111" s="117"/>
      <c r="F111" s="117"/>
      <c r="G111" s="117"/>
      <c r="H111" s="117"/>
      <c r="I111" s="117"/>
      <c r="J111" s="117"/>
      <c r="K111" s="117"/>
    </row>
    <row r="112" spans="3:11" x14ac:dyDescent="0.2">
      <c r="C112" s="117"/>
      <c r="D112" s="117"/>
      <c r="E112" s="117"/>
      <c r="F112" s="117"/>
      <c r="G112" s="117"/>
      <c r="H112" s="117"/>
      <c r="I112" s="117"/>
      <c r="J112" s="117"/>
      <c r="K112" s="117"/>
    </row>
    <row r="113" spans="3:11" x14ac:dyDescent="0.2">
      <c r="C113" s="117"/>
      <c r="D113" s="117"/>
      <c r="E113" s="117"/>
      <c r="F113" s="117"/>
      <c r="G113" s="117"/>
      <c r="H113" s="117"/>
      <c r="I113" s="117"/>
      <c r="J113" s="117"/>
      <c r="K113" s="117"/>
    </row>
    <row r="114" spans="3:11" x14ac:dyDescent="0.2">
      <c r="C114" s="117"/>
      <c r="D114" s="117"/>
      <c r="E114" s="117"/>
      <c r="F114" s="117"/>
      <c r="G114" s="117"/>
      <c r="H114" s="117"/>
      <c r="I114" s="117"/>
      <c r="J114" s="117"/>
      <c r="K114" s="117"/>
    </row>
    <row r="115" spans="3:11" x14ac:dyDescent="0.2">
      <c r="C115" s="117"/>
      <c r="D115" s="117"/>
      <c r="E115" s="117"/>
      <c r="F115" s="117"/>
      <c r="G115" s="117"/>
      <c r="H115" s="117"/>
      <c r="I115" s="117"/>
      <c r="J115" s="117"/>
      <c r="K115" s="117"/>
    </row>
    <row r="116" spans="3:11" x14ac:dyDescent="0.2">
      <c r="C116" s="117"/>
      <c r="D116" s="117"/>
      <c r="E116" s="117"/>
      <c r="F116" s="117"/>
      <c r="G116" s="117"/>
      <c r="H116" s="117"/>
      <c r="I116" s="117"/>
      <c r="J116" s="117"/>
      <c r="K116" s="117"/>
    </row>
    <row r="117" spans="3:11" x14ac:dyDescent="0.2">
      <c r="C117" s="117"/>
      <c r="D117" s="117"/>
      <c r="E117" s="117"/>
      <c r="F117" s="117"/>
      <c r="G117" s="117"/>
      <c r="H117" s="117"/>
      <c r="I117" s="117"/>
      <c r="J117" s="117"/>
      <c r="K117" s="117"/>
    </row>
    <row r="118" spans="3:11" x14ac:dyDescent="0.2">
      <c r="C118" s="117"/>
      <c r="D118" s="117"/>
      <c r="E118" s="117"/>
      <c r="F118" s="117"/>
      <c r="G118" s="117"/>
      <c r="H118" s="117"/>
      <c r="I118" s="117"/>
      <c r="J118" s="117"/>
      <c r="K118" s="117"/>
    </row>
    <row r="119" spans="3:11" x14ac:dyDescent="0.2">
      <c r="C119" s="117"/>
      <c r="D119" s="117"/>
      <c r="E119" s="117"/>
      <c r="F119" s="117"/>
      <c r="G119" s="117"/>
      <c r="H119" s="117"/>
      <c r="I119" s="117"/>
      <c r="J119" s="117"/>
      <c r="K119" s="117"/>
    </row>
    <row r="120" spans="3:11" x14ac:dyDescent="0.2">
      <c r="C120" s="117"/>
      <c r="D120" s="117"/>
      <c r="E120" s="117"/>
      <c r="F120" s="117"/>
      <c r="G120" s="117"/>
      <c r="H120" s="117"/>
      <c r="I120" s="117"/>
      <c r="J120" s="117"/>
      <c r="K120" s="117"/>
    </row>
    <row r="121" spans="3:11" x14ac:dyDescent="0.2">
      <c r="C121" s="117"/>
      <c r="D121" s="117"/>
      <c r="E121" s="117"/>
      <c r="F121" s="117"/>
      <c r="G121" s="117"/>
      <c r="H121" s="117"/>
      <c r="I121" s="117"/>
      <c r="J121" s="117"/>
      <c r="K121" s="117"/>
    </row>
    <row r="122" spans="3:11" x14ac:dyDescent="0.2">
      <c r="C122" s="117"/>
      <c r="D122" s="117"/>
      <c r="E122" s="117"/>
      <c r="F122" s="117"/>
      <c r="G122" s="117"/>
      <c r="H122" s="117"/>
      <c r="I122" s="117"/>
      <c r="J122" s="117"/>
      <c r="K122" s="117"/>
    </row>
    <row r="123" spans="3:11" x14ac:dyDescent="0.2">
      <c r="C123" s="117"/>
      <c r="D123" s="117"/>
      <c r="E123" s="117"/>
      <c r="F123" s="117"/>
      <c r="G123" s="117"/>
      <c r="H123" s="117"/>
      <c r="I123" s="117"/>
      <c r="J123" s="117"/>
      <c r="K123" s="117"/>
    </row>
    <row r="124" spans="3:11" x14ac:dyDescent="0.2">
      <c r="C124" s="117"/>
      <c r="D124" s="117"/>
      <c r="E124" s="117"/>
      <c r="F124" s="117"/>
      <c r="G124" s="117"/>
      <c r="H124" s="117"/>
      <c r="I124" s="117"/>
      <c r="J124" s="117"/>
      <c r="K124" s="117"/>
    </row>
    <row r="125" spans="3:11" x14ac:dyDescent="0.2">
      <c r="C125" s="117"/>
      <c r="D125" s="117"/>
      <c r="E125" s="117"/>
      <c r="F125" s="117"/>
      <c r="G125" s="117"/>
      <c r="H125" s="117"/>
      <c r="I125" s="117"/>
      <c r="J125" s="117"/>
      <c r="K125" s="117"/>
    </row>
    <row r="126" spans="3:11" x14ac:dyDescent="0.2">
      <c r="C126" s="117"/>
      <c r="D126" s="117"/>
      <c r="E126" s="117"/>
      <c r="F126" s="117"/>
      <c r="G126" s="117"/>
      <c r="H126" s="117"/>
      <c r="I126" s="117"/>
      <c r="J126" s="117"/>
      <c r="K126" s="117"/>
    </row>
    <row r="127" spans="3:11" x14ac:dyDescent="0.2">
      <c r="C127" s="117"/>
      <c r="D127" s="117"/>
      <c r="E127" s="117"/>
      <c r="F127" s="117"/>
      <c r="G127" s="117"/>
      <c r="H127" s="117"/>
      <c r="I127" s="117"/>
      <c r="J127" s="117"/>
      <c r="K127" s="117"/>
    </row>
    <row r="128" spans="3:11" x14ac:dyDescent="0.2">
      <c r="C128" s="117"/>
      <c r="D128" s="117"/>
      <c r="E128" s="117"/>
      <c r="F128" s="117"/>
      <c r="G128" s="117"/>
      <c r="H128" s="117"/>
      <c r="I128" s="117"/>
      <c r="J128" s="117"/>
      <c r="K128" s="117"/>
    </row>
    <row r="129" spans="3:11" x14ac:dyDescent="0.2">
      <c r="C129" s="117"/>
      <c r="D129" s="117"/>
      <c r="E129" s="117"/>
      <c r="F129" s="117"/>
      <c r="G129" s="117"/>
      <c r="H129" s="117"/>
      <c r="I129" s="117"/>
      <c r="J129" s="117"/>
      <c r="K129" s="117"/>
    </row>
    <row r="130" spans="3:11" x14ac:dyDescent="0.2">
      <c r="C130" s="117"/>
      <c r="D130" s="117"/>
      <c r="E130" s="117"/>
      <c r="F130" s="117"/>
      <c r="G130" s="117"/>
      <c r="H130" s="117"/>
      <c r="I130" s="117"/>
      <c r="J130" s="117"/>
      <c r="K130" s="117"/>
    </row>
    <row r="131" spans="3:11" x14ac:dyDescent="0.2">
      <c r="C131" s="117"/>
      <c r="D131" s="117"/>
      <c r="E131" s="117"/>
      <c r="F131" s="117"/>
      <c r="G131" s="117"/>
      <c r="H131" s="117"/>
      <c r="I131" s="117"/>
      <c r="J131" s="117"/>
      <c r="K131" s="117"/>
    </row>
    <row r="132" spans="3:11" x14ac:dyDescent="0.2">
      <c r="C132" s="117"/>
      <c r="D132" s="117"/>
      <c r="E132" s="117"/>
      <c r="F132" s="117"/>
      <c r="G132" s="117"/>
      <c r="H132" s="117"/>
      <c r="I132" s="117"/>
      <c r="J132" s="117"/>
      <c r="K132" s="117"/>
    </row>
    <row r="133" spans="3:11" x14ac:dyDescent="0.2">
      <c r="C133" s="117"/>
      <c r="D133" s="117"/>
      <c r="E133" s="117"/>
      <c r="F133" s="117"/>
      <c r="G133" s="117"/>
      <c r="H133" s="117"/>
      <c r="I133" s="117"/>
      <c r="J133" s="117"/>
      <c r="K133" s="117"/>
    </row>
    <row r="134" spans="3:11" x14ac:dyDescent="0.2">
      <c r="C134" s="117"/>
      <c r="D134" s="117"/>
      <c r="E134" s="117"/>
      <c r="F134" s="117"/>
      <c r="G134" s="117"/>
      <c r="H134" s="117"/>
      <c r="I134" s="117"/>
      <c r="J134" s="117"/>
      <c r="K134" s="117"/>
    </row>
    <row r="135" spans="3:11" x14ac:dyDescent="0.2">
      <c r="C135" s="117"/>
      <c r="D135" s="117"/>
      <c r="E135" s="117"/>
      <c r="F135" s="117"/>
      <c r="G135" s="117"/>
      <c r="H135" s="117"/>
      <c r="I135" s="117"/>
      <c r="J135" s="117"/>
      <c r="K135" s="117"/>
    </row>
    <row r="136" spans="3:11" x14ac:dyDescent="0.2">
      <c r="C136" s="117"/>
      <c r="D136" s="117"/>
      <c r="E136" s="117"/>
      <c r="F136" s="117"/>
      <c r="G136" s="117"/>
      <c r="H136" s="117"/>
      <c r="I136" s="117"/>
      <c r="J136" s="117"/>
      <c r="K136" s="117"/>
    </row>
    <row r="137" spans="3:11" x14ac:dyDescent="0.2">
      <c r="C137" s="117"/>
      <c r="D137" s="117"/>
      <c r="E137" s="117"/>
      <c r="F137" s="117"/>
      <c r="G137" s="117"/>
      <c r="H137" s="117"/>
      <c r="I137" s="117"/>
      <c r="J137" s="117"/>
      <c r="K137" s="117"/>
    </row>
    <row r="138" spans="3:11" x14ac:dyDescent="0.2">
      <c r="C138" s="117"/>
      <c r="D138" s="117"/>
      <c r="E138" s="117"/>
      <c r="F138" s="117"/>
      <c r="G138" s="117"/>
      <c r="H138" s="117"/>
      <c r="I138" s="117"/>
      <c r="J138" s="117"/>
      <c r="K138" s="117"/>
    </row>
    <row r="139" spans="3:11" x14ac:dyDescent="0.2">
      <c r="C139" s="117"/>
      <c r="D139" s="117"/>
      <c r="E139" s="117"/>
      <c r="F139" s="117"/>
      <c r="G139" s="117"/>
      <c r="H139" s="117"/>
      <c r="I139" s="117"/>
      <c r="J139" s="117"/>
      <c r="K139" s="117"/>
    </row>
    <row r="140" spans="3:11" x14ac:dyDescent="0.2">
      <c r="C140" s="117"/>
      <c r="D140" s="117"/>
      <c r="E140" s="117"/>
      <c r="F140" s="117"/>
      <c r="G140" s="117"/>
      <c r="H140" s="117"/>
      <c r="I140" s="117"/>
      <c r="J140" s="117"/>
      <c r="K140" s="117"/>
    </row>
    <row r="141" spans="3:11" x14ac:dyDescent="0.2">
      <c r="C141" s="117"/>
      <c r="D141" s="117"/>
      <c r="E141" s="117"/>
      <c r="F141" s="117"/>
      <c r="G141" s="117"/>
      <c r="H141" s="117"/>
      <c r="I141" s="117"/>
      <c r="J141" s="117"/>
      <c r="K141" s="117"/>
    </row>
    <row r="142" spans="3:11" x14ac:dyDescent="0.2">
      <c r="C142" s="117"/>
      <c r="D142" s="117"/>
      <c r="E142" s="117"/>
      <c r="F142" s="117"/>
      <c r="G142" s="117"/>
      <c r="H142" s="117"/>
      <c r="I142" s="117"/>
      <c r="J142" s="117"/>
      <c r="K142" s="117"/>
    </row>
    <row r="143" spans="3:11" x14ac:dyDescent="0.2">
      <c r="C143" s="117"/>
      <c r="D143" s="117"/>
      <c r="E143" s="117"/>
      <c r="F143" s="117"/>
      <c r="G143" s="117"/>
      <c r="H143" s="117"/>
      <c r="I143" s="117"/>
      <c r="J143" s="117"/>
      <c r="K143" s="117"/>
    </row>
    <row r="144" spans="3:11" x14ac:dyDescent="0.2">
      <c r="C144" s="117"/>
      <c r="D144" s="117"/>
      <c r="E144" s="117"/>
      <c r="F144" s="117"/>
      <c r="G144" s="117"/>
      <c r="H144" s="117"/>
      <c r="I144" s="117"/>
      <c r="J144" s="117"/>
      <c r="K144" s="117"/>
    </row>
    <row r="145" spans="3:11" x14ac:dyDescent="0.2">
      <c r="C145" s="117"/>
      <c r="D145" s="117"/>
      <c r="E145" s="117"/>
      <c r="F145" s="117"/>
      <c r="G145" s="117"/>
      <c r="H145" s="117"/>
      <c r="I145" s="117"/>
      <c r="J145" s="117"/>
      <c r="K145" s="117"/>
    </row>
    <row r="146" spans="3:11" x14ac:dyDescent="0.2">
      <c r="C146" s="117"/>
      <c r="D146" s="117"/>
      <c r="E146" s="117"/>
      <c r="F146" s="117"/>
      <c r="G146" s="117"/>
      <c r="H146" s="117"/>
      <c r="I146" s="117"/>
      <c r="J146" s="117"/>
      <c r="K146" s="117"/>
    </row>
    <row r="147" spans="3:11" x14ac:dyDescent="0.2">
      <c r="C147" s="117"/>
      <c r="D147" s="117"/>
      <c r="E147" s="117"/>
      <c r="F147" s="117"/>
      <c r="G147" s="117"/>
      <c r="H147" s="117"/>
      <c r="I147" s="117"/>
      <c r="J147" s="117"/>
      <c r="K147" s="117"/>
    </row>
    <row r="148" spans="3:11" x14ac:dyDescent="0.2">
      <c r="C148" s="117"/>
      <c r="D148" s="117"/>
      <c r="E148" s="117"/>
      <c r="F148" s="117"/>
      <c r="G148" s="117"/>
      <c r="H148" s="117"/>
      <c r="I148" s="117"/>
      <c r="J148" s="117"/>
      <c r="K148" s="117"/>
    </row>
    <row r="149" spans="3:11" x14ac:dyDescent="0.2">
      <c r="C149" s="117"/>
      <c r="D149" s="117"/>
      <c r="E149" s="117"/>
      <c r="F149" s="117"/>
      <c r="G149" s="117"/>
      <c r="H149" s="117"/>
      <c r="I149" s="117"/>
      <c r="J149" s="117"/>
      <c r="K149" s="117"/>
    </row>
    <row r="150" spans="3:11" x14ac:dyDescent="0.2">
      <c r="C150" s="117"/>
      <c r="D150" s="117"/>
      <c r="E150" s="117"/>
      <c r="F150" s="117"/>
      <c r="G150" s="117"/>
      <c r="H150" s="117"/>
      <c r="I150" s="117"/>
      <c r="J150" s="117"/>
      <c r="K150" s="117"/>
    </row>
    <row r="151" spans="3:11" x14ac:dyDescent="0.2">
      <c r="C151" s="117"/>
      <c r="D151" s="117"/>
      <c r="E151" s="117"/>
      <c r="F151" s="117"/>
      <c r="G151" s="117"/>
      <c r="H151" s="117"/>
      <c r="I151" s="117"/>
      <c r="J151" s="117"/>
      <c r="K151" s="117"/>
    </row>
    <row r="152" spans="3:11" x14ac:dyDescent="0.2">
      <c r="C152" s="117"/>
      <c r="D152" s="117"/>
      <c r="E152" s="117"/>
      <c r="F152" s="117"/>
      <c r="G152" s="117"/>
      <c r="H152" s="117"/>
      <c r="I152" s="117"/>
      <c r="J152" s="117"/>
      <c r="K152" s="117"/>
    </row>
    <row r="153" spans="3:11" x14ac:dyDescent="0.2">
      <c r="C153" s="117"/>
      <c r="D153" s="117"/>
      <c r="E153" s="117"/>
      <c r="F153" s="117"/>
      <c r="G153" s="117"/>
      <c r="H153" s="117"/>
      <c r="I153" s="117"/>
      <c r="J153" s="117"/>
      <c r="K153" s="117"/>
    </row>
    <row r="154" spans="3:11" x14ac:dyDescent="0.2">
      <c r="C154" s="117"/>
      <c r="D154" s="117"/>
      <c r="E154" s="117"/>
      <c r="F154" s="117"/>
      <c r="G154" s="117"/>
      <c r="H154" s="117"/>
      <c r="I154" s="117"/>
      <c r="J154" s="117"/>
      <c r="K154" s="117"/>
    </row>
    <row r="155" spans="3:11" x14ac:dyDescent="0.2">
      <c r="C155" s="117"/>
      <c r="D155" s="117"/>
      <c r="E155" s="117"/>
      <c r="F155" s="117"/>
      <c r="G155" s="117"/>
      <c r="H155" s="117"/>
      <c r="I155" s="117"/>
      <c r="J155" s="117"/>
      <c r="K155" s="117"/>
    </row>
    <row r="156" spans="3:11" x14ac:dyDescent="0.2">
      <c r="C156" s="117"/>
      <c r="D156" s="117"/>
      <c r="E156" s="117"/>
      <c r="F156" s="117"/>
      <c r="G156" s="117"/>
      <c r="H156" s="117"/>
      <c r="I156" s="117"/>
      <c r="J156" s="117"/>
      <c r="K156" s="117"/>
    </row>
    <row r="157" spans="3:11" x14ac:dyDescent="0.2">
      <c r="C157" s="117"/>
      <c r="D157" s="117"/>
      <c r="E157" s="117"/>
      <c r="F157" s="117"/>
      <c r="G157" s="117"/>
      <c r="H157" s="117"/>
      <c r="I157" s="117"/>
      <c r="J157" s="117"/>
      <c r="K157" s="117"/>
    </row>
    <row r="158" spans="3:11" x14ac:dyDescent="0.2">
      <c r="C158" s="117"/>
      <c r="D158" s="117"/>
      <c r="E158" s="117"/>
      <c r="F158" s="117"/>
      <c r="G158" s="117"/>
      <c r="H158" s="117"/>
      <c r="I158" s="117"/>
      <c r="J158" s="117"/>
      <c r="K158" s="117"/>
    </row>
    <row r="159" spans="3:11" x14ac:dyDescent="0.2">
      <c r="C159" s="117"/>
      <c r="D159" s="117"/>
      <c r="E159" s="117"/>
      <c r="F159" s="117"/>
      <c r="G159" s="117"/>
      <c r="H159" s="117"/>
      <c r="I159" s="117"/>
      <c r="J159" s="117"/>
      <c r="K159" s="117"/>
    </row>
    <row r="160" spans="3:11" x14ac:dyDescent="0.2">
      <c r="C160" s="117"/>
      <c r="D160" s="117"/>
      <c r="E160" s="117"/>
      <c r="F160" s="117"/>
      <c r="G160" s="117"/>
      <c r="H160" s="117"/>
      <c r="I160" s="117"/>
      <c r="J160" s="117"/>
      <c r="K160" s="117"/>
    </row>
    <row r="161" spans="3:11" x14ac:dyDescent="0.2">
      <c r="C161" s="117"/>
      <c r="D161" s="117"/>
      <c r="E161" s="117"/>
      <c r="F161" s="117"/>
      <c r="G161" s="117"/>
      <c r="H161" s="117"/>
      <c r="I161" s="117"/>
      <c r="J161" s="117"/>
      <c r="K161" s="117"/>
    </row>
    <row r="162" spans="3:11" x14ac:dyDescent="0.2">
      <c r="C162" s="117"/>
      <c r="D162" s="117"/>
      <c r="E162" s="117"/>
      <c r="F162" s="117"/>
      <c r="G162" s="117"/>
      <c r="H162" s="117"/>
      <c r="I162" s="117"/>
      <c r="J162" s="117"/>
      <c r="K162" s="117"/>
    </row>
    <row r="163" spans="3:11" x14ac:dyDescent="0.2">
      <c r="C163" s="117"/>
      <c r="D163" s="117"/>
      <c r="E163" s="117"/>
      <c r="F163" s="117"/>
      <c r="G163" s="117"/>
      <c r="H163" s="117"/>
      <c r="I163" s="117"/>
      <c r="J163" s="117"/>
      <c r="K163" s="117"/>
    </row>
    <row r="164" spans="3:11" x14ac:dyDescent="0.2">
      <c r="C164" s="117"/>
      <c r="D164" s="117"/>
      <c r="E164" s="117"/>
      <c r="F164" s="117"/>
      <c r="G164" s="117"/>
      <c r="H164" s="117"/>
      <c r="I164" s="117"/>
      <c r="J164" s="117"/>
      <c r="K164" s="117"/>
    </row>
    <row r="165" spans="3:11" x14ac:dyDescent="0.2">
      <c r="C165" s="117"/>
      <c r="D165" s="117"/>
      <c r="E165" s="117"/>
      <c r="F165" s="117"/>
      <c r="G165" s="117"/>
      <c r="H165" s="117"/>
      <c r="I165" s="117"/>
      <c r="J165" s="117"/>
      <c r="K165" s="117"/>
    </row>
    <row r="166" spans="3:11" x14ac:dyDescent="0.2">
      <c r="C166" s="117"/>
      <c r="D166" s="117"/>
      <c r="E166" s="117"/>
      <c r="F166" s="117"/>
      <c r="G166" s="117"/>
      <c r="H166" s="117"/>
      <c r="I166" s="117"/>
      <c r="J166" s="117"/>
      <c r="K166" s="117"/>
    </row>
    <row r="167" spans="3:11" x14ac:dyDescent="0.2">
      <c r="C167" s="117"/>
      <c r="D167" s="117"/>
      <c r="E167" s="117"/>
      <c r="F167" s="117"/>
      <c r="G167" s="117"/>
      <c r="H167" s="117"/>
      <c r="I167" s="117"/>
      <c r="J167" s="117"/>
      <c r="K167" s="117"/>
    </row>
    <row r="168" spans="3:11" x14ac:dyDescent="0.2">
      <c r="C168" s="117"/>
      <c r="D168" s="117"/>
      <c r="E168" s="117"/>
      <c r="F168" s="117"/>
      <c r="G168" s="117"/>
      <c r="H168" s="117"/>
      <c r="I168" s="117"/>
      <c r="J168" s="117"/>
      <c r="K168" s="117"/>
    </row>
    <row r="169" spans="3:11" x14ac:dyDescent="0.2">
      <c r="C169" s="117"/>
      <c r="D169" s="117"/>
      <c r="E169" s="117"/>
      <c r="F169" s="117"/>
      <c r="G169" s="117"/>
      <c r="H169" s="117"/>
      <c r="I169" s="117"/>
      <c r="J169" s="117"/>
      <c r="K169" s="117"/>
    </row>
    <row r="170" spans="3:11" x14ac:dyDescent="0.2">
      <c r="C170" s="117"/>
      <c r="D170" s="117"/>
      <c r="E170" s="117"/>
      <c r="F170" s="117"/>
      <c r="G170" s="117"/>
      <c r="H170" s="117"/>
      <c r="I170" s="117"/>
      <c r="J170" s="117"/>
      <c r="K170" s="117"/>
    </row>
    <row r="171" spans="3:11" x14ac:dyDescent="0.2">
      <c r="C171" s="117"/>
      <c r="D171" s="117"/>
      <c r="E171" s="117"/>
      <c r="F171" s="117"/>
      <c r="G171" s="117"/>
      <c r="H171" s="117"/>
      <c r="I171" s="117"/>
      <c r="J171" s="117"/>
      <c r="K171" s="117"/>
    </row>
    <row r="172" spans="3:11" x14ac:dyDescent="0.2">
      <c r="C172" s="117"/>
      <c r="D172" s="117"/>
      <c r="E172" s="117"/>
      <c r="F172" s="117"/>
      <c r="G172" s="117"/>
      <c r="H172" s="117"/>
      <c r="I172" s="117"/>
      <c r="J172" s="117"/>
      <c r="K172" s="117"/>
    </row>
    <row r="173" spans="3:11" x14ac:dyDescent="0.2">
      <c r="C173" s="117"/>
      <c r="D173" s="117"/>
      <c r="E173" s="117"/>
      <c r="F173" s="117"/>
      <c r="G173" s="117"/>
      <c r="H173" s="117"/>
      <c r="I173" s="117"/>
      <c r="J173" s="117"/>
      <c r="K173" s="117"/>
    </row>
    <row r="174" spans="3:11" x14ac:dyDescent="0.2">
      <c r="C174" s="117"/>
      <c r="D174" s="117"/>
      <c r="E174" s="117"/>
      <c r="F174" s="117"/>
      <c r="G174" s="117"/>
      <c r="H174" s="117"/>
      <c r="I174" s="117"/>
      <c r="J174" s="117"/>
      <c r="K174" s="117"/>
    </row>
    <row r="175" spans="3:11" x14ac:dyDescent="0.2">
      <c r="C175" s="117"/>
      <c r="D175" s="117"/>
      <c r="E175" s="117"/>
      <c r="F175" s="117"/>
      <c r="G175" s="117"/>
      <c r="H175" s="117"/>
      <c r="I175" s="117"/>
      <c r="J175" s="117"/>
      <c r="K175" s="117"/>
    </row>
    <row r="176" spans="3:11" x14ac:dyDescent="0.2">
      <c r="C176" s="117"/>
      <c r="D176" s="117"/>
      <c r="E176" s="117"/>
      <c r="F176" s="117"/>
      <c r="G176" s="117"/>
      <c r="H176" s="117"/>
      <c r="I176" s="117"/>
      <c r="J176" s="117"/>
      <c r="K176" s="117"/>
    </row>
    <row r="177" spans="3:11" x14ac:dyDescent="0.2">
      <c r="C177" s="117"/>
      <c r="D177" s="117"/>
      <c r="E177" s="117"/>
      <c r="F177" s="117"/>
      <c r="G177" s="117"/>
      <c r="H177" s="117"/>
      <c r="I177" s="117"/>
      <c r="J177" s="117"/>
      <c r="K177" s="117"/>
    </row>
    <row r="178" spans="3:11" x14ac:dyDescent="0.2">
      <c r="C178" s="117"/>
      <c r="D178" s="117"/>
      <c r="E178" s="117"/>
      <c r="F178" s="117"/>
      <c r="G178" s="117"/>
      <c r="H178" s="117"/>
      <c r="I178" s="117"/>
      <c r="J178" s="117"/>
      <c r="K178" s="117"/>
    </row>
    <row r="179" spans="3:11" x14ac:dyDescent="0.2">
      <c r="C179" s="117"/>
      <c r="D179" s="117"/>
      <c r="E179" s="117"/>
      <c r="F179" s="117"/>
      <c r="G179" s="117"/>
      <c r="H179" s="117"/>
      <c r="I179" s="117"/>
      <c r="J179" s="117"/>
      <c r="K179" s="117"/>
    </row>
    <row r="180" spans="3:11" x14ac:dyDescent="0.2">
      <c r="C180" s="117"/>
      <c r="D180" s="117"/>
      <c r="E180" s="117"/>
      <c r="F180" s="117"/>
      <c r="G180" s="117"/>
      <c r="H180" s="117"/>
      <c r="I180" s="117"/>
      <c r="J180" s="117"/>
      <c r="K180" s="117"/>
    </row>
    <row r="181" spans="3:11" x14ac:dyDescent="0.2">
      <c r="C181" s="117"/>
      <c r="D181" s="117"/>
      <c r="E181" s="117"/>
      <c r="F181" s="117"/>
      <c r="G181" s="117"/>
      <c r="H181" s="117"/>
      <c r="I181" s="117"/>
      <c r="J181" s="117"/>
      <c r="K181" s="117"/>
    </row>
    <row r="182" spans="3:11" x14ac:dyDescent="0.2">
      <c r="C182" s="117"/>
      <c r="D182" s="117"/>
      <c r="E182" s="117"/>
      <c r="F182" s="117"/>
      <c r="G182" s="117"/>
      <c r="H182" s="117"/>
      <c r="I182" s="117"/>
      <c r="J182" s="117"/>
      <c r="K182" s="117"/>
    </row>
    <row r="183" spans="3:11" x14ac:dyDescent="0.2">
      <c r="C183" s="117"/>
      <c r="D183" s="117"/>
      <c r="E183" s="117"/>
      <c r="F183" s="117"/>
      <c r="G183" s="117"/>
      <c r="H183" s="117"/>
      <c r="I183" s="117"/>
      <c r="J183" s="117"/>
      <c r="K183" s="117"/>
    </row>
    <row r="184" spans="3:11" x14ac:dyDescent="0.2">
      <c r="C184" s="117"/>
      <c r="D184" s="117"/>
      <c r="E184" s="117"/>
      <c r="F184" s="117"/>
      <c r="G184" s="117"/>
      <c r="H184" s="117"/>
      <c r="I184" s="117"/>
      <c r="J184" s="117"/>
      <c r="K184" s="117"/>
    </row>
    <row r="185" spans="3:11" x14ac:dyDescent="0.2">
      <c r="C185" s="117"/>
      <c r="D185" s="117"/>
      <c r="E185" s="117"/>
      <c r="F185" s="117"/>
      <c r="G185" s="117"/>
      <c r="H185" s="117"/>
      <c r="I185" s="117"/>
      <c r="J185" s="117"/>
      <c r="K185" s="117"/>
    </row>
    <row r="186" spans="3:11" x14ac:dyDescent="0.2">
      <c r="C186" s="117"/>
      <c r="D186" s="117"/>
      <c r="E186" s="117"/>
      <c r="F186" s="117"/>
      <c r="G186" s="117"/>
      <c r="H186" s="117"/>
      <c r="I186" s="117"/>
      <c r="J186" s="117"/>
      <c r="K186" s="117"/>
    </row>
    <row r="187" spans="3:11" x14ac:dyDescent="0.2">
      <c r="C187" s="117"/>
      <c r="D187" s="117"/>
      <c r="E187" s="117"/>
      <c r="F187" s="117"/>
      <c r="G187" s="117"/>
      <c r="H187" s="117"/>
      <c r="I187" s="117"/>
      <c r="J187" s="117"/>
      <c r="K187" s="117"/>
    </row>
    <row r="188" spans="3:11" x14ac:dyDescent="0.2">
      <c r="C188" s="117"/>
      <c r="D188" s="117"/>
      <c r="E188" s="117"/>
      <c r="F188" s="117"/>
      <c r="G188" s="117"/>
      <c r="H188" s="117"/>
      <c r="I188" s="117"/>
      <c r="J188" s="117"/>
      <c r="K188" s="117"/>
    </row>
    <row r="189" spans="3:11" x14ac:dyDescent="0.2">
      <c r="C189" s="117"/>
      <c r="D189" s="117"/>
      <c r="E189" s="117"/>
      <c r="F189" s="117"/>
      <c r="G189" s="117"/>
      <c r="H189" s="117"/>
      <c r="I189" s="117"/>
      <c r="J189" s="117"/>
      <c r="K189" s="117"/>
    </row>
    <row r="190" spans="3:11" x14ac:dyDescent="0.2">
      <c r="C190" s="117"/>
      <c r="D190" s="117"/>
      <c r="E190" s="117"/>
      <c r="F190" s="117"/>
      <c r="G190" s="117"/>
      <c r="H190" s="117"/>
      <c r="I190" s="117"/>
      <c r="J190" s="117"/>
      <c r="K190" s="117"/>
    </row>
    <row r="191" spans="3:11" x14ac:dyDescent="0.2">
      <c r="C191" s="117"/>
      <c r="D191" s="117"/>
      <c r="E191" s="117"/>
      <c r="F191" s="117"/>
      <c r="G191" s="117"/>
      <c r="H191" s="117"/>
      <c r="I191" s="117"/>
      <c r="J191" s="117"/>
      <c r="K191" s="117"/>
    </row>
    <row r="192" spans="3:11" x14ac:dyDescent="0.2">
      <c r="C192" s="117"/>
      <c r="D192" s="117"/>
      <c r="E192" s="117"/>
      <c r="F192" s="117"/>
      <c r="G192" s="117"/>
      <c r="H192" s="117"/>
      <c r="I192" s="117"/>
      <c r="J192" s="117"/>
      <c r="K192" s="117"/>
    </row>
    <row r="193" spans="3:11" x14ac:dyDescent="0.2">
      <c r="C193" s="117"/>
      <c r="D193" s="117"/>
      <c r="E193" s="117"/>
      <c r="F193" s="117"/>
      <c r="G193" s="117"/>
      <c r="H193" s="117"/>
      <c r="I193" s="117"/>
      <c r="J193" s="117"/>
      <c r="K193" s="117"/>
    </row>
    <row r="194" spans="3:11" x14ac:dyDescent="0.2">
      <c r="C194" s="117"/>
      <c r="D194" s="117"/>
      <c r="E194" s="117"/>
      <c r="F194" s="117"/>
      <c r="G194" s="117"/>
      <c r="H194" s="117"/>
      <c r="I194" s="117"/>
      <c r="J194" s="117"/>
      <c r="K194" s="117"/>
    </row>
    <row r="195" spans="3:11" x14ac:dyDescent="0.2">
      <c r="C195" s="117"/>
      <c r="D195" s="117"/>
      <c r="E195" s="117"/>
      <c r="F195" s="117"/>
      <c r="G195" s="117"/>
      <c r="H195" s="117"/>
      <c r="I195" s="117"/>
      <c r="J195" s="117"/>
      <c r="K195" s="117"/>
    </row>
    <row r="196" spans="3:11" x14ac:dyDescent="0.2">
      <c r="C196" s="117"/>
      <c r="D196" s="117"/>
      <c r="E196" s="117"/>
      <c r="F196" s="117"/>
      <c r="G196" s="117"/>
      <c r="H196" s="117"/>
      <c r="I196" s="117"/>
      <c r="J196" s="117"/>
      <c r="K196" s="117"/>
    </row>
    <row r="197" spans="3:11" x14ac:dyDescent="0.2">
      <c r="C197" s="117"/>
      <c r="D197" s="117"/>
      <c r="E197" s="117"/>
      <c r="F197" s="117"/>
      <c r="G197" s="117"/>
      <c r="H197" s="117"/>
      <c r="I197" s="117"/>
      <c r="J197" s="117"/>
      <c r="K197" s="117"/>
    </row>
    <row r="198" spans="3:11" x14ac:dyDescent="0.2">
      <c r="C198" s="117"/>
      <c r="D198" s="117"/>
      <c r="E198" s="117"/>
      <c r="F198" s="117"/>
      <c r="G198" s="117"/>
      <c r="H198" s="117"/>
      <c r="I198" s="117"/>
      <c r="J198" s="117"/>
      <c r="K198" s="117"/>
    </row>
    <row r="199" spans="3:11" x14ac:dyDescent="0.2">
      <c r="C199" s="117"/>
      <c r="D199" s="117"/>
      <c r="E199" s="117"/>
      <c r="F199" s="117"/>
      <c r="G199" s="117"/>
      <c r="H199" s="117"/>
      <c r="I199" s="117"/>
      <c r="J199" s="117"/>
      <c r="K199" s="117"/>
    </row>
    <row r="200" spans="3:11" x14ac:dyDescent="0.2">
      <c r="C200" s="117"/>
      <c r="D200" s="117"/>
      <c r="E200" s="117"/>
      <c r="F200" s="117"/>
      <c r="G200" s="117"/>
      <c r="H200" s="117"/>
      <c r="I200" s="117"/>
      <c r="J200" s="117"/>
      <c r="K200" s="117"/>
    </row>
    <row r="201" spans="3:11" x14ac:dyDescent="0.2">
      <c r="C201" s="117"/>
      <c r="D201" s="117"/>
      <c r="E201" s="117"/>
      <c r="F201" s="117"/>
      <c r="G201" s="117"/>
      <c r="H201" s="117"/>
      <c r="I201" s="117"/>
      <c r="J201" s="117"/>
      <c r="K201" s="117"/>
    </row>
    <row r="202" spans="3:11" x14ac:dyDescent="0.2">
      <c r="C202" s="117"/>
      <c r="D202" s="117"/>
      <c r="E202" s="117"/>
      <c r="F202" s="117"/>
      <c r="G202" s="117"/>
      <c r="H202" s="117"/>
      <c r="I202" s="117"/>
      <c r="J202" s="117"/>
      <c r="K202" s="117"/>
    </row>
    <row r="203" spans="3:11" x14ac:dyDescent="0.2">
      <c r="C203" s="117"/>
      <c r="D203" s="117"/>
      <c r="E203" s="117"/>
      <c r="F203" s="117"/>
      <c r="G203" s="117"/>
      <c r="H203" s="117"/>
      <c r="I203" s="117"/>
      <c r="J203" s="117"/>
      <c r="K203" s="117"/>
    </row>
    <row r="204" spans="3:11" x14ac:dyDescent="0.2">
      <c r="C204" s="117"/>
      <c r="D204" s="117"/>
      <c r="E204" s="117"/>
      <c r="F204" s="117"/>
      <c r="G204" s="117"/>
      <c r="H204" s="117"/>
      <c r="I204" s="117"/>
      <c r="J204" s="117"/>
      <c r="K204" s="117"/>
    </row>
    <row r="205" spans="3:11" x14ac:dyDescent="0.2">
      <c r="C205" s="117"/>
      <c r="D205" s="117"/>
      <c r="E205" s="117"/>
      <c r="F205" s="117"/>
      <c r="G205" s="117"/>
      <c r="H205" s="117"/>
      <c r="I205" s="117"/>
      <c r="J205" s="117"/>
      <c r="K205" s="117"/>
    </row>
    <row r="206" spans="3:11" x14ac:dyDescent="0.2">
      <c r="C206" s="117"/>
      <c r="D206" s="117"/>
      <c r="E206" s="117"/>
      <c r="F206" s="117"/>
      <c r="G206" s="117"/>
      <c r="H206" s="117"/>
      <c r="I206" s="117"/>
      <c r="J206" s="117"/>
      <c r="K206" s="117"/>
    </row>
    <row r="207" spans="3:11" x14ac:dyDescent="0.2">
      <c r="C207" s="117"/>
      <c r="D207" s="117"/>
      <c r="E207" s="117"/>
      <c r="F207" s="117"/>
      <c r="G207" s="117"/>
      <c r="H207" s="117"/>
      <c r="I207" s="117"/>
      <c r="J207" s="117"/>
      <c r="K207" s="117"/>
    </row>
    <row r="208" spans="3:11" x14ac:dyDescent="0.2">
      <c r="C208" s="117"/>
      <c r="D208" s="117"/>
      <c r="E208" s="117"/>
      <c r="F208" s="117"/>
      <c r="G208" s="117"/>
      <c r="H208" s="117"/>
      <c r="I208" s="117"/>
      <c r="J208" s="117"/>
      <c r="K208" s="117"/>
    </row>
    <row r="209" spans="3:11" x14ac:dyDescent="0.2">
      <c r="C209" s="117"/>
      <c r="D209" s="117"/>
      <c r="E209" s="117"/>
      <c r="F209" s="117"/>
      <c r="G209" s="117"/>
      <c r="H209" s="117"/>
      <c r="I209" s="117"/>
      <c r="J209" s="117"/>
      <c r="K209" s="117"/>
    </row>
    <row r="210" spans="3:11" x14ac:dyDescent="0.2">
      <c r="C210" s="117"/>
      <c r="D210" s="117"/>
      <c r="E210" s="117"/>
      <c r="F210" s="117"/>
      <c r="G210" s="117"/>
      <c r="H210" s="117"/>
      <c r="I210" s="117"/>
      <c r="J210" s="117"/>
      <c r="K210" s="117"/>
    </row>
    <row r="211" spans="3:11" x14ac:dyDescent="0.2">
      <c r="C211" s="117"/>
      <c r="D211" s="117"/>
      <c r="E211" s="117"/>
      <c r="F211" s="117"/>
      <c r="G211" s="117"/>
      <c r="H211" s="117"/>
      <c r="I211" s="117"/>
      <c r="J211" s="117"/>
      <c r="K211" s="117"/>
    </row>
    <row r="212" spans="3:11" x14ac:dyDescent="0.2">
      <c r="C212" s="117"/>
      <c r="D212" s="117"/>
      <c r="E212" s="117"/>
      <c r="F212" s="117"/>
      <c r="G212" s="117"/>
      <c r="H212" s="117"/>
      <c r="I212" s="117"/>
      <c r="J212" s="117"/>
      <c r="K212" s="117"/>
    </row>
    <row r="213" spans="3:11" x14ac:dyDescent="0.2">
      <c r="C213" s="117"/>
      <c r="D213" s="117"/>
      <c r="E213" s="117"/>
      <c r="F213" s="117"/>
      <c r="G213" s="117"/>
      <c r="H213" s="117"/>
      <c r="I213" s="117"/>
      <c r="J213" s="117"/>
      <c r="K213" s="117"/>
    </row>
    <row r="214" spans="3:11" x14ac:dyDescent="0.2">
      <c r="C214" s="117"/>
      <c r="D214" s="117"/>
      <c r="E214" s="117"/>
      <c r="F214" s="117"/>
      <c r="G214" s="117"/>
      <c r="H214" s="117"/>
      <c r="I214" s="117"/>
      <c r="J214" s="117"/>
      <c r="K214" s="117"/>
    </row>
    <row r="215" spans="3:11" x14ac:dyDescent="0.2">
      <c r="C215" s="117"/>
      <c r="D215" s="117"/>
      <c r="E215" s="117"/>
      <c r="F215" s="117"/>
      <c r="G215" s="117"/>
      <c r="H215" s="117"/>
      <c r="I215" s="117"/>
      <c r="J215" s="117"/>
      <c r="K215" s="117"/>
    </row>
    <row r="216" spans="3:11" x14ac:dyDescent="0.2">
      <c r="C216" s="117"/>
      <c r="D216" s="117"/>
      <c r="E216" s="117"/>
      <c r="F216" s="117"/>
      <c r="G216" s="117"/>
      <c r="H216" s="117"/>
      <c r="I216" s="117"/>
      <c r="J216" s="117"/>
      <c r="K216" s="117"/>
    </row>
    <row r="217" spans="3:11" x14ac:dyDescent="0.2">
      <c r="C217" s="117"/>
      <c r="D217" s="117"/>
      <c r="E217" s="117"/>
      <c r="F217" s="117"/>
      <c r="G217" s="117"/>
      <c r="H217" s="117"/>
      <c r="I217" s="117"/>
      <c r="J217" s="117"/>
      <c r="K217" s="117"/>
    </row>
    <row r="218" spans="3:11" x14ac:dyDescent="0.2">
      <c r="C218" s="117"/>
      <c r="D218" s="117"/>
      <c r="E218" s="117"/>
      <c r="F218" s="117"/>
      <c r="G218" s="117"/>
      <c r="H218" s="117"/>
      <c r="I218" s="117"/>
      <c r="J218" s="117"/>
      <c r="K218" s="117"/>
    </row>
    <row r="219" spans="3:11" x14ac:dyDescent="0.2">
      <c r="C219" s="117"/>
      <c r="D219" s="117"/>
      <c r="E219" s="117"/>
      <c r="F219" s="117"/>
      <c r="G219" s="117"/>
      <c r="H219" s="117"/>
      <c r="I219" s="117"/>
      <c r="J219" s="117"/>
      <c r="K219" s="117"/>
    </row>
    <row r="220" spans="3:11" x14ac:dyDescent="0.2">
      <c r="C220" s="117"/>
      <c r="D220" s="117"/>
      <c r="E220" s="117"/>
      <c r="F220" s="117"/>
      <c r="G220" s="117"/>
      <c r="H220" s="117"/>
      <c r="I220" s="117"/>
      <c r="J220" s="117"/>
      <c r="K220" s="117"/>
    </row>
    <row r="221" spans="3:11" x14ac:dyDescent="0.2">
      <c r="C221" s="117"/>
      <c r="D221" s="117"/>
      <c r="E221" s="117"/>
      <c r="F221" s="117"/>
      <c r="G221" s="117"/>
      <c r="H221" s="117"/>
      <c r="I221" s="117"/>
      <c r="J221" s="117"/>
      <c r="K221" s="117"/>
    </row>
    <row r="222" spans="3:11" x14ac:dyDescent="0.2">
      <c r="C222" s="117"/>
      <c r="D222" s="117"/>
      <c r="E222" s="117"/>
      <c r="F222" s="117"/>
      <c r="G222" s="117"/>
      <c r="H222" s="117"/>
      <c r="I222" s="117"/>
      <c r="J222" s="117"/>
      <c r="K222" s="117"/>
    </row>
    <row r="223" spans="3:11" x14ac:dyDescent="0.2">
      <c r="C223" s="117"/>
      <c r="D223" s="117"/>
      <c r="E223" s="117"/>
      <c r="F223" s="117"/>
      <c r="G223" s="117"/>
      <c r="H223" s="117"/>
      <c r="I223" s="117"/>
      <c r="J223" s="117"/>
      <c r="K223" s="117"/>
    </row>
    <row r="224" spans="3:11" x14ac:dyDescent="0.2">
      <c r="C224" s="117"/>
      <c r="D224" s="117"/>
      <c r="E224" s="117"/>
      <c r="F224" s="117"/>
      <c r="G224" s="117"/>
      <c r="H224" s="117"/>
      <c r="I224" s="117"/>
      <c r="J224" s="117"/>
      <c r="K224" s="117"/>
    </row>
    <row r="225" spans="3:11" x14ac:dyDescent="0.2">
      <c r="C225" s="117"/>
      <c r="D225" s="117"/>
      <c r="E225" s="117"/>
      <c r="F225" s="117"/>
      <c r="G225" s="117"/>
      <c r="H225" s="117"/>
      <c r="I225" s="117"/>
      <c r="J225" s="117"/>
      <c r="K225" s="117"/>
    </row>
    <row r="226" spans="3:11" x14ac:dyDescent="0.2">
      <c r="C226" s="117"/>
      <c r="D226" s="117"/>
      <c r="E226" s="117"/>
      <c r="F226" s="117"/>
      <c r="G226" s="117"/>
      <c r="H226" s="117"/>
      <c r="I226" s="117"/>
      <c r="J226" s="117"/>
      <c r="K226" s="117"/>
    </row>
    <row r="227" spans="3:11" x14ac:dyDescent="0.2">
      <c r="C227" s="117"/>
      <c r="D227" s="117"/>
      <c r="E227" s="117"/>
      <c r="F227" s="117"/>
      <c r="G227" s="117"/>
      <c r="H227" s="117"/>
      <c r="I227" s="117"/>
      <c r="J227" s="117"/>
      <c r="K227" s="117"/>
    </row>
    <row r="228" spans="3:11" x14ac:dyDescent="0.2">
      <c r="C228" s="117"/>
      <c r="D228" s="117"/>
      <c r="E228" s="117"/>
      <c r="F228" s="117"/>
      <c r="G228" s="117"/>
      <c r="H228" s="117"/>
      <c r="I228" s="117"/>
      <c r="J228" s="117"/>
      <c r="K228" s="117"/>
    </row>
    <row r="229" spans="3:11" x14ac:dyDescent="0.2">
      <c r="C229" s="117"/>
      <c r="D229" s="117"/>
      <c r="E229" s="117"/>
      <c r="F229" s="117"/>
      <c r="G229" s="117"/>
      <c r="H229" s="117"/>
      <c r="I229" s="117"/>
      <c r="J229" s="117"/>
      <c r="K229" s="117"/>
    </row>
    <row r="230" spans="3:11" x14ac:dyDescent="0.2">
      <c r="C230" s="117"/>
      <c r="D230" s="117"/>
      <c r="E230" s="117"/>
      <c r="F230" s="117"/>
      <c r="G230" s="117"/>
      <c r="H230" s="117"/>
      <c r="I230" s="117"/>
      <c r="J230" s="117"/>
      <c r="K230" s="117"/>
    </row>
    <row r="231" spans="3:11" x14ac:dyDescent="0.2">
      <c r="C231" s="117"/>
      <c r="D231" s="117"/>
      <c r="E231" s="117"/>
      <c r="F231" s="117"/>
      <c r="G231" s="117"/>
      <c r="H231" s="117"/>
      <c r="I231" s="117"/>
      <c r="J231" s="117"/>
      <c r="K231" s="117"/>
    </row>
    <row r="232" spans="3:11" x14ac:dyDescent="0.2">
      <c r="C232" s="117"/>
      <c r="D232" s="117"/>
      <c r="E232" s="117"/>
      <c r="F232" s="117"/>
      <c r="G232" s="117"/>
      <c r="H232" s="117"/>
      <c r="I232" s="117"/>
      <c r="J232" s="117"/>
      <c r="K232" s="117"/>
    </row>
    <row r="233" spans="3:11" x14ac:dyDescent="0.2">
      <c r="C233" s="117"/>
      <c r="D233" s="117"/>
      <c r="E233" s="117"/>
      <c r="F233" s="117"/>
      <c r="G233" s="117"/>
      <c r="H233" s="117"/>
      <c r="I233" s="117"/>
      <c r="J233" s="117"/>
      <c r="K233" s="117"/>
    </row>
    <row r="234" spans="3:11" x14ac:dyDescent="0.2">
      <c r="C234" s="117"/>
      <c r="D234" s="117"/>
      <c r="E234" s="117"/>
      <c r="F234" s="117"/>
      <c r="G234" s="117"/>
      <c r="H234" s="117"/>
      <c r="I234" s="117"/>
      <c r="J234" s="117"/>
      <c r="K234" s="117"/>
    </row>
    <row r="235" spans="3:11" x14ac:dyDescent="0.2">
      <c r="C235" s="117"/>
      <c r="D235" s="117"/>
      <c r="E235" s="117"/>
      <c r="F235" s="117"/>
      <c r="G235" s="117"/>
      <c r="H235" s="117"/>
      <c r="I235" s="117"/>
      <c r="J235" s="117"/>
      <c r="K235" s="117"/>
    </row>
    <row r="236" spans="3:11" x14ac:dyDescent="0.2">
      <c r="C236" s="117"/>
      <c r="D236" s="117"/>
      <c r="E236" s="117"/>
      <c r="F236" s="117"/>
      <c r="G236" s="117"/>
      <c r="H236" s="117"/>
      <c r="I236" s="117"/>
      <c r="J236" s="117"/>
      <c r="K236" s="117"/>
    </row>
    <row r="237" spans="3:11" x14ac:dyDescent="0.2">
      <c r="C237" s="117"/>
      <c r="D237" s="117"/>
      <c r="E237" s="117"/>
      <c r="F237" s="117"/>
      <c r="G237" s="117"/>
      <c r="H237" s="117"/>
      <c r="I237" s="117"/>
      <c r="J237" s="117"/>
      <c r="K237" s="117"/>
    </row>
    <row r="238" spans="3:11" x14ac:dyDescent="0.2">
      <c r="C238" s="117"/>
      <c r="D238" s="117"/>
      <c r="E238" s="117"/>
      <c r="F238" s="117"/>
      <c r="G238" s="117"/>
      <c r="H238" s="117"/>
      <c r="I238" s="117"/>
      <c r="J238" s="117"/>
      <c r="K238" s="117"/>
    </row>
    <row r="239" spans="3:11" x14ac:dyDescent="0.2">
      <c r="C239" s="117"/>
      <c r="D239" s="117"/>
      <c r="E239" s="117"/>
      <c r="F239" s="117"/>
      <c r="G239" s="117"/>
      <c r="H239" s="117"/>
      <c r="I239" s="117"/>
      <c r="J239" s="117"/>
      <c r="K239" s="117"/>
    </row>
    <row r="240" spans="3:11" x14ac:dyDescent="0.2">
      <c r="C240" s="117"/>
      <c r="D240" s="117"/>
      <c r="E240" s="117"/>
      <c r="F240" s="117"/>
      <c r="G240" s="117"/>
      <c r="H240" s="117"/>
      <c r="I240" s="117"/>
      <c r="J240" s="117"/>
      <c r="K240" s="117"/>
    </row>
    <row r="241" spans="3:11" x14ac:dyDescent="0.2">
      <c r="C241" s="117"/>
      <c r="D241" s="117"/>
      <c r="E241" s="117"/>
      <c r="F241" s="117"/>
      <c r="G241" s="117"/>
      <c r="H241" s="117"/>
      <c r="I241" s="117"/>
      <c r="J241" s="117"/>
      <c r="K241" s="117"/>
    </row>
    <row r="242" spans="3:11" x14ac:dyDescent="0.2">
      <c r="C242" s="117"/>
      <c r="D242" s="117"/>
      <c r="E242" s="117"/>
      <c r="F242" s="117"/>
      <c r="G242" s="117"/>
      <c r="H242" s="117"/>
      <c r="I242" s="117"/>
      <c r="J242" s="117"/>
      <c r="K242" s="117"/>
    </row>
    <row r="243" spans="3:11" x14ac:dyDescent="0.2">
      <c r="C243" s="117"/>
      <c r="D243" s="117"/>
      <c r="E243" s="117"/>
      <c r="F243" s="117"/>
      <c r="G243" s="117"/>
      <c r="H243" s="117"/>
      <c r="I243" s="117"/>
      <c r="J243" s="117"/>
      <c r="K243" s="117"/>
    </row>
    <row r="244" spans="3:11" x14ac:dyDescent="0.2">
      <c r="C244" s="117"/>
      <c r="D244" s="117"/>
      <c r="E244" s="117"/>
      <c r="F244" s="117"/>
      <c r="G244" s="117"/>
      <c r="H244" s="117"/>
      <c r="I244" s="117"/>
      <c r="J244" s="117"/>
      <c r="K244" s="117"/>
    </row>
    <row r="245" spans="3:11" x14ac:dyDescent="0.2">
      <c r="C245" s="117"/>
      <c r="D245" s="117"/>
      <c r="E245" s="117"/>
      <c r="F245" s="117"/>
      <c r="G245" s="117"/>
      <c r="H245" s="117"/>
      <c r="I245" s="117"/>
      <c r="J245" s="117"/>
      <c r="K245" s="117"/>
    </row>
    <row r="246" spans="3:11" x14ac:dyDescent="0.2">
      <c r="C246" s="117"/>
      <c r="D246" s="117"/>
      <c r="E246" s="117"/>
      <c r="F246" s="117"/>
      <c r="G246" s="117"/>
      <c r="H246" s="117"/>
      <c r="I246" s="117"/>
      <c r="J246" s="117"/>
      <c r="K246" s="117"/>
    </row>
    <row r="247" spans="3:11" x14ac:dyDescent="0.2">
      <c r="C247" s="117"/>
      <c r="D247" s="117"/>
      <c r="E247" s="117"/>
      <c r="F247" s="117"/>
      <c r="G247" s="117"/>
      <c r="H247" s="117"/>
      <c r="I247" s="117"/>
      <c r="J247" s="117"/>
      <c r="K247" s="117"/>
    </row>
    <row r="248" spans="3:11" x14ac:dyDescent="0.2">
      <c r="C248" s="117"/>
      <c r="D248" s="117"/>
      <c r="E248" s="117"/>
      <c r="F248" s="117"/>
      <c r="G248" s="117"/>
      <c r="H248" s="117"/>
      <c r="I248" s="117"/>
      <c r="J248" s="117"/>
      <c r="K248" s="117"/>
    </row>
    <row r="249" spans="3:11" x14ac:dyDescent="0.2">
      <c r="C249" s="117"/>
      <c r="D249" s="117"/>
      <c r="E249" s="117"/>
      <c r="F249" s="117"/>
      <c r="G249" s="117"/>
      <c r="H249" s="117"/>
      <c r="I249" s="117"/>
      <c r="J249" s="117"/>
      <c r="K249" s="117"/>
    </row>
    <row r="250" spans="3:11" x14ac:dyDescent="0.2">
      <c r="C250" s="117"/>
      <c r="D250" s="117"/>
      <c r="E250" s="117"/>
      <c r="F250" s="117"/>
      <c r="G250" s="117"/>
      <c r="H250" s="117"/>
      <c r="I250" s="117"/>
      <c r="J250" s="117"/>
      <c r="K250" s="117"/>
    </row>
    <row r="251" spans="3:11" x14ac:dyDescent="0.2">
      <c r="C251" s="117"/>
      <c r="D251" s="117"/>
      <c r="E251" s="117"/>
      <c r="F251" s="117"/>
      <c r="G251" s="117"/>
      <c r="H251" s="117"/>
      <c r="I251" s="117"/>
      <c r="J251" s="117"/>
      <c r="K251" s="117"/>
    </row>
    <row r="252" spans="3:11" x14ac:dyDescent="0.2">
      <c r="C252" s="117"/>
      <c r="D252" s="117"/>
      <c r="E252" s="117"/>
      <c r="F252" s="117"/>
      <c r="G252" s="117"/>
      <c r="H252" s="117"/>
      <c r="I252" s="117"/>
      <c r="J252" s="117"/>
      <c r="K252" s="117"/>
    </row>
    <row r="253" spans="3:11" x14ac:dyDescent="0.2">
      <c r="C253" s="117"/>
      <c r="D253" s="117"/>
      <c r="E253" s="117"/>
      <c r="F253" s="117"/>
      <c r="G253" s="117"/>
      <c r="H253" s="117"/>
      <c r="I253" s="117"/>
      <c r="J253" s="117"/>
      <c r="K253" s="117"/>
    </row>
    <row r="254" spans="3:11" x14ac:dyDescent="0.2">
      <c r="C254" s="117"/>
      <c r="D254" s="117"/>
      <c r="E254" s="117"/>
      <c r="F254" s="117"/>
      <c r="G254" s="117"/>
      <c r="H254" s="117"/>
      <c r="I254" s="117"/>
      <c r="J254" s="117"/>
      <c r="K254" s="117"/>
    </row>
    <row r="255" spans="3:11" x14ac:dyDescent="0.2">
      <c r="C255" s="117"/>
      <c r="D255" s="117"/>
      <c r="E255" s="117"/>
      <c r="F255" s="117"/>
      <c r="G255" s="117"/>
      <c r="H255" s="117"/>
      <c r="I255" s="117"/>
      <c r="J255" s="117"/>
      <c r="K255" s="117"/>
    </row>
    <row r="256" spans="3:11" x14ac:dyDescent="0.2">
      <c r="C256" s="117"/>
      <c r="D256" s="117"/>
      <c r="E256" s="117"/>
      <c r="F256" s="117"/>
      <c r="G256" s="117"/>
      <c r="H256" s="117"/>
      <c r="I256" s="117"/>
      <c r="J256" s="117"/>
      <c r="K256" s="117"/>
    </row>
    <row r="257" spans="3:11" x14ac:dyDescent="0.2">
      <c r="C257" s="117"/>
      <c r="D257" s="117"/>
      <c r="E257" s="117"/>
      <c r="F257" s="117"/>
      <c r="G257" s="117"/>
      <c r="H257" s="117"/>
      <c r="I257" s="117"/>
      <c r="J257" s="117"/>
      <c r="K257" s="117"/>
    </row>
    <row r="258" spans="3:11" x14ac:dyDescent="0.2">
      <c r="C258" s="117"/>
      <c r="D258" s="117"/>
      <c r="E258" s="117"/>
      <c r="F258" s="117"/>
      <c r="G258" s="117"/>
      <c r="H258" s="117"/>
      <c r="I258" s="117"/>
      <c r="J258" s="117"/>
      <c r="K258" s="117"/>
    </row>
    <row r="259" spans="3:11" x14ac:dyDescent="0.2">
      <c r="C259" s="117"/>
      <c r="D259" s="117"/>
      <c r="E259" s="117"/>
      <c r="F259" s="117"/>
      <c r="G259" s="117"/>
      <c r="H259" s="117"/>
      <c r="I259" s="117"/>
      <c r="J259" s="117"/>
      <c r="K259" s="117"/>
    </row>
    <row r="260" spans="3:11" x14ac:dyDescent="0.2">
      <c r="C260" s="117"/>
      <c r="D260" s="117"/>
      <c r="E260" s="117"/>
      <c r="F260" s="117"/>
      <c r="G260" s="117"/>
      <c r="H260" s="117"/>
      <c r="I260" s="117"/>
      <c r="J260" s="117"/>
      <c r="K260" s="117"/>
    </row>
    <row r="261" spans="3:11" x14ac:dyDescent="0.2">
      <c r="C261" s="117"/>
      <c r="D261" s="117"/>
      <c r="E261" s="117"/>
      <c r="F261" s="117"/>
      <c r="G261" s="117"/>
      <c r="H261" s="117"/>
      <c r="I261" s="117"/>
      <c r="J261" s="117"/>
      <c r="K261" s="117"/>
    </row>
    <row r="262" spans="3:11" x14ac:dyDescent="0.2">
      <c r="C262" s="117"/>
      <c r="D262" s="117"/>
      <c r="E262" s="117"/>
      <c r="F262" s="117"/>
      <c r="G262" s="117"/>
      <c r="H262" s="117"/>
      <c r="I262" s="117"/>
      <c r="J262" s="117"/>
      <c r="K262" s="117"/>
    </row>
    <row r="263" spans="3:11" x14ac:dyDescent="0.2">
      <c r="C263" s="117"/>
      <c r="D263" s="117"/>
      <c r="E263" s="117"/>
      <c r="F263" s="117"/>
      <c r="G263" s="117"/>
      <c r="H263" s="117"/>
      <c r="I263" s="117"/>
      <c r="J263" s="117"/>
      <c r="K263" s="117"/>
    </row>
    <row r="264" spans="3:11" x14ac:dyDescent="0.2">
      <c r="C264" s="117"/>
      <c r="D264" s="117"/>
      <c r="E264" s="117"/>
      <c r="F264" s="117"/>
      <c r="G264" s="117"/>
      <c r="H264" s="117"/>
      <c r="I264" s="117"/>
      <c r="J264" s="117"/>
      <c r="K264" s="117"/>
    </row>
  </sheetData>
  <mergeCells count="3">
    <mergeCell ref="A1:K1"/>
    <mergeCell ref="A2:K2"/>
    <mergeCell ref="A3:K3"/>
  </mergeCells>
  <phoneticPr fontId="0" type="noConversion"/>
  <printOptions horizontalCentered="1"/>
  <pageMargins left="0" right="0" top="0.25" bottom="0.5" header="0.25" footer="0.25"/>
  <pageSetup scale="88" orientation="portrait" verticalDpi="300" r:id="rId1"/>
  <headerFooter alignWithMargins="0">
    <oddFooter>&amp;L&amp;8&amp;A
&amp;D &amp;T&amp;R&amp;8&amp;F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269"/>
  <sheetViews>
    <sheetView workbookViewId="0">
      <pane ySplit="6" topLeftCell="A33" activePane="bottomLeft" state="frozen"/>
      <selection activeCell="E87" sqref="E87"/>
      <selection pane="bottomLeft" activeCell="C42" sqref="C42"/>
    </sheetView>
  </sheetViews>
  <sheetFormatPr defaultColWidth="9.109375" defaultRowHeight="10.199999999999999" x14ac:dyDescent="0.2"/>
  <cols>
    <col min="1" max="1" width="27.44140625" style="10" customWidth="1"/>
    <col min="2" max="2" width="2.109375" style="10" customWidth="1"/>
    <col min="3" max="5" width="8.6640625" style="10" customWidth="1"/>
    <col min="6" max="6" width="9.6640625" style="10" customWidth="1"/>
    <col min="7" max="14" width="8.6640625" style="10" customWidth="1"/>
    <col min="15" max="19" width="9.6640625" style="10" customWidth="1"/>
    <col min="20" max="16384" width="9.109375" style="10"/>
  </cols>
  <sheetData>
    <row r="1" spans="1:15" ht="15.6" x14ac:dyDescent="0.3">
      <c r="A1" s="364" t="s">
        <v>75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</row>
    <row r="2" spans="1:15" ht="13.8" x14ac:dyDescent="0.25">
      <c r="A2" s="365" t="s">
        <v>142</v>
      </c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</row>
    <row r="3" spans="1:15" ht="13.8" x14ac:dyDescent="0.3">
      <c r="A3" s="16"/>
      <c r="B3" s="321"/>
      <c r="C3" s="321"/>
      <c r="D3" s="321"/>
      <c r="E3" s="321"/>
      <c r="F3" s="321"/>
      <c r="G3" s="321" t="str">
        <f>'QTD Mgmt Summary'!Q3</f>
        <v>Results based on activity through June 08, 2001</v>
      </c>
      <c r="H3" s="321"/>
      <c r="I3" s="321"/>
      <c r="J3" s="321"/>
      <c r="K3" s="321"/>
      <c r="L3" s="321"/>
      <c r="M3" s="321"/>
      <c r="N3" s="321"/>
      <c r="O3" s="52"/>
    </row>
    <row r="4" spans="1:15" ht="12.75" customHeight="1" x14ac:dyDescent="0.2">
      <c r="A4" s="53"/>
      <c r="B4" s="9"/>
      <c r="C4" s="54"/>
      <c r="D4" s="54"/>
      <c r="E4" s="54"/>
      <c r="F4" s="54"/>
      <c r="G4" s="54"/>
      <c r="H4" s="54"/>
      <c r="I4" s="54"/>
      <c r="J4" s="54"/>
      <c r="K4" s="54"/>
      <c r="L4" s="55"/>
      <c r="M4" s="54"/>
      <c r="N4" s="55"/>
    </row>
    <row r="5" spans="1:15" x14ac:dyDescent="0.2">
      <c r="A5" s="13"/>
      <c r="B5" s="9"/>
      <c r="C5" s="44"/>
      <c r="D5" s="44"/>
      <c r="E5" s="44"/>
      <c r="F5" s="56"/>
      <c r="G5" s="56"/>
      <c r="H5" s="44"/>
      <c r="I5" s="56" t="s">
        <v>3</v>
      </c>
      <c r="J5" s="56" t="s">
        <v>77</v>
      </c>
      <c r="K5" s="56" t="s">
        <v>6</v>
      </c>
      <c r="L5" s="57" t="s">
        <v>78</v>
      </c>
      <c r="M5" s="56" t="s">
        <v>0</v>
      </c>
      <c r="N5" s="57"/>
      <c r="O5" s="58"/>
    </row>
    <row r="6" spans="1:15" ht="10.8" thickBot="1" x14ac:dyDescent="0.25">
      <c r="A6" s="60" t="s">
        <v>2</v>
      </c>
      <c r="B6" s="95"/>
      <c r="C6" s="61" t="s">
        <v>132</v>
      </c>
      <c r="D6" s="61" t="s">
        <v>133</v>
      </c>
      <c r="E6" s="61" t="s">
        <v>130</v>
      </c>
      <c r="F6" s="61" t="s">
        <v>79</v>
      </c>
      <c r="G6" s="61" t="s">
        <v>80</v>
      </c>
      <c r="H6" s="61" t="s">
        <v>81</v>
      </c>
      <c r="I6" s="61" t="s">
        <v>0</v>
      </c>
      <c r="J6" s="61" t="s">
        <v>83</v>
      </c>
      <c r="K6" s="61" t="s">
        <v>0</v>
      </c>
      <c r="L6" s="62" t="s">
        <v>0</v>
      </c>
      <c r="M6" s="61" t="s">
        <v>4</v>
      </c>
      <c r="N6" s="62" t="s">
        <v>5</v>
      </c>
      <c r="O6" s="58"/>
    </row>
    <row r="7" spans="1:15" ht="6.75" customHeight="1" thickBot="1" x14ac:dyDescent="0.25">
      <c r="A7" s="53"/>
      <c r="B7" s="93"/>
      <c r="C7" s="44"/>
      <c r="D7" s="44"/>
      <c r="E7" s="44"/>
      <c r="F7" s="44"/>
      <c r="G7" s="44"/>
      <c r="H7" s="44"/>
      <c r="I7" s="319"/>
      <c r="J7" s="53"/>
      <c r="K7" s="54"/>
      <c r="L7" s="55"/>
      <c r="M7" s="44"/>
      <c r="N7" s="63"/>
    </row>
    <row r="8" spans="1:15" s="18" customFormat="1" x14ac:dyDescent="0.2">
      <c r="A8" s="11" t="str">
        <f>'QTD Mgmt Summary'!A10</f>
        <v xml:space="preserve">    ERCOT (Smith/Tingleaf)</v>
      </c>
      <c r="B8" s="90"/>
      <c r="C8" s="154">
        <v>-5340</v>
      </c>
      <c r="D8" s="172">
        <v>0</v>
      </c>
      <c r="E8" s="327">
        <v>2189</v>
      </c>
      <c r="F8" s="172">
        <v>0</v>
      </c>
      <c r="G8" s="172">
        <v>0</v>
      </c>
      <c r="H8" s="172">
        <v>0</v>
      </c>
      <c r="I8" s="320">
        <f>SUM(C8:H8)</f>
        <v>-3151</v>
      </c>
      <c r="J8" s="154">
        <v>0</v>
      </c>
      <c r="K8" s="172">
        <v>0</v>
      </c>
      <c r="L8" s="173">
        <f>SUM(I8:K8)</f>
        <v>-3151</v>
      </c>
      <c r="M8" s="109">
        <f>35000/4</f>
        <v>8750</v>
      </c>
      <c r="N8" s="170">
        <f>L8-M8</f>
        <v>-11901</v>
      </c>
    </row>
    <row r="9" spans="1:15" s="18" customFormat="1" x14ac:dyDescent="0.2">
      <c r="A9" s="11" t="str">
        <f>'QTD Mgmt Summary'!A11</f>
        <v xml:space="preserve">    Southeast (Herndon/Kroll)</v>
      </c>
      <c r="B9" s="90"/>
      <c r="C9" s="22">
        <v>-2561</v>
      </c>
      <c r="D9" s="40">
        <v>0</v>
      </c>
      <c r="E9" s="65">
        <v>408</v>
      </c>
      <c r="F9" s="40">
        <v>0</v>
      </c>
      <c r="G9" s="40">
        <v>0</v>
      </c>
      <c r="H9" s="40">
        <v>-50</v>
      </c>
      <c r="I9" s="320">
        <f t="shared" ref="I9:I16" si="0">SUM(C9:H9)</f>
        <v>-2203</v>
      </c>
      <c r="J9" s="22">
        <v>0</v>
      </c>
      <c r="K9" s="40">
        <v>0</v>
      </c>
      <c r="L9" s="173">
        <f t="shared" ref="L9:L15" si="1">SUM(I9:K9)</f>
        <v>-2203</v>
      </c>
      <c r="M9" s="101">
        <f>80000/4</f>
        <v>20000</v>
      </c>
      <c r="N9" s="171">
        <f>L9-M9</f>
        <v>-22203</v>
      </c>
    </row>
    <row r="10" spans="1:15" x14ac:dyDescent="0.2">
      <c r="A10" s="11" t="str">
        <f>'QTD Mgmt Summary'!A12</f>
        <v xml:space="preserve">    Midwest (Sturm/Baughman)</v>
      </c>
      <c r="B10" s="16"/>
      <c r="C10" s="22">
        <v>80129</v>
      </c>
      <c r="D10" s="40">
        <v>0</v>
      </c>
      <c r="E10" s="65">
        <v>3047</v>
      </c>
      <c r="F10" s="40">
        <v>0</v>
      </c>
      <c r="G10" s="40">
        <v>0</v>
      </c>
      <c r="H10" s="40">
        <v>0</v>
      </c>
      <c r="I10" s="320">
        <f t="shared" si="0"/>
        <v>83176</v>
      </c>
      <c r="J10" s="22">
        <v>0</v>
      </c>
      <c r="K10" s="40">
        <v>0</v>
      </c>
      <c r="L10" s="173">
        <f t="shared" si="1"/>
        <v>83176</v>
      </c>
      <c r="M10" s="101">
        <f>80000/4</f>
        <v>20000</v>
      </c>
      <c r="N10" s="70">
        <f t="shared" ref="N10:N18" si="2">L10-M10</f>
        <v>63176</v>
      </c>
    </row>
    <row r="11" spans="1:15" x14ac:dyDescent="0.2">
      <c r="A11" s="11" t="str">
        <f>'QTD Mgmt Summary'!A13</f>
        <v xml:space="preserve">    Northeast (Davis)</v>
      </c>
      <c r="B11" s="16"/>
      <c r="C11" s="22">
        <v>87664</v>
      </c>
      <c r="D11" s="40">
        <v>0</v>
      </c>
      <c r="E11" s="65">
        <v>-487</v>
      </c>
      <c r="F11" s="40">
        <v>0</v>
      </c>
      <c r="G11" s="40">
        <v>0</v>
      </c>
      <c r="H11" s="40">
        <v>0</v>
      </c>
      <c r="I11" s="320">
        <f t="shared" si="0"/>
        <v>87177</v>
      </c>
      <c r="J11" s="22">
        <v>0</v>
      </c>
      <c r="K11" s="40">
        <v>0</v>
      </c>
      <c r="L11" s="173">
        <f t="shared" si="1"/>
        <v>87177</v>
      </c>
      <c r="M11" s="101">
        <f>80000/4</f>
        <v>20000</v>
      </c>
      <c r="N11" s="70">
        <f t="shared" si="2"/>
        <v>67177</v>
      </c>
    </row>
    <row r="12" spans="1:15" x14ac:dyDescent="0.2">
      <c r="A12" s="11" t="str">
        <f>'QTD Mgmt Summary'!A14</f>
        <v xml:space="preserve">    Management Book (Presto)</v>
      </c>
      <c r="B12" s="16"/>
      <c r="C12" s="22">
        <v>32523</v>
      </c>
      <c r="D12" s="40">
        <v>0</v>
      </c>
      <c r="E12" s="65">
        <v>0</v>
      </c>
      <c r="F12" s="40">
        <v>0</v>
      </c>
      <c r="G12" s="40">
        <v>0</v>
      </c>
      <c r="H12" s="40">
        <v>0</v>
      </c>
      <c r="I12" s="320">
        <f t="shared" si="0"/>
        <v>32523</v>
      </c>
      <c r="J12" s="22">
        <v>0</v>
      </c>
      <c r="K12" s="40">
        <v>0</v>
      </c>
      <c r="L12" s="173">
        <f t="shared" si="1"/>
        <v>32523</v>
      </c>
      <c r="M12" s="101">
        <f>25000/4</f>
        <v>6250</v>
      </c>
      <c r="N12" s="70">
        <f t="shared" si="2"/>
        <v>26273</v>
      </c>
    </row>
    <row r="13" spans="1:15" x14ac:dyDescent="0.2">
      <c r="A13" s="11" t="str">
        <f>'QTD Mgmt Summary'!A15</f>
        <v xml:space="preserve">    Options (Arrora)</v>
      </c>
      <c r="B13" s="16"/>
      <c r="C13" s="22">
        <v>12644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320">
        <f t="shared" si="0"/>
        <v>12644</v>
      </c>
      <c r="J13" s="22"/>
      <c r="K13" s="40"/>
      <c r="L13" s="173">
        <f t="shared" si="1"/>
        <v>12644</v>
      </c>
      <c r="M13" s="101">
        <v>0</v>
      </c>
      <c r="N13" s="70">
        <f t="shared" si="2"/>
        <v>12644</v>
      </c>
    </row>
    <row r="14" spans="1:15" x14ac:dyDescent="0.2">
      <c r="A14" s="11" t="str">
        <f>'QTD Mgmt Summary'!A16</f>
        <v xml:space="preserve">    Services (Will)</v>
      </c>
      <c r="B14" s="16"/>
      <c r="C14" s="22">
        <v>1156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320">
        <f t="shared" si="0"/>
        <v>1156</v>
      </c>
      <c r="J14" s="22"/>
      <c r="K14" s="40"/>
      <c r="L14" s="173">
        <f t="shared" si="1"/>
        <v>1156</v>
      </c>
      <c r="M14" s="101">
        <v>0</v>
      </c>
      <c r="N14" s="70">
        <f t="shared" si="2"/>
        <v>1156</v>
      </c>
    </row>
    <row r="15" spans="1:15" x14ac:dyDescent="0.2">
      <c r="A15" s="11" t="str">
        <f>'QTD Mgmt Summary'!A17</f>
        <v xml:space="preserve">    New Albany (Presto)   </v>
      </c>
      <c r="B15" s="16"/>
      <c r="C15" s="22">
        <v>-3756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320">
        <f t="shared" si="0"/>
        <v>-3756</v>
      </c>
      <c r="J15" s="22">
        <v>0</v>
      </c>
      <c r="K15" s="40">
        <v>0</v>
      </c>
      <c r="L15" s="173">
        <f t="shared" si="1"/>
        <v>-3756</v>
      </c>
      <c r="M15" s="101">
        <f>-2050-2950</f>
        <v>-5000</v>
      </c>
      <c r="N15" s="70">
        <f t="shared" si="2"/>
        <v>1244</v>
      </c>
    </row>
    <row r="16" spans="1:15" x14ac:dyDescent="0.2">
      <c r="A16" s="11" t="str">
        <f>'QTD Mgmt Summary'!A18</f>
        <v xml:space="preserve">    Development (Jacoby)</v>
      </c>
      <c r="B16" s="16"/>
      <c r="C16" s="22">
        <v>0</v>
      </c>
      <c r="D16" s="40">
        <v>0</v>
      </c>
      <c r="E16" s="40">
        <v>0</v>
      </c>
      <c r="F16" s="40">
        <v>0</v>
      </c>
      <c r="G16" s="40">
        <v>0</v>
      </c>
      <c r="H16" s="40">
        <v>8484</v>
      </c>
      <c r="I16" s="320">
        <f t="shared" si="0"/>
        <v>8484</v>
      </c>
      <c r="J16" s="22">
        <v>0</v>
      </c>
      <c r="K16" s="40">
        <v>0</v>
      </c>
      <c r="L16" s="173">
        <f>SUM(I16:K16)</f>
        <v>8484</v>
      </c>
      <c r="M16" s="101">
        <f>24000/4</f>
        <v>6000</v>
      </c>
      <c r="N16" s="70">
        <f t="shared" si="2"/>
        <v>2484</v>
      </c>
    </row>
    <row r="17" spans="1:14" x14ac:dyDescent="0.2">
      <c r="A17" s="11" t="str">
        <f>'QTD Mgmt Summary'!A19</f>
        <v xml:space="preserve">    Structuring (Meyn)</v>
      </c>
      <c r="B17" s="16"/>
      <c r="C17" s="22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320">
        <f>SUM(C17:H17)</f>
        <v>0</v>
      </c>
      <c r="J17" s="22">
        <v>0</v>
      </c>
      <c r="K17" s="40">
        <v>0</v>
      </c>
      <c r="L17" s="173">
        <f>SUM(I17:K17)</f>
        <v>0</v>
      </c>
      <c r="M17" s="101">
        <f>0/4</f>
        <v>0</v>
      </c>
      <c r="N17" s="70">
        <f t="shared" si="2"/>
        <v>0</v>
      </c>
    </row>
    <row r="18" spans="1:14" x14ac:dyDescent="0.2">
      <c r="A18" s="11" t="str">
        <f>'QTD Mgmt Summary'!A20</f>
        <v xml:space="preserve">    Fundamentals (Will)</v>
      </c>
      <c r="B18" s="16"/>
      <c r="C18" s="22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320">
        <f>SUM(C18:H18)</f>
        <v>0</v>
      </c>
      <c r="J18" s="335">
        <v>0</v>
      </c>
      <c r="K18" s="336">
        <v>0</v>
      </c>
      <c r="L18" s="337">
        <f>SUM(I18:K18)</f>
        <v>0</v>
      </c>
      <c r="M18" s="101">
        <f>0/4</f>
        <v>0</v>
      </c>
      <c r="N18" s="70">
        <f t="shared" si="2"/>
        <v>0</v>
      </c>
    </row>
    <row r="19" spans="1:14" s="42" customFormat="1" ht="13.2" x14ac:dyDescent="0.3">
      <c r="A19" s="96" t="s">
        <v>7</v>
      </c>
      <c r="B19" s="114"/>
      <c r="C19" s="104">
        <f t="shared" ref="C19:N19" si="3">SUM(C8:C18)</f>
        <v>202459</v>
      </c>
      <c r="D19" s="104">
        <f t="shared" si="3"/>
        <v>0</v>
      </c>
      <c r="E19" s="104">
        <f t="shared" si="3"/>
        <v>5157</v>
      </c>
      <c r="F19" s="104">
        <f t="shared" si="3"/>
        <v>0</v>
      </c>
      <c r="G19" s="104">
        <f t="shared" si="3"/>
        <v>0</v>
      </c>
      <c r="H19" s="104">
        <f t="shared" si="3"/>
        <v>8434</v>
      </c>
      <c r="I19" s="89">
        <f t="shared" si="3"/>
        <v>216050</v>
      </c>
      <c r="J19" s="334">
        <f t="shared" si="3"/>
        <v>0</v>
      </c>
      <c r="K19" s="334">
        <f t="shared" si="3"/>
        <v>0</v>
      </c>
      <c r="L19" s="333">
        <f t="shared" si="3"/>
        <v>216050</v>
      </c>
      <c r="M19" s="252">
        <f t="shared" si="3"/>
        <v>76000</v>
      </c>
      <c r="N19" s="88">
        <f t="shared" si="3"/>
        <v>140050</v>
      </c>
    </row>
    <row r="20" spans="1:14" ht="6" customHeight="1" x14ac:dyDescent="0.2">
      <c r="A20" s="11"/>
      <c r="B20" s="16"/>
      <c r="C20" s="22"/>
      <c r="D20" s="40"/>
      <c r="E20" s="40"/>
      <c r="F20" s="40"/>
      <c r="G20" s="40"/>
      <c r="H20" s="40"/>
      <c r="I20" s="22"/>
      <c r="J20" s="22"/>
      <c r="K20" s="40"/>
      <c r="L20" s="64"/>
      <c r="M20" s="101"/>
      <c r="N20" s="70"/>
    </row>
    <row r="21" spans="1:14" x14ac:dyDescent="0.2">
      <c r="A21" s="11" t="str">
        <f>'QTD Mgmt Summary'!A23</f>
        <v xml:space="preserve">    Origination (Thomas/Mcdonald)</v>
      </c>
      <c r="B21" s="16"/>
      <c r="C21" s="22">
        <v>0</v>
      </c>
      <c r="D21" s="40">
        <v>0</v>
      </c>
      <c r="E21" s="65">
        <v>16410</v>
      </c>
      <c r="F21" s="40">
        <v>0</v>
      </c>
      <c r="G21" s="40">
        <v>0</v>
      </c>
      <c r="H21" s="40">
        <v>0</v>
      </c>
      <c r="I21" s="22">
        <f t="shared" ref="I21:I26" si="4">SUM(C21:H21)</f>
        <v>16410</v>
      </c>
      <c r="J21" s="22">
        <v>0</v>
      </c>
      <c r="K21" s="40">
        <v>0</v>
      </c>
      <c r="L21" s="64">
        <f t="shared" ref="L21:L26" si="5">SUM(I21:K21)</f>
        <v>16410</v>
      </c>
      <c r="M21" s="101">
        <v>12000</v>
      </c>
      <c r="N21" s="70">
        <f t="shared" ref="N21:N26" si="6">L21-M21</f>
        <v>4410</v>
      </c>
    </row>
    <row r="22" spans="1:14" x14ac:dyDescent="0.2">
      <c r="A22" s="11" t="str">
        <f>'QTD Mgmt Summary'!A24</f>
        <v xml:space="preserve">    Executive (Calger)</v>
      </c>
      <c r="B22" s="16"/>
      <c r="C22" s="22">
        <v>0</v>
      </c>
      <c r="D22" s="40">
        <v>0</v>
      </c>
      <c r="E22" s="40">
        <v>10500</v>
      </c>
      <c r="F22" s="40">
        <v>0</v>
      </c>
      <c r="G22" s="40">
        <v>0</v>
      </c>
      <c r="H22" s="40">
        <v>0</v>
      </c>
      <c r="I22" s="22">
        <f t="shared" si="4"/>
        <v>10500</v>
      </c>
      <c r="J22" s="22">
        <v>0</v>
      </c>
      <c r="K22" s="40">
        <v>0</v>
      </c>
      <c r="L22" s="64">
        <f t="shared" si="5"/>
        <v>10500</v>
      </c>
      <c r="M22" s="101">
        <v>10000</v>
      </c>
      <c r="N22" s="70">
        <f t="shared" si="6"/>
        <v>500</v>
      </c>
    </row>
    <row r="23" spans="1:14" x14ac:dyDescent="0.2">
      <c r="A23" s="11" t="str">
        <f>'QTD Mgmt Summary'!A25</f>
        <v xml:space="preserve">    Generation (Parquet)</v>
      </c>
      <c r="B23" s="16"/>
      <c r="C23" s="22">
        <v>0</v>
      </c>
      <c r="D23" s="40">
        <v>0</v>
      </c>
      <c r="E23" s="40">
        <v>42860</v>
      </c>
      <c r="F23" s="40">
        <v>536</v>
      </c>
      <c r="G23" s="40">
        <v>0</v>
      </c>
      <c r="H23" s="40">
        <v>-1000</v>
      </c>
      <c r="I23" s="22">
        <f t="shared" si="4"/>
        <v>42396</v>
      </c>
      <c r="J23" s="22">
        <v>0</v>
      </c>
      <c r="K23" s="40">
        <v>0</v>
      </c>
      <c r="L23" s="64">
        <f t="shared" si="5"/>
        <v>42396</v>
      </c>
      <c r="M23" s="101">
        <v>6000</v>
      </c>
      <c r="N23" s="70">
        <f t="shared" si="6"/>
        <v>36396</v>
      </c>
    </row>
    <row r="24" spans="1:14" x14ac:dyDescent="0.2">
      <c r="A24" s="11" t="str">
        <f>'QTD Mgmt Summary'!A26</f>
        <v xml:space="preserve">    Trading (Belden)</v>
      </c>
      <c r="B24" s="16"/>
      <c r="C24" s="22">
        <v>172789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22">
        <f t="shared" si="4"/>
        <v>172789</v>
      </c>
      <c r="J24" s="22">
        <v>0</v>
      </c>
      <c r="K24" s="40">
        <v>0</v>
      </c>
      <c r="L24" s="64">
        <f t="shared" si="5"/>
        <v>172789</v>
      </c>
      <c r="M24" s="101">
        <v>62499</v>
      </c>
      <c r="N24" s="70">
        <f t="shared" si="6"/>
        <v>110290</v>
      </c>
    </row>
    <row r="25" spans="1:14" x14ac:dyDescent="0.2">
      <c r="A25" s="11" t="str">
        <f>'QTD Mgmt Summary'!A27</f>
        <v xml:space="preserve">    Middle Market/Services (Foster/Wolfe)</v>
      </c>
      <c r="B25" s="16"/>
      <c r="C25" s="22">
        <v>0</v>
      </c>
      <c r="D25" s="40">
        <v>25794</v>
      </c>
      <c r="E25" s="40">
        <v>0</v>
      </c>
      <c r="F25" s="40">
        <v>0</v>
      </c>
      <c r="G25" s="40">
        <v>0</v>
      </c>
      <c r="H25" s="40">
        <v>0</v>
      </c>
      <c r="I25" s="22">
        <f t="shared" si="4"/>
        <v>25794</v>
      </c>
      <c r="J25" s="22">
        <v>0</v>
      </c>
      <c r="K25" s="40">
        <v>0</v>
      </c>
      <c r="L25" s="64">
        <f t="shared" si="5"/>
        <v>25794</v>
      </c>
      <c r="M25" s="101">
        <v>12499</v>
      </c>
      <c r="N25" s="70">
        <f t="shared" si="6"/>
        <v>13295</v>
      </c>
    </row>
    <row r="26" spans="1:14" x14ac:dyDescent="0.2">
      <c r="A26" s="11" t="str">
        <f>'QTD Mgmt Summary'!A28</f>
        <v xml:space="preserve">    Fundamentals (Heizenreiker)</v>
      </c>
      <c r="B26" s="16"/>
      <c r="C26" s="22">
        <v>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22">
        <f t="shared" si="4"/>
        <v>0</v>
      </c>
      <c r="J26" s="22">
        <v>0</v>
      </c>
      <c r="K26" s="40">
        <v>0</v>
      </c>
      <c r="L26" s="64">
        <f t="shared" si="5"/>
        <v>0</v>
      </c>
      <c r="M26" s="101">
        <f>0/4</f>
        <v>0</v>
      </c>
      <c r="N26" s="70">
        <f t="shared" si="6"/>
        <v>0</v>
      </c>
    </row>
    <row r="27" spans="1:14" s="42" customFormat="1" ht="13.8" thickBot="1" x14ac:dyDescent="0.35">
      <c r="A27" s="25" t="s">
        <v>8</v>
      </c>
      <c r="B27" s="112"/>
      <c r="C27" s="104">
        <f t="shared" ref="C27:N27" si="7">SUM(C21:C26)</f>
        <v>172789</v>
      </c>
      <c r="D27" s="104">
        <f t="shared" si="7"/>
        <v>25794</v>
      </c>
      <c r="E27" s="104">
        <f t="shared" si="7"/>
        <v>69770</v>
      </c>
      <c r="F27" s="104">
        <f t="shared" si="7"/>
        <v>536</v>
      </c>
      <c r="G27" s="104">
        <f t="shared" si="7"/>
        <v>0</v>
      </c>
      <c r="H27" s="104">
        <f t="shared" si="7"/>
        <v>-1000</v>
      </c>
      <c r="I27" s="89">
        <f t="shared" si="7"/>
        <v>267889</v>
      </c>
      <c r="J27" s="87">
        <f t="shared" si="7"/>
        <v>0</v>
      </c>
      <c r="K27" s="87">
        <f t="shared" si="7"/>
        <v>0</v>
      </c>
      <c r="L27" s="88">
        <f t="shared" si="7"/>
        <v>267889</v>
      </c>
      <c r="M27" s="252">
        <f t="shared" si="7"/>
        <v>102998</v>
      </c>
      <c r="N27" s="88">
        <f t="shared" si="7"/>
        <v>164891</v>
      </c>
    </row>
    <row r="28" spans="1:14" ht="9.75" customHeight="1" x14ac:dyDescent="0.2">
      <c r="A28" s="11"/>
      <c r="B28" s="94"/>
      <c r="C28" s="40"/>
      <c r="D28" s="40"/>
      <c r="E28" s="40"/>
      <c r="F28" s="40"/>
      <c r="G28" s="40"/>
      <c r="H28" s="40"/>
      <c r="I28" s="22"/>
      <c r="J28" s="22"/>
      <c r="K28" s="40"/>
      <c r="L28" s="64"/>
      <c r="M28" s="101"/>
      <c r="N28" s="70"/>
    </row>
    <row r="29" spans="1:14" x14ac:dyDescent="0.2">
      <c r="A29" s="11" t="s">
        <v>34</v>
      </c>
      <c r="B29" s="9"/>
      <c r="C29" s="40">
        <v>-432281</v>
      </c>
      <c r="D29" s="40">
        <v>31329</v>
      </c>
      <c r="E29" s="40">
        <v>0</v>
      </c>
      <c r="F29" s="40">
        <v>0</v>
      </c>
      <c r="G29" s="40">
        <v>0</v>
      </c>
      <c r="H29" s="40">
        <v>0</v>
      </c>
      <c r="I29" s="325">
        <f t="shared" ref="I29:I36" si="8">SUM(C29:H29)</f>
        <v>-400952</v>
      </c>
      <c r="J29" s="40">
        <v>0</v>
      </c>
      <c r="K29" s="40">
        <v>0</v>
      </c>
      <c r="L29" s="64">
        <f t="shared" ref="L29:L36" si="9">SUM(I29:K29)</f>
        <v>-400952</v>
      </c>
      <c r="M29" s="101">
        <v>31500</v>
      </c>
      <c r="N29" s="70">
        <f t="shared" ref="N29:N36" si="10">L29-M29</f>
        <v>-432452</v>
      </c>
    </row>
    <row r="30" spans="1:14" x14ac:dyDescent="0.2">
      <c r="A30" s="11" t="s">
        <v>135</v>
      </c>
      <c r="B30" s="9"/>
      <c r="C30" s="65">
        <v>73305</v>
      </c>
      <c r="D30" s="65">
        <v>806</v>
      </c>
      <c r="E30" s="40">
        <v>0</v>
      </c>
      <c r="F30" s="40">
        <v>0</v>
      </c>
      <c r="G30" s="40">
        <v>0</v>
      </c>
      <c r="H30" s="40">
        <v>0</v>
      </c>
      <c r="I30" s="325">
        <f t="shared" si="8"/>
        <v>74111</v>
      </c>
      <c r="J30" s="40">
        <v>0</v>
      </c>
      <c r="K30" s="40">
        <v>0</v>
      </c>
      <c r="L30" s="64">
        <f t="shared" si="9"/>
        <v>74111</v>
      </c>
      <c r="M30" s="101">
        <v>19250</v>
      </c>
      <c r="N30" s="70">
        <f t="shared" si="10"/>
        <v>54861</v>
      </c>
    </row>
    <row r="31" spans="1:14" ht="13.2" x14ac:dyDescent="0.3">
      <c r="A31" s="11" t="s">
        <v>36</v>
      </c>
      <c r="B31" s="97"/>
      <c r="C31" s="65">
        <v>25823</v>
      </c>
      <c r="D31" s="65">
        <v>3690</v>
      </c>
      <c r="E31" s="65">
        <v>0</v>
      </c>
      <c r="F31" s="65">
        <v>0</v>
      </c>
      <c r="G31" s="65">
        <v>0</v>
      </c>
      <c r="H31" s="65">
        <v>0</v>
      </c>
      <c r="I31" s="325">
        <f t="shared" si="8"/>
        <v>29513</v>
      </c>
      <c r="J31" s="103">
        <v>0</v>
      </c>
      <c r="K31" s="103">
        <v>0</v>
      </c>
      <c r="L31" s="64">
        <f t="shared" si="9"/>
        <v>29513</v>
      </c>
      <c r="M31" s="101">
        <v>21000</v>
      </c>
      <c r="N31" s="70">
        <f t="shared" si="10"/>
        <v>8513</v>
      </c>
    </row>
    <row r="32" spans="1:14" x14ac:dyDescent="0.2">
      <c r="A32" s="11" t="s">
        <v>37</v>
      </c>
      <c r="B32" s="9"/>
      <c r="C32" s="40">
        <v>55410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325">
        <f t="shared" si="8"/>
        <v>55410</v>
      </c>
      <c r="J32" s="40">
        <v>0</v>
      </c>
      <c r="K32" s="40">
        <v>0</v>
      </c>
      <c r="L32" s="64">
        <f t="shared" si="9"/>
        <v>55410</v>
      </c>
      <c r="M32" s="101">
        <v>10000</v>
      </c>
      <c r="N32" s="70">
        <f t="shared" si="10"/>
        <v>45410</v>
      </c>
    </row>
    <row r="33" spans="1:14" x14ac:dyDescent="0.2">
      <c r="A33" s="11" t="s">
        <v>38</v>
      </c>
      <c r="B33" s="9"/>
      <c r="C33" s="65">
        <v>277939</v>
      </c>
      <c r="D33" s="65">
        <v>0</v>
      </c>
      <c r="E33" s="65">
        <v>0</v>
      </c>
      <c r="F33" s="65">
        <v>0</v>
      </c>
      <c r="G33" s="65">
        <v>0</v>
      </c>
      <c r="H33" s="65">
        <v>0</v>
      </c>
      <c r="I33" s="325">
        <f t="shared" si="8"/>
        <v>277939</v>
      </c>
      <c r="J33" s="65">
        <v>0</v>
      </c>
      <c r="K33" s="65">
        <v>0</v>
      </c>
      <c r="L33" s="64">
        <f t="shared" si="9"/>
        <v>277939</v>
      </c>
      <c r="M33" s="253">
        <v>31250</v>
      </c>
      <c r="N33" s="70">
        <f t="shared" si="10"/>
        <v>246689</v>
      </c>
    </row>
    <row r="34" spans="1:14" x14ac:dyDescent="0.2">
      <c r="A34" s="11" t="s">
        <v>39</v>
      </c>
      <c r="B34" s="9"/>
      <c r="C34" s="40">
        <v>0</v>
      </c>
      <c r="D34" s="40">
        <v>8818</v>
      </c>
      <c r="E34" s="40">
        <v>0</v>
      </c>
      <c r="F34" s="40">
        <v>0</v>
      </c>
      <c r="G34" s="40">
        <v>0</v>
      </c>
      <c r="H34" s="40">
        <v>0</v>
      </c>
      <c r="I34" s="325">
        <f t="shared" si="8"/>
        <v>8818</v>
      </c>
      <c r="J34" s="40">
        <v>0</v>
      </c>
      <c r="K34" s="40">
        <v>0</v>
      </c>
      <c r="L34" s="64">
        <f t="shared" si="9"/>
        <v>8818</v>
      </c>
      <c r="M34" s="101">
        <v>6250</v>
      </c>
      <c r="N34" s="70">
        <f t="shared" si="10"/>
        <v>2568</v>
      </c>
    </row>
    <row r="35" spans="1:14" x14ac:dyDescent="0.2">
      <c r="A35" s="11" t="s">
        <v>40</v>
      </c>
      <c r="B35" s="9"/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98">
        <f t="shared" si="8"/>
        <v>0</v>
      </c>
      <c r="J35" s="40">
        <v>0</v>
      </c>
      <c r="K35" s="40">
        <v>0</v>
      </c>
      <c r="L35" s="64">
        <f t="shared" si="9"/>
        <v>0</v>
      </c>
      <c r="M35" s="101">
        <v>0</v>
      </c>
      <c r="N35" s="70">
        <f t="shared" si="10"/>
        <v>0</v>
      </c>
    </row>
    <row r="36" spans="1:14" x14ac:dyDescent="0.2">
      <c r="A36" s="11" t="s">
        <v>41</v>
      </c>
      <c r="B36" s="9"/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0</v>
      </c>
      <c r="I36" s="98">
        <f t="shared" si="8"/>
        <v>0</v>
      </c>
      <c r="J36" s="40">
        <v>0</v>
      </c>
      <c r="K36" s="40">
        <v>0</v>
      </c>
      <c r="L36" s="64">
        <f t="shared" si="9"/>
        <v>0</v>
      </c>
      <c r="M36" s="101">
        <v>0</v>
      </c>
      <c r="N36" s="70">
        <f t="shared" si="10"/>
        <v>0</v>
      </c>
    </row>
    <row r="37" spans="1:14" x14ac:dyDescent="0.2">
      <c r="A37" s="11" t="s">
        <v>101</v>
      </c>
      <c r="B37" s="9"/>
      <c r="C37" s="40">
        <v>-200000</v>
      </c>
      <c r="D37" s="40">
        <v>0</v>
      </c>
      <c r="E37" s="40">
        <v>0</v>
      </c>
      <c r="F37" s="40">
        <v>0</v>
      </c>
      <c r="G37" s="40">
        <v>0</v>
      </c>
      <c r="H37" s="40">
        <v>0</v>
      </c>
      <c r="I37" s="99">
        <f>SUM(C37:H37)</f>
        <v>-200000</v>
      </c>
      <c r="J37" s="40">
        <v>0</v>
      </c>
      <c r="K37" s="40">
        <v>0</v>
      </c>
      <c r="L37" s="64">
        <f>SUM(I37:K37)</f>
        <v>-200000</v>
      </c>
      <c r="M37" s="101">
        <v>0</v>
      </c>
      <c r="N37" s="70">
        <f>L37-M37</f>
        <v>-200000</v>
      </c>
    </row>
    <row r="38" spans="1:14" s="42" customFormat="1" ht="13.2" x14ac:dyDescent="0.2">
      <c r="A38" s="25" t="s">
        <v>9</v>
      </c>
      <c r="B38" s="113"/>
      <c r="C38" s="104">
        <f t="shared" ref="C38:N38" si="11">SUM(C29:C37)</f>
        <v>-199804</v>
      </c>
      <c r="D38" s="104">
        <f t="shared" si="11"/>
        <v>44643</v>
      </c>
      <c r="E38" s="104">
        <f t="shared" si="11"/>
        <v>0</v>
      </c>
      <c r="F38" s="104">
        <f t="shared" si="11"/>
        <v>0</v>
      </c>
      <c r="G38" s="104">
        <f t="shared" si="11"/>
        <v>0</v>
      </c>
      <c r="H38" s="104">
        <f t="shared" si="11"/>
        <v>0</v>
      </c>
      <c r="I38" s="105">
        <f t="shared" si="11"/>
        <v>-155161</v>
      </c>
      <c r="J38" s="104">
        <f t="shared" si="11"/>
        <v>0</v>
      </c>
      <c r="K38" s="104">
        <f t="shared" si="11"/>
        <v>0</v>
      </c>
      <c r="L38" s="106">
        <f t="shared" si="11"/>
        <v>-155161</v>
      </c>
      <c r="M38" s="254">
        <f t="shared" si="11"/>
        <v>119250</v>
      </c>
      <c r="N38" s="106">
        <f t="shared" si="11"/>
        <v>-274411</v>
      </c>
    </row>
    <row r="39" spans="1:14" ht="8.25" customHeight="1" x14ac:dyDescent="0.2">
      <c r="A39" s="11"/>
      <c r="B39" s="16"/>
      <c r="C39" s="22"/>
      <c r="D39" s="40"/>
      <c r="E39" s="40"/>
      <c r="F39" s="40"/>
      <c r="G39" s="40"/>
      <c r="H39" s="40"/>
      <c r="I39" s="98"/>
      <c r="J39" s="22"/>
      <c r="K39" s="40"/>
      <c r="L39" s="64"/>
      <c r="M39" s="101"/>
      <c r="N39" s="70"/>
    </row>
    <row r="40" spans="1:14" x14ac:dyDescent="0.2">
      <c r="A40" s="11" t="s">
        <v>42</v>
      </c>
      <c r="B40" s="92"/>
      <c r="C40" s="31">
        <v>-31410</v>
      </c>
      <c r="D40" s="65">
        <v>3903</v>
      </c>
      <c r="E40" s="65">
        <v>0</v>
      </c>
      <c r="F40" s="40">
        <v>0</v>
      </c>
      <c r="G40" s="40">
        <v>0</v>
      </c>
      <c r="H40" s="40">
        <v>0</v>
      </c>
      <c r="I40" s="325">
        <f t="shared" ref="I40:I46" si="12">SUM(C40:H40)</f>
        <v>-27507</v>
      </c>
      <c r="J40" s="40">
        <v>0</v>
      </c>
      <c r="K40" s="40">
        <v>0</v>
      </c>
      <c r="L40" s="64">
        <f t="shared" ref="L40:L46" si="13">SUM(I40:K40)</f>
        <v>-27507</v>
      </c>
      <c r="M40" s="101">
        <v>12500</v>
      </c>
      <c r="N40" s="70">
        <f t="shared" ref="N40:N46" si="14">L40-M40</f>
        <v>-40007</v>
      </c>
    </row>
    <row r="41" spans="1:14" x14ac:dyDescent="0.2">
      <c r="A41" s="11" t="s">
        <v>43</v>
      </c>
      <c r="B41" s="16"/>
      <c r="C41" s="31">
        <v>0</v>
      </c>
      <c r="D41" s="65">
        <v>0</v>
      </c>
      <c r="E41" s="65">
        <v>0</v>
      </c>
      <c r="F41" s="40">
        <v>4356</v>
      </c>
      <c r="G41" s="40">
        <v>0</v>
      </c>
      <c r="H41" s="40">
        <v>-1130</v>
      </c>
      <c r="I41" s="98">
        <f t="shared" si="12"/>
        <v>3226</v>
      </c>
      <c r="J41" s="40">
        <v>0</v>
      </c>
      <c r="K41" s="40">
        <v>0</v>
      </c>
      <c r="L41" s="64">
        <f t="shared" si="13"/>
        <v>3226</v>
      </c>
      <c r="M41" s="101">
        <v>5000</v>
      </c>
      <c r="N41" s="70">
        <f t="shared" si="14"/>
        <v>-1774</v>
      </c>
    </row>
    <row r="42" spans="1:14" s="66" customFormat="1" ht="13.2" x14ac:dyDescent="0.3">
      <c r="A42" s="11" t="s">
        <v>65</v>
      </c>
      <c r="B42" s="91"/>
      <c r="C42" s="31">
        <v>-36140</v>
      </c>
      <c r="D42" s="65">
        <v>0</v>
      </c>
      <c r="E42" s="65">
        <v>2383</v>
      </c>
      <c r="F42" s="65">
        <v>0</v>
      </c>
      <c r="G42" s="40">
        <v>0</v>
      </c>
      <c r="H42" s="40">
        <v>0</v>
      </c>
      <c r="I42" s="98">
        <f t="shared" si="12"/>
        <v>-33757</v>
      </c>
      <c r="J42" s="103">
        <v>0</v>
      </c>
      <c r="K42" s="103">
        <v>0</v>
      </c>
      <c r="L42" s="64">
        <f t="shared" si="13"/>
        <v>-33757</v>
      </c>
      <c r="M42" s="101">
        <v>38750</v>
      </c>
      <c r="N42" s="70">
        <f t="shared" si="14"/>
        <v>-72507</v>
      </c>
    </row>
    <row r="43" spans="1:14" x14ac:dyDescent="0.2">
      <c r="A43" s="11" t="s">
        <v>66</v>
      </c>
      <c r="B43" s="16"/>
      <c r="C43" s="22">
        <v>0</v>
      </c>
      <c r="D43" s="40">
        <v>0</v>
      </c>
      <c r="E43" s="40">
        <v>500</v>
      </c>
      <c r="F43" s="65">
        <v>0</v>
      </c>
      <c r="G43" s="40">
        <v>0</v>
      </c>
      <c r="H43" s="40">
        <v>0</v>
      </c>
      <c r="I43" s="98">
        <f t="shared" si="12"/>
        <v>500</v>
      </c>
      <c r="J43" s="40">
        <v>0</v>
      </c>
      <c r="K43" s="40">
        <v>0</v>
      </c>
      <c r="L43" s="64">
        <f t="shared" si="13"/>
        <v>500</v>
      </c>
      <c r="M43" s="101">
        <v>12500</v>
      </c>
      <c r="N43" s="70">
        <f t="shared" si="14"/>
        <v>-12000</v>
      </c>
    </row>
    <row r="44" spans="1:14" x14ac:dyDescent="0.2">
      <c r="A44" s="11" t="s">
        <v>131</v>
      </c>
      <c r="B44" s="16"/>
      <c r="C44" s="22">
        <v>0</v>
      </c>
      <c r="D44" s="40">
        <v>0</v>
      </c>
      <c r="E44" s="40">
        <v>0</v>
      </c>
      <c r="F44" s="65">
        <v>0</v>
      </c>
      <c r="G44" s="40">
        <v>0</v>
      </c>
      <c r="H44" s="40">
        <v>0</v>
      </c>
      <c r="I44" s="98">
        <f t="shared" si="12"/>
        <v>0</v>
      </c>
      <c r="J44" s="40">
        <v>0</v>
      </c>
      <c r="K44" s="40">
        <v>0</v>
      </c>
      <c r="L44" s="64">
        <f t="shared" si="13"/>
        <v>0</v>
      </c>
      <c r="M44" s="101">
        <v>2500</v>
      </c>
      <c r="N44" s="70">
        <f t="shared" si="14"/>
        <v>-2500</v>
      </c>
    </row>
    <row r="45" spans="1:14" x14ac:dyDescent="0.2">
      <c r="A45" s="11" t="s">
        <v>45</v>
      </c>
      <c r="B45" s="16"/>
      <c r="C45" s="22">
        <v>0</v>
      </c>
      <c r="D45" s="40">
        <v>0</v>
      </c>
      <c r="E45" s="40">
        <v>0</v>
      </c>
      <c r="F45" s="65">
        <v>0</v>
      </c>
      <c r="G45" s="40">
        <v>0</v>
      </c>
      <c r="H45" s="40">
        <v>0</v>
      </c>
      <c r="I45" s="98">
        <f t="shared" si="12"/>
        <v>0</v>
      </c>
      <c r="J45" s="40">
        <v>0</v>
      </c>
      <c r="K45" s="40">
        <v>0</v>
      </c>
      <c r="L45" s="64">
        <f t="shared" si="13"/>
        <v>0</v>
      </c>
      <c r="M45" s="101">
        <v>0</v>
      </c>
      <c r="N45" s="70">
        <f t="shared" si="14"/>
        <v>0</v>
      </c>
    </row>
    <row r="46" spans="1:14" x14ac:dyDescent="0.2">
      <c r="A46" s="11" t="s">
        <v>134</v>
      </c>
      <c r="B46" s="16"/>
      <c r="C46" s="22">
        <v>0</v>
      </c>
      <c r="D46" s="40">
        <v>0</v>
      </c>
      <c r="E46" s="40">
        <v>0</v>
      </c>
      <c r="F46" s="65">
        <v>0</v>
      </c>
      <c r="G46" s="40">
        <v>0</v>
      </c>
      <c r="H46" s="40">
        <v>0</v>
      </c>
      <c r="I46" s="98">
        <f t="shared" si="12"/>
        <v>0</v>
      </c>
      <c r="J46" s="40">
        <v>0</v>
      </c>
      <c r="K46" s="40">
        <v>0</v>
      </c>
      <c r="L46" s="64">
        <f t="shared" si="13"/>
        <v>0</v>
      </c>
      <c r="M46" s="101">
        <v>0</v>
      </c>
      <c r="N46" s="70">
        <f t="shared" si="14"/>
        <v>0</v>
      </c>
    </row>
    <row r="47" spans="1:14" s="42" customFormat="1" ht="13.2" x14ac:dyDescent="0.2">
      <c r="A47" s="25" t="s">
        <v>10</v>
      </c>
      <c r="B47" s="112"/>
      <c r="C47" s="104">
        <f t="shared" ref="C47:L47" si="15">SUM(C40:C46)</f>
        <v>-67550</v>
      </c>
      <c r="D47" s="104">
        <f t="shared" si="15"/>
        <v>3903</v>
      </c>
      <c r="E47" s="104">
        <f t="shared" si="15"/>
        <v>2883</v>
      </c>
      <c r="F47" s="104">
        <f t="shared" si="15"/>
        <v>4356</v>
      </c>
      <c r="G47" s="104">
        <f t="shared" si="15"/>
        <v>0</v>
      </c>
      <c r="H47" s="104">
        <f t="shared" si="15"/>
        <v>-1130</v>
      </c>
      <c r="I47" s="105">
        <f t="shared" si="15"/>
        <v>-57538</v>
      </c>
      <c r="J47" s="104">
        <f t="shared" si="15"/>
        <v>0</v>
      </c>
      <c r="K47" s="104">
        <f t="shared" si="15"/>
        <v>0</v>
      </c>
      <c r="L47" s="106">
        <f t="shared" si="15"/>
        <v>-57538</v>
      </c>
      <c r="M47" s="254">
        <f>SUM(M40:M45)</f>
        <v>71250</v>
      </c>
      <c r="N47" s="106">
        <f>SUM(N40:N46)</f>
        <v>-128788</v>
      </c>
    </row>
    <row r="48" spans="1:14" ht="7.5" customHeight="1" x14ac:dyDescent="0.2">
      <c r="A48" s="11"/>
      <c r="B48" s="16"/>
      <c r="C48" s="22"/>
      <c r="D48" s="40"/>
      <c r="E48" s="40"/>
      <c r="F48" s="40"/>
      <c r="G48" s="40"/>
      <c r="H48" s="40"/>
      <c r="I48" s="22"/>
      <c r="J48" s="22"/>
      <c r="K48" s="40"/>
      <c r="L48" s="64"/>
      <c r="M48" s="101"/>
      <c r="N48" s="70"/>
    </row>
    <row r="49" spans="1:15" x14ac:dyDescent="0.2">
      <c r="A49" s="11" t="str">
        <f>'QTD Mgmt Summary'!A51</f>
        <v xml:space="preserve">    Upstream Executive (Mrha)</v>
      </c>
      <c r="B49" s="16"/>
      <c r="C49" s="31">
        <v>0</v>
      </c>
      <c r="D49" s="65">
        <v>0</v>
      </c>
      <c r="E49" s="65">
        <v>0</v>
      </c>
      <c r="F49" s="40">
        <v>0</v>
      </c>
      <c r="G49" s="40">
        <v>271</v>
      </c>
      <c r="H49" s="40">
        <v>5800</v>
      </c>
      <c r="I49" s="98">
        <f t="shared" ref="I49:I69" si="16">SUM(C49:H49)</f>
        <v>6071</v>
      </c>
      <c r="J49" s="40">
        <v>0</v>
      </c>
      <c r="K49" s="40">
        <v>0</v>
      </c>
      <c r="L49" s="64">
        <f t="shared" ref="L49:L69" si="17">SUM(I49:K49)</f>
        <v>6071</v>
      </c>
      <c r="M49" s="101">
        <v>0</v>
      </c>
      <c r="N49" s="70">
        <f t="shared" ref="N49:N69" si="18">L49-M49</f>
        <v>6071</v>
      </c>
    </row>
    <row r="50" spans="1:15" x14ac:dyDescent="0.2">
      <c r="A50" s="11" t="str">
        <f>'QTD Mgmt Summary'!A52</f>
        <v xml:space="preserve">      Compression Services (Hilgert)</v>
      </c>
      <c r="B50" s="16"/>
      <c r="C50" s="31">
        <v>0</v>
      </c>
      <c r="D50" s="65">
        <v>0</v>
      </c>
      <c r="E50" s="65">
        <v>1125</v>
      </c>
      <c r="F50" s="40">
        <v>0</v>
      </c>
      <c r="G50" s="40">
        <v>626</v>
      </c>
      <c r="H50" s="40">
        <v>2250</v>
      </c>
      <c r="I50" s="98">
        <f t="shared" si="16"/>
        <v>4001</v>
      </c>
      <c r="J50" s="40">
        <v>0</v>
      </c>
      <c r="K50" s="40">
        <v>0</v>
      </c>
      <c r="L50" s="64">
        <f t="shared" si="17"/>
        <v>4001</v>
      </c>
      <c r="M50" s="101">
        <v>4334</v>
      </c>
      <c r="N50" s="70">
        <f t="shared" si="18"/>
        <v>-333</v>
      </c>
    </row>
    <row r="51" spans="1:15" ht="13.2" x14ac:dyDescent="0.3">
      <c r="A51" s="11" t="str">
        <f>'QTD Mgmt Summary'!A53</f>
        <v xml:space="preserve">      Offshore (Byargeon)</v>
      </c>
      <c r="B51" s="16"/>
      <c r="C51" s="31">
        <v>0</v>
      </c>
      <c r="D51" s="65">
        <v>0</v>
      </c>
      <c r="E51" s="65">
        <v>0</v>
      </c>
      <c r="F51" s="40">
        <v>-591</v>
      </c>
      <c r="G51" s="40">
        <v>1901</v>
      </c>
      <c r="H51" s="40">
        <v>0</v>
      </c>
      <c r="I51" s="98">
        <f t="shared" si="16"/>
        <v>1310</v>
      </c>
      <c r="J51" s="116">
        <v>0</v>
      </c>
      <c r="K51" s="116">
        <v>0</v>
      </c>
      <c r="L51" s="64">
        <f t="shared" si="17"/>
        <v>1310</v>
      </c>
      <c r="M51" s="101">
        <v>6181</v>
      </c>
      <c r="N51" s="70">
        <f t="shared" si="18"/>
        <v>-4871</v>
      </c>
    </row>
    <row r="52" spans="1:15" x14ac:dyDescent="0.2">
      <c r="A52" s="11" t="str">
        <f>'QTD Mgmt Summary'!A54</f>
        <v xml:space="preserve">      Storage (Bieniawski)</v>
      </c>
      <c r="B52" s="16"/>
      <c r="C52" s="31">
        <v>0</v>
      </c>
      <c r="D52" s="65">
        <v>0</v>
      </c>
      <c r="E52" s="65">
        <v>125</v>
      </c>
      <c r="F52" s="40">
        <v>0</v>
      </c>
      <c r="G52" s="40">
        <v>0</v>
      </c>
      <c r="H52" s="40">
        <v>250</v>
      </c>
      <c r="I52" s="98">
        <f t="shared" si="16"/>
        <v>375</v>
      </c>
      <c r="J52" s="40">
        <v>0</v>
      </c>
      <c r="K52" s="40">
        <v>0</v>
      </c>
      <c r="L52" s="64">
        <f t="shared" si="17"/>
        <v>375</v>
      </c>
      <c r="M52" s="101">
        <v>2000</v>
      </c>
      <c r="N52" s="70">
        <f t="shared" si="18"/>
        <v>-1625</v>
      </c>
    </row>
    <row r="53" spans="1:15" x14ac:dyDescent="0.2">
      <c r="A53" s="11" t="str">
        <f>'QTD Mgmt Summary'!A55</f>
        <v xml:space="preserve">      Producer E-Commerce (Grass)</v>
      </c>
      <c r="B53" s="16"/>
      <c r="C53" s="31">
        <v>0</v>
      </c>
      <c r="D53" s="65">
        <v>0</v>
      </c>
      <c r="E53" s="65">
        <v>0</v>
      </c>
      <c r="F53" s="40">
        <v>1193</v>
      </c>
      <c r="G53" s="40">
        <v>0</v>
      </c>
      <c r="H53" s="40">
        <v>0</v>
      </c>
      <c r="I53" s="98">
        <f t="shared" si="16"/>
        <v>1193</v>
      </c>
      <c r="J53" s="41">
        <v>0</v>
      </c>
      <c r="K53" s="41">
        <v>0</v>
      </c>
      <c r="L53" s="64">
        <f t="shared" si="17"/>
        <v>1193</v>
      </c>
      <c r="M53" s="255">
        <v>1000</v>
      </c>
      <c r="N53" s="70">
        <f t="shared" si="18"/>
        <v>193</v>
      </c>
    </row>
    <row r="54" spans="1:15" x14ac:dyDescent="0.2">
      <c r="A54" s="11" t="str">
        <f>'QTD Mgmt Summary'!A56</f>
        <v xml:space="preserve">      Wellhead Desk (Mrha)</v>
      </c>
      <c r="B54" s="16"/>
      <c r="C54" s="326">
        <v>-110</v>
      </c>
      <c r="D54" s="65">
        <v>0</v>
      </c>
      <c r="E54" s="65">
        <v>0</v>
      </c>
      <c r="F54" s="41">
        <v>0</v>
      </c>
      <c r="G54" s="40">
        <v>0</v>
      </c>
      <c r="H54" s="40">
        <v>0</v>
      </c>
      <c r="I54" s="98">
        <f t="shared" si="16"/>
        <v>-110</v>
      </c>
      <c r="J54" s="41">
        <v>0</v>
      </c>
      <c r="K54" s="41">
        <v>0</v>
      </c>
      <c r="L54" s="64">
        <f t="shared" si="17"/>
        <v>-110</v>
      </c>
      <c r="M54" s="255">
        <v>500</v>
      </c>
      <c r="N54" s="70">
        <f t="shared" si="18"/>
        <v>-610</v>
      </c>
      <c r="O54" s="118"/>
    </row>
    <row r="55" spans="1:15" x14ac:dyDescent="0.2">
      <c r="A55" s="11" t="str">
        <f>'QTD Mgmt Summary'!A57</f>
        <v xml:space="preserve">    Bridgeline (Mrha)</v>
      </c>
      <c r="B55" s="16"/>
      <c r="C55" s="326">
        <v>0</v>
      </c>
      <c r="D55" s="65">
        <v>0</v>
      </c>
      <c r="E55" s="65">
        <v>0</v>
      </c>
      <c r="F55" s="41">
        <v>0</v>
      </c>
      <c r="G55" s="40">
        <v>2084</v>
      </c>
      <c r="H55" s="40">
        <v>0</v>
      </c>
      <c r="I55" s="98">
        <f t="shared" si="16"/>
        <v>2084</v>
      </c>
      <c r="J55" s="41">
        <v>0</v>
      </c>
      <c r="K55" s="41">
        <v>0</v>
      </c>
      <c r="L55" s="64">
        <f t="shared" si="17"/>
        <v>2084</v>
      </c>
      <c r="M55" s="255">
        <v>2909</v>
      </c>
      <c r="N55" s="70">
        <f t="shared" si="18"/>
        <v>-825</v>
      </c>
      <c r="O55" s="44"/>
    </row>
    <row r="56" spans="1:15" x14ac:dyDescent="0.2">
      <c r="A56" s="11" t="str">
        <f>'QTD Mgmt Summary'!A58</f>
        <v xml:space="preserve">    HPL (Redmond)</v>
      </c>
      <c r="B56" s="16"/>
      <c r="C56" s="326">
        <v>0</v>
      </c>
      <c r="D56" s="65">
        <v>0</v>
      </c>
      <c r="E56" s="65">
        <v>992</v>
      </c>
      <c r="F56" s="41">
        <v>111</v>
      </c>
      <c r="G56" s="40">
        <v>8371</v>
      </c>
      <c r="H56" s="40">
        <v>0</v>
      </c>
      <c r="I56" s="98">
        <f t="shared" si="16"/>
        <v>9474</v>
      </c>
      <c r="J56" s="41">
        <v>0</v>
      </c>
      <c r="K56" s="41">
        <v>0</v>
      </c>
      <c r="L56" s="64">
        <f t="shared" si="17"/>
        <v>9474</v>
      </c>
      <c r="M56" s="255">
        <v>9445</v>
      </c>
      <c r="N56" s="70">
        <f t="shared" si="18"/>
        <v>29</v>
      </c>
      <c r="O56" s="44"/>
    </row>
    <row r="57" spans="1:15" x14ac:dyDescent="0.2">
      <c r="A57" s="11" t="str">
        <f>'QTD Mgmt Summary'!A59</f>
        <v xml:space="preserve">    LT Fundamentals/Transport (Gomez)</v>
      </c>
      <c r="B57" s="16"/>
      <c r="C57" s="326">
        <v>0</v>
      </c>
      <c r="D57" s="65">
        <v>0</v>
      </c>
      <c r="E57" s="65">
        <v>0</v>
      </c>
      <c r="F57" s="41">
        <v>0</v>
      </c>
      <c r="G57" s="40">
        <v>0</v>
      </c>
      <c r="H57" s="40">
        <v>0</v>
      </c>
      <c r="I57" s="98">
        <f t="shared" si="16"/>
        <v>0</v>
      </c>
      <c r="J57" s="117">
        <v>0</v>
      </c>
      <c r="K57" s="117">
        <v>0</v>
      </c>
      <c r="L57" s="64">
        <f t="shared" si="17"/>
        <v>0</v>
      </c>
      <c r="M57" s="256">
        <f>0/4</f>
        <v>0</v>
      </c>
      <c r="N57" s="70">
        <f t="shared" si="18"/>
        <v>0</v>
      </c>
      <c r="O57" s="44"/>
    </row>
    <row r="58" spans="1:15" x14ac:dyDescent="0.2">
      <c r="A58" s="11" t="str">
        <f>'QTD Mgmt Summary'!A60</f>
        <v xml:space="preserve">    Mexico (Yzaguirre)</v>
      </c>
      <c r="B58" s="16"/>
      <c r="C58" s="326">
        <v>0</v>
      </c>
      <c r="D58" s="65">
        <v>0</v>
      </c>
      <c r="E58" s="65">
        <v>1527</v>
      </c>
      <c r="F58" s="41">
        <v>0</v>
      </c>
      <c r="G58" s="40">
        <v>0</v>
      </c>
      <c r="H58" s="40">
        <v>0</v>
      </c>
      <c r="I58" s="98">
        <f t="shared" si="16"/>
        <v>1527</v>
      </c>
      <c r="J58" s="117">
        <v>0</v>
      </c>
      <c r="K58" s="117">
        <v>0</v>
      </c>
      <c r="L58" s="64">
        <f t="shared" si="17"/>
        <v>1527</v>
      </c>
      <c r="M58" s="256">
        <v>15000</v>
      </c>
      <c r="N58" s="70">
        <f t="shared" si="18"/>
        <v>-13473</v>
      </c>
      <c r="O58" s="44"/>
    </row>
    <row r="59" spans="1:15" x14ac:dyDescent="0.2">
      <c r="A59" s="11" t="str">
        <f>'QTD Mgmt Summary'!A61</f>
        <v xml:space="preserve">    Generation Investments (Duran)</v>
      </c>
      <c r="B59" s="16"/>
      <c r="C59" s="326">
        <v>0</v>
      </c>
      <c r="D59" s="65">
        <v>0</v>
      </c>
      <c r="E59" s="65">
        <v>0</v>
      </c>
      <c r="F59" s="117">
        <v>-69</v>
      </c>
      <c r="G59" s="40">
        <v>0</v>
      </c>
      <c r="H59" s="40">
        <v>0</v>
      </c>
      <c r="I59" s="98">
        <f t="shared" si="16"/>
        <v>-69</v>
      </c>
      <c r="J59" s="117">
        <v>0</v>
      </c>
      <c r="K59" s="117">
        <v>0</v>
      </c>
      <c r="L59" s="64">
        <f t="shared" si="17"/>
        <v>-69</v>
      </c>
      <c r="M59" s="256">
        <v>20000</v>
      </c>
      <c r="N59" s="70">
        <f t="shared" si="18"/>
        <v>-20069</v>
      </c>
      <c r="O59" s="44"/>
    </row>
    <row r="60" spans="1:15" x14ac:dyDescent="0.2">
      <c r="A60" s="11" t="str">
        <f>'QTD Mgmt Summary'!A62</f>
        <v xml:space="preserve">    Principal Investing (Miller)</v>
      </c>
      <c r="B60" s="16"/>
      <c r="C60" s="326">
        <v>0</v>
      </c>
      <c r="D60" s="65">
        <v>0</v>
      </c>
      <c r="E60" s="65">
        <v>0</v>
      </c>
      <c r="F60" s="117">
        <v>2915</v>
      </c>
      <c r="G60" s="40">
        <v>-4765</v>
      </c>
      <c r="H60" s="40">
        <v>0</v>
      </c>
      <c r="I60" s="98">
        <f t="shared" si="16"/>
        <v>-1850</v>
      </c>
      <c r="J60" s="117">
        <v>0</v>
      </c>
      <c r="K60" s="117">
        <v>0</v>
      </c>
      <c r="L60" s="64">
        <f t="shared" si="17"/>
        <v>-1850</v>
      </c>
      <c r="M60" s="256">
        <v>15781</v>
      </c>
      <c r="N60" s="70">
        <f t="shared" si="18"/>
        <v>-17631</v>
      </c>
    </row>
    <row r="61" spans="1:15" x14ac:dyDescent="0.2">
      <c r="A61" s="11" t="str">
        <f>'QTD Mgmt Summary'!A63</f>
        <v xml:space="preserve">    Energy Capital Svcs (Thompson/Josey)</v>
      </c>
      <c r="B61" s="16"/>
      <c r="C61" s="326">
        <v>0</v>
      </c>
      <c r="D61" s="65">
        <v>0</v>
      </c>
      <c r="E61" s="65">
        <v>443</v>
      </c>
      <c r="F61" s="117">
        <v>5887</v>
      </c>
      <c r="G61" s="40">
        <v>757</v>
      </c>
      <c r="H61" s="40">
        <v>0</v>
      </c>
      <c r="I61" s="98">
        <f t="shared" si="16"/>
        <v>7087</v>
      </c>
      <c r="J61" s="117">
        <v>0</v>
      </c>
      <c r="K61" s="117">
        <v>0</v>
      </c>
      <c r="L61" s="64">
        <f t="shared" si="17"/>
        <v>7087</v>
      </c>
      <c r="M61" s="256">
        <v>7150</v>
      </c>
      <c r="N61" s="70">
        <f t="shared" si="18"/>
        <v>-63</v>
      </c>
    </row>
    <row r="62" spans="1:15" x14ac:dyDescent="0.2">
      <c r="A62" s="11" t="str">
        <f>'QTD Mgmt Summary'!A64</f>
        <v xml:space="preserve">    Special Assets (Redmond/Lydecker)</v>
      </c>
      <c r="B62" s="16"/>
      <c r="C62" s="326">
        <v>0</v>
      </c>
      <c r="D62" s="65">
        <v>0</v>
      </c>
      <c r="E62" s="65">
        <v>0</v>
      </c>
      <c r="F62" s="117">
        <v>8590</v>
      </c>
      <c r="G62" s="117">
        <v>0</v>
      </c>
      <c r="H62" s="40">
        <v>1023</v>
      </c>
      <c r="I62" s="98">
        <f t="shared" si="16"/>
        <v>9613</v>
      </c>
      <c r="J62" s="117">
        <v>0</v>
      </c>
      <c r="K62" s="117">
        <v>0</v>
      </c>
      <c r="L62" s="64">
        <f t="shared" si="17"/>
        <v>9613</v>
      </c>
      <c r="M62" s="256">
        <f>-7900-4400</f>
        <v>-12300</v>
      </c>
      <c r="N62" s="70">
        <f t="shared" si="18"/>
        <v>21913</v>
      </c>
    </row>
    <row r="63" spans="1:15" x14ac:dyDescent="0.2">
      <c r="A63" s="11" t="str">
        <f>'QTD Mgmt Summary'!A65</f>
        <v xml:space="preserve">    Asset Marketing (Miller)</v>
      </c>
      <c r="B63" s="16"/>
      <c r="C63" s="326">
        <v>0</v>
      </c>
      <c r="D63" s="65">
        <v>0</v>
      </c>
      <c r="E63" s="65">
        <v>0</v>
      </c>
      <c r="F63" s="117">
        <v>0</v>
      </c>
      <c r="G63" s="117">
        <v>0</v>
      </c>
      <c r="H63" s="40">
        <v>0</v>
      </c>
      <c r="I63" s="98">
        <f t="shared" si="16"/>
        <v>0</v>
      </c>
      <c r="J63" s="117">
        <v>0</v>
      </c>
      <c r="K63" s="117">
        <v>0</v>
      </c>
      <c r="L63" s="64">
        <v>0</v>
      </c>
      <c r="M63" s="256">
        <v>0</v>
      </c>
      <c r="N63" s="70">
        <f t="shared" si="18"/>
        <v>0</v>
      </c>
    </row>
    <row r="64" spans="1:15" x14ac:dyDescent="0.2">
      <c r="A64" s="11" t="str">
        <f>'QTD Mgmt Summary'!A66</f>
        <v xml:space="preserve">    Sold Peakers</v>
      </c>
      <c r="B64" s="16"/>
      <c r="C64" s="326">
        <v>0</v>
      </c>
      <c r="D64" s="65">
        <v>0</v>
      </c>
      <c r="E64" s="65">
        <v>435200</v>
      </c>
      <c r="F64" s="117">
        <v>0</v>
      </c>
      <c r="G64" s="117">
        <v>0</v>
      </c>
      <c r="H64" s="40">
        <v>-3402</v>
      </c>
      <c r="I64" s="98">
        <f t="shared" si="16"/>
        <v>431798</v>
      </c>
      <c r="J64" s="117">
        <v>0</v>
      </c>
      <c r="K64" s="117">
        <v>0</v>
      </c>
      <c r="L64" s="64">
        <f t="shared" si="17"/>
        <v>431798</v>
      </c>
      <c r="M64" s="256">
        <v>-12065</v>
      </c>
      <c r="N64" s="70">
        <f t="shared" si="18"/>
        <v>443863</v>
      </c>
    </row>
    <row r="65" spans="1:15" x14ac:dyDescent="0.2">
      <c r="A65" s="11" t="str">
        <f>'QTD Mgmt Summary'!A67</f>
        <v xml:space="preserve">    Cross Commodity (Lavorato)</v>
      </c>
      <c r="B65" s="16"/>
      <c r="C65" s="326">
        <f>9405+9594-3333</f>
        <v>15666</v>
      </c>
      <c r="D65" s="65">
        <v>0</v>
      </c>
      <c r="E65" s="65">
        <v>0</v>
      </c>
      <c r="F65" s="117">
        <v>0</v>
      </c>
      <c r="G65" s="117">
        <v>0</v>
      </c>
      <c r="H65" s="40">
        <v>0</v>
      </c>
      <c r="I65" s="98">
        <f t="shared" si="16"/>
        <v>15666</v>
      </c>
      <c r="J65" s="117">
        <v>0</v>
      </c>
      <c r="K65" s="117">
        <v>0</v>
      </c>
      <c r="L65" s="64">
        <f t="shared" si="17"/>
        <v>15666</v>
      </c>
      <c r="M65" s="256">
        <v>0</v>
      </c>
      <c r="N65" s="70">
        <f t="shared" si="18"/>
        <v>15666</v>
      </c>
    </row>
    <row r="66" spans="1:15" x14ac:dyDescent="0.2">
      <c r="A66" s="11" t="str">
        <f>'QTD Mgmt Summary'!A68</f>
        <v xml:space="preserve">    Office of the Chairman (Lavorato/Kitchen)</v>
      </c>
      <c r="B66" s="16"/>
      <c r="C66" s="326">
        <v>0</v>
      </c>
      <c r="D66" s="65">
        <v>0</v>
      </c>
      <c r="E66" s="65">
        <v>0</v>
      </c>
      <c r="F66" s="117">
        <v>0</v>
      </c>
      <c r="G66" s="117">
        <v>0</v>
      </c>
      <c r="H66" s="40">
        <f>-6600-3390</f>
        <v>-9990</v>
      </c>
      <c r="I66" s="98">
        <f t="shared" si="16"/>
        <v>-9990</v>
      </c>
      <c r="J66" s="117">
        <v>0</v>
      </c>
      <c r="K66" s="117">
        <v>0</v>
      </c>
      <c r="L66" s="64">
        <f t="shared" si="17"/>
        <v>-9990</v>
      </c>
      <c r="M66" s="256">
        <v>73552</v>
      </c>
      <c r="N66" s="70">
        <f t="shared" si="18"/>
        <v>-83542</v>
      </c>
    </row>
    <row r="67" spans="1:15" x14ac:dyDescent="0.2">
      <c r="A67" s="11" t="str">
        <f>'QTD Mgmt Summary'!A69</f>
        <v xml:space="preserve">    TVA Settlement</v>
      </c>
      <c r="B67" s="16"/>
      <c r="C67" s="326">
        <v>0</v>
      </c>
      <c r="D67" s="65">
        <v>0</v>
      </c>
      <c r="E67" s="65">
        <v>0</v>
      </c>
      <c r="F67" s="117">
        <v>0</v>
      </c>
      <c r="G67" s="117">
        <v>0</v>
      </c>
      <c r="H67" s="40">
        <v>0</v>
      </c>
      <c r="I67" s="98">
        <f t="shared" si="16"/>
        <v>0</v>
      </c>
      <c r="J67" s="117">
        <v>0</v>
      </c>
      <c r="K67" s="117">
        <v>0</v>
      </c>
      <c r="L67" s="64">
        <f t="shared" si="17"/>
        <v>0</v>
      </c>
      <c r="M67" s="256">
        <v>0</v>
      </c>
      <c r="N67" s="70">
        <f t="shared" si="18"/>
        <v>0</v>
      </c>
    </row>
    <row r="68" spans="1:15" x14ac:dyDescent="0.2">
      <c r="A68" s="29" t="s">
        <v>120</v>
      </c>
      <c r="B68" s="16"/>
      <c r="C68" s="341">
        <v>32135</v>
      </c>
      <c r="D68" s="65">
        <v>0</v>
      </c>
      <c r="E68" s="65">
        <v>0</v>
      </c>
      <c r="F68" s="117">
        <v>0</v>
      </c>
      <c r="G68" s="117">
        <v>0</v>
      </c>
      <c r="H68" s="40">
        <v>0</v>
      </c>
      <c r="I68" s="98">
        <f t="shared" si="16"/>
        <v>32135</v>
      </c>
      <c r="J68" s="117">
        <v>0</v>
      </c>
      <c r="K68" s="117">
        <v>0</v>
      </c>
      <c r="L68" s="64">
        <f t="shared" si="17"/>
        <v>32135</v>
      </c>
      <c r="M68" s="256">
        <v>32910</v>
      </c>
      <c r="N68" s="70">
        <f t="shared" si="18"/>
        <v>-775</v>
      </c>
      <c r="O68" s="117"/>
    </row>
    <row r="69" spans="1:15" x14ac:dyDescent="0.2">
      <c r="A69" s="29" t="s">
        <v>116</v>
      </c>
      <c r="B69" s="16"/>
      <c r="C69" s="117">
        <v>0</v>
      </c>
      <c r="D69" s="40">
        <v>0</v>
      </c>
      <c r="E69" s="40">
        <v>0</v>
      </c>
      <c r="F69" s="117">
        <v>0</v>
      </c>
      <c r="G69" s="117">
        <v>-17124</v>
      </c>
      <c r="H69" s="40">
        <v>0</v>
      </c>
      <c r="I69" s="98">
        <f t="shared" si="16"/>
        <v>-17124</v>
      </c>
      <c r="J69" s="117">
        <v>0</v>
      </c>
      <c r="K69" s="117">
        <v>0</v>
      </c>
      <c r="L69" s="64">
        <f t="shared" si="17"/>
        <v>-17124</v>
      </c>
      <c r="M69" s="256">
        <f>-52000/4</f>
        <v>-13000</v>
      </c>
      <c r="N69" s="70">
        <f t="shared" si="18"/>
        <v>-4124</v>
      </c>
      <c r="O69" s="117"/>
    </row>
    <row r="70" spans="1:15" ht="6.75" customHeight="1" x14ac:dyDescent="0.2">
      <c r="A70" s="29"/>
      <c r="B70" s="16"/>
      <c r="C70" s="117"/>
      <c r="D70" s="117"/>
      <c r="E70" s="117"/>
      <c r="F70" s="117"/>
      <c r="G70" s="117"/>
      <c r="H70" s="117"/>
      <c r="I70" s="98"/>
      <c r="J70" s="117"/>
      <c r="K70" s="117"/>
      <c r="L70" s="64"/>
      <c r="M70" s="256"/>
      <c r="N70" s="70"/>
      <c r="O70" s="117"/>
    </row>
    <row r="71" spans="1:15" s="42" customFormat="1" ht="14.25" customHeight="1" x14ac:dyDescent="0.2">
      <c r="A71" s="180" t="s">
        <v>126</v>
      </c>
      <c r="B71" s="112"/>
      <c r="C71" s="120">
        <f t="shared" ref="C71:N71" si="19">(SUM(C49:C69))+C47+C38+C27+C19</f>
        <v>155585</v>
      </c>
      <c r="D71" s="120">
        <f t="shared" si="19"/>
        <v>74340</v>
      </c>
      <c r="E71" s="120">
        <f t="shared" si="19"/>
        <v>517222</v>
      </c>
      <c r="F71" s="120">
        <f t="shared" si="19"/>
        <v>22928</v>
      </c>
      <c r="G71" s="120">
        <f t="shared" si="19"/>
        <v>-7879</v>
      </c>
      <c r="H71" s="120">
        <f t="shared" si="19"/>
        <v>2235</v>
      </c>
      <c r="I71" s="122">
        <f t="shared" si="19"/>
        <v>764431</v>
      </c>
      <c r="J71" s="120">
        <f t="shared" si="19"/>
        <v>0</v>
      </c>
      <c r="K71" s="120">
        <f t="shared" si="19"/>
        <v>0</v>
      </c>
      <c r="L71" s="120">
        <f t="shared" si="19"/>
        <v>764431</v>
      </c>
      <c r="M71" s="120">
        <f t="shared" si="19"/>
        <v>522895</v>
      </c>
      <c r="N71" s="122">
        <f t="shared" si="19"/>
        <v>241536</v>
      </c>
    </row>
    <row r="72" spans="1:15" x14ac:dyDescent="0.2">
      <c r="A72" s="367"/>
      <c r="B72" s="367"/>
      <c r="C72" s="367"/>
      <c r="D72" s="367"/>
      <c r="E72" s="367"/>
      <c r="F72" s="367"/>
      <c r="G72" s="367"/>
      <c r="H72" s="367"/>
      <c r="I72" s="367"/>
      <c r="J72" s="117"/>
      <c r="K72" s="117"/>
      <c r="L72" s="117"/>
      <c r="M72" s="117"/>
      <c r="N72" s="117"/>
    </row>
    <row r="73" spans="1:15" x14ac:dyDescent="0.2"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</row>
    <row r="74" spans="1:15" x14ac:dyDescent="0.2"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</row>
    <row r="75" spans="1:15" x14ac:dyDescent="0.2">
      <c r="C75" s="118"/>
      <c r="D75" s="118"/>
      <c r="E75" s="40"/>
      <c r="F75" s="67"/>
      <c r="G75" s="118"/>
      <c r="H75" s="40"/>
      <c r="I75" s="40"/>
      <c r="J75" s="40"/>
      <c r="K75" s="117"/>
      <c r="L75" s="117"/>
      <c r="M75" s="117"/>
      <c r="N75" s="117"/>
    </row>
    <row r="76" spans="1:15" x14ac:dyDescent="0.2">
      <c r="C76" s="118"/>
      <c r="D76" s="118"/>
      <c r="E76" s="40"/>
      <c r="F76" s="67"/>
      <c r="G76" s="118"/>
      <c r="H76" s="40"/>
      <c r="I76" s="118"/>
      <c r="J76" s="40"/>
      <c r="K76" s="117"/>
      <c r="L76" s="117"/>
      <c r="M76" s="117"/>
      <c r="N76" s="117"/>
    </row>
    <row r="77" spans="1:15" x14ac:dyDescent="0.2">
      <c r="C77" s="118"/>
      <c r="D77" s="118"/>
      <c r="E77" s="40"/>
      <c r="F77" s="67"/>
      <c r="G77" s="40"/>
      <c r="H77" s="40"/>
      <c r="I77" s="118"/>
      <c r="J77" s="40"/>
      <c r="K77" s="117"/>
      <c r="L77" s="117"/>
      <c r="M77" s="117"/>
      <c r="N77" s="117"/>
    </row>
    <row r="78" spans="1:15" x14ac:dyDescent="0.2">
      <c r="C78" s="118"/>
      <c r="D78" s="118"/>
      <c r="E78" s="118"/>
      <c r="F78" s="67"/>
      <c r="G78" s="118"/>
      <c r="H78" s="118"/>
      <c r="I78" s="118"/>
      <c r="J78" s="40"/>
      <c r="K78" s="117"/>
      <c r="L78" s="117"/>
      <c r="M78" s="117"/>
      <c r="N78" s="117"/>
    </row>
    <row r="79" spans="1:15" x14ac:dyDescent="0.2">
      <c r="C79" s="118"/>
      <c r="D79" s="118"/>
      <c r="E79" s="118"/>
      <c r="F79" s="118"/>
      <c r="G79" s="118"/>
      <c r="H79" s="118"/>
      <c r="I79" s="118"/>
      <c r="J79" s="40"/>
      <c r="K79" s="117"/>
      <c r="L79" s="117"/>
      <c r="M79" s="117"/>
      <c r="N79" s="117"/>
    </row>
    <row r="80" spans="1:15" x14ac:dyDescent="0.2">
      <c r="C80" s="118"/>
      <c r="D80" s="118"/>
      <c r="E80" s="118"/>
      <c r="F80" s="118"/>
      <c r="G80" s="118"/>
      <c r="H80" s="118"/>
      <c r="I80" s="118"/>
      <c r="J80" s="119"/>
      <c r="K80" s="117"/>
      <c r="L80" s="117"/>
      <c r="M80" s="117"/>
      <c r="N80" s="117"/>
    </row>
    <row r="81" spans="3:16" x14ac:dyDescent="0.2">
      <c r="C81" s="118"/>
      <c r="D81" s="118"/>
      <c r="E81" s="118"/>
      <c r="F81" s="118"/>
      <c r="G81" s="118"/>
      <c r="H81" s="118"/>
      <c r="I81" s="118"/>
      <c r="J81" s="118"/>
      <c r="K81" s="117"/>
      <c r="L81" s="117"/>
      <c r="M81" s="117"/>
      <c r="N81" s="117"/>
    </row>
    <row r="82" spans="3:16" x14ac:dyDescent="0.2"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</row>
    <row r="83" spans="3:16" x14ac:dyDescent="0.2"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</row>
    <row r="84" spans="3:16" x14ac:dyDescent="0.2"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</row>
    <row r="85" spans="3:16" x14ac:dyDescent="0.2"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</row>
    <row r="86" spans="3:16" x14ac:dyDescent="0.2"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</row>
    <row r="87" spans="3:16" x14ac:dyDescent="0.2"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</row>
    <row r="88" spans="3:16" x14ac:dyDescent="0.2"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</row>
    <row r="89" spans="3:16" x14ac:dyDescent="0.2"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</row>
    <row r="90" spans="3:16" x14ac:dyDescent="0.2"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</row>
    <row r="91" spans="3:16" x14ac:dyDescent="0.2"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>
        <f>C91-G91-K91</f>
        <v>0</v>
      </c>
      <c r="P91" s="117">
        <f>D91-H91-L91</f>
        <v>0</v>
      </c>
    </row>
    <row r="92" spans="3:16" x14ac:dyDescent="0.2"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</row>
    <row r="93" spans="3:16" x14ac:dyDescent="0.2"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</row>
    <row r="94" spans="3:16" x14ac:dyDescent="0.2"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</row>
    <row r="95" spans="3:16" x14ac:dyDescent="0.2"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</row>
    <row r="96" spans="3:16" x14ac:dyDescent="0.2"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</row>
    <row r="97" spans="3:14" x14ac:dyDescent="0.2"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</row>
    <row r="98" spans="3:14" x14ac:dyDescent="0.2"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</row>
    <row r="99" spans="3:14" x14ac:dyDescent="0.2"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</row>
    <row r="100" spans="3:14" x14ac:dyDescent="0.2"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</row>
    <row r="101" spans="3:14" x14ac:dyDescent="0.2"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</row>
    <row r="102" spans="3:14" x14ac:dyDescent="0.2"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</row>
    <row r="103" spans="3:14" x14ac:dyDescent="0.2"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</row>
    <row r="104" spans="3:14" x14ac:dyDescent="0.2"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</row>
    <row r="105" spans="3:14" x14ac:dyDescent="0.2"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</row>
    <row r="106" spans="3:14" x14ac:dyDescent="0.2"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</row>
    <row r="107" spans="3:14" x14ac:dyDescent="0.2"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</row>
    <row r="108" spans="3:14" x14ac:dyDescent="0.2"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</row>
    <row r="109" spans="3:14" x14ac:dyDescent="0.2"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</row>
    <row r="110" spans="3:14" x14ac:dyDescent="0.2"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</row>
    <row r="111" spans="3:14" x14ac:dyDescent="0.2"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</row>
    <row r="112" spans="3:14" x14ac:dyDescent="0.2"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</row>
    <row r="113" spans="3:14" x14ac:dyDescent="0.2"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</row>
    <row r="114" spans="3:14" x14ac:dyDescent="0.2"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</row>
    <row r="115" spans="3:14" x14ac:dyDescent="0.2"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</row>
    <row r="116" spans="3:14" x14ac:dyDescent="0.2"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</row>
    <row r="117" spans="3:14" x14ac:dyDescent="0.2"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</row>
    <row r="118" spans="3:14" x14ac:dyDescent="0.2"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</row>
    <row r="119" spans="3:14" x14ac:dyDescent="0.2"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</row>
    <row r="120" spans="3:14" x14ac:dyDescent="0.2"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</row>
    <row r="121" spans="3:14" x14ac:dyDescent="0.2"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</row>
    <row r="122" spans="3:14" x14ac:dyDescent="0.2"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</row>
    <row r="123" spans="3:14" x14ac:dyDescent="0.2"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</row>
    <row r="124" spans="3:14" x14ac:dyDescent="0.2"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</row>
    <row r="125" spans="3:14" x14ac:dyDescent="0.2"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</row>
    <row r="126" spans="3:14" x14ac:dyDescent="0.2"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</row>
    <row r="127" spans="3:14" x14ac:dyDescent="0.2"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</row>
    <row r="128" spans="3:14" x14ac:dyDescent="0.2"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</row>
    <row r="129" spans="3:14" x14ac:dyDescent="0.2"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</row>
    <row r="130" spans="3:14" x14ac:dyDescent="0.2"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</row>
    <row r="131" spans="3:14" x14ac:dyDescent="0.2"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</row>
    <row r="132" spans="3:14" x14ac:dyDescent="0.2"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</row>
    <row r="133" spans="3:14" x14ac:dyDescent="0.2"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</row>
    <row r="134" spans="3:14" x14ac:dyDescent="0.2"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</row>
    <row r="135" spans="3:14" x14ac:dyDescent="0.2"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</row>
    <row r="136" spans="3:14" x14ac:dyDescent="0.2"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</row>
    <row r="137" spans="3:14" x14ac:dyDescent="0.2"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</row>
    <row r="138" spans="3:14" x14ac:dyDescent="0.2"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</row>
    <row r="139" spans="3:14" x14ac:dyDescent="0.2"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</row>
    <row r="140" spans="3:14" x14ac:dyDescent="0.2"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</row>
    <row r="141" spans="3:14" x14ac:dyDescent="0.2"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</row>
    <row r="142" spans="3:14" x14ac:dyDescent="0.2"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</row>
    <row r="143" spans="3:14" x14ac:dyDescent="0.2"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</row>
    <row r="144" spans="3:14" x14ac:dyDescent="0.2"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</row>
    <row r="145" spans="3:14" x14ac:dyDescent="0.2"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</row>
    <row r="146" spans="3:14" x14ac:dyDescent="0.2"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</row>
    <row r="147" spans="3:14" x14ac:dyDescent="0.2"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</row>
    <row r="148" spans="3:14" x14ac:dyDescent="0.2"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</row>
    <row r="149" spans="3:14" x14ac:dyDescent="0.2"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</row>
    <row r="150" spans="3:14" x14ac:dyDescent="0.2"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</row>
    <row r="151" spans="3:14" x14ac:dyDescent="0.2"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</row>
    <row r="152" spans="3:14" x14ac:dyDescent="0.2"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</row>
    <row r="153" spans="3:14" x14ac:dyDescent="0.2"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</row>
    <row r="154" spans="3:14" x14ac:dyDescent="0.2"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</row>
    <row r="155" spans="3:14" x14ac:dyDescent="0.2"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</row>
    <row r="156" spans="3:14" x14ac:dyDescent="0.2"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</row>
    <row r="157" spans="3:14" x14ac:dyDescent="0.2"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</row>
    <row r="158" spans="3:14" x14ac:dyDescent="0.2"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</row>
    <row r="159" spans="3:14" x14ac:dyDescent="0.2"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</row>
    <row r="160" spans="3:14" x14ac:dyDescent="0.2"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</row>
    <row r="161" spans="3:14" x14ac:dyDescent="0.2"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</row>
    <row r="162" spans="3:14" x14ac:dyDescent="0.2"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</row>
    <row r="163" spans="3:14" x14ac:dyDescent="0.2"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</row>
    <row r="164" spans="3:14" x14ac:dyDescent="0.2"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</row>
    <row r="165" spans="3:14" x14ac:dyDescent="0.2"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</row>
    <row r="166" spans="3:14" x14ac:dyDescent="0.2"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</row>
    <row r="167" spans="3:14" x14ac:dyDescent="0.2"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</row>
    <row r="168" spans="3:14" x14ac:dyDescent="0.2"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</row>
    <row r="169" spans="3:14" x14ac:dyDescent="0.2"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</row>
    <row r="170" spans="3:14" x14ac:dyDescent="0.2"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</row>
    <row r="171" spans="3:14" x14ac:dyDescent="0.2"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</row>
    <row r="172" spans="3:14" x14ac:dyDescent="0.2"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</row>
    <row r="173" spans="3:14" x14ac:dyDescent="0.2"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</row>
    <row r="174" spans="3:14" x14ac:dyDescent="0.2"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</row>
    <row r="175" spans="3:14" x14ac:dyDescent="0.2"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</row>
    <row r="176" spans="3:14" x14ac:dyDescent="0.2"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</row>
    <row r="177" spans="3:14" x14ac:dyDescent="0.2"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</row>
    <row r="178" spans="3:14" x14ac:dyDescent="0.2"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</row>
    <row r="179" spans="3:14" x14ac:dyDescent="0.2"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</row>
    <row r="180" spans="3:14" x14ac:dyDescent="0.2"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</row>
    <row r="181" spans="3:14" x14ac:dyDescent="0.2"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</row>
    <row r="182" spans="3:14" x14ac:dyDescent="0.2"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</row>
    <row r="183" spans="3:14" x14ac:dyDescent="0.2"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</row>
    <row r="184" spans="3:14" x14ac:dyDescent="0.2"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</row>
    <row r="185" spans="3:14" x14ac:dyDescent="0.2"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</row>
    <row r="186" spans="3:14" x14ac:dyDescent="0.2"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</row>
    <row r="187" spans="3:14" x14ac:dyDescent="0.2"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</row>
    <row r="188" spans="3:14" x14ac:dyDescent="0.2"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</row>
    <row r="189" spans="3:14" x14ac:dyDescent="0.2"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</row>
    <row r="190" spans="3:14" x14ac:dyDescent="0.2"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</row>
    <row r="191" spans="3:14" x14ac:dyDescent="0.2"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</row>
    <row r="192" spans="3:14" x14ac:dyDescent="0.2"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</row>
    <row r="193" spans="3:14" x14ac:dyDescent="0.2"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</row>
    <row r="194" spans="3:14" x14ac:dyDescent="0.2"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</row>
    <row r="195" spans="3:14" x14ac:dyDescent="0.2"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</row>
    <row r="196" spans="3:14" x14ac:dyDescent="0.2"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</row>
    <row r="197" spans="3:14" x14ac:dyDescent="0.2"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</row>
    <row r="198" spans="3:14" x14ac:dyDescent="0.2"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</row>
    <row r="199" spans="3:14" x14ac:dyDescent="0.2"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</row>
    <row r="200" spans="3:14" x14ac:dyDescent="0.2"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</row>
    <row r="201" spans="3:14" x14ac:dyDescent="0.2"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</row>
    <row r="202" spans="3:14" x14ac:dyDescent="0.2"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</row>
    <row r="203" spans="3:14" x14ac:dyDescent="0.2"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</row>
    <row r="204" spans="3:14" x14ac:dyDescent="0.2"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</row>
    <row r="205" spans="3:14" x14ac:dyDescent="0.2"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</row>
    <row r="206" spans="3:14" x14ac:dyDescent="0.2"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</row>
    <row r="207" spans="3:14" x14ac:dyDescent="0.2"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</row>
    <row r="208" spans="3:14" x14ac:dyDescent="0.2"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</row>
    <row r="209" spans="3:14" x14ac:dyDescent="0.2"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</row>
    <row r="210" spans="3:14" x14ac:dyDescent="0.2"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</row>
    <row r="211" spans="3:14" x14ac:dyDescent="0.2"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</row>
    <row r="212" spans="3:14" x14ac:dyDescent="0.2"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</row>
    <row r="213" spans="3:14" x14ac:dyDescent="0.2"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</row>
    <row r="214" spans="3:14" x14ac:dyDescent="0.2"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</row>
    <row r="215" spans="3:14" x14ac:dyDescent="0.2"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</row>
    <row r="216" spans="3:14" x14ac:dyDescent="0.2"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</row>
    <row r="217" spans="3:14" x14ac:dyDescent="0.2"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</row>
    <row r="218" spans="3:14" x14ac:dyDescent="0.2"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</row>
    <row r="219" spans="3:14" x14ac:dyDescent="0.2"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</row>
    <row r="220" spans="3:14" x14ac:dyDescent="0.2"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</row>
    <row r="221" spans="3:14" x14ac:dyDescent="0.2"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</row>
    <row r="222" spans="3:14" x14ac:dyDescent="0.2"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</row>
    <row r="223" spans="3:14" x14ac:dyDescent="0.2"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</row>
    <row r="224" spans="3:14" x14ac:dyDescent="0.2"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</row>
    <row r="225" spans="3:14" x14ac:dyDescent="0.2"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</row>
    <row r="226" spans="3:14" x14ac:dyDescent="0.2"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</row>
    <row r="227" spans="3:14" x14ac:dyDescent="0.2"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</row>
    <row r="228" spans="3:14" x14ac:dyDescent="0.2"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</row>
    <row r="229" spans="3:14" x14ac:dyDescent="0.2"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</row>
    <row r="230" spans="3:14" x14ac:dyDescent="0.2"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</row>
    <row r="231" spans="3:14" x14ac:dyDescent="0.2"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</row>
    <row r="232" spans="3:14" x14ac:dyDescent="0.2"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</row>
    <row r="233" spans="3:14" x14ac:dyDescent="0.2"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</row>
    <row r="234" spans="3:14" x14ac:dyDescent="0.2"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</row>
    <row r="235" spans="3:14" x14ac:dyDescent="0.2"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</row>
    <row r="236" spans="3:14" x14ac:dyDescent="0.2"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</row>
    <row r="237" spans="3:14" x14ac:dyDescent="0.2"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</row>
    <row r="238" spans="3:14" x14ac:dyDescent="0.2"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</row>
    <row r="239" spans="3:14" x14ac:dyDescent="0.2"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</row>
    <row r="240" spans="3:14" x14ac:dyDescent="0.2"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</row>
    <row r="241" spans="3:14" x14ac:dyDescent="0.2"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</row>
    <row r="242" spans="3:14" x14ac:dyDescent="0.2"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</row>
    <row r="243" spans="3:14" x14ac:dyDescent="0.2"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</row>
    <row r="244" spans="3:14" x14ac:dyDescent="0.2"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</row>
    <row r="245" spans="3:14" x14ac:dyDescent="0.2"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</row>
    <row r="246" spans="3:14" x14ac:dyDescent="0.2"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</row>
    <row r="247" spans="3:14" x14ac:dyDescent="0.2"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</row>
    <row r="248" spans="3:14" x14ac:dyDescent="0.2"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</row>
    <row r="249" spans="3:14" x14ac:dyDescent="0.2"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</row>
    <row r="250" spans="3:14" x14ac:dyDescent="0.2"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</row>
    <row r="251" spans="3:14" x14ac:dyDescent="0.2"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</row>
    <row r="252" spans="3:14" x14ac:dyDescent="0.2"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</row>
    <row r="253" spans="3:14" x14ac:dyDescent="0.2"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</row>
    <row r="254" spans="3:14" x14ac:dyDescent="0.2"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</row>
    <row r="255" spans="3:14" x14ac:dyDescent="0.2"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</row>
    <row r="256" spans="3:14" x14ac:dyDescent="0.2"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</row>
    <row r="257" spans="3:14" x14ac:dyDescent="0.2"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</row>
    <row r="258" spans="3:14" x14ac:dyDescent="0.2"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</row>
    <row r="259" spans="3:14" x14ac:dyDescent="0.2"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</row>
    <row r="260" spans="3:14" x14ac:dyDescent="0.2"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</row>
    <row r="261" spans="3:14" x14ac:dyDescent="0.2"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</row>
    <row r="262" spans="3:14" x14ac:dyDescent="0.2"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</row>
    <row r="263" spans="3:14" x14ac:dyDescent="0.2"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</row>
    <row r="264" spans="3:14" x14ac:dyDescent="0.2"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</row>
    <row r="265" spans="3:14" x14ac:dyDescent="0.2"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</row>
    <row r="266" spans="3:14" x14ac:dyDescent="0.2"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</row>
    <row r="267" spans="3:14" x14ac:dyDescent="0.2"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</row>
    <row r="268" spans="3:14" x14ac:dyDescent="0.2"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</row>
    <row r="269" spans="3:14" x14ac:dyDescent="0.2"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</row>
  </sheetData>
  <mergeCells count="3">
    <mergeCell ref="A1:N1"/>
    <mergeCell ref="A2:N2"/>
    <mergeCell ref="A72:I72"/>
  </mergeCells>
  <phoneticPr fontId="0" type="noConversion"/>
  <printOptions horizontalCentered="1"/>
  <pageMargins left="0" right="0" top="0.25" bottom="0.5" header="0.25" footer="0.25"/>
  <pageSetup scale="76" orientation="portrait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J86"/>
  <sheetViews>
    <sheetView workbookViewId="0">
      <selection activeCell="A98" sqref="A98"/>
    </sheetView>
  </sheetViews>
  <sheetFormatPr defaultRowHeight="13.2" x14ac:dyDescent="0.25"/>
  <cols>
    <col min="1" max="1" width="26.88671875" customWidth="1"/>
    <col min="2" max="2" width="2.44140625" customWidth="1"/>
    <col min="6" max="6" width="2.33203125" customWidth="1"/>
    <col min="7" max="7" width="17.6640625" customWidth="1"/>
    <col min="8" max="8" width="15.109375" customWidth="1"/>
    <col min="9" max="10" width="14.109375" customWidth="1"/>
  </cols>
  <sheetData>
    <row r="1" spans="1:10" ht="15.6" x14ac:dyDescent="0.3">
      <c r="A1" s="371" t="s">
        <v>75</v>
      </c>
      <c r="B1" s="371"/>
      <c r="C1" s="371"/>
      <c r="D1" s="371"/>
      <c r="E1" s="371"/>
      <c r="F1" s="371"/>
      <c r="G1" s="371"/>
      <c r="H1" s="371"/>
      <c r="I1" s="371"/>
      <c r="J1" s="371"/>
    </row>
    <row r="2" spans="1:10" ht="13.8" x14ac:dyDescent="0.25">
      <c r="A2" s="372" t="s">
        <v>110</v>
      </c>
      <c r="B2" s="372"/>
      <c r="C2" s="372"/>
      <c r="D2" s="372"/>
      <c r="E2" s="372"/>
      <c r="F2" s="372"/>
      <c r="G2" s="372"/>
      <c r="H2" s="372"/>
      <c r="I2" s="372"/>
      <c r="J2" s="372"/>
    </row>
    <row r="3" spans="1:10" x14ac:dyDescent="0.25">
      <c r="A3" s="373" t="str">
        <f>GrossMargin!G3</f>
        <v>Results based on activity through June 08, 2001</v>
      </c>
      <c r="B3" s="373"/>
      <c r="C3" s="373"/>
      <c r="D3" s="373"/>
      <c r="E3" s="373"/>
      <c r="F3" s="373"/>
      <c r="G3" s="373"/>
      <c r="H3" s="373"/>
      <c r="I3" s="373"/>
      <c r="J3" s="373"/>
    </row>
    <row r="5" spans="1:10" x14ac:dyDescent="0.25">
      <c r="A5" s="125"/>
      <c r="C5" s="374" t="s">
        <v>96</v>
      </c>
      <c r="D5" s="375"/>
      <c r="E5" s="376"/>
      <c r="F5" s="129"/>
      <c r="G5" s="130"/>
      <c r="H5" s="131"/>
      <c r="I5" s="131"/>
      <c r="J5" s="132"/>
    </row>
    <row r="6" spans="1:10" x14ac:dyDescent="0.25">
      <c r="A6" s="133" t="s">
        <v>2</v>
      </c>
      <c r="C6" s="126" t="s">
        <v>6</v>
      </c>
      <c r="D6" s="127" t="s">
        <v>4</v>
      </c>
      <c r="E6" s="128" t="s">
        <v>5</v>
      </c>
      <c r="F6" s="129"/>
      <c r="G6" s="368" t="s">
        <v>97</v>
      </c>
      <c r="H6" s="369"/>
      <c r="I6" s="369"/>
      <c r="J6" s="370"/>
    </row>
    <row r="7" spans="1:10" ht="6" customHeight="1" x14ac:dyDescent="0.25">
      <c r="A7" s="138"/>
      <c r="C7" s="139"/>
      <c r="D7" s="140"/>
      <c r="E7" s="141"/>
      <c r="G7" s="142"/>
      <c r="H7" s="143"/>
      <c r="I7" s="143"/>
      <c r="J7" s="134"/>
    </row>
    <row r="8" spans="1:10" x14ac:dyDescent="0.25">
      <c r="A8" s="135" t="s">
        <v>20</v>
      </c>
      <c r="C8" s="144">
        <v>0</v>
      </c>
      <c r="D8" s="145" t="e">
        <f>(ROUND((#REF!/4),0))</f>
        <v>#REF!</v>
      </c>
      <c r="E8" s="167" t="e">
        <f>C8-D8</f>
        <v>#REF!</v>
      </c>
      <c r="G8" s="139"/>
      <c r="H8" s="140"/>
      <c r="I8" s="140"/>
      <c r="J8" s="141"/>
    </row>
    <row r="9" spans="1:10" x14ac:dyDescent="0.25">
      <c r="A9" s="135" t="s">
        <v>21</v>
      </c>
      <c r="C9" s="144">
        <v>0</v>
      </c>
      <c r="D9" s="145" t="e">
        <f>(ROUND((#REF!/4),0))</f>
        <v>#REF!</v>
      </c>
      <c r="E9" s="167" t="e">
        <f t="shared" ref="E9:E16" si="0">C9-D9</f>
        <v>#REF!</v>
      </c>
      <c r="G9" s="139"/>
      <c r="H9" s="140"/>
      <c r="I9" s="140"/>
      <c r="J9" s="141"/>
    </row>
    <row r="10" spans="1:10" x14ac:dyDescent="0.25">
      <c r="A10" s="135" t="s">
        <v>22</v>
      </c>
      <c r="C10" s="144">
        <v>0</v>
      </c>
      <c r="D10" s="145" t="e">
        <f>(ROUND((#REF!/4),0))</f>
        <v>#REF!</v>
      </c>
      <c r="E10" s="167" t="e">
        <f t="shared" si="0"/>
        <v>#REF!</v>
      </c>
      <c r="G10" s="139"/>
      <c r="H10" s="140"/>
      <c r="I10" s="140"/>
      <c r="J10" s="141"/>
    </row>
    <row r="11" spans="1:10" x14ac:dyDescent="0.25">
      <c r="A11" s="135" t="s">
        <v>23</v>
      </c>
      <c r="C11" s="144">
        <v>0</v>
      </c>
      <c r="D11" s="145" t="e">
        <f>(ROUND((#REF!/4),0))</f>
        <v>#REF!</v>
      </c>
      <c r="E11" s="167" t="e">
        <f t="shared" si="0"/>
        <v>#REF!</v>
      </c>
      <c r="G11" s="139"/>
      <c r="H11" s="140"/>
      <c r="I11" s="140"/>
      <c r="J11" s="141"/>
    </row>
    <row r="12" spans="1:10" x14ac:dyDescent="0.25">
      <c r="A12" s="135" t="s">
        <v>24</v>
      </c>
      <c r="C12" s="144">
        <v>0</v>
      </c>
      <c r="D12" s="145" t="e">
        <f>(ROUND((#REF!/4),0))</f>
        <v>#REF!</v>
      </c>
      <c r="E12" s="167" t="e">
        <f t="shared" si="0"/>
        <v>#REF!</v>
      </c>
      <c r="G12" s="139"/>
      <c r="H12" s="140"/>
      <c r="I12" s="140"/>
      <c r="J12" s="141"/>
    </row>
    <row r="13" spans="1:10" x14ac:dyDescent="0.25">
      <c r="A13" s="135" t="s">
        <v>64</v>
      </c>
      <c r="C13" s="144">
        <v>0</v>
      </c>
      <c r="D13" s="145" t="e">
        <f>(ROUND((#REF!/4),0))</f>
        <v>#REF!</v>
      </c>
      <c r="E13" s="167" t="e">
        <f t="shared" si="0"/>
        <v>#REF!</v>
      </c>
      <c r="G13" s="139"/>
      <c r="H13" s="140"/>
      <c r="I13" s="140"/>
      <c r="J13" s="141"/>
    </row>
    <row r="14" spans="1:10" x14ac:dyDescent="0.25">
      <c r="A14" s="135" t="s">
        <v>27</v>
      </c>
      <c r="C14" s="144">
        <v>0</v>
      </c>
      <c r="D14" s="145" t="e">
        <f>(ROUND((#REF!/4),0))</f>
        <v>#REF!</v>
      </c>
      <c r="E14" s="167" t="e">
        <f t="shared" si="0"/>
        <v>#REF!</v>
      </c>
      <c r="G14" s="139"/>
      <c r="H14" s="140"/>
      <c r="I14" s="140"/>
      <c r="J14" s="141"/>
    </row>
    <row r="15" spans="1:10" x14ac:dyDescent="0.25">
      <c r="A15" s="135" t="s">
        <v>28</v>
      </c>
      <c r="C15" s="144">
        <v>0</v>
      </c>
      <c r="D15" s="145" t="e">
        <f>(ROUND((#REF!/4),0))</f>
        <v>#REF!</v>
      </c>
      <c r="E15" s="167" t="e">
        <f t="shared" si="0"/>
        <v>#REF!</v>
      </c>
      <c r="G15" s="139"/>
      <c r="H15" s="140"/>
      <c r="I15" s="140"/>
      <c r="J15" s="141"/>
    </row>
    <row r="16" spans="1:10" x14ac:dyDescent="0.25">
      <c r="A16" s="135" t="s">
        <v>29</v>
      </c>
      <c r="C16" s="144">
        <v>0</v>
      </c>
      <c r="D16" s="145" t="e">
        <f>(ROUND((#REF!/4),0))</f>
        <v>#REF!</v>
      </c>
      <c r="E16" s="167" t="e">
        <f t="shared" si="0"/>
        <v>#REF!</v>
      </c>
      <c r="G16" s="139"/>
      <c r="H16" s="140"/>
      <c r="I16" s="140"/>
      <c r="J16" s="141"/>
    </row>
    <row r="17" spans="1:10" s="160" customFormat="1" x14ac:dyDescent="0.25">
      <c r="A17" s="136" t="s">
        <v>7</v>
      </c>
      <c r="C17" s="161">
        <f>SUM(C8:C16)</f>
        <v>0</v>
      </c>
      <c r="D17" s="162" t="e">
        <f>SUM(D8:D16)</f>
        <v>#REF!</v>
      </c>
      <c r="E17" s="168" t="e">
        <f>SUM(E8:E16)</f>
        <v>#REF!</v>
      </c>
      <c r="G17" s="164"/>
      <c r="H17" s="165"/>
      <c r="I17" s="165"/>
      <c r="J17" s="166"/>
    </row>
    <row r="18" spans="1:10" ht="6.75" customHeight="1" x14ac:dyDescent="0.25">
      <c r="A18" s="135"/>
      <c r="C18" s="144"/>
      <c r="D18" s="145"/>
      <c r="E18" s="167"/>
      <c r="G18" s="139"/>
      <c r="H18" s="140"/>
      <c r="I18" s="140"/>
      <c r="J18" s="141"/>
    </row>
    <row r="19" spans="1:10" x14ac:dyDescent="0.25">
      <c r="A19" s="135" t="s">
        <v>25</v>
      </c>
      <c r="C19" s="144">
        <v>0</v>
      </c>
      <c r="D19" s="145" t="e">
        <f>(ROUND((#REF!/4),0))</f>
        <v>#REF!</v>
      </c>
      <c r="E19" s="167" t="e">
        <f t="shared" ref="E19:E24" si="1">C19-D19</f>
        <v>#REF!</v>
      </c>
      <c r="G19" s="139"/>
      <c r="H19" s="140"/>
      <c r="I19" s="140"/>
      <c r="J19" s="141"/>
    </row>
    <row r="20" spans="1:10" x14ac:dyDescent="0.25">
      <c r="A20" s="135" t="s">
        <v>26</v>
      </c>
      <c r="C20" s="144">
        <v>0</v>
      </c>
      <c r="D20" s="145" t="e">
        <f>(ROUND((#REF!/4),0))</f>
        <v>#REF!</v>
      </c>
      <c r="E20" s="167" t="e">
        <f t="shared" si="1"/>
        <v>#REF!</v>
      </c>
      <c r="G20" s="139"/>
      <c r="H20" s="140"/>
      <c r="I20" s="140"/>
      <c r="J20" s="141"/>
    </row>
    <row r="21" spans="1:10" x14ac:dyDescent="0.25">
      <c r="A21" s="135" t="s">
        <v>32</v>
      </c>
      <c r="C21" s="144">
        <v>0</v>
      </c>
      <c r="D21" s="145" t="e">
        <f>(ROUND((#REF!/4),0))</f>
        <v>#REF!</v>
      </c>
      <c r="E21" s="167" t="e">
        <f t="shared" si="1"/>
        <v>#REF!</v>
      </c>
      <c r="G21" s="139"/>
      <c r="H21" s="140"/>
      <c r="I21" s="140"/>
      <c r="J21" s="141"/>
    </row>
    <row r="22" spans="1:10" x14ac:dyDescent="0.25">
      <c r="A22" s="135" t="s">
        <v>30</v>
      </c>
      <c r="C22" s="144">
        <v>0</v>
      </c>
      <c r="D22" s="145" t="e">
        <f>(ROUND((#REF!/4),0))</f>
        <v>#REF!</v>
      </c>
      <c r="E22" s="167" t="e">
        <f t="shared" si="1"/>
        <v>#REF!</v>
      </c>
      <c r="G22" s="139"/>
      <c r="H22" s="140"/>
      <c r="I22" s="140"/>
      <c r="J22" s="141"/>
    </row>
    <row r="23" spans="1:10" x14ac:dyDescent="0.25">
      <c r="A23" s="135" t="s">
        <v>31</v>
      </c>
      <c r="C23" s="144">
        <v>0</v>
      </c>
      <c r="D23" s="145" t="e">
        <f>(ROUND((#REF!/4),0))</f>
        <v>#REF!</v>
      </c>
      <c r="E23" s="167" t="e">
        <f t="shared" si="1"/>
        <v>#REF!</v>
      </c>
      <c r="G23" s="139"/>
      <c r="H23" s="140"/>
      <c r="I23" s="140"/>
      <c r="J23" s="141"/>
    </row>
    <row r="24" spans="1:10" x14ac:dyDescent="0.25">
      <c r="A24" s="135" t="s">
        <v>33</v>
      </c>
      <c r="C24" s="144">
        <v>0</v>
      </c>
      <c r="D24" s="145" t="e">
        <f>(ROUND((#REF!/4),0))</f>
        <v>#REF!</v>
      </c>
      <c r="E24" s="167" t="e">
        <f t="shared" si="1"/>
        <v>#REF!</v>
      </c>
      <c r="G24" s="139"/>
      <c r="H24" s="140"/>
      <c r="I24" s="140"/>
      <c r="J24" s="141"/>
    </row>
    <row r="25" spans="1:10" s="160" customFormat="1" x14ac:dyDescent="0.25">
      <c r="A25" s="136" t="s">
        <v>8</v>
      </c>
      <c r="C25" s="161">
        <f>SUM(C19:C24)</f>
        <v>0</v>
      </c>
      <c r="D25" s="162" t="e">
        <f>SUM(D19:D24)</f>
        <v>#REF!</v>
      </c>
      <c r="E25" s="168" t="e">
        <f>SUM(E19:E24)</f>
        <v>#REF!</v>
      </c>
      <c r="G25" s="164"/>
      <c r="H25" s="165"/>
      <c r="I25" s="165"/>
      <c r="J25" s="166"/>
    </row>
    <row r="26" spans="1:10" ht="8.25" customHeight="1" x14ac:dyDescent="0.25">
      <c r="A26" s="135"/>
      <c r="C26" s="144"/>
      <c r="D26" s="145"/>
      <c r="E26" s="167"/>
      <c r="G26" s="139"/>
      <c r="H26" s="140"/>
      <c r="I26" s="140"/>
      <c r="J26" s="141"/>
    </row>
    <row r="27" spans="1:10" x14ac:dyDescent="0.25">
      <c r="A27" s="135" t="s">
        <v>34</v>
      </c>
      <c r="C27" s="144">
        <v>0</v>
      </c>
      <c r="D27" s="145" t="e">
        <f>(ROUND((#REF!/4),0))</f>
        <v>#REF!</v>
      </c>
      <c r="E27" s="167" t="e">
        <f t="shared" ref="E27:E34" si="2">C27-D27</f>
        <v>#REF!</v>
      </c>
      <c r="G27" s="139"/>
      <c r="H27" s="140"/>
      <c r="I27" s="140"/>
      <c r="J27" s="141"/>
    </row>
    <row r="28" spans="1:10" x14ac:dyDescent="0.25">
      <c r="A28" s="135" t="s">
        <v>35</v>
      </c>
      <c r="C28" s="144">
        <v>0</v>
      </c>
      <c r="D28" s="145" t="e">
        <f>(ROUND((#REF!/4),0))</f>
        <v>#REF!</v>
      </c>
      <c r="E28" s="167" t="e">
        <f t="shared" si="2"/>
        <v>#REF!</v>
      </c>
      <c r="G28" s="139"/>
      <c r="H28" s="140"/>
      <c r="I28" s="140"/>
      <c r="J28" s="141"/>
    </row>
    <row r="29" spans="1:10" x14ac:dyDescent="0.25">
      <c r="A29" s="135" t="s">
        <v>36</v>
      </c>
      <c r="C29" s="144">
        <v>0</v>
      </c>
      <c r="D29" s="145" t="e">
        <f>(ROUND((#REF!/4),0))</f>
        <v>#REF!</v>
      </c>
      <c r="E29" s="167" t="e">
        <f t="shared" si="2"/>
        <v>#REF!</v>
      </c>
      <c r="G29" s="139"/>
      <c r="H29" s="140"/>
      <c r="I29" s="140"/>
      <c r="J29" s="141"/>
    </row>
    <row r="30" spans="1:10" x14ac:dyDescent="0.25">
      <c r="A30" s="135" t="s">
        <v>37</v>
      </c>
      <c r="C30" s="144">
        <v>0</v>
      </c>
      <c r="D30" s="145" t="e">
        <f>(ROUND((#REF!/4),0))</f>
        <v>#REF!</v>
      </c>
      <c r="E30" s="167" t="e">
        <f t="shared" si="2"/>
        <v>#REF!</v>
      </c>
      <c r="G30" s="139"/>
      <c r="H30" s="140"/>
      <c r="I30" s="140"/>
      <c r="J30" s="141"/>
    </row>
    <row r="31" spans="1:10" x14ac:dyDescent="0.25">
      <c r="A31" s="135" t="s">
        <v>38</v>
      </c>
      <c r="C31" s="144">
        <v>0</v>
      </c>
      <c r="D31" s="145" t="e">
        <f>(ROUND((#REF!/4),0))</f>
        <v>#REF!</v>
      </c>
      <c r="E31" s="167" t="e">
        <f t="shared" si="2"/>
        <v>#REF!</v>
      </c>
      <c r="G31" s="139"/>
      <c r="H31" s="140"/>
      <c r="I31" s="140"/>
      <c r="J31" s="141"/>
    </row>
    <row r="32" spans="1:10" x14ac:dyDescent="0.25">
      <c r="A32" s="135" t="s">
        <v>39</v>
      </c>
      <c r="C32" s="144">
        <v>0</v>
      </c>
      <c r="D32" s="145" t="e">
        <f>(ROUND((#REF!/4),0))</f>
        <v>#REF!</v>
      </c>
      <c r="E32" s="167" t="e">
        <f t="shared" si="2"/>
        <v>#REF!</v>
      </c>
      <c r="G32" s="139"/>
      <c r="H32" s="140"/>
      <c r="I32" s="140"/>
      <c r="J32" s="141"/>
    </row>
    <row r="33" spans="1:10" x14ac:dyDescent="0.25">
      <c r="A33" s="135" t="s">
        <v>40</v>
      </c>
      <c r="C33" s="144">
        <v>0</v>
      </c>
      <c r="D33" s="145" t="e">
        <f>(ROUND((#REF!/4),0))</f>
        <v>#REF!</v>
      </c>
      <c r="E33" s="167" t="e">
        <f t="shared" si="2"/>
        <v>#REF!</v>
      </c>
      <c r="G33" s="139"/>
      <c r="H33" s="140"/>
      <c r="I33" s="140"/>
      <c r="J33" s="141"/>
    </row>
    <row r="34" spans="1:10" x14ac:dyDescent="0.25">
      <c r="A34" s="135" t="s">
        <v>41</v>
      </c>
      <c r="C34" s="144">
        <v>0</v>
      </c>
      <c r="D34" s="145" t="e">
        <f>(ROUND((#REF!/4),0))</f>
        <v>#REF!</v>
      </c>
      <c r="E34" s="167" t="e">
        <f t="shared" si="2"/>
        <v>#REF!</v>
      </c>
      <c r="G34" s="139"/>
      <c r="H34" s="140"/>
      <c r="I34" s="140"/>
      <c r="J34" s="141"/>
    </row>
    <row r="35" spans="1:10" x14ac:dyDescent="0.25">
      <c r="A35" s="135" t="s">
        <v>101</v>
      </c>
      <c r="C35" s="144"/>
      <c r="D35" s="145" t="e">
        <f>(ROUND((#REF!/4),0))</f>
        <v>#REF!</v>
      </c>
      <c r="E35" s="167"/>
      <c r="G35" s="139"/>
      <c r="H35" s="140"/>
      <c r="I35" s="140"/>
      <c r="J35" s="141"/>
    </row>
    <row r="36" spans="1:10" s="160" customFormat="1" x14ac:dyDescent="0.25">
      <c r="A36" s="136" t="s">
        <v>9</v>
      </c>
      <c r="C36" s="161">
        <f>SUM(C27:C34)</f>
        <v>0</v>
      </c>
      <c r="D36" s="162" t="e">
        <f>SUM(D27:D34)</f>
        <v>#REF!</v>
      </c>
      <c r="E36" s="168" t="e">
        <f>SUM(E27:E34)</f>
        <v>#REF!</v>
      </c>
      <c r="G36" s="164"/>
      <c r="H36" s="165"/>
      <c r="I36" s="165"/>
      <c r="J36" s="166"/>
    </row>
    <row r="37" spans="1:10" ht="9" customHeight="1" x14ac:dyDescent="0.25">
      <c r="A37" s="135"/>
      <c r="C37" s="144"/>
      <c r="D37" s="145"/>
      <c r="E37" s="167"/>
      <c r="G37" s="139"/>
      <c r="H37" s="140"/>
      <c r="I37" s="140"/>
      <c r="J37" s="141"/>
    </row>
    <row r="38" spans="1:10" x14ac:dyDescent="0.25">
      <c r="A38" s="135" t="s">
        <v>42</v>
      </c>
      <c r="C38" s="144">
        <v>0</v>
      </c>
      <c r="D38" s="145" t="e">
        <f>(ROUND((#REF!/4),0))</f>
        <v>#REF!</v>
      </c>
      <c r="E38" s="167" t="e">
        <f t="shared" ref="E38:E43" si="3">C38-D38</f>
        <v>#REF!</v>
      </c>
      <c r="G38" s="139"/>
      <c r="H38" s="140"/>
      <c r="I38" s="140"/>
      <c r="J38" s="141"/>
    </row>
    <row r="39" spans="1:10" x14ac:dyDescent="0.25">
      <c r="A39" s="135" t="s">
        <v>43</v>
      </c>
      <c r="C39" s="144">
        <v>0</v>
      </c>
      <c r="D39" s="145" t="e">
        <f>(ROUND((#REF!/4),0))</f>
        <v>#REF!</v>
      </c>
      <c r="E39" s="167" t="e">
        <f t="shared" si="3"/>
        <v>#REF!</v>
      </c>
      <c r="G39" s="139"/>
      <c r="H39" s="140"/>
      <c r="I39" s="140"/>
      <c r="J39" s="141"/>
    </row>
    <row r="40" spans="1:10" x14ac:dyDescent="0.25">
      <c r="A40" s="135" t="s">
        <v>65</v>
      </c>
      <c r="C40" s="144">
        <v>0</v>
      </c>
      <c r="D40" s="145" t="e">
        <f>(ROUND((#REF!/4),0))</f>
        <v>#REF!</v>
      </c>
      <c r="E40" s="167" t="e">
        <f t="shared" si="3"/>
        <v>#REF!</v>
      </c>
      <c r="G40" s="139"/>
      <c r="H40" s="140"/>
      <c r="I40" s="140"/>
      <c r="J40" s="141"/>
    </row>
    <row r="41" spans="1:10" x14ac:dyDescent="0.25">
      <c r="A41" s="135" t="s">
        <v>66</v>
      </c>
      <c r="C41" s="144">
        <v>0</v>
      </c>
      <c r="D41" s="145" t="e">
        <f>(ROUND((#REF!/4),0))</f>
        <v>#REF!</v>
      </c>
      <c r="E41" s="167" t="e">
        <f t="shared" si="3"/>
        <v>#REF!</v>
      </c>
      <c r="G41" s="139"/>
      <c r="H41" s="140"/>
      <c r="I41" s="140"/>
      <c r="J41" s="141"/>
    </row>
    <row r="42" spans="1:10" x14ac:dyDescent="0.25">
      <c r="A42" s="135" t="s">
        <v>44</v>
      </c>
      <c r="C42" s="144">
        <v>0</v>
      </c>
      <c r="D42" s="145" t="e">
        <f>(ROUND((#REF!/4),0))</f>
        <v>#REF!</v>
      </c>
      <c r="E42" s="167" t="e">
        <f t="shared" si="3"/>
        <v>#REF!</v>
      </c>
      <c r="G42" s="139"/>
      <c r="H42" s="140"/>
      <c r="I42" s="140"/>
      <c r="J42" s="141"/>
    </row>
    <row r="43" spans="1:10" x14ac:dyDescent="0.25">
      <c r="A43" s="135" t="s">
        <v>45</v>
      </c>
      <c r="C43" s="144">
        <v>0</v>
      </c>
      <c r="D43" s="145" t="e">
        <f>(ROUND((#REF!/4),0))</f>
        <v>#REF!</v>
      </c>
      <c r="E43" s="167" t="e">
        <f t="shared" si="3"/>
        <v>#REF!</v>
      </c>
      <c r="G43" s="139"/>
      <c r="H43" s="140"/>
      <c r="I43" s="140"/>
      <c r="J43" s="141"/>
    </row>
    <row r="44" spans="1:10" s="160" customFormat="1" x14ac:dyDescent="0.25">
      <c r="A44" s="136" t="s">
        <v>10</v>
      </c>
      <c r="C44" s="161">
        <f>SUM(C38:C43)</f>
        <v>0</v>
      </c>
      <c r="D44" s="162" t="e">
        <f>SUM(D38:D43)</f>
        <v>#REF!</v>
      </c>
      <c r="E44" s="168" t="e">
        <f>SUM(E38:E43)</f>
        <v>#REF!</v>
      </c>
      <c r="G44" s="164"/>
      <c r="H44" s="165"/>
      <c r="I44" s="165"/>
      <c r="J44" s="166"/>
    </row>
    <row r="45" spans="1:10" ht="7.5" customHeight="1" x14ac:dyDescent="0.25">
      <c r="A45" s="135"/>
      <c r="C45" s="144"/>
      <c r="D45" s="145"/>
      <c r="E45" s="167"/>
      <c r="G45" s="139"/>
      <c r="H45" s="140"/>
      <c r="I45" s="140"/>
      <c r="J45" s="141"/>
    </row>
    <row r="46" spans="1:10" x14ac:dyDescent="0.25">
      <c r="A46" s="135" t="s">
        <v>74</v>
      </c>
      <c r="C46" s="144">
        <v>0</v>
      </c>
      <c r="D46" s="145" t="e">
        <f>(ROUND((#REF!/4),0))</f>
        <v>#REF!</v>
      </c>
      <c r="E46" s="167" t="e">
        <f t="shared" ref="E46:E64" si="4">C46-D46</f>
        <v>#REF!</v>
      </c>
      <c r="G46" s="139"/>
      <c r="H46" s="140"/>
      <c r="I46" s="140"/>
      <c r="J46" s="141"/>
    </row>
    <row r="47" spans="1:10" x14ac:dyDescent="0.25">
      <c r="A47" s="135" t="s">
        <v>102</v>
      </c>
      <c r="C47" s="144">
        <v>0</v>
      </c>
      <c r="D47" s="145" t="e">
        <f>(ROUND((#REF!/4),0))</f>
        <v>#REF!</v>
      </c>
      <c r="E47" s="167" t="e">
        <f t="shared" si="4"/>
        <v>#REF!</v>
      </c>
      <c r="G47" s="139"/>
      <c r="H47" s="140"/>
      <c r="I47" s="140"/>
      <c r="J47" s="141"/>
    </row>
    <row r="48" spans="1:10" x14ac:dyDescent="0.25">
      <c r="A48" s="135" t="s">
        <v>103</v>
      </c>
      <c r="C48" s="144">
        <v>0</v>
      </c>
      <c r="D48" s="145" t="e">
        <f>(ROUND((#REF!/4),0))</f>
        <v>#REF!</v>
      </c>
      <c r="E48" s="167" t="e">
        <f t="shared" si="4"/>
        <v>#REF!</v>
      </c>
      <c r="G48" s="139"/>
      <c r="H48" s="140"/>
      <c r="I48" s="140"/>
      <c r="J48" s="141"/>
    </row>
    <row r="49" spans="1:10" x14ac:dyDescent="0.25">
      <c r="A49" s="135" t="s">
        <v>104</v>
      </c>
      <c r="C49" s="144">
        <v>0</v>
      </c>
      <c r="D49" s="145" t="e">
        <f>(ROUND((#REF!/4),0))</f>
        <v>#REF!</v>
      </c>
      <c r="E49" s="167" t="e">
        <f t="shared" si="4"/>
        <v>#REF!</v>
      </c>
      <c r="G49" s="139"/>
      <c r="H49" s="140"/>
      <c r="I49" s="140"/>
      <c r="J49" s="141"/>
    </row>
    <row r="50" spans="1:10" x14ac:dyDescent="0.25">
      <c r="A50" s="135" t="s">
        <v>105</v>
      </c>
      <c r="C50" s="144">
        <v>0</v>
      </c>
      <c r="D50" s="145" t="e">
        <f>(ROUND((#REF!/4),0))</f>
        <v>#REF!</v>
      </c>
      <c r="E50" s="167" t="e">
        <f t="shared" si="4"/>
        <v>#REF!</v>
      </c>
      <c r="G50" s="139"/>
      <c r="H50" s="140"/>
      <c r="I50" s="140"/>
      <c r="J50" s="141"/>
    </row>
    <row r="51" spans="1:10" x14ac:dyDescent="0.25">
      <c r="A51" s="135" t="s">
        <v>106</v>
      </c>
      <c r="C51" s="144">
        <v>0</v>
      </c>
      <c r="D51" s="145" t="e">
        <f>(ROUND((#REF!/4),0))</f>
        <v>#REF!</v>
      </c>
      <c r="E51" s="167" t="e">
        <f t="shared" si="4"/>
        <v>#REF!</v>
      </c>
      <c r="G51" s="139"/>
      <c r="H51" s="140"/>
      <c r="I51" s="140"/>
      <c r="J51" s="141"/>
    </row>
    <row r="52" spans="1:10" x14ac:dyDescent="0.25">
      <c r="A52" s="135" t="s">
        <v>69</v>
      </c>
      <c r="C52" s="144">
        <v>0</v>
      </c>
      <c r="D52" s="145" t="e">
        <f>(ROUND((#REF!/4),0))</f>
        <v>#REF!</v>
      </c>
      <c r="E52" s="167" t="e">
        <f t="shared" si="4"/>
        <v>#REF!</v>
      </c>
      <c r="G52" s="139"/>
      <c r="H52" s="140"/>
      <c r="I52" s="140"/>
      <c r="J52" s="141"/>
    </row>
    <row r="53" spans="1:10" x14ac:dyDescent="0.25">
      <c r="A53" s="135" t="s">
        <v>68</v>
      </c>
      <c r="C53" s="144">
        <v>0</v>
      </c>
      <c r="D53" s="145" t="e">
        <f>(ROUND((#REF!/4),0))</f>
        <v>#REF!</v>
      </c>
      <c r="E53" s="167" t="e">
        <f t="shared" si="4"/>
        <v>#REF!</v>
      </c>
      <c r="G53" s="139"/>
      <c r="H53" s="140"/>
      <c r="I53" s="140"/>
      <c r="J53" s="141"/>
    </row>
    <row r="54" spans="1:10" x14ac:dyDescent="0.25">
      <c r="A54" s="135" t="s">
        <v>67</v>
      </c>
      <c r="C54" s="144">
        <v>0</v>
      </c>
      <c r="D54" s="145" t="e">
        <f>(ROUND((#REF!/4),0))</f>
        <v>#REF!</v>
      </c>
      <c r="E54" s="167" t="e">
        <f t="shared" si="4"/>
        <v>#REF!</v>
      </c>
      <c r="G54" s="139"/>
      <c r="H54" s="140"/>
      <c r="I54" s="140"/>
      <c r="J54" s="141"/>
    </row>
    <row r="55" spans="1:10" x14ac:dyDescent="0.25">
      <c r="A55" s="135" t="s">
        <v>46</v>
      </c>
      <c r="C55" s="144">
        <v>0</v>
      </c>
      <c r="D55" s="145" t="e">
        <f>(ROUND((#REF!/4),0))</f>
        <v>#REF!</v>
      </c>
      <c r="E55" s="167" t="e">
        <f t="shared" si="4"/>
        <v>#REF!</v>
      </c>
      <c r="G55" s="139"/>
      <c r="H55" s="140"/>
      <c r="I55" s="140"/>
      <c r="J55" s="141"/>
    </row>
    <row r="56" spans="1:10" x14ac:dyDescent="0.25">
      <c r="A56" s="135" t="s">
        <v>47</v>
      </c>
      <c r="C56" s="144">
        <v>0</v>
      </c>
      <c r="D56" s="145" t="e">
        <f>(ROUND((#REF!/4),0))</f>
        <v>#REF!</v>
      </c>
      <c r="E56" s="167" t="e">
        <f t="shared" si="4"/>
        <v>#REF!</v>
      </c>
      <c r="G56" s="139"/>
      <c r="H56" s="140"/>
      <c r="I56" s="140"/>
      <c r="J56" s="141"/>
    </row>
    <row r="57" spans="1:10" x14ac:dyDescent="0.25">
      <c r="A57" s="135" t="s">
        <v>48</v>
      </c>
      <c r="C57" s="144">
        <v>0</v>
      </c>
      <c r="D57" s="145" t="e">
        <f>(ROUND((#REF!/4),0))</f>
        <v>#REF!</v>
      </c>
      <c r="E57" s="167" t="e">
        <f t="shared" si="4"/>
        <v>#REF!</v>
      </c>
      <c r="G57" s="139"/>
      <c r="H57" s="140"/>
      <c r="I57" s="140"/>
      <c r="J57" s="141"/>
    </row>
    <row r="58" spans="1:10" x14ac:dyDescent="0.25">
      <c r="A58" s="135" t="s">
        <v>63</v>
      </c>
      <c r="C58" s="144">
        <v>0</v>
      </c>
      <c r="D58" s="145" t="e">
        <f>(ROUND((#REF!/4),0))</f>
        <v>#REF!</v>
      </c>
      <c r="E58" s="167" t="e">
        <f t="shared" si="4"/>
        <v>#REF!</v>
      </c>
      <c r="G58" s="139"/>
      <c r="H58" s="140"/>
      <c r="I58" s="140"/>
      <c r="J58" s="141"/>
    </row>
    <row r="59" spans="1:10" x14ac:dyDescent="0.25">
      <c r="A59" s="135" t="s">
        <v>49</v>
      </c>
      <c r="C59" s="144">
        <v>0</v>
      </c>
      <c r="D59" s="145" t="e">
        <f>(ROUND((#REF!/4),0))</f>
        <v>#REF!</v>
      </c>
      <c r="E59" s="167" t="e">
        <f t="shared" si="4"/>
        <v>#REF!</v>
      </c>
      <c r="G59" s="139"/>
      <c r="H59" s="140"/>
      <c r="I59" s="140"/>
      <c r="J59" s="141"/>
    </row>
    <row r="60" spans="1:10" x14ac:dyDescent="0.25">
      <c r="A60" s="135" t="s">
        <v>50</v>
      </c>
      <c r="C60" s="144">
        <v>0</v>
      </c>
      <c r="D60" s="145" t="e">
        <f>(ROUND((#REF!/4),0))</f>
        <v>#REF!</v>
      </c>
      <c r="E60" s="167" t="e">
        <f t="shared" si="4"/>
        <v>#REF!</v>
      </c>
      <c r="G60" s="139"/>
      <c r="H60" s="140"/>
      <c r="I60" s="140"/>
      <c r="J60" s="141"/>
    </row>
    <row r="61" spans="1:10" x14ac:dyDescent="0.25">
      <c r="A61" s="135" t="s">
        <v>71</v>
      </c>
      <c r="C61" s="144">
        <v>0</v>
      </c>
      <c r="D61" s="145" t="e">
        <f>(ROUND((#REF!/4),0))</f>
        <v>#REF!</v>
      </c>
      <c r="E61" s="167" t="e">
        <f t="shared" si="4"/>
        <v>#REF!</v>
      </c>
      <c r="G61" s="139"/>
      <c r="H61" s="140"/>
      <c r="I61" s="140"/>
      <c r="J61" s="141"/>
    </row>
    <row r="62" spans="1:10" x14ac:dyDescent="0.25">
      <c r="A62" s="135" t="s">
        <v>73</v>
      </c>
      <c r="C62" s="144">
        <v>0</v>
      </c>
      <c r="D62" s="145" t="e">
        <f>(ROUND((#REF!/4),0))</f>
        <v>#REF!</v>
      </c>
      <c r="E62" s="167" t="e">
        <f t="shared" si="4"/>
        <v>#REF!</v>
      </c>
      <c r="G62" s="139"/>
      <c r="H62" s="140"/>
      <c r="I62" s="140"/>
      <c r="J62" s="141"/>
    </row>
    <row r="63" spans="1:10" x14ac:dyDescent="0.25">
      <c r="A63" s="137" t="s">
        <v>72</v>
      </c>
      <c r="C63" s="144">
        <v>0</v>
      </c>
      <c r="D63" s="145" t="e">
        <f>(ROUND((#REF!/4),0))</f>
        <v>#REF!</v>
      </c>
      <c r="E63" s="167" t="e">
        <f t="shared" si="4"/>
        <v>#REF!</v>
      </c>
      <c r="G63" s="139"/>
      <c r="H63" s="140"/>
      <c r="I63" s="140"/>
      <c r="J63" s="141"/>
    </row>
    <row r="64" spans="1:10" x14ac:dyDescent="0.25">
      <c r="A64" s="137" t="s">
        <v>11</v>
      </c>
      <c r="C64" s="144">
        <v>0</v>
      </c>
      <c r="D64" s="145" t="e">
        <f>(ROUND((#REF!/4),0))</f>
        <v>#REF!</v>
      </c>
      <c r="E64" s="167" t="e">
        <f t="shared" si="4"/>
        <v>#REF!</v>
      </c>
      <c r="G64" s="139"/>
      <c r="H64" s="140"/>
      <c r="I64" s="140"/>
      <c r="J64" s="141"/>
    </row>
    <row r="65" spans="1:10" s="160" customFormat="1" x14ac:dyDescent="0.25">
      <c r="A65" s="136" t="s">
        <v>12</v>
      </c>
      <c r="C65" s="161">
        <f>SUM(C46:C64)+C44+C36+C25+C17</f>
        <v>0</v>
      </c>
      <c r="D65" s="162" t="e">
        <f>SUM(D46:D64)+D44+D36+D25+D17</f>
        <v>#REF!</v>
      </c>
      <c r="E65" s="168" t="e">
        <f>SUM(E46:E64)+E44+E36+E25+E17</f>
        <v>#REF!</v>
      </c>
      <c r="G65" s="164"/>
      <c r="H65" s="165"/>
      <c r="I65" s="165"/>
      <c r="J65" s="166"/>
    </row>
    <row r="66" spans="1:10" ht="7.5" customHeight="1" x14ac:dyDescent="0.25">
      <c r="A66" s="137"/>
      <c r="C66" s="144"/>
      <c r="D66" s="145"/>
      <c r="E66" s="167"/>
      <c r="G66" s="139"/>
      <c r="H66" s="140"/>
      <c r="I66" s="140"/>
      <c r="J66" s="141"/>
    </row>
    <row r="67" spans="1:10" x14ac:dyDescent="0.25">
      <c r="A67" s="137" t="s">
        <v>51</v>
      </c>
      <c r="C67" s="144">
        <v>0</v>
      </c>
      <c r="D67" s="145" t="e">
        <f>(ROUND((#REF!/4),0))</f>
        <v>#REF!</v>
      </c>
      <c r="E67" s="167" t="e">
        <f t="shared" ref="E67:E80" si="5">C67-D67</f>
        <v>#REF!</v>
      </c>
      <c r="G67" s="139"/>
      <c r="H67" s="140"/>
      <c r="I67" s="140"/>
      <c r="J67" s="141"/>
    </row>
    <row r="68" spans="1:10" x14ac:dyDescent="0.25">
      <c r="A68" s="137" t="s">
        <v>52</v>
      </c>
      <c r="C68" s="144">
        <v>0</v>
      </c>
      <c r="D68" s="145" t="e">
        <f>(ROUND((#REF!/4),0))</f>
        <v>#REF!</v>
      </c>
      <c r="E68" s="167" t="e">
        <f t="shared" si="5"/>
        <v>#REF!</v>
      </c>
      <c r="G68" s="139"/>
      <c r="H68" s="140"/>
      <c r="I68" s="140"/>
      <c r="J68" s="141"/>
    </row>
    <row r="69" spans="1:10" x14ac:dyDescent="0.25">
      <c r="A69" s="137" t="s">
        <v>107</v>
      </c>
      <c r="C69" s="144">
        <v>0</v>
      </c>
      <c r="D69" s="145" t="e">
        <f>(ROUND((#REF!/4),0))</f>
        <v>#REF!</v>
      </c>
      <c r="E69" s="167" t="e">
        <f t="shared" si="5"/>
        <v>#REF!</v>
      </c>
      <c r="G69" s="139"/>
      <c r="H69" s="140"/>
      <c r="I69" s="140"/>
      <c r="J69" s="141"/>
    </row>
    <row r="70" spans="1:10" x14ac:dyDescent="0.25">
      <c r="A70" s="137" t="s">
        <v>53</v>
      </c>
      <c r="C70" s="144">
        <v>0</v>
      </c>
      <c r="D70" s="145" t="e">
        <f>(ROUND((#REF!/4),0))</f>
        <v>#REF!</v>
      </c>
      <c r="E70" s="167" t="e">
        <f t="shared" si="5"/>
        <v>#REF!</v>
      </c>
      <c r="G70" s="139"/>
      <c r="H70" s="140"/>
      <c r="I70" s="140"/>
      <c r="J70" s="141"/>
    </row>
    <row r="71" spans="1:10" x14ac:dyDescent="0.25">
      <c r="A71" s="137" t="s">
        <v>54</v>
      </c>
      <c r="C71" s="144">
        <v>0</v>
      </c>
      <c r="D71" s="145" t="e">
        <f>(ROUND((#REF!/4),0))</f>
        <v>#REF!</v>
      </c>
      <c r="E71" s="167" t="e">
        <f t="shared" si="5"/>
        <v>#REF!</v>
      </c>
      <c r="G71" s="139"/>
      <c r="H71" s="140"/>
      <c r="I71" s="140"/>
      <c r="J71" s="141"/>
    </row>
    <row r="72" spans="1:10" x14ac:dyDescent="0.25">
      <c r="A72" s="137" t="s">
        <v>55</v>
      </c>
      <c r="C72" s="144">
        <v>0</v>
      </c>
      <c r="D72" s="145" t="e">
        <f>(ROUND((#REF!/4),0))</f>
        <v>#REF!</v>
      </c>
      <c r="E72" s="167" t="e">
        <f t="shared" si="5"/>
        <v>#REF!</v>
      </c>
      <c r="G72" s="139"/>
      <c r="H72" s="140"/>
      <c r="I72" s="140"/>
      <c r="J72" s="141"/>
    </row>
    <row r="73" spans="1:10" x14ac:dyDescent="0.25">
      <c r="A73" s="137" t="s">
        <v>56</v>
      </c>
      <c r="C73" s="144">
        <v>0</v>
      </c>
      <c r="D73" s="145" t="e">
        <f>(ROUND((#REF!/4),0))</f>
        <v>#REF!</v>
      </c>
      <c r="E73" s="167" t="e">
        <f t="shared" si="5"/>
        <v>#REF!</v>
      </c>
      <c r="G73" s="139"/>
      <c r="H73" s="140"/>
      <c r="I73" s="140"/>
      <c r="J73" s="141"/>
    </row>
    <row r="74" spans="1:10" x14ac:dyDescent="0.25">
      <c r="A74" s="137" t="s">
        <v>57</v>
      </c>
      <c r="C74" s="144">
        <v>0</v>
      </c>
      <c r="D74" s="145" t="e">
        <f>(ROUND((#REF!/4),0))</f>
        <v>#REF!</v>
      </c>
      <c r="E74" s="167" t="e">
        <f t="shared" si="5"/>
        <v>#REF!</v>
      </c>
      <c r="G74" s="139"/>
      <c r="H74" s="140"/>
      <c r="I74" s="140"/>
      <c r="J74" s="141"/>
    </row>
    <row r="75" spans="1:10" x14ac:dyDescent="0.25">
      <c r="A75" s="137" t="s">
        <v>59</v>
      </c>
      <c r="C75" s="144">
        <v>0</v>
      </c>
      <c r="D75" s="145" t="e">
        <f>(ROUND((#REF!/4),0))</f>
        <v>#REF!</v>
      </c>
      <c r="E75" s="167" t="e">
        <f t="shared" si="5"/>
        <v>#REF!</v>
      </c>
      <c r="G75" s="139"/>
      <c r="H75" s="140"/>
      <c r="I75" s="140"/>
      <c r="J75" s="141"/>
    </row>
    <row r="76" spans="1:10" x14ac:dyDescent="0.25">
      <c r="A76" s="137" t="s">
        <v>60</v>
      </c>
      <c r="C76" s="144">
        <v>0</v>
      </c>
      <c r="D76" s="145" t="e">
        <f>(ROUND((#REF!/4),0))</f>
        <v>#REF!</v>
      </c>
      <c r="E76" s="167" t="e">
        <f t="shared" si="5"/>
        <v>#REF!</v>
      </c>
      <c r="G76" s="139"/>
      <c r="H76" s="140"/>
      <c r="I76" s="140"/>
      <c r="J76" s="141"/>
    </row>
    <row r="77" spans="1:10" x14ac:dyDescent="0.25">
      <c r="A77" s="137" t="s">
        <v>61</v>
      </c>
      <c r="C77" s="144">
        <v>0</v>
      </c>
      <c r="D77" s="145" t="e">
        <f>(ROUND((#REF!/4),0))</f>
        <v>#REF!</v>
      </c>
      <c r="E77" s="167" t="e">
        <f t="shared" si="5"/>
        <v>#REF!</v>
      </c>
      <c r="G77" s="139"/>
      <c r="H77" s="140"/>
      <c r="I77" s="140"/>
      <c r="J77" s="141"/>
    </row>
    <row r="78" spans="1:10" x14ac:dyDescent="0.25">
      <c r="A78" s="137" t="s">
        <v>62</v>
      </c>
      <c r="C78" s="144">
        <v>0</v>
      </c>
      <c r="D78" s="145" t="e">
        <f>(ROUND((#REF!/4),0))</f>
        <v>#REF!</v>
      </c>
      <c r="E78" s="167" t="e">
        <f t="shared" si="5"/>
        <v>#REF!</v>
      </c>
      <c r="G78" s="139"/>
      <c r="H78" s="140"/>
      <c r="I78" s="140"/>
      <c r="J78" s="141"/>
    </row>
    <row r="79" spans="1:10" x14ac:dyDescent="0.25">
      <c r="A79" s="137" t="s">
        <v>58</v>
      </c>
      <c r="C79" s="144">
        <v>0</v>
      </c>
      <c r="D79" s="145" t="e">
        <f>(ROUND((#REF!/4),0))</f>
        <v>#REF!</v>
      </c>
      <c r="E79" s="167" t="e">
        <f t="shared" si="5"/>
        <v>#REF!</v>
      </c>
      <c r="G79" s="139"/>
      <c r="H79" s="140"/>
      <c r="I79" s="140"/>
      <c r="J79" s="141"/>
    </row>
    <row r="80" spans="1:10" x14ac:dyDescent="0.25">
      <c r="A80" s="137" t="s">
        <v>17</v>
      </c>
      <c r="C80" s="144">
        <v>0</v>
      </c>
      <c r="D80" s="145" t="e">
        <f>(ROUND((#REF!/4),0))</f>
        <v>#REF!</v>
      </c>
      <c r="E80" s="167" t="e">
        <f t="shared" si="5"/>
        <v>#REF!</v>
      </c>
      <c r="G80" s="139"/>
      <c r="H80" s="140"/>
      <c r="I80" s="140"/>
      <c r="J80" s="141"/>
    </row>
    <row r="81" spans="1:10" s="160" customFormat="1" x14ac:dyDescent="0.25">
      <c r="A81" s="136" t="s">
        <v>13</v>
      </c>
      <c r="C81" s="161">
        <f>SUM(C67:C80)</f>
        <v>0</v>
      </c>
      <c r="D81" s="162" t="e">
        <f>SUM(D67:D80)</f>
        <v>#REF!</v>
      </c>
      <c r="E81" s="168" t="e">
        <f>SUM(E67:E80)</f>
        <v>#REF!</v>
      </c>
      <c r="G81" s="164"/>
      <c r="H81" s="165"/>
      <c r="I81" s="165"/>
      <c r="J81" s="166"/>
    </row>
    <row r="82" spans="1:10" x14ac:dyDescent="0.25">
      <c r="A82" s="137" t="s">
        <v>19</v>
      </c>
      <c r="C82" s="144">
        <v>0</v>
      </c>
      <c r="D82" s="145" t="e">
        <f>(ROUND((#REF!/4),0))</f>
        <v>#REF!</v>
      </c>
      <c r="E82" s="167" t="e">
        <f>C82-D82</f>
        <v>#REF!</v>
      </c>
      <c r="G82" s="139"/>
      <c r="H82" s="140"/>
      <c r="I82" s="140"/>
      <c r="J82" s="141"/>
    </row>
    <row r="83" spans="1:10" x14ac:dyDescent="0.25">
      <c r="A83" s="137" t="s">
        <v>18</v>
      </c>
      <c r="C83" s="144">
        <v>0</v>
      </c>
      <c r="D83" s="145" t="e">
        <f>(ROUND((#REF!/4),0))</f>
        <v>#REF!</v>
      </c>
      <c r="E83" s="167" t="e">
        <f>C83-D83</f>
        <v>#REF!</v>
      </c>
      <c r="G83" s="139"/>
      <c r="H83" s="140"/>
      <c r="I83" s="140"/>
      <c r="J83" s="141"/>
    </row>
    <row r="84" spans="1:10" s="160" customFormat="1" x14ac:dyDescent="0.25">
      <c r="A84" s="25" t="s">
        <v>14</v>
      </c>
      <c r="C84" s="161">
        <f>C83+C82+C81+C65</f>
        <v>0</v>
      </c>
      <c r="D84" s="162" t="e">
        <f>D83+D82+D81+D65</f>
        <v>#REF!</v>
      </c>
      <c r="E84" s="168" t="e">
        <f>E83+E82+E81+E65</f>
        <v>#REF!</v>
      </c>
      <c r="G84" s="164"/>
      <c r="H84" s="165"/>
      <c r="I84" s="165"/>
      <c r="J84" s="166"/>
    </row>
    <row r="85" spans="1:10" x14ac:dyDescent="0.25">
      <c r="A85" s="137" t="s">
        <v>15</v>
      </c>
      <c r="C85" s="144">
        <v>0</v>
      </c>
      <c r="D85" s="145" t="e">
        <f>(ROUND((#REF!/4),0))</f>
        <v>#REF!</v>
      </c>
      <c r="E85" s="167" t="e">
        <f>C85-D85</f>
        <v>#REF!</v>
      </c>
      <c r="G85" s="139"/>
      <c r="H85" s="140"/>
      <c r="I85" s="140"/>
      <c r="J85" s="141"/>
    </row>
    <row r="86" spans="1:10" s="160" customFormat="1" x14ac:dyDescent="0.25">
      <c r="A86" s="96" t="s">
        <v>98</v>
      </c>
      <c r="C86" s="161">
        <f>C85+C84</f>
        <v>0</v>
      </c>
      <c r="D86" s="162" t="e">
        <f>D85+D84</f>
        <v>#REF!</v>
      </c>
      <c r="E86" s="168" t="e">
        <f>E85+E84</f>
        <v>#REF!</v>
      </c>
      <c r="G86" s="164"/>
      <c r="H86" s="165"/>
      <c r="I86" s="165"/>
      <c r="J86" s="166"/>
    </row>
  </sheetData>
  <mergeCells count="5">
    <mergeCell ref="G6:J6"/>
    <mergeCell ref="A1:J1"/>
    <mergeCell ref="A2:J2"/>
    <mergeCell ref="A3:J3"/>
    <mergeCell ref="C5:E5"/>
  </mergeCells>
  <phoneticPr fontId="0" type="noConversion"/>
  <printOptions horizontalCentered="1"/>
  <pageMargins left="0.75" right="0.75" top="0.5" bottom="0.75" header="0.5" footer="0.5"/>
  <pageSetup scale="63" orientation="portrait" r:id="rId1"/>
  <headerFooter alignWithMargins="0">
    <oddFooter>&amp;L&amp;8&amp;A
&amp;D&amp;T&amp;R&amp;8&amp;F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94"/>
  <sheetViews>
    <sheetView workbookViewId="0">
      <selection sqref="A1:N1"/>
    </sheetView>
  </sheetViews>
  <sheetFormatPr defaultRowHeight="13.2" x14ac:dyDescent="0.25"/>
  <cols>
    <col min="1" max="1" width="28.6640625" style="175" customWidth="1"/>
    <col min="2" max="2" width="2.44140625" customWidth="1"/>
    <col min="3" max="4" width="12.44140625" customWidth="1"/>
    <col min="5" max="5" width="10.109375" customWidth="1"/>
    <col min="6" max="6" width="2.33203125" customWidth="1"/>
    <col min="7" max="7" width="9.33203125" customWidth="1"/>
    <col min="8" max="8" width="10" customWidth="1"/>
    <col min="9" max="9" width="10.109375" customWidth="1"/>
    <col min="10" max="10" width="2.33203125" customWidth="1"/>
    <col min="11" max="11" width="17.6640625" customWidth="1"/>
    <col min="12" max="12" width="15.109375" customWidth="1"/>
    <col min="13" max="14" width="14.109375" customWidth="1"/>
    <col min="15" max="15" width="0.6640625" customWidth="1"/>
  </cols>
  <sheetData>
    <row r="1" spans="1:14" ht="15.6" x14ac:dyDescent="0.3">
      <c r="A1" s="377" t="s">
        <v>75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</row>
    <row r="2" spans="1:14" ht="13.8" x14ac:dyDescent="0.25">
      <c r="A2" s="378" t="s">
        <v>143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</row>
    <row r="3" spans="1:14" ht="13.8" x14ac:dyDescent="0.3">
      <c r="A3" s="366" t="str">
        <f>'QTD Mgmt Summary'!Q3</f>
        <v>Results based on activity through June 08, 2001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</row>
    <row r="4" spans="1:14" x14ac:dyDescent="0.25">
      <c r="J4" s="174"/>
    </row>
    <row r="5" spans="1:14" x14ac:dyDescent="0.25">
      <c r="A5" s="176"/>
      <c r="C5" s="374" t="s">
        <v>96</v>
      </c>
      <c r="D5" s="375"/>
      <c r="E5" s="376"/>
      <c r="F5" s="129"/>
      <c r="G5" s="374" t="s">
        <v>114</v>
      </c>
      <c r="H5" s="375"/>
      <c r="I5" s="376"/>
      <c r="J5" s="129"/>
      <c r="K5" s="130"/>
      <c r="L5" s="131"/>
      <c r="M5" s="131"/>
      <c r="N5" s="132"/>
    </row>
    <row r="6" spans="1:14" x14ac:dyDescent="0.25">
      <c r="A6" s="177" t="s">
        <v>2</v>
      </c>
      <c r="C6" s="126" t="s">
        <v>6</v>
      </c>
      <c r="D6" s="127" t="s">
        <v>4</v>
      </c>
      <c r="E6" s="128" t="s">
        <v>5</v>
      </c>
      <c r="F6" s="129"/>
      <c r="G6" s="126" t="s">
        <v>6</v>
      </c>
      <c r="H6" s="127" t="s">
        <v>4</v>
      </c>
      <c r="I6" s="128" t="s">
        <v>5</v>
      </c>
      <c r="J6" s="129"/>
      <c r="K6" s="368" t="s">
        <v>97</v>
      </c>
      <c r="L6" s="369"/>
      <c r="M6" s="369"/>
      <c r="N6" s="370"/>
    </row>
    <row r="7" spans="1:14" ht="6" customHeight="1" x14ac:dyDescent="0.25">
      <c r="A7" s="178"/>
      <c r="C7" s="139"/>
      <c r="D7" s="140"/>
      <c r="E7" s="141"/>
      <c r="G7" s="139"/>
      <c r="H7" s="140"/>
      <c r="I7" s="141"/>
      <c r="K7" s="142"/>
      <c r="L7" s="143"/>
      <c r="M7" s="143"/>
      <c r="N7" s="134"/>
    </row>
    <row r="8" spans="1:14" x14ac:dyDescent="0.25">
      <c r="A8" s="179" t="str">
        <f>'QTD Mgmt Summary'!A10</f>
        <v xml:space="preserve">    ERCOT (Smith/Tingleaf)</v>
      </c>
      <c r="C8" s="144">
        <f>D8</f>
        <v>1006</v>
      </c>
      <c r="D8" s="145">
        <v>1006</v>
      </c>
      <c r="E8" s="167">
        <f t="shared" ref="E8:E18" si="0">C8-D8</f>
        <v>0</v>
      </c>
      <c r="G8" s="144">
        <v>0</v>
      </c>
      <c r="H8" s="145">
        <v>0</v>
      </c>
      <c r="I8" s="167">
        <f>G8-H8</f>
        <v>0</v>
      </c>
      <c r="K8" s="139"/>
      <c r="L8" s="140"/>
      <c r="M8" s="140"/>
      <c r="N8" s="141"/>
    </row>
    <row r="9" spans="1:14" x14ac:dyDescent="0.25">
      <c r="A9" s="179" t="str">
        <f>'QTD Mgmt Summary'!A11</f>
        <v xml:space="preserve">    Southeast (Herndon/Kroll)</v>
      </c>
      <c r="C9" s="144">
        <f t="shared" ref="C9:C18" si="1">D9</f>
        <v>1494</v>
      </c>
      <c r="D9" s="145">
        <v>1494</v>
      </c>
      <c r="E9" s="167">
        <f t="shared" si="0"/>
        <v>0</v>
      </c>
      <c r="G9" s="144">
        <v>0</v>
      </c>
      <c r="H9" s="145">
        <v>0</v>
      </c>
      <c r="I9" s="167">
        <f>G9-H9</f>
        <v>0</v>
      </c>
      <c r="K9" s="139"/>
      <c r="L9" s="140"/>
      <c r="M9" s="140"/>
      <c r="N9" s="141"/>
    </row>
    <row r="10" spans="1:14" x14ac:dyDescent="0.25">
      <c r="A10" s="179" t="str">
        <f>'QTD Mgmt Summary'!A12</f>
        <v xml:space="preserve">    Midwest (Sturm/Baughman)</v>
      </c>
      <c r="C10" s="144">
        <f t="shared" si="1"/>
        <v>1457</v>
      </c>
      <c r="D10" s="145">
        <v>1457</v>
      </c>
      <c r="E10" s="167">
        <f t="shared" si="0"/>
        <v>0</v>
      </c>
      <c r="G10" s="144">
        <v>0</v>
      </c>
      <c r="H10" s="145">
        <v>0</v>
      </c>
      <c r="I10" s="167">
        <f>G10-H10</f>
        <v>0</v>
      </c>
      <c r="K10" s="139"/>
      <c r="L10" s="140"/>
      <c r="M10" s="140"/>
      <c r="N10" s="141"/>
    </row>
    <row r="11" spans="1:14" x14ac:dyDescent="0.25">
      <c r="A11" s="179" t="str">
        <f>'QTD Mgmt Summary'!A13</f>
        <v xml:space="preserve">    Northeast (Davis)</v>
      </c>
      <c r="C11" s="144">
        <f t="shared" si="1"/>
        <v>1885</v>
      </c>
      <c r="D11" s="145">
        <v>1885</v>
      </c>
      <c r="E11" s="167">
        <f t="shared" si="0"/>
        <v>0</v>
      </c>
      <c r="G11" s="144">
        <v>0</v>
      </c>
      <c r="H11" s="145">
        <v>0</v>
      </c>
      <c r="I11" s="167">
        <f>G11-H11</f>
        <v>0</v>
      </c>
      <c r="K11" s="139"/>
      <c r="L11" s="140"/>
      <c r="M11" s="140"/>
      <c r="N11" s="141"/>
    </row>
    <row r="12" spans="1:14" x14ac:dyDescent="0.25">
      <c r="A12" s="179" t="str">
        <f>'QTD Mgmt Summary'!A14</f>
        <v xml:space="preserve">    Management Book (Presto)</v>
      </c>
      <c r="C12" s="144">
        <f t="shared" si="1"/>
        <v>2583</v>
      </c>
      <c r="D12" s="145">
        <v>2583</v>
      </c>
      <c r="E12" s="167">
        <f t="shared" si="0"/>
        <v>0</v>
      </c>
      <c r="G12" s="144">
        <v>0</v>
      </c>
      <c r="H12" s="145">
        <v>0</v>
      </c>
      <c r="I12" s="167">
        <v>0</v>
      </c>
      <c r="K12" s="139"/>
      <c r="L12" s="140"/>
      <c r="M12" s="140"/>
      <c r="N12" s="141"/>
    </row>
    <row r="13" spans="1:14" x14ac:dyDescent="0.25">
      <c r="A13" s="179" t="str">
        <f>'QTD Mgmt Summary'!A15</f>
        <v xml:space="preserve">    Options (Arrora)</v>
      </c>
      <c r="C13" s="144">
        <f t="shared" si="1"/>
        <v>0</v>
      </c>
      <c r="D13" s="145">
        <v>0</v>
      </c>
      <c r="E13" s="167">
        <f t="shared" si="0"/>
        <v>0</v>
      </c>
      <c r="G13" s="144">
        <v>0</v>
      </c>
      <c r="H13" s="145">
        <v>0</v>
      </c>
      <c r="I13" s="167">
        <v>0</v>
      </c>
      <c r="K13" s="139"/>
      <c r="L13" s="140"/>
      <c r="M13" s="140"/>
      <c r="N13" s="141"/>
    </row>
    <row r="14" spans="1:14" x14ac:dyDescent="0.25">
      <c r="A14" s="179" t="str">
        <f>'QTD Mgmt Summary'!A16</f>
        <v xml:space="preserve">    Services (Will)</v>
      </c>
      <c r="C14" s="144">
        <f t="shared" si="1"/>
        <v>0</v>
      </c>
      <c r="D14" s="145">
        <v>0</v>
      </c>
      <c r="E14" s="167">
        <f t="shared" si="0"/>
        <v>0</v>
      </c>
      <c r="G14" s="144">
        <v>0</v>
      </c>
      <c r="H14" s="145">
        <v>0</v>
      </c>
      <c r="I14" s="167">
        <v>0</v>
      </c>
      <c r="K14" s="139"/>
      <c r="L14" s="140"/>
      <c r="M14" s="140"/>
      <c r="N14" s="141"/>
    </row>
    <row r="15" spans="1:14" x14ac:dyDescent="0.25">
      <c r="A15" s="179" t="str">
        <f>'QTD Mgmt Summary'!A17</f>
        <v xml:space="preserve">    New Albany (Presto)   </v>
      </c>
      <c r="C15" s="144">
        <f t="shared" si="1"/>
        <v>156</v>
      </c>
      <c r="D15" s="145">
        <v>156</v>
      </c>
      <c r="E15" s="167">
        <f t="shared" si="0"/>
        <v>0</v>
      </c>
      <c r="G15" s="144">
        <v>0</v>
      </c>
      <c r="H15" s="145">
        <v>0</v>
      </c>
      <c r="I15" s="167">
        <f>G15-H15</f>
        <v>0</v>
      </c>
      <c r="K15" s="139"/>
      <c r="L15" s="140"/>
      <c r="M15" s="140"/>
      <c r="N15" s="141"/>
    </row>
    <row r="16" spans="1:14" x14ac:dyDescent="0.25">
      <c r="A16" s="179" t="str">
        <f>'QTD Mgmt Summary'!A18</f>
        <v xml:space="preserve">    Development (Jacoby)</v>
      </c>
      <c r="C16" s="144">
        <f t="shared" si="1"/>
        <v>2096</v>
      </c>
      <c r="D16" s="145">
        <v>2096</v>
      </c>
      <c r="E16" s="167">
        <f t="shared" si="0"/>
        <v>0</v>
      </c>
      <c r="G16" s="144">
        <v>0</v>
      </c>
      <c r="H16" s="145">
        <v>0</v>
      </c>
      <c r="I16" s="167">
        <v>0</v>
      </c>
      <c r="K16" s="139"/>
      <c r="L16" s="140"/>
      <c r="M16" s="140"/>
      <c r="N16" s="141"/>
    </row>
    <row r="17" spans="1:14" x14ac:dyDescent="0.25">
      <c r="A17" s="179" t="str">
        <f>'QTD Mgmt Summary'!A19</f>
        <v xml:space="preserve">    Structuring (Meyn)</v>
      </c>
      <c r="C17" s="144">
        <f t="shared" si="1"/>
        <v>730</v>
      </c>
      <c r="D17" s="145">
        <v>730</v>
      </c>
      <c r="E17" s="167">
        <f t="shared" si="0"/>
        <v>0</v>
      </c>
      <c r="G17" s="144">
        <v>0</v>
      </c>
      <c r="H17" s="145">
        <v>0</v>
      </c>
      <c r="I17" s="167">
        <v>0</v>
      </c>
      <c r="K17" s="139"/>
      <c r="L17" s="140"/>
      <c r="M17" s="140"/>
      <c r="N17" s="141"/>
    </row>
    <row r="18" spans="1:14" x14ac:dyDescent="0.25">
      <c r="A18" s="179" t="str">
        <f>'QTD Mgmt Summary'!A20</f>
        <v xml:space="preserve">    Fundamentals (Will)</v>
      </c>
      <c r="C18" s="144">
        <f t="shared" si="1"/>
        <v>734</v>
      </c>
      <c r="D18" s="145">
        <v>734</v>
      </c>
      <c r="E18" s="167">
        <f t="shared" si="0"/>
        <v>0</v>
      </c>
      <c r="G18" s="144"/>
      <c r="H18" s="145"/>
      <c r="I18" s="167"/>
      <c r="K18" s="139"/>
      <c r="L18" s="140"/>
      <c r="M18" s="140"/>
      <c r="N18" s="141"/>
    </row>
    <row r="19" spans="1:14" s="160" customFormat="1" x14ac:dyDescent="0.25">
      <c r="A19" s="183" t="s">
        <v>7</v>
      </c>
      <c r="C19" s="161">
        <f>SUM(C8:C18)</f>
        <v>12141</v>
      </c>
      <c r="D19" s="162">
        <f>SUM(D8:D18)</f>
        <v>12141</v>
      </c>
      <c r="E19" s="168">
        <f>SUM(E8:E18)</f>
        <v>0</v>
      </c>
      <c r="G19" s="161">
        <f>SUM(G8:G18)</f>
        <v>0</v>
      </c>
      <c r="H19" s="162">
        <f>SUM(H8:H18)</f>
        <v>0</v>
      </c>
      <c r="I19" s="168">
        <f>SUM(I8:I18)</f>
        <v>0</v>
      </c>
      <c r="K19" s="164"/>
      <c r="L19" s="165"/>
      <c r="M19" s="165"/>
      <c r="N19" s="166"/>
    </row>
    <row r="20" spans="1:14" ht="6.75" customHeight="1" x14ac:dyDescent="0.25">
      <c r="A20" s="179"/>
      <c r="C20" s="144"/>
      <c r="D20" s="145"/>
      <c r="E20" s="167"/>
      <c r="G20" s="144"/>
      <c r="H20" s="145"/>
      <c r="I20" s="167"/>
      <c r="K20" s="139"/>
      <c r="L20" s="140"/>
      <c r="M20" s="140"/>
      <c r="N20" s="141"/>
    </row>
    <row r="21" spans="1:14" x14ac:dyDescent="0.25">
      <c r="A21" s="179" t="str">
        <f>'QTD Mgmt Summary'!A23</f>
        <v xml:space="preserve">    Origination (Thomas/Mcdonald)</v>
      </c>
      <c r="C21" s="144">
        <f t="shared" ref="C21:C26" si="2">D21</f>
        <v>1635</v>
      </c>
      <c r="D21" s="145">
        <v>1635</v>
      </c>
      <c r="E21" s="167">
        <f t="shared" ref="E21:E26" si="3">C21-D21</f>
        <v>0</v>
      </c>
      <c r="G21" s="144">
        <v>0</v>
      </c>
      <c r="H21" s="145">
        <v>0</v>
      </c>
      <c r="I21" s="167">
        <f>G21-H21</f>
        <v>0</v>
      </c>
      <c r="K21" s="139"/>
      <c r="L21" s="140"/>
      <c r="M21" s="140"/>
      <c r="N21" s="141"/>
    </row>
    <row r="22" spans="1:14" x14ac:dyDescent="0.25">
      <c r="A22" s="179" t="str">
        <f>'QTD Mgmt Summary'!A24</f>
        <v xml:space="preserve">    Executive (Calger)</v>
      </c>
      <c r="C22" s="144">
        <f t="shared" si="2"/>
        <v>354</v>
      </c>
      <c r="D22" s="145">
        <v>354</v>
      </c>
      <c r="E22" s="167">
        <f t="shared" si="3"/>
        <v>0</v>
      </c>
      <c r="G22" s="144">
        <v>0</v>
      </c>
      <c r="H22" s="145">
        <v>0</v>
      </c>
      <c r="I22" s="167">
        <f>G22-H22</f>
        <v>0</v>
      </c>
      <c r="K22" s="139"/>
      <c r="L22" s="140"/>
      <c r="M22" s="140"/>
      <c r="N22" s="141"/>
    </row>
    <row r="23" spans="1:14" x14ac:dyDescent="0.25">
      <c r="A23" s="179" t="str">
        <f>'QTD Mgmt Summary'!A25</f>
        <v xml:space="preserve">    Generation (Parquet)</v>
      </c>
      <c r="C23" s="144">
        <f t="shared" si="2"/>
        <v>2094</v>
      </c>
      <c r="D23" s="145">
        <v>2094</v>
      </c>
      <c r="E23" s="167">
        <f t="shared" si="3"/>
        <v>0</v>
      </c>
      <c r="G23" s="144">
        <v>0</v>
      </c>
      <c r="H23" s="145">
        <v>0</v>
      </c>
      <c r="I23" s="167">
        <f>G23-H23</f>
        <v>0</v>
      </c>
      <c r="K23" s="139"/>
      <c r="L23" s="140"/>
      <c r="M23" s="140"/>
      <c r="N23" s="141"/>
    </row>
    <row r="24" spans="1:14" x14ac:dyDescent="0.25">
      <c r="A24" s="179" t="str">
        <f>'QTD Mgmt Summary'!A26</f>
        <v xml:space="preserve">    Trading (Belden)</v>
      </c>
      <c r="C24" s="144">
        <f t="shared" si="2"/>
        <v>2702</v>
      </c>
      <c r="D24" s="145">
        <v>2702</v>
      </c>
      <c r="E24" s="167">
        <f t="shared" si="3"/>
        <v>0</v>
      </c>
      <c r="G24" s="144">
        <v>0</v>
      </c>
      <c r="H24" s="145">
        <v>0</v>
      </c>
      <c r="I24" s="167">
        <f>G24-H24</f>
        <v>0</v>
      </c>
      <c r="K24" s="139"/>
      <c r="L24" s="140"/>
      <c r="M24" s="140"/>
      <c r="N24" s="141"/>
    </row>
    <row r="25" spans="1:14" x14ac:dyDescent="0.25">
      <c r="A25" s="179" t="str">
        <f>'QTD Mgmt Summary'!A27</f>
        <v xml:space="preserve">    Middle Market/Services (Foster/Wolfe)</v>
      </c>
      <c r="C25" s="144">
        <f t="shared" si="2"/>
        <v>438</v>
      </c>
      <c r="D25" s="145">
        <v>438</v>
      </c>
      <c r="E25" s="167">
        <f t="shared" si="3"/>
        <v>0</v>
      </c>
      <c r="G25" s="144">
        <v>0</v>
      </c>
      <c r="H25" s="145">
        <v>0</v>
      </c>
      <c r="I25" s="167">
        <v>0</v>
      </c>
      <c r="K25" s="139"/>
      <c r="L25" s="140"/>
      <c r="M25" s="140"/>
      <c r="N25" s="141"/>
    </row>
    <row r="26" spans="1:14" x14ac:dyDescent="0.25">
      <c r="A26" s="179" t="str">
        <f>'QTD Mgmt Summary'!A28</f>
        <v xml:space="preserve">    Fundamentals (Heizenreiker)</v>
      </c>
      <c r="C26" s="144">
        <f t="shared" si="2"/>
        <v>273</v>
      </c>
      <c r="D26" s="145">
        <v>273</v>
      </c>
      <c r="E26" s="167">
        <f t="shared" si="3"/>
        <v>0</v>
      </c>
      <c r="G26" s="144">
        <v>0</v>
      </c>
      <c r="H26" s="145">
        <v>0</v>
      </c>
      <c r="I26" s="167">
        <f>G26-H26</f>
        <v>0</v>
      </c>
      <c r="K26" s="139"/>
      <c r="L26" s="140"/>
      <c r="M26" s="140"/>
      <c r="N26" s="141"/>
    </row>
    <row r="27" spans="1:14" s="160" customFormat="1" x14ac:dyDescent="0.25">
      <c r="A27" s="180" t="s">
        <v>8</v>
      </c>
      <c r="C27" s="161">
        <f>SUM(C21:C26)</f>
        <v>7496</v>
      </c>
      <c r="D27" s="162">
        <f>SUM(D21:D26)</f>
        <v>7496</v>
      </c>
      <c r="E27" s="168">
        <f>SUM(E21:E26)</f>
        <v>0</v>
      </c>
      <c r="G27" s="161">
        <f>SUM(G21:G26)</f>
        <v>0</v>
      </c>
      <c r="H27" s="162">
        <f>SUM(H21:H26)</f>
        <v>0</v>
      </c>
      <c r="I27" s="168">
        <f>SUM(I21:I26)</f>
        <v>0</v>
      </c>
      <c r="K27" s="164"/>
      <c r="L27" s="165"/>
      <c r="M27" s="165"/>
      <c r="N27" s="166"/>
    </row>
    <row r="28" spans="1:14" ht="8.25" customHeight="1" x14ac:dyDescent="0.25">
      <c r="A28" s="179"/>
      <c r="C28" s="144"/>
      <c r="D28" s="145"/>
      <c r="E28" s="167"/>
      <c r="G28" s="144"/>
      <c r="H28" s="145"/>
      <c r="I28" s="167"/>
      <c r="K28" s="139"/>
      <c r="L28" s="140"/>
      <c r="M28" s="140"/>
      <c r="N28" s="141"/>
    </row>
    <row r="29" spans="1:14" x14ac:dyDescent="0.25">
      <c r="A29" s="11" t="s">
        <v>34</v>
      </c>
      <c r="C29" s="144">
        <f>D29</f>
        <v>1804</v>
      </c>
      <c r="D29" s="145">
        <v>1804</v>
      </c>
      <c r="E29" s="167">
        <f t="shared" ref="E29:E36" si="4">C29-D29</f>
        <v>0</v>
      </c>
      <c r="G29" s="144">
        <v>0</v>
      </c>
      <c r="H29" s="145">
        <v>0</v>
      </c>
      <c r="I29" s="167">
        <f>G29-H29</f>
        <v>0</v>
      </c>
      <c r="K29" s="139"/>
      <c r="L29" s="140"/>
      <c r="M29" s="140"/>
      <c r="N29" s="141"/>
    </row>
    <row r="30" spans="1:14" x14ac:dyDescent="0.25">
      <c r="A30" s="11" t="s">
        <v>135</v>
      </c>
      <c r="C30" s="144">
        <f t="shared" ref="C30:C37" si="5">D30</f>
        <v>2567</v>
      </c>
      <c r="D30" s="145">
        <v>2567</v>
      </c>
      <c r="E30" s="167">
        <f t="shared" si="4"/>
        <v>0</v>
      </c>
      <c r="G30" s="144">
        <v>0</v>
      </c>
      <c r="H30" s="145">
        <v>0</v>
      </c>
      <c r="I30" s="167">
        <f>G30-H30</f>
        <v>0</v>
      </c>
      <c r="K30" s="139"/>
      <c r="L30" s="140"/>
      <c r="M30" s="140"/>
      <c r="N30" s="141"/>
    </row>
    <row r="31" spans="1:14" x14ac:dyDescent="0.25">
      <c r="A31" s="11" t="s">
        <v>36</v>
      </c>
      <c r="C31" s="144">
        <f t="shared" si="5"/>
        <v>2878</v>
      </c>
      <c r="D31" s="145">
        <v>2878</v>
      </c>
      <c r="E31" s="167">
        <f t="shared" si="4"/>
        <v>0</v>
      </c>
      <c r="G31" s="144">
        <v>0</v>
      </c>
      <c r="H31" s="145">
        <v>0</v>
      </c>
      <c r="I31" s="167">
        <f>G31-H31</f>
        <v>0</v>
      </c>
      <c r="K31" s="139"/>
      <c r="L31" s="140"/>
      <c r="M31" s="140"/>
      <c r="N31" s="141"/>
    </row>
    <row r="32" spans="1:14" x14ac:dyDescent="0.25">
      <c r="A32" s="11" t="s">
        <v>37</v>
      </c>
      <c r="C32" s="144">
        <f t="shared" si="5"/>
        <v>1368</v>
      </c>
      <c r="D32" s="145">
        <v>1368</v>
      </c>
      <c r="E32" s="167">
        <f t="shared" si="4"/>
        <v>0</v>
      </c>
      <c r="G32" s="144">
        <v>0</v>
      </c>
      <c r="H32" s="145">
        <v>0</v>
      </c>
      <c r="I32" s="167">
        <f>G32-H32</f>
        <v>0</v>
      </c>
      <c r="K32" s="139"/>
      <c r="L32" s="140"/>
      <c r="M32" s="140"/>
      <c r="N32" s="141"/>
    </row>
    <row r="33" spans="1:14" x14ac:dyDescent="0.25">
      <c r="A33" s="11" t="s">
        <v>38</v>
      </c>
      <c r="C33" s="144">
        <f t="shared" si="5"/>
        <v>402</v>
      </c>
      <c r="D33" s="145">
        <v>402</v>
      </c>
      <c r="E33" s="167">
        <f t="shared" si="4"/>
        <v>0</v>
      </c>
      <c r="G33" s="144">
        <v>0</v>
      </c>
      <c r="H33" s="145">
        <v>0</v>
      </c>
      <c r="I33" s="167">
        <v>0</v>
      </c>
      <c r="K33" s="139"/>
      <c r="L33" s="140"/>
      <c r="M33" s="140"/>
      <c r="N33" s="141"/>
    </row>
    <row r="34" spans="1:14" x14ac:dyDescent="0.25">
      <c r="A34" s="11" t="s">
        <v>39</v>
      </c>
      <c r="C34" s="144">
        <f t="shared" si="5"/>
        <v>1106</v>
      </c>
      <c r="D34" s="145">
        <v>1106</v>
      </c>
      <c r="E34" s="167">
        <f t="shared" si="4"/>
        <v>0</v>
      </c>
      <c r="G34" s="144">
        <v>0</v>
      </c>
      <c r="H34" s="145">
        <v>0</v>
      </c>
      <c r="I34" s="167">
        <f>G34-H34</f>
        <v>0</v>
      </c>
      <c r="K34" s="139"/>
      <c r="L34" s="140"/>
      <c r="M34" s="140"/>
      <c r="N34" s="141"/>
    </row>
    <row r="35" spans="1:14" x14ac:dyDescent="0.25">
      <c r="A35" s="11" t="s">
        <v>40</v>
      </c>
      <c r="C35" s="144">
        <f t="shared" si="5"/>
        <v>664</v>
      </c>
      <c r="D35" s="145">
        <v>664</v>
      </c>
      <c r="E35" s="167">
        <f t="shared" si="4"/>
        <v>0</v>
      </c>
      <c r="G35" s="144">
        <v>0</v>
      </c>
      <c r="H35" s="145">
        <v>0</v>
      </c>
      <c r="I35" s="167">
        <v>0</v>
      </c>
      <c r="K35" s="139"/>
      <c r="L35" s="140"/>
      <c r="M35" s="140"/>
      <c r="N35" s="141"/>
    </row>
    <row r="36" spans="1:14" x14ac:dyDescent="0.25">
      <c r="A36" s="11" t="s">
        <v>41</v>
      </c>
      <c r="C36" s="144">
        <f t="shared" si="5"/>
        <v>508</v>
      </c>
      <c r="D36" s="145">
        <v>508</v>
      </c>
      <c r="E36" s="167">
        <f t="shared" si="4"/>
        <v>0</v>
      </c>
      <c r="G36" s="144">
        <v>0</v>
      </c>
      <c r="H36" s="145">
        <v>0</v>
      </c>
      <c r="I36" s="167">
        <v>0</v>
      </c>
      <c r="K36" s="139"/>
      <c r="L36" s="140"/>
      <c r="M36" s="140"/>
      <c r="N36" s="141"/>
    </row>
    <row r="37" spans="1:14" x14ac:dyDescent="0.25">
      <c r="A37" s="11" t="s">
        <v>101</v>
      </c>
      <c r="C37" s="144">
        <f t="shared" si="5"/>
        <v>0</v>
      </c>
      <c r="D37" s="145">
        <v>0</v>
      </c>
      <c r="E37" s="167">
        <v>0</v>
      </c>
      <c r="G37" s="144">
        <v>0</v>
      </c>
      <c r="H37" s="145">
        <v>0</v>
      </c>
      <c r="I37" s="167">
        <f>G37-H37</f>
        <v>0</v>
      </c>
      <c r="K37" s="139"/>
      <c r="L37" s="140"/>
      <c r="M37" s="140"/>
      <c r="N37" s="141"/>
    </row>
    <row r="38" spans="1:14" s="160" customFormat="1" x14ac:dyDescent="0.25">
      <c r="A38" s="180" t="s">
        <v>9</v>
      </c>
      <c r="C38" s="161">
        <f>SUM(C29:C37)</f>
        <v>11297</v>
      </c>
      <c r="D38" s="162">
        <f>SUM(D29:D37)</f>
        <v>11297</v>
      </c>
      <c r="E38" s="168">
        <f>SUM(E29:E37)</f>
        <v>0</v>
      </c>
      <c r="G38" s="161">
        <f>SUM(G29:G37)</f>
        <v>0</v>
      </c>
      <c r="H38" s="162">
        <f>SUM(F29:F36)</f>
        <v>0</v>
      </c>
      <c r="I38" s="168">
        <f>SUM(G29:G36)</f>
        <v>0</v>
      </c>
      <c r="K38" s="164"/>
      <c r="L38" s="165"/>
      <c r="M38" s="165"/>
      <c r="N38" s="166"/>
    </row>
    <row r="39" spans="1:14" ht="9" customHeight="1" x14ac:dyDescent="0.25">
      <c r="A39" s="179"/>
      <c r="C39" s="144"/>
      <c r="D39" s="145"/>
      <c r="E39" s="167"/>
      <c r="G39" s="144"/>
      <c r="H39" s="145"/>
      <c r="I39" s="167"/>
      <c r="K39" s="139"/>
      <c r="L39" s="140"/>
      <c r="M39" s="140"/>
      <c r="N39" s="141"/>
    </row>
    <row r="40" spans="1:14" x14ac:dyDescent="0.25">
      <c r="A40" s="179" t="s">
        <v>42</v>
      </c>
      <c r="C40" s="144">
        <f t="shared" ref="C40:C45" si="6">D40</f>
        <v>1217</v>
      </c>
      <c r="D40" s="145">
        <v>1217</v>
      </c>
      <c r="E40" s="167">
        <f t="shared" ref="E40:E45" si="7">C40-D40</f>
        <v>0</v>
      </c>
      <c r="G40" s="144">
        <v>0</v>
      </c>
      <c r="H40" s="145">
        <v>0</v>
      </c>
      <c r="I40" s="167">
        <f t="shared" ref="I40:I45" si="8">G40-H40</f>
        <v>0</v>
      </c>
      <c r="K40" s="139"/>
      <c r="L40" s="140"/>
      <c r="M40" s="140"/>
      <c r="N40" s="141"/>
    </row>
    <row r="41" spans="1:14" x14ac:dyDescent="0.25">
      <c r="A41" s="179" t="s">
        <v>43</v>
      </c>
      <c r="C41" s="144">
        <f t="shared" si="6"/>
        <v>423</v>
      </c>
      <c r="D41" s="145">
        <v>423</v>
      </c>
      <c r="E41" s="167">
        <f t="shared" si="7"/>
        <v>0</v>
      </c>
      <c r="G41" s="144">
        <v>0</v>
      </c>
      <c r="H41" s="145">
        <v>0</v>
      </c>
      <c r="I41" s="167">
        <f t="shared" si="8"/>
        <v>0</v>
      </c>
      <c r="K41" s="139"/>
      <c r="L41" s="140"/>
      <c r="M41" s="140"/>
      <c r="N41" s="141"/>
    </row>
    <row r="42" spans="1:14" x14ac:dyDescent="0.25">
      <c r="A42" s="179" t="s">
        <v>65</v>
      </c>
      <c r="C42" s="144">
        <f t="shared" si="6"/>
        <v>574</v>
      </c>
      <c r="D42" s="145">
        <v>574</v>
      </c>
      <c r="E42" s="167">
        <f t="shared" si="7"/>
        <v>0</v>
      </c>
      <c r="G42" s="144">
        <v>0</v>
      </c>
      <c r="H42" s="145">
        <v>0</v>
      </c>
      <c r="I42" s="167">
        <f t="shared" si="8"/>
        <v>0</v>
      </c>
      <c r="K42" s="139"/>
      <c r="L42" s="140"/>
      <c r="M42" s="140"/>
      <c r="N42" s="141"/>
    </row>
    <row r="43" spans="1:14" x14ac:dyDescent="0.25">
      <c r="A43" s="179" t="s">
        <v>66</v>
      </c>
      <c r="C43" s="144">
        <f t="shared" si="6"/>
        <v>1155</v>
      </c>
      <c r="D43" s="145">
        <v>1155</v>
      </c>
      <c r="E43" s="167">
        <f t="shared" si="7"/>
        <v>0</v>
      </c>
      <c r="G43" s="144">
        <v>0</v>
      </c>
      <c r="H43" s="145">
        <v>0</v>
      </c>
      <c r="I43" s="167">
        <f t="shared" si="8"/>
        <v>0</v>
      </c>
      <c r="K43" s="139"/>
      <c r="L43" s="140"/>
      <c r="M43" s="140"/>
      <c r="N43" s="141"/>
    </row>
    <row r="44" spans="1:14" x14ac:dyDescent="0.25">
      <c r="A44" s="179" t="s">
        <v>131</v>
      </c>
      <c r="C44" s="144">
        <f t="shared" si="6"/>
        <v>212</v>
      </c>
      <c r="D44" s="145">
        <v>212</v>
      </c>
      <c r="E44" s="167">
        <f t="shared" si="7"/>
        <v>0</v>
      </c>
      <c r="G44" s="144">
        <v>0</v>
      </c>
      <c r="H44" s="145">
        <v>0</v>
      </c>
      <c r="I44" s="167">
        <f t="shared" si="8"/>
        <v>0</v>
      </c>
      <c r="K44" s="139"/>
      <c r="L44" s="140"/>
      <c r="M44" s="140"/>
      <c r="N44" s="141"/>
    </row>
    <row r="45" spans="1:14" x14ac:dyDescent="0.25">
      <c r="A45" s="179" t="s">
        <v>45</v>
      </c>
      <c r="C45" s="144">
        <f t="shared" si="6"/>
        <v>1102</v>
      </c>
      <c r="D45" s="145">
        <v>1102</v>
      </c>
      <c r="E45" s="167">
        <f t="shared" si="7"/>
        <v>0</v>
      </c>
      <c r="G45" s="144">
        <v>0</v>
      </c>
      <c r="H45" s="145">
        <v>0</v>
      </c>
      <c r="I45" s="167">
        <f t="shared" si="8"/>
        <v>0</v>
      </c>
      <c r="K45" s="139"/>
      <c r="L45" s="140"/>
      <c r="M45" s="140"/>
      <c r="N45" s="141"/>
    </row>
    <row r="46" spans="1:14" s="160" customFormat="1" x14ac:dyDescent="0.25">
      <c r="A46" s="180" t="s">
        <v>10</v>
      </c>
      <c r="C46" s="161">
        <f>SUM(C40:C45)</f>
        <v>4683</v>
      </c>
      <c r="D46" s="162">
        <f>SUM(D40:D45)</f>
        <v>4683</v>
      </c>
      <c r="E46" s="168">
        <f>SUM(E40:E45)</f>
        <v>0</v>
      </c>
      <c r="G46" s="161">
        <f>SUM(G40:G45)</f>
        <v>0</v>
      </c>
      <c r="H46" s="162">
        <f>SUM(H40:H45)</f>
        <v>0</v>
      </c>
      <c r="I46" s="168">
        <f>SUM(I40:I45)</f>
        <v>0</v>
      </c>
      <c r="K46" s="164"/>
      <c r="L46" s="165"/>
      <c r="M46" s="165"/>
      <c r="N46" s="166"/>
    </row>
    <row r="47" spans="1:14" ht="7.5" customHeight="1" x14ac:dyDescent="0.25">
      <c r="A47" s="179"/>
      <c r="C47" s="144"/>
      <c r="D47" s="145"/>
      <c r="E47" s="167"/>
      <c r="G47" s="144"/>
      <c r="H47" s="145"/>
      <c r="I47" s="167"/>
      <c r="K47" s="139"/>
      <c r="L47" s="140"/>
      <c r="M47" s="140"/>
      <c r="N47" s="141"/>
    </row>
    <row r="48" spans="1:14" x14ac:dyDescent="0.25">
      <c r="A48" s="179" t="str">
        <f>'QTD Mgmt Summary'!A51</f>
        <v xml:space="preserve">    Upstream Executive (Mrha)</v>
      </c>
      <c r="C48" s="144">
        <v>178</v>
      </c>
      <c r="D48" s="145">
        <v>221</v>
      </c>
      <c r="E48" s="167">
        <f t="shared" ref="E48:E67" si="9">C48-D48</f>
        <v>-43</v>
      </c>
      <c r="G48" s="144">
        <v>0</v>
      </c>
      <c r="H48" s="145">
        <v>0</v>
      </c>
      <c r="I48" s="167">
        <f t="shared" ref="I48:I67" si="10">G48-H48</f>
        <v>0</v>
      </c>
      <c r="K48" s="139"/>
      <c r="L48" s="140"/>
      <c r="M48" s="140"/>
      <c r="N48" s="141"/>
    </row>
    <row r="49" spans="1:14" x14ac:dyDescent="0.25">
      <c r="A49" s="179" t="str">
        <f>'QTD Mgmt Summary'!A52</f>
        <v xml:space="preserve">      Compression Services (Hilgert)</v>
      </c>
      <c r="C49" s="144">
        <v>399</v>
      </c>
      <c r="D49" s="145">
        <v>427</v>
      </c>
      <c r="E49" s="167">
        <f t="shared" si="9"/>
        <v>-28</v>
      </c>
      <c r="G49" s="290">
        <v>838</v>
      </c>
      <c r="H49" s="145">
        <v>340</v>
      </c>
      <c r="I49" s="167">
        <f t="shared" si="10"/>
        <v>498</v>
      </c>
      <c r="K49" s="139"/>
      <c r="L49" s="140"/>
      <c r="M49" s="140"/>
      <c r="N49" s="141"/>
    </row>
    <row r="50" spans="1:14" x14ac:dyDescent="0.25">
      <c r="A50" s="179" t="str">
        <f>'QTD Mgmt Summary'!A53</f>
        <v xml:space="preserve">      Offshore (Byargeon)</v>
      </c>
      <c r="C50" s="144">
        <v>322</v>
      </c>
      <c r="D50" s="145">
        <v>423</v>
      </c>
      <c r="E50" s="167">
        <f t="shared" si="9"/>
        <v>-101</v>
      </c>
      <c r="G50" s="290">
        <v>844</v>
      </c>
      <c r="H50" s="145">
        <v>1061</v>
      </c>
      <c r="I50" s="167">
        <f t="shared" si="10"/>
        <v>-217</v>
      </c>
      <c r="K50" s="139"/>
      <c r="L50" s="140"/>
      <c r="M50" s="140"/>
      <c r="N50" s="141"/>
    </row>
    <row r="51" spans="1:14" x14ac:dyDescent="0.25">
      <c r="A51" s="179" t="str">
        <f>'QTD Mgmt Summary'!A54</f>
        <v xml:space="preserve">      Storage (Bieniawski)</v>
      </c>
      <c r="C51" s="144">
        <v>271</v>
      </c>
      <c r="D51" s="145">
        <v>265</v>
      </c>
      <c r="E51" s="167">
        <f t="shared" si="9"/>
        <v>6</v>
      </c>
      <c r="G51" s="290">
        <f t="shared" ref="G51:G67" si="11">H51</f>
        <v>0</v>
      </c>
      <c r="H51" s="145">
        <v>0</v>
      </c>
      <c r="I51" s="167">
        <f t="shared" si="10"/>
        <v>0</v>
      </c>
      <c r="K51" s="139"/>
      <c r="L51" s="140"/>
      <c r="M51" s="140"/>
      <c r="N51" s="141"/>
    </row>
    <row r="52" spans="1:14" x14ac:dyDescent="0.25">
      <c r="A52" s="179" t="str">
        <f>'QTD Mgmt Summary'!A55</f>
        <v xml:space="preserve">      Producer E-Commerce (Grass)</v>
      </c>
      <c r="C52" s="144">
        <f>D52</f>
        <v>186</v>
      </c>
      <c r="D52" s="145">
        <v>186</v>
      </c>
      <c r="E52" s="167">
        <f t="shared" si="9"/>
        <v>0</v>
      </c>
      <c r="G52" s="290">
        <f t="shared" si="11"/>
        <v>0</v>
      </c>
      <c r="H52" s="145">
        <v>0</v>
      </c>
      <c r="I52" s="167">
        <f t="shared" si="10"/>
        <v>0</v>
      </c>
      <c r="K52" s="144"/>
      <c r="L52" s="140"/>
      <c r="M52" s="140"/>
      <c r="N52" s="141"/>
    </row>
    <row r="53" spans="1:14" x14ac:dyDescent="0.25">
      <c r="A53" s="179" t="str">
        <f>'QTD Mgmt Summary'!A56</f>
        <v xml:space="preserve">      Wellhead Desk (Mrha)</v>
      </c>
      <c r="C53" s="144">
        <v>96</v>
      </c>
      <c r="D53" s="145">
        <v>144</v>
      </c>
      <c r="E53" s="167">
        <f t="shared" si="9"/>
        <v>-48</v>
      </c>
      <c r="G53" s="290">
        <f t="shared" si="11"/>
        <v>0</v>
      </c>
      <c r="H53" s="145">
        <v>0</v>
      </c>
      <c r="I53" s="167">
        <f t="shared" si="10"/>
        <v>0</v>
      </c>
      <c r="K53" s="139"/>
      <c r="L53" s="140"/>
      <c r="M53" s="140"/>
      <c r="N53" s="141"/>
    </row>
    <row r="54" spans="1:14" x14ac:dyDescent="0.25">
      <c r="A54" s="179" t="str">
        <f>'QTD Mgmt Summary'!A57</f>
        <v xml:space="preserve">    Bridgeline (Mrha)</v>
      </c>
      <c r="C54" s="144">
        <f>D54</f>
        <v>0</v>
      </c>
      <c r="D54" s="145">
        <v>0</v>
      </c>
      <c r="E54" s="167">
        <f t="shared" si="9"/>
        <v>0</v>
      </c>
      <c r="G54" s="290">
        <f t="shared" si="11"/>
        <v>0</v>
      </c>
      <c r="H54" s="145">
        <v>0</v>
      </c>
      <c r="I54" s="167">
        <f t="shared" si="10"/>
        <v>0</v>
      </c>
      <c r="K54" s="139"/>
      <c r="L54" s="140"/>
      <c r="M54" s="140"/>
      <c r="N54" s="141"/>
    </row>
    <row r="55" spans="1:14" x14ac:dyDescent="0.25">
      <c r="A55" s="179" t="str">
        <f>'QTD Mgmt Summary'!A58</f>
        <v xml:space="preserve">    HPL (Redmond)</v>
      </c>
      <c r="C55" s="144">
        <v>3668</v>
      </c>
      <c r="D55" s="145">
        <v>4103</v>
      </c>
      <c r="E55" s="167">
        <f t="shared" si="9"/>
        <v>-435</v>
      </c>
      <c r="G55" s="290">
        <v>66146</v>
      </c>
      <c r="H55" s="145">
        <v>59125</v>
      </c>
      <c r="I55" s="167">
        <f t="shared" si="10"/>
        <v>7021</v>
      </c>
      <c r="K55" s="139" t="s">
        <v>145</v>
      </c>
      <c r="L55" s="140"/>
      <c r="M55" s="140"/>
      <c r="N55" s="141"/>
    </row>
    <row r="56" spans="1:14" x14ac:dyDescent="0.25">
      <c r="A56" s="179" t="str">
        <f>'QTD Mgmt Summary'!A59</f>
        <v xml:space="preserve">    LT Fundamentals/Transport (Gomez)</v>
      </c>
      <c r="C56" s="144">
        <v>273</v>
      </c>
      <c r="D56" s="145">
        <v>294</v>
      </c>
      <c r="E56" s="167">
        <f t="shared" si="9"/>
        <v>-21</v>
      </c>
      <c r="G56" s="290">
        <f t="shared" si="11"/>
        <v>0</v>
      </c>
      <c r="H56" s="145">
        <v>0</v>
      </c>
      <c r="I56" s="167">
        <f t="shared" si="10"/>
        <v>0</v>
      </c>
      <c r="K56" s="139"/>
      <c r="L56" s="140"/>
      <c r="M56" s="140"/>
      <c r="N56" s="141"/>
    </row>
    <row r="57" spans="1:14" x14ac:dyDescent="0.25">
      <c r="A57" s="179" t="str">
        <f>'QTD Mgmt Summary'!A60</f>
        <v xml:space="preserve">    Mexico (Yzaguirre)</v>
      </c>
      <c r="C57" s="144">
        <f>D57</f>
        <v>1416</v>
      </c>
      <c r="D57" s="145">
        <v>1416</v>
      </c>
      <c r="E57" s="167">
        <f t="shared" si="9"/>
        <v>0</v>
      </c>
      <c r="G57" s="290">
        <f t="shared" si="11"/>
        <v>0</v>
      </c>
      <c r="H57" s="145">
        <v>0</v>
      </c>
      <c r="I57" s="167">
        <f>G57-H57</f>
        <v>0</v>
      </c>
      <c r="K57" s="139"/>
      <c r="L57" s="140"/>
      <c r="M57" s="140"/>
      <c r="N57" s="141"/>
    </row>
    <row r="58" spans="1:14" x14ac:dyDescent="0.25">
      <c r="A58" s="179" t="str">
        <f>'QTD Mgmt Summary'!A61</f>
        <v xml:space="preserve">    Generation Investments (Duran)</v>
      </c>
      <c r="C58" s="144">
        <v>1737</v>
      </c>
      <c r="D58" s="145">
        <v>1770</v>
      </c>
      <c r="E58" s="167">
        <f t="shared" si="9"/>
        <v>-33</v>
      </c>
      <c r="G58" s="290">
        <f t="shared" si="11"/>
        <v>0</v>
      </c>
      <c r="H58" s="145">
        <v>0</v>
      </c>
      <c r="I58" s="167">
        <f t="shared" si="10"/>
        <v>0</v>
      </c>
      <c r="K58" s="139"/>
      <c r="L58" s="140"/>
      <c r="M58" s="140"/>
      <c r="N58" s="141"/>
    </row>
    <row r="59" spans="1:14" x14ac:dyDescent="0.25">
      <c r="A59" s="179" t="str">
        <f>'QTD Mgmt Summary'!A62</f>
        <v xml:space="preserve">    Principal Investing (Miller)</v>
      </c>
      <c r="C59" s="144">
        <v>829</v>
      </c>
      <c r="D59" s="145">
        <v>891</v>
      </c>
      <c r="E59" s="167">
        <f t="shared" si="9"/>
        <v>-62</v>
      </c>
      <c r="G59" s="290">
        <f t="shared" si="11"/>
        <v>0</v>
      </c>
      <c r="H59" s="145">
        <v>0</v>
      </c>
      <c r="I59" s="167">
        <f t="shared" si="10"/>
        <v>0</v>
      </c>
      <c r="K59" s="139"/>
      <c r="L59" s="140"/>
      <c r="M59" s="140"/>
      <c r="N59" s="141"/>
    </row>
    <row r="60" spans="1:14" x14ac:dyDescent="0.25">
      <c r="A60" s="179" t="str">
        <f>'QTD Mgmt Summary'!A63</f>
        <v xml:space="preserve">    Energy Capital Svcs (Thompson/Josey)</v>
      </c>
      <c r="C60" s="144">
        <v>1786</v>
      </c>
      <c r="D60" s="145">
        <v>2254</v>
      </c>
      <c r="E60" s="167">
        <f t="shared" si="9"/>
        <v>-468</v>
      </c>
      <c r="G60" s="290">
        <f t="shared" si="11"/>
        <v>0</v>
      </c>
      <c r="H60" s="145">
        <v>0</v>
      </c>
      <c r="I60" s="167">
        <f t="shared" si="10"/>
        <v>0</v>
      </c>
      <c r="K60" s="139"/>
      <c r="L60" s="140"/>
      <c r="M60" s="140"/>
      <c r="N60" s="141"/>
    </row>
    <row r="61" spans="1:14" x14ac:dyDescent="0.25">
      <c r="A61" s="179" t="str">
        <f>'QTD Mgmt Summary'!A64</f>
        <v xml:space="preserve">    Special Assets (Redmond/Lydecker)</v>
      </c>
      <c r="C61" s="144">
        <f>146+1482</f>
        <v>1628</v>
      </c>
      <c r="D61" s="145">
        <v>1637</v>
      </c>
      <c r="E61" s="167">
        <f t="shared" si="9"/>
        <v>-9</v>
      </c>
      <c r="G61" s="290">
        <f t="shared" si="11"/>
        <v>0</v>
      </c>
      <c r="H61" s="145">
        <v>0</v>
      </c>
      <c r="I61" s="167">
        <f t="shared" si="10"/>
        <v>0</v>
      </c>
      <c r="K61" s="139"/>
      <c r="L61" s="140"/>
      <c r="M61" s="140"/>
      <c r="N61" s="141"/>
    </row>
    <row r="62" spans="1:14" x14ac:dyDescent="0.25">
      <c r="A62" s="179" t="str">
        <f>'QTD Mgmt Summary'!A65</f>
        <v xml:space="preserve">    Asset Marketing (Miller)</v>
      </c>
      <c r="C62" s="144">
        <f>D62</f>
        <v>337</v>
      </c>
      <c r="D62" s="145">
        <v>337</v>
      </c>
      <c r="E62" s="167">
        <f t="shared" si="9"/>
        <v>0</v>
      </c>
      <c r="G62" s="290"/>
      <c r="H62" s="145"/>
      <c r="I62" s="167"/>
      <c r="K62" s="139"/>
      <c r="L62" s="140"/>
      <c r="M62" s="140"/>
      <c r="N62" s="141"/>
    </row>
    <row r="63" spans="1:14" x14ac:dyDescent="0.25">
      <c r="A63" s="179" t="str">
        <f>'QTD Mgmt Summary'!A66</f>
        <v xml:space="preserve">    Sold Peakers</v>
      </c>
      <c r="C63" s="144">
        <v>1482</v>
      </c>
      <c r="D63" s="145">
        <v>994</v>
      </c>
      <c r="E63" s="167">
        <f t="shared" si="9"/>
        <v>488</v>
      </c>
      <c r="G63" s="290">
        <v>0</v>
      </c>
      <c r="H63" s="145">
        <v>0</v>
      </c>
      <c r="I63" s="167">
        <f t="shared" si="10"/>
        <v>0</v>
      </c>
      <c r="K63" s="139"/>
      <c r="L63" s="140"/>
      <c r="M63" s="140"/>
      <c r="N63" s="141"/>
    </row>
    <row r="64" spans="1:14" x14ac:dyDescent="0.25">
      <c r="A64" s="179" t="str">
        <f>'QTD Mgmt Summary'!A67</f>
        <v xml:space="preserve">    Cross Commodity (Lavorato)</v>
      </c>
      <c r="C64" s="144">
        <f>D64</f>
        <v>0</v>
      </c>
      <c r="D64" s="145">
        <v>0</v>
      </c>
      <c r="E64" s="167">
        <f t="shared" si="9"/>
        <v>0</v>
      </c>
      <c r="G64" s="290">
        <f t="shared" si="11"/>
        <v>0</v>
      </c>
      <c r="H64" s="145">
        <v>0</v>
      </c>
      <c r="I64" s="167">
        <f t="shared" si="10"/>
        <v>0</v>
      </c>
      <c r="K64" s="139"/>
      <c r="L64" s="140"/>
      <c r="M64" s="140"/>
      <c r="N64" s="141"/>
    </row>
    <row r="65" spans="1:14" x14ac:dyDescent="0.25">
      <c r="A65" s="179" t="str">
        <f>'QTD Mgmt Summary'!A68</f>
        <v xml:space="preserve">    Office of the Chairman (Lavorato/Kitchen)</v>
      </c>
      <c r="C65" s="144">
        <f>1526</f>
        <v>1526</v>
      </c>
      <c r="D65" s="145">
        <v>1373</v>
      </c>
      <c r="E65" s="167">
        <f t="shared" si="9"/>
        <v>153</v>
      </c>
      <c r="G65" s="290">
        <f t="shared" si="11"/>
        <v>0</v>
      </c>
      <c r="H65" s="145">
        <v>0</v>
      </c>
      <c r="I65" s="167">
        <f t="shared" si="10"/>
        <v>0</v>
      </c>
      <c r="K65" s="139" t="s">
        <v>158</v>
      </c>
      <c r="L65" s="140"/>
      <c r="M65" s="140"/>
      <c r="N65" s="141"/>
    </row>
    <row r="66" spans="1:14" x14ac:dyDescent="0.25">
      <c r="A66" s="179" t="str">
        <f>'QTD Mgmt Summary'!A69</f>
        <v xml:space="preserve">    TVA Settlement</v>
      </c>
      <c r="C66" s="144">
        <f>D66</f>
        <v>0</v>
      </c>
      <c r="D66" s="145">
        <v>0</v>
      </c>
      <c r="E66" s="167">
        <f t="shared" si="9"/>
        <v>0</v>
      </c>
      <c r="G66" s="290">
        <f t="shared" si="11"/>
        <v>0</v>
      </c>
      <c r="H66" s="145">
        <v>0</v>
      </c>
      <c r="I66" s="167">
        <f t="shared" si="10"/>
        <v>0</v>
      </c>
      <c r="K66" s="139"/>
      <c r="L66" s="140"/>
      <c r="M66" s="140"/>
      <c r="N66" s="141"/>
    </row>
    <row r="67" spans="1:14" x14ac:dyDescent="0.25">
      <c r="A67" s="181" t="s">
        <v>11</v>
      </c>
      <c r="C67" s="144">
        <f>D67</f>
        <v>0</v>
      </c>
      <c r="D67" s="145">
        <f>0/4</f>
        <v>0</v>
      </c>
      <c r="E67" s="167">
        <f t="shared" si="9"/>
        <v>0</v>
      </c>
      <c r="G67" s="290">
        <f t="shared" si="11"/>
        <v>0</v>
      </c>
      <c r="H67" s="145">
        <v>0</v>
      </c>
      <c r="I67" s="167">
        <f t="shared" si="10"/>
        <v>0</v>
      </c>
      <c r="K67" s="139"/>
      <c r="L67" s="140"/>
      <c r="M67" s="140"/>
      <c r="N67" s="141"/>
    </row>
    <row r="68" spans="1:14" s="160" customFormat="1" x14ac:dyDescent="0.25">
      <c r="A68" s="180" t="s">
        <v>126</v>
      </c>
      <c r="C68" s="161">
        <f>SUM(C48:C67)+C46+C38+C27+C19</f>
        <v>51751</v>
      </c>
      <c r="D68" s="162">
        <f>SUM(D48:D67)+D46+D38+D27+D19</f>
        <v>52352</v>
      </c>
      <c r="E68" s="168">
        <f>SUM(E48:E67)+E46+E38+E27+E19</f>
        <v>-601</v>
      </c>
      <c r="G68" s="161">
        <f>SUM(G48:G67)+G46+G38+G27+G19</f>
        <v>67828</v>
      </c>
      <c r="H68" s="162">
        <f>SUM(H48:H67)+H46+H38+H27+H19</f>
        <v>60526</v>
      </c>
      <c r="I68" s="168">
        <f>SUM(I48:I67)+I46+I38+I27+I19</f>
        <v>7302</v>
      </c>
      <c r="K68" s="164"/>
      <c r="L68" s="165"/>
      <c r="M68" s="165"/>
      <c r="N68" s="166"/>
    </row>
    <row r="69" spans="1:14" s="284" customFormat="1" ht="9" customHeight="1" x14ac:dyDescent="0.25">
      <c r="A69" s="283"/>
      <c r="C69" s="286"/>
      <c r="D69" s="285"/>
      <c r="E69" s="169"/>
      <c r="G69" s="286"/>
      <c r="H69" s="285"/>
      <c r="I69" s="169"/>
      <c r="K69" s="287"/>
      <c r="L69" s="288"/>
      <c r="M69" s="288"/>
      <c r="N69" s="289"/>
    </row>
    <row r="70" spans="1:14" x14ac:dyDescent="0.25">
      <c r="A70" s="181" t="s">
        <v>51</v>
      </c>
      <c r="C70" s="144">
        <f>D70</f>
        <v>2705</v>
      </c>
      <c r="D70" s="145">
        <v>2705</v>
      </c>
      <c r="E70" s="167">
        <f>C70-D70</f>
        <v>0</v>
      </c>
      <c r="G70" s="144">
        <v>0</v>
      </c>
      <c r="H70" s="145">
        <v>0</v>
      </c>
      <c r="I70" s="167">
        <f>G70-H70</f>
        <v>0</v>
      </c>
      <c r="K70" s="139"/>
      <c r="L70" s="140"/>
      <c r="M70" s="140"/>
      <c r="N70" s="141"/>
    </row>
    <row r="71" spans="1:14" x14ac:dyDescent="0.25">
      <c r="A71" s="181" t="s">
        <v>52</v>
      </c>
      <c r="C71" s="144">
        <f t="shared" ref="C71:C81" si="12">D71</f>
        <v>499</v>
      </c>
      <c r="D71" s="145">
        <v>499</v>
      </c>
      <c r="E71" s="167">
        <f t="shared" ref="E71:E82" si="13">C71-D71</f>
        <v>0</v>
      </c>
      <c r="G71" s="144">
        <v>0</v>
      </c>
      <c r="H71" s="145">
        <v>0</v>
      </c>
      <c r="I71" s="167">
        <f t="shared" ref="I71:I82" si="14">G71-H71</f>
        <v>0</v>
      </c>
      <c r="K71" s="139"/>
      <c r="L71" s="140"/>
      <c r="M71" s="140"/>
      <c r="N71" s="141"/>
    </row>
    <row r="72" spans="1:14" x14ac:dyDescent="0.25">
      <c r="A72" s="181" t="s">
        <v>107</v>
      </c>
      <c r="C72" s="144">
        <f t="shared" si="12"/>
        <v>1418</v>
      </c>
      <c r="D72" s="145">
        <v>1418</v>
      </c>
      <c r="E72" s="167">
        <f t="shared" si="13"/>
        <v>0</v>
      </c>
      <c r="G72" s="144">
        <v>0</v>
      </c>
      <c r="H72" s="145">
        <v>0</v>
      </c>
      <c r="I72" s="167">
        <f t="shared" si="14"/>
        <v>0</v>
      </c>
      <c r="K72" s="139"/>
      <c r="L72" s="140"/>
      <c r="M72" s="140"/>
      <c r="N72" s="141"/>
    </row>
    <row r="73" spans="1:14" x14ac:dyDescent="0.25">
      <c r="A73" s="181" t="s">
        <v>53</v>
      </c>
      <c r="C73" s="144">
        <f t="shared" si="12"/>
        <v>10143</v>
      </c>
      <c r="D73" s="145">
        <v>10143</v>
      </c>
      <c r="E73" s="167">
        <f t="shared" si="13"/>
        <v>0</v>
      </c>
      <c r="G73" s="144">
        <v>0</v>
      </c>
      <c r="H73" s="145">
        <v>0</v>
      </c>
      <c r="I73" s="167">
        <f t="shared" si="14"/>
        <v>0</v>
      </c>
      <c r="K73" s="139"/>
      <c r="L73" s="140"/>
      <c r="M73" s="140"/>
      <c r="N73" s="141"/>
    </row>
    <row r="74" spans="1:14" x14ac:dyDescent="0.25">
      <c r="A74" s="181" t="s">
        <v>54</v>
      </c>
      <c r="C74" s="144">
        <f t="shared" si="12"/>
        <v>1204</v>
      </c>
      <c r="D74" s="145">
        <v>1204</v>
      </c>
      <c r="E74" s="167">
        <f t="shared" si="13"/>
        <v>0</v>
      </c>
      <c r="G74" s="144">
        <v>0</v>
      </c>
      <c r="H74" s="145">
        <v>0</v>
      </c>
      <c r="I74" s="167">
        <f t="shared" si="14"/>
        <v>0</v>
      </c>
      <c r="K74" s="139"/>
      <c r="L74" s="140"/>
      <c r="M74" s="140"/>
      <c r="N74" s="141"/>
    </row>
    <row r="75" spans="1:14" x14ac:dyDescent="0.25">
      <c r="A75" s="181" t="s">
        <v>55</v>
      </c>
      <c r="C75" s="144">
        <f t="shared" si="12"/>
        <v>2251</v>
      </c>
      <c r="D75" s="145">
        <v>2251</v>
      </c>
      <c r="E75" s="167">
        <f t="shared" si="13"/>
        <v>0</v>
      </c>
      <c r="G75" s="144">
        <v>0</v>
      </c>
      <c r="H75" s="145">
        <v>0</v>
      </c>
      <c r="I75" s="167">
        <f t="shared" si="14"/>
        <v>0</v>
      </c>
      <c r="K75" s="139"/>
      <c r="L75" s="140"/>
      <c r="M75" s="140"/>
      <c r="N75" s="141"/>
    </row>
    <row r="76" spans="1:14" x14ac:dyDescent="0.25">
      <c r="A76" s="181" t="s">
        <v>56</v>
      </c>
      <c r="C76" s="144">
        <f t="shared" si="12"/>
        <v>318</v>
      </c>
      <c r="D76" s="145">
        <v>318</v>
      </c>
      <c r="E76" s="167">
        <f t="shared" si="13"/>
        <v>0</v>
      </c>
      <c r="G76" s="144">
        <v>0</v>
      </c>
      <c r="H76" s="145">
        <v>0</v>
      </c>
      <c r="I76" s="167">
        <f t="shared" si="14"/>
        <v>0</v>
      </c>
      <c r="K76" s="139"/>
      <c r="L76" s="140"/>
      <c r="M76" s="140"/>
      <c r="N76" s="141"/>
    </row>
    <row r="77" spans="1:14" x14ac:dyDescent="0.25">
      <c r="A77" s="181" t="s">
        <v>57</v>
      </c>
      <c r="C77" s="144">
        <f t="shared" si="12"/>
        <v>593</v>
      </c>
      <c r="D77" s="145">
        <v>593</v>
      </c>
      <c r="E77" s="167">
        <f t="shared" si="13"/>
        <v>0</v>
      </c>
      <c r="G77" s="144">
        <v>0</v>
      </c>
      <c r="H77" s="145">
        <v>0</v>
      </c>
      <c r="I77" s="167">
        <f t="shared" si="14"/>
        <v>0</v>
      </c>
      <c r="K77" s="139"/>
      <c r="L77" s="140"/>
      <c r="M77" s="140"/>
      <c r="N77" s="141"/>
    </row>
    <row r="78" spans="1:14" x14ac:dyDescent="0.25">
      <c r="A78" s="181" t="s">
        <v>59</v>
      </c>
      <c r="C78" s="144">
        <f t="shared" si="12"/>
        <v>539</v>
      </c>
      <c r="D78" s="145">
        <v>539</v>
      </c>
      <c r="E78" s="167">
        <f t="shared" si="13"/>
        <v>0</v>
      </c>
      <c r="G78" s="144">
        <v>0</v>
      </c>
      <c r="H78" s="145">
        <v>0</v>
      </c>
      <c r="I78" s="167">
        <f t="shared" si="14"/>
        <v>0</v>
      </c>
      <c r="K78" s="139"/>
      <c r="L78" s="140"/>
      <c r="M78" s="140"/>
      <c r="N78" s="141"/>
    </row>
    <row r="79" spans="1:14" x14ac:dyDescent="0.25">
      <c r="A79" s="181" t="s">
        <v>60</v>
      </c>
      <c r="C79" s="144">
        <f t="shared" si="12"/>
        <v>194</v>
      </c>
      <c r="D79" s="145">
        <v>194</v>
      </c>
      <c r="E79" s="167">
        <f t="shared" si="13"/>
        <v>0</v>
      </c>
      <c r="G79" s="144">
        <v>0</v>
      </c>
      <c r="H79" s="145">
        <v>0</v>
      </c>
      <c r="I79" s="167">
        <f t="shared" si="14"/>
        <v>0</v>
      </c>
      <c r="K79" s="139"/>
      <c r="L79" s="140"/>
      <c r="M79" s="140"/>
      <c r="N79" s="141"/>
    </row>
    <row r="80" spans="1:14" x14ac:dyDescent="0.25">
      <c r="A80" s="181" t="s">
        <v>61</v>
      </c>
      <c r="C80" s="144">
        <f t="shared" si="12"/>
        <v>682</v>
      </c>
      <c r="D80" s="145">
        <v>682</v>
      </c>
      <c r="E80" s="167">
        <f t="shared" si="13"/>
        <v>0</v>
      </c>
      <c r="G80" s="144">
        <v>0</v>
      </c>
      <c r="H80" s="145">
        <v>0</v>
      </c>
      <c r="I80" s="167">
        <f t="shared" si="14"/>
        <v>0</v>
      </c>
      <c r="K80" s="139"/>
      <c r="L80" s="140"/>
      <c r="M80" s="140"/>
      <c r="N80" s="141"/>
    </row>
    <row r="81" spans="1:16" x14ac:dyDescent="0.25">
      <c r="A81" s="181" t="s">
        <v>62</v>
      </c>
      <c r="C81" s="144">
        <f t="shared" si="12"/>
        <v>1419</v>
      </c>
      <c r="D81" s="145">
        <v>1419</v>
      </c>
      <c r="E81" s="167">
        <f t="shared" si="13"/>
        <v>0</v>
      </c>
      <c r="G81" s="144">
        <v>0</v>
      </c>
      <c r="H81" s="145">
        <v>0</v>
      </c>
      <c r="I81" s="167">
        <f t="shared" si="14"/>
        <v>0</v>
      </c>
      <c r="K81" s="139"/>
      <c r="L81" s="140"/>
      <c r="M81" s="140"/>
      <c r="N81" s="141"/>
    </row>
    <row r="82" spans="1:16" x14ac:dyDescent="0.25">
      <c r="A82" s="181" t="s">
        <v>58</v>
      </c>
      <c r="C82" s="144">
        <f>D82+5243</f>
        <v>28318</v>
      </c>
      <c r="D82" s="145">
        <v>23075</v>
      </c>
      <c r="E82" s="167">
        <f t="shared" si="13"/>
        <v>5243</v>
      </c>
      <c r="G82" s="144">
        <v>0</v>
      </c>
      <c r="H82" s="145">
        <v>0</v>
      </c>
      <c r="I82" s="167">
        <f t="shared" si="14"/>
        <v>0</v>
      </c>
      <c r="K82" s="139" t="s">
        <v>147</v>
      </c>
      <c r="L82" s="140"/>
      <c r="M82" s="140"/>
      <c r="N82" s="141"/>
    </row>
    <row r="83" spans="1:16" x14ac:dyDescent="0.25">
      <c r="A83" s="181" t="s">
        <v>17</v>
      </c>
      <c r="C83" s="144">
        <v>48011</v>
      </c>
      <c r="D83" s="145">
        <f>51711-5100</f>
        <v>46611</v>
      </c>
      <c r="E83" s="167">
        <f>C83-D83</f>
        <v>1400</v>
      </c>
      <c r="G83" s="144">
        <v>0</v>
      </c>
      <c r="H83" s="145">
        <v>0</v>
      </c>
      <c r="I83" s="167">
        <f>G83-H83</f>
        <v>0</v>
      </c>
      <c r="K83" s="149" t="s">
        <v>159</v>
      </c>
      <c r="N83" s="150"/>
    </row>
    <row r="84" spans="1:16" s="160" customFormat="1" x14ac:dyDescent="0.25">
      <c r="A84" s="180" t="s">
        <v>13</v>
      </c>
      <c r="C84" s="161">
        <f>SUM(C70:C83)</f>
        <v>98294</v>
      </c>
      <c r="D84" s="162">
        <f>SUM(D70:D83)</f>
        <v>91651</v>
      </c>
      <c r="E84" s="168">
        <f>SUM(E70:E83)</f>
        <v>6643</v>
      </c>
      <c r="G84" s="161">
        <f>SUM(G70:G83)</f>
        <v>0</v>
      </c>
      <c r="H84" s="162">
        <f>SUM(H70:H83)</f>
        <v>0</v>
      </c>
      <c r="I84" s="168">
        <f>SUM(I70:I83)</f>
        <v>0</v>
      </c>
      <c r="K84" s="164"/>
      <c r="L84" s="165"/>
      <c r="M84" s="165"/>
      <c r="N84" s="166"/>
    </row>
    <row r="85" spans="1:16" x14ac:dyDescent="0.25">
      <c r="A85" s="181" t="s">
        <v>119</v>
      </c>
      <c r="C85" s="144">
        <f>D85+1023</f>
        <v>38777</v>
      </c>
      <c r="D85" s="145">
        <v>37754</v>
      </c>
      <c r="E85" s="167">
        <f>C85-D85</f>
        <v>1023</v>
      </c>
      <c r="G85" s="144">
        <v>0</v>
      </c>
      <c r="H85" s="145">
        <v>0</v>
      </c>
      <c r="I85" s="167">
        <f>G85-H85</f>
        <v>0</v>
      </c>
      <c r="K85" s="139"/>
      <c r="L85" s="140"/>
      <c r="M85" s="140"/>
      <c r="N85" s="141"/>
    </row>
    <row r="86" spans="1:16" x14ac:dyDescent="0.25">
      <c r="A86" s="181" t="s">
        <v>120</v>
      </c>
      <c r="C86" s="144">
        <f>D86</f>
        <v>3060</v>
      </c>
      <c r="D86" s="145">
        <v>3060</v>
      </c>
      <c r="E86" s="167">
        <f>C86-D86</f>
        <v>0</v>
      </c>
      <c r="G86" s="144">
        <v>0</v>
      </c>
      <c r="H86" s="145">
        <v>0</v>
      </c>
      <c r="I86" s="167">
        <f>G86-H86</f>
        <v>0</v>
      </c>
      <c r="K86" s="139"/>
      <c r="L86" s="140"/>
      <c r="M86" s="140"/>
      <c r="N86" s="141"/>
    </row>
    <row r="87" spans="1:16" s="160" customFormat="1" x14ac:dyDescent="0.25">
      <c r="A87" s="182" t="s">
        <v>127</v>
      </c>
      <c r="C87" s="162">
        <f>C68+C84+C85+C86</f>
        <v>191882</v>
      </c>
      <c r="D87" s="162">
        <f>D68+D84+D85+D86</f>
        <v>184817</v>
      </c>
      <c r="E87" s="162">
        <f>E68+E84+E85+E86</f>
        <v>7065</v>
      </c>
      <c r="G87" s="162">
        <f>G68+G84+G85+G86</f>
        <v>67828</v>
      </c>
      <c r="H87" s="162">
        <f>H68+H84+H85+H86</f>
        <v>60526</v>
      </c>
      <c r="I87" s="162">
        <f>I68+I84+I85+I86</f>
        <v>7302</v>
      </c>
      <c r="K87" s="164"/>
      <c r="L87" s="165"/>
      <c r="M87" s="165"/>
      <c r="N87" s="166"/>
    </row>
    <row r="88" spans="1:16" x14ac:dyDescent="0.25">
      <c r="A88" s="181" t="s">
        <v>15</v>
      </c>
      <c r="C88" s="144">
        <v>407</v>
      </c>
      <c r="D88" s="145">
        <v>25828</v>
      </c>
      <c r="E88" s="167">
        <f>C88-D88</f>
        <v>-25421</v>
      </c>
      <c r="G88" s="144">
        <v>0</v>
      </c>
      <c r="H88" s="145">
        <v>0</v>
      </c>
      <c r="I88" s="167">
        <f>G88-H88</f>
        <v>0</v>
      </c>
      <c r="K88" s="152"/>
      <c r="N88" s="151"/>
    </row>
    <row r="89" spans="1:16" s="160" customFormat="1" x14ac:dyDescent="0.25">
      <c r="A89" s="183" t="s">
        <v>98</v>
      </c>
      <c r="C89" s="161">
        <f>C88+C87</f>
        <v>192289</v>
      </c>
      <c r="D89" s="162">
        <f>D88+D87</f>
        <v>210645</v>
      </c>
      <c r="E89" s="168">
        <f>E88+E87</f>
        <v>-18356</v>
      </c>
      <c r="G89" s="161">
        <f>G88+G87</f>
        <v>67828</v>
      </c>
      <c r="H89" s="162">
        <f>H88+H87</f>
        <v>60526</v>
      </c>
      <c r="I89" s="168">
        <f>I88+I87</f>
        <v>7302</v>
      </c>
      <c r="K89" s="164"/>
      <c r="L89" s="165"/>
      <c r="M89" s="165"/>
      <c r="N89" s="166"/>
    </row>
    <row r="91" spans="1:16" x14ac:dyDescent="0.25">
      <c r="O91">
        <f>C91-G91-K91</f>
        <v>0</v>
      </c>
      <c r="P91">
        <f>D91-H91-L91</f>
        <v>0</v>
      </c>
    </row>
    <row r="92" spans="1:16" x14ac:dyDescent="0.25">
      <c r="D92" s="148"/>
    </row>
    <row r="94" spans="1:16" x14ac:dyDescent="0.25">
      <c r="D94" s="148"/>
    </row>
  </sheetData>
  <mergeCells count="6">
    <mergeCell ref="K6:N6"/>
    <mergeCell ref="C5:E5"/>
    <mergeCell ref="G5:I5"/>
    <mergeCell ref="A1:N1"/>
    <mergeCell ref="A2:N2"/>
    <mergeCell ref="A3:N3"/>
  </mergeCells>
  <phoneticPr fontId="0" type="noConversion"/>
  <printOptions horizontalCentered="1"/>
  <pageMargins left="0.25" right="0.25" top="0.25" bottom="0.75" header="0.5" footer="0.5"/>
  <pageSetup scale="61" orientation="portrait" r:id="rId1"/>
  <headerFooter alignWithMargins="0">
    <oddFooter>&amp;L&amp;8&amp;A
&amp;D&amp;T&amp;R&amp;8&amp;F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P91"/>
  <sheetViews>
    <sheetView workbookViewId="0">
      <pane ySplit="7" topLeftCell="A8" activePane="bottomLeft" state="frozen"/>
      <selection activeCell="E87" sqref="E87"/>
      <selection pane="bottomLeft" activeCell="A8" sqref="A8"/>
    </sheetView>
  </sheetViews>
  <sheetFormatPr defaultRowHeight="13.2" x14ac:dyDescent="0.25"/>
  <cols>
    <col min="1" max="1" width="27.33203125" customWidth="1"/>
    <col min="2" max="2" width="2.109375" customWidth="1"/>
    <col min="3" max="3" width="9.5546875" bestFit="1" customWidth="1"/>
    <col min="4" max="4" width="10.5546875" bestFit="1" customWidth="1"/>
    <col min="5" max="5" width="10.109375" bestFit="1" customWidth="1"/>
    <col min="8" max="8" width="16.5546875" customWidth="1"/>
  </cols>
  <sheetData>
    <row r="1" spans="1:8" ht="15.6" x14ac:dyDescent="0.3">
      <c r="A1" s="379" t="s">
        <v>75</v>
      </c>
      <c r="B1" s="380"/>
      <c r="C1" s="380"/>
      <c r="D1" s="380"/>
      <c r="E1" s="380"/>
      <c r="F1" s="380"/>
      <c r="G1" s="380"/>
      <c r="H1" s="381"/>
    </row>
    <row r="2" spans="1:8" ht="13.8" x14ac:dyDescent="0.25">
      <c r="A2" s="382" t="s">
        <v>144</v>
      </c>
      <c r="B2" s="383"/>
      <c r="C2" s="383"/>
      <c r="D2" s="383"/>
      <c r="E2" s="383"/>
      <c r="F2" s="383"/>
      <c r="G2" s="383"/>
      <c r="H2" s="384"/>
    </row>
    <row r="3" spans="1:8" x14ac:dyDescent="0.25">
      <c r="A3" s="385" t="str">
        <f>Expenses!A3</f>
        <v>Results based on activity through June 08, 2001</v>
      </c>
      <c r="B3" s="386"/>
      <c r="C3" s="386"/>
      <c r="D3" s="386"/>
      <c r="E3" s="386"/>
      <c r="F3" s="386"/>
      <c r="G3" s="386"/>
      <c r="H3" s="387"/>
    </row>
    <row r="4" spans="1:8" x14ac:dyDescent="0.25">
      <c r="A4" s="139"/>
      <c r="B4" s="140"/>
      <c r="C4" s="140"/>
      <c r="D4" s="140"/>
      <c r="E4" s="140"/>
      <c r="F4" s="140"/>
      <c r="G4" s="140"/>
      <c r="H4" s="141"/>
    </row>
    <row r="5" spans="1:8" x14ac:dyDescent="0.25">
      <c r="A5" s="125"/>
      <c r="B5" s="140"/>
      <c r="C5" s="130"/>
      <c r="D5" s="131"/>
      <c r="E5" s="131"/>
      <c r="F5" s="131"/>
      <c r="G5" s="131"/>
      <c r="H5" s="132"/>
    </row>
    <row r="6" spans="1:8" x14ac:dyDescent="0.25">
      <c r="A6" s="147"/>
      <c r="B6" s="140"/>
      <c r="C6" s="368" t="s">
        <v>99</v>
      </c>
      <c r="D6" s="369"/>
      <c r="E6" s="369"/>
      <c r="F6" s="369"/>
      <c r="G6" s="369"/>
      <c r="H6" s="370"/>
    </row>
    <row r="7" spans="1:8" x14ac:dyDescent="0.25">
      <c r="A7" s="133" t="s">
        <v>2</v>
      </c>
      <c r="B7" s="140"/>
      <c r="C7" s="126" t="s">
        <v>6</v>
      </c>
      <c r="D7" s="127" t="s">
        <v>4</v>
      </c>
      <c r="E7" s="128" t="s">
        <v>5</v>
      </c>
      <c r="F7" s="375" t="s">
        <v>100</v>
      </c>
      <c r="G7" s="375"/>
      <c r="H7" s="376"/>
    </row>
    <row r="8" spans="1:8" x14ac:dyDescent="0.25">
      <c r="A8" s="329" t="str">
        <f>'QTD Mgmt Summary'!A10</f>
        <v xml:space="preserve">    ERCOT (Smith/Tingleaf)</v>
      </c>
      <c r="B8" s="140"/>
      <c r="C8" s="144">
        <f>D8</f>
        <v>0</v>
      </c>
      <c r="D8" s="145">
        <v>0</v>
      </c>
      <c r="E8" s="167">
        <f>C8-D8</f>
        <v>0</v>
      </c>
      <c r="F8" s="145"/>
      <c r="G8" s="145"/>
      <c r="H8" s="146"/>
    </row>
    <row r="9" spans="1:8" x14ac:dyDescent="0.25">
      <c r="A9" s="329" t="str">
        <f>'QTD Mgmt Summary'!A11</f>
        <v xml:space="preserve">    Southeast (Herndon/Kroll)</v>
      </c>
      <c r="B9" s="140"/>
      <c r="C9" s="144">
        <v>75</v>
      </c>
      <c r="D9" s="145">
        <v>0</v>
      </c>
      <c r="E9" s="167">
        <f t="shared" ref="E9:E18" si="0">C9-D9</f>
        <v>75</v>
      </c>
      <c r="F9" s="145"/>
      <c r="G9" s="145"/>
      <c r="H9" s="146"/>
    </row>
    <row r="10" spans="1:8" x14ac:dyDescent="0.25">
      <c r="A10" s="329" t="str">
        <f>'QTD Mgmt Summary'!A12</f>
        <v xml:space="preserve">    Midwest (Sturm/Baughman)</v>
      </c>
      <c r="B10" s="140"/>
      <c r="C10" s="144">
        <f t="shared" ref="C10:C18" si="1">D10</f>
        <v>0</v>
      </c>
      <c r="D10" s="145">
        <v>0</v>
      </c>
      <c r="E10" s="167">
        <f t="shared" si="0"/>
        <v>0</v>
      </c>
      <c r="F10" s="145"/>
      <c r="G10" s="145"/>
      <c r="H10" s="146"/>
    </row>
    <row r="11" spans="1:8" x14ac:dyDescent="0.25">
      <c r="A11" s="329" t="str">
        <f>'QTD Mgmt Summary'!A13</f>
        <v xml:space="preserve">    Northeast (Davis)</v>
      </c>
      <c r="B11" s="140"/>
      <c r="C11" s="144">
        <f t="shared" si="1"/>
        <v>0</v>
      </c>
      <c r="D11" s="145">
        <v>0</v>
      </c>
      <c r="E11" s="167">
        <f t="shared" si="0"/>
        <v>0</v>
      </c>
      <c r="F11" s="145"/>
      <c r="G11" s="145"/>
      <c r="H11" s="146"/>
    </row>
    <row r="12" spans="1:8" x14ac:dyDescent="0.25">
      <c r="A12" s="329" t="str">
        <f>'QTD Mgmt Summary'!A14</f>
        <v xml:space="preserve">    Management Book (Presto)</v>
      </c>
      <c r="B12" s="140"/>
      <c r="C12" s="144">
        <f t="shared" si="1"/>
        <v>0</v>
      </c>
      <c r="D12" s="145">
        <v>0</v>
      </c>
      <c r="E12" s="167">
        <f t="shared" si="0"/>
        <v>0</v>
      </c>
      <c r="F12" s="145"/>
      <c r="G12" s="145"/>
      <c r="H12" s="146"/>
    </row>
    <row r="13" spans="1:8" x14ac:dyDescent="0.25">
      <c r="A13" s="329" t="str">
        <f>'QTD Mgmt Summary'!A15</f>
        <v xml:space="preserve">    Options (Arrora)</v>
      </c>
      <c r="B13" s="140"/>
      <c r="C13" s="144">
        <f t="shared" si="1"/>
        <v>0</v>
      </c>
      <c r="D13" s="145">
        <v>0</v>
      </c>
      <c r="E13" s="167">
        <f t="shared" si="0"/>
        <v>0</v>
      </c>
      <c r="F13" s="145"/>
      <c r="G13" s="145"/>
      <c r="H13" s="146"/>
    </row>
    <row r="14" spans="1:8" x14ac:dyDescent="0.25">
      <c r="A14" s="329" t="str">
        <f>'QTD Mgmt Summary'!A16</f>
        <v xml:space="preserve">    Services (Will)</v>
      </c>
      <c r="B14" s="140"/>
      <c r="C14" s="144">
        <f t="shared" si="1"/>
        <v>0</v>
      </c>
      <c r="D14" s="145">
        <v>0</v>
      </c>
      <c r="E14" s="167">
        <f t="shared" si="0"/>
        <v>0</v>
      </c>
      <c r="F14" s="145"/>
      <c r="G14" s="145"/>
      <c r="H14" s="146"/>
    </row>
    <row r="15" spans="1:8" x14ac:dyDescent="0.25">
      <c r="A15" s="329" t="str">
        <f>'QTD Mgmt Summary'!A17</f>
        <v xml:space="preserve">    New Albany (Presto)   </v>
      </c>
      <c r="B15" s="140"/>
      <c r="C15" s="144">
        <v>0</v>
      </c>
      <c r="D15" s="145">
        <v>0</v>
      </c>
      <c r="E15" s="167">
        <f t="shared" si="0"/>
        <v>0</v>
      </c>
      <c r="F15" s="145"/>
      <c r="G15" s="145"/>
      <c r="H15" s="146"/>
    </row>
    <row r="16" spans="1:8" x14ac:dyDescent="0.25">
      <c r="A16" s="329" t="str">
        <f>'QTD Mgmt Summary'!A18</f>
        <v xml:space="preserve">    Development (Jacoby)</v>
      </c>
      <c r="B16" s="140"/>
      <c r="C16" s="144">
        <v>277</v>
      </c>
      <c r="D16" s="145">
        <v>236</v>
      </c>
      <c r="E16" s="167">
        <f t="shared" si="0"/>
        <v>41</v>
      </c>
      <c r="F16" s="145"/>
      <c r="G16" s="145"/>
      <c r="H16" s="146"/>
    </row>
    <row r="17" spans="1:8" x14ac:dyDescent="0.25">
      <c r="A17" s="329" t="str">
        <f>'QTD Mgmt Summary'!A19</f>
        <v xml:space="preserve">    Structuring (Meyn)</v>
      </c>
      <c r="B17" s="140"/>
      <c r="C17" s="144">
        <f t="shared" si="1"/>
        <v>0</v>
      </c>
      <c r="D17" s="145">
        <v>0</v>
      </c>
      <c r="E17" s="167">
        <f t="shared" si="0"/>
        <v>0</v>
      </c>
      <c r="F17" s="145"/>
      <c r="G17" s="145"/>
      <c r="H17" s="146"/>
    </row>
    <row r="18" spans="1:8" x14ac:dyDescent="0.25">
      <c r="A18" s="329" t="str">
        <f>'QTD Mgmt Summary'!A20</f>
        <v xml:space="preserve">    Fundamentals (Will)</v>
      </c>
      <c r="B18" s="140"/>
      <c r="C18" s="144">
        <f t="shared" si="1"/>
        <v>0</v>
      </c>
      <c r="D18" s="145">
        <v>0</v>
      </c>
      <c r="E18" s="167">
        <f t="shared" si="0"/>
        <v>0</v>
      </c>
      <c r="F18" s="145"/>
      <c r="G18" s="145"/>
      <c r="H18" s="146"/>
    </row>
    <row r="19" spans="1:8" s="160" customFormat="1" x14ac:dyDescent="0.25">
      <c r="A19" s="96" t="s">
        <v>7</v>
      </c>
      <c r="B19" s="330"/>
      <c r="C19" s="161">
        <f>SUM(C8:C18)</f>
        <v>352</v>
      </c>
      <c r="D19" s="162">
        <f>SUM(D8:D18)</f>
        <v>236</v>
      </c>
      <c r="E19" s="168">
        <f>SUM(E8:E18)</f>
        <v>116</v>
      </c>
      <c r="F19" s="162"/>
      <c r="G19" s="162"/>
      <c r="H19" s="163"/>
    </row>
    <row r="20" spans="1:8" ht="8.25" customHeight="1" x14ac:dyDescent="0.25">
      <c r="A20" s="329"/>
      <c r="B20" s="140"/>
      <c r="C20" s="144"/>
      <c r="D20" s="145"/>
      <c r="E20" s="167"/>
      <c r="F20" s="145"/>
      <c r="G20" s="145"/>
      <c r="H20" s="146"/>
    </row>
    <row r="21" spans="1:8" x14ac:dyDescent="0.25">
      <c r="A21" s="329" t="str">
        <f>'QTD Mgmt Summary'!A23</f>
        <v xml:space="preserve">    Origination (Thomas/Mcdonald)</v>
      </c>
      <c r="B21" s="140"/>
      <c r="C21" s="144">
        <v>963</v>
      </c>
      <c r="D21" s="145">
        <v>111</v>
      </c>
      <c r="E21" s="167">
        <f t="shared" ref="E21:E26" si="2">C21-D21</f>
        <v>852</v>
      </c>
      <c r="F21" s="145"/>
      <c r="G21" s="145"/>
      <c r="H21" s="146"/>
    </row>
    <row r="22" spans="1:8" x14ac:dyDescent="0.25">
      <c r="A22" s="329" t="str">
        <f>'QTD Mgmt Summary'!A24</f>
        <v xml:space="preserve">    Executive (Calger)</v>
      </c>
      <c r="B22" s="140"/>
      <c r="C22" s="144">
        <v>0</v>
      </c>
      <c r="D22" s="145">
        <v>0</v>
      </c>
      <c r="E22" s="167">
        <f t="shared" si="2"/>
        <v>0</v>
      </c>
      <c r="F22" s="145"/>
      <c r="G22" s="145"/>
      <c r="H22" s="146"/>
    </row>
    <row r="23" spans="1:8" x14ac:dyDescent="0.25">
      <c r="A23" s="329" t="str">
        <f>'QTD Mgmt Summary'!A25</f>
        <v xml:space="preserve">    Generation (Parquet)</v>
      </c>
      <c r="B23" s="140"/>
      <c r="C23" s="144">
        <v>2036</v>
      </c>
      <c r="D23" s="145">
        <v>4139</v>
      </c>
      <c r="E23" s="167">
        <f t="shared" si="2"/>
        <v>-2103</v>
      </c>
      <c r="F23" s="145"/>
      <c r="G23" s="145"/>
      <c r="H23" s="146"/>
    </row>
    <row r="24" spans="1:8" x14ac:dyDescent="0.25">
      <c r="A24" s="329" t="str">
        <f>'QTD Mgmt Summary'!A26</f>
        <v xml:space="preserve">    Trading (Belden)</v>
      </c>
      <c r="B24" s="140"/>
      <c r="C24" s="144">
        <f>D24</f>
        <v>0</v>
      </c>
      <c r="D24" s="145">
        <v>0</v>
      </c>
      <c r="E24" s="167">
        <f t="shared" si="2"/>
        <v>0</v>
      </c>
      <c r="F24" s="145"/>
      <c r="G24" s="145"/>
      <c r="H24" s="146"/>
    </row>
    <row r="25" spans="1:8" x14ac:dyDescent="0.25">
      <c r="A25" s="329" t="str">
        <f>'QTD Mgmt Summary'!A27</f>
        <v xml:space="preserve">    Middle Market/Services (Foster/Wolfe)</v>
      </c>
      <c r="B25" s="140"/>
      <c r="C25" s="144">
        <f>D25</f>
        <v>0</v>
      </c>
      <c r="D25" s="145">
        <v>0</v>
      </c>
      <c r="E25" s="167">
        <f t="shared" si="2"/>
        <v>0</v>
      </c>
      <c r="F25" s="145"/>
      <c r="G25" s="145"/>
      <c r="H25" s="146"/>
    </row>
    <row r="26" spans="1:8" x14ac:dyDescent="0.25">
      <c r="A26" s="329" t="str">
        <f>'QTD Mgmt Summary'!A28</f>
        <v xml:space="preserve">    Fundamentals (Heizenreiker)</v>
      </c>
      <c r="B26" s="140"/>
      <c r="C26" s="144">
        <f>D26</f>
        <v>0</v>
      </c>
      <c r="D26" s="145">
        <v>0</v>
      </c>
      <c r="E26" s="167">
        <f t="shared" si="2"/>
        <v>0</v>
      </c>
      <c r="F26" s="145"/>
      <c r="G26" s="145"/>
      <c r="H26" s="146"/>
    </row>
    <row r="27" spans="1:8" s="160" customFormat="1" x14ac:dyDescent="0.25">
      <c r="A27" s="96" t="s">
        <v>8</v>
      </c>
      <c r="B27" s="330"/>
      <c r="C27" s="161">
        <f>SUM(C21:C26)</f>
        <v>2999</v>
      </c>
      <c r="D27" s="162">
        <f>SUM(D21:D26)</f>
        <v>4250</v>
      </c>
      <c r="E27" s="168">
        <f>SUM(E21:E26)</f>
        <v>-1251</v>
      </c>
      <c r="F27" s="162"/>
      <c r="G27" s="162"/>
      <c r="H27" s="163"/>
    </row>
    <row r="28" spans="1:8" ht="6.75" customHeight="1" x14ac:dyDescent="0.25">
      <c r="A28" s="329"/>
      <c r="B28" s="140"/>
      <c r="C28" s="144"/>
      <c r="D28" s="145"/>
      <c r="E28" s="167"/>
      <c r="F28" s="145"/>
      <c r="G28" s="145"/>
      <c r="H28" s="146"/>
    </row>
    <row r="29" spans="1:8" x14ac:dyDescent="0.25">
      <c r="A29" s="329" t="s">
        <v>34</v>
      </c>
      <c r="B29" s="140"/>
      <c r="C29" s="144">
        <f>D29</f>
        <v>0</v>
      </c>
      <c r="D29" s="145">
        <v>0</v>
      </c>
      <c r="E29" s="167">
        <f t="shared" ref="E29:E36" si="3">C29-D29</f>
        <v>0</v>
      </c>
      <c r="F29" s="145"/>
      <c r="G29" s="145"/>
      <c r="H29" s="146"/>
    </row>
    <row r="30" spans="1:8" x14ac:dyDescent="0.25">
      <c r="A30" s="329" t="s">
        <v>135</v>
      </c>
      <c r="B30" s="140"/>
      <c r="C30" s="144">
        <v>370</v>
      </c>
      <c r="D30" s="145">
        <v>144</v>
      </c>
      <c r="E30" s="167">
        <f t="shared" si="3"/>
        <v>226</v>
      </c>
      <c r="F30" s="145"/>
      <c r="G30" s="145"/>
      <c r="H30" s="146"/>
    </row>
    <row r="31" spans="1:8" x14ac:dyDescent="0.25">
      <c r="A31" s="329" t="s">
        <v>36</v>
      </c>
      <c r="B31" s="140"/>
      <c r="C31" s="144">
        <v>208</v>
      </c>
      <c r="D31" s="145">
        <v>1572</v>
      </c>
      <c r="E31" s="167">
        <f t="shared" si="3"/>
        <v>-1364</v>
      </c>
      <c r="F31" s="145"/>
      <c r="G31" s="145"/>
      <c r="H31" s="146"/>
    </row>
    <row r="32" spans="1:8" x14ac:dyDescent="0.25">
      <c r="A32" s="329" t="s">
        <v>37</v>
      </c>
      <c r="B32" s="140"/>
      <c r="C32" s="144">
        <f t="shared" ref="C32:C37" si="4">D32</f>
        <v>0</v>
      </c>
      <c r="D32" s="145">
        <v>0</v>
      </c>
      <c r="E32" s="167">
        <f t="shared" si="3"/>
        <v>0</v>
      </c>
      <c r="F32" s="145"/>
      <c r="G32" s="145"/>
      <c r="H32" s="146"/>
    </row>
    <row r="33" spans="1:11" x14ac:dyDescent="0.25">
      <c r="A33" s="329" t="s">
        <v>38</v>
      </c>
      <c r="B33" s="140"/>
      <c r="C33" s="144">
        <f t="shared" si="4"/>
        <v>0</v>
      </c>
      <c r="D33" s="145">
        <v>0</v>
      </c>
      <c r="E33" s="167">
        <f t="shared" si="3"/>
        <v>0</v>
      </c>
      <c r="F33" s="145"/>
      <c r="G33" s="145"/>
      <c r="H33" s="146"/>
    </row>
    <row r="34" spans="1:11" x14ac:dyDescent="0.25">
      <c r="A34" s="329" t="s">
        <v>39</v>
      </c>
      <c r="B34" s="140"/>
      <c r="C34" s="144">
        <f t="shared" si="4"/>
        <v>0</v>
      </c>
      <c r="D34" s="145">
        <v>0</v>
      </c>
      <c r="E34" s="167">
        <f t="shared" si="3"/>
        <v>0</v>
      </c>
      <c r="F34" s="145"/>
      <c r="G34" s="145"/>
      <c r="H34" s="146"/>
    </row>
    <row r="35" spans="1:11" x14ac:dyDescent="0.25">
      <c r="A35" s="329" t="s">
        <v>40</v>
      </c>
      <c r="B35" s="140"/>
      <c r="C35" s="144">
        <f t="shared" si="4"/>
        <v>0</v>
      </c>
      <c r="D35" s="145">
        <v>0</v>
      </c>
      <c r="E35" s="167">
        <f t="shared" si="3"/>
        <v>0</v>
      </c>
      <c r="F35" s="145"/>
      <c r="G35" s="145"/>
      <c r="H35" s="146"/>
    </row>
    <row r="36" spans="1:11" x14ac:dyDescent="0.25">
      <c r="A36" s="329" t="s">
        <v>41</v>
      </c>
      <c r="B36" s="140"/>
      <c r="C36" s="144">
        <f t="shared" si="4"/>
        <v>0</v>
      </c>
      <c r="D36" s="145">
        <v>0</v>
      </c>
      <c r="E36" s="167">
        <f t="shared" si="3"/>
        <v>0</v>
      </c>
      <c r="F36" s="145"/>
      <c r="G36" s="145"/>
      <c r="H36" s="146"/>
    </row>
    <row r="37" spans="1:11" x14ac:dyDescent="0.25">
      <c r="A37" s="329" t="s">
        <v>101</v>
      </c>
      <c r="B37" s="140"/>
      <c r="C37" s="144">
        <f t="shared" si="4"/>
        <v>0</v>
      </c>
      <c r="D37" s="145">
        <v>0</v>
      </c>
      <c r="E37" s="167">
        <v>0</v>
      </c>
      <c r="F37" s="145"/>
      <c r="G37" s="145"/>
      <c r="H37" s="146"/>
    </row>
    <row r="38" spans="1:11" s="160" customFormat="1" x14ac:dyDescent="0.25">
      <c r="A38" s="96" t="s">
        <v>9</v>
      </c>
      <c r="B38" s="330"/>
      <c r="C38" s="161">
        <f>SUM(C29:C36)</f>
        <v>578</v>
      </c>
      <c r="D38" s="162">
        <f>SUM(D29:D36)</f>
        <v>1716</v>
      </c>
      <c r="E38" s="168">
        <f>SUM(E29:E36)</f>
        <v>-1138</v>
      </c>
      <c r="F38" s="162"/>
      <c r="G38" s="162"/>
      <c r="H38" s="163"/>
    </row>
    <row r="39" spans="1:11" ht="6" customHeight="1" x14ac:dyDescent="0.25">
      <c r="A39" s="329"/>
      <c r="B39" s="140"/>
      <c r="C39" s="144"/>
      <c r="D39" s="145"/>
      <c r="E39" s="167"/>
      <c r="F39" s="145"/>
      <c r="G39" s="145"/>
      <c r="H39" s="146"/>
    </row>
    <row r="40" spans="1:11" x14ac:dyDescent="0.25">
      <c r="A40" s="329" t="s">
        <v>42</v>
      </c>
      <c r="B40" s="140"/>
      <c r="C40" s="144">
        <v>32</v>
      </c>
      <c r="D40" s="145">
        <v>99</v>
      </c>
      <c r="E40" s="167">
        <f t="shared" ref="E40:E45" si="5">C40-D40</f>
        <v>-67</v>
      </c>
      <c r="F40" s="145"/>
      <c r="G40" s="145"/>
      <c r="H40" s="146"/>
    </row>
    <row r="41" spans="1:11" x14ac:dyDescent="0.25">
      <c r="A41" s="329" t="s">
        <v>43</v>
      </c>
      <c r="B41" s="140"/>
      <c r="C41" s="144">
        <v>1445</v>
      </c>
      <c r="D41" s="145">
        <v>304</v>
      </c>
      <c r="E41" s="167">
        <f t="shared" si="5"/>
        <v>1141</v>
      </c>
      <c r="F41" s="145"/>
      <c r="G41" s="145"/>
      <c r="H41" s="146"/>
    </row>
    <row r="42" spans="1:11" x14ac:dyDescent="0.25">
      <c r="A42" s="329" t="s">
        <v>65</v>
      </c>
      <c r="B42" s="140"/>
      <c r="C42" s="144">
        <f>D42</f>
        <v>0</v>
      </c>
      <c r="D42" s="145">
        <v>0</v>
      </c>
      <c r="E42" s="167">
        <f t="shared" si="5"/>
        <v>0</v>
      </c>
      <c r="F42" s="145"/>
      <c r="G42" s="145"/>
      <c r="H42" s="146"/>
    </row>
    <row r="43" spans="1:11" x14ac:dyDescent="0.25">
      <c r="A43" s="329" t="s">
        <v>66</v>
      </c>
      <c r="B43" s="140"/>
      <c r="C43" s="144">
        <v>0</v>
      </c>
      <c r="D43" s="145">
        <v>447</v>
      </c>
      <c r="E43" s="167">
        <f t="shared" si="5"/>
        <v>-447</v>
      </c>
      <c r="F43" s="145"/>
      <c r="G43" s="145"/>
      <c r="H43" s="146"/>
    </row>
    <row r="44" spans="1:11" x14ac:dyDescent="0.25">
      <c r="A44" s="329" t="s">
        <v>131</v>
      </c>
      <c r="B44" s="140"/>
      <c r="C44" s="144">
        <f>D44</f>
        <v>0</v>
      </c>
      <c r="D44" s="145">
        <v>0</v>
      </c>
      <c r="E44" s="167">
        <f t="shared" si="5"/>
        <v>0</v>
      </c>
      <c r="F44" s="145"/>
      <c r="G44" s="145"/>
      <c r="H44" s="146"/>
    </row>
    <row r="45" spans="1:11" x14ac:dyDescent="0.25">
      <c r="A45" s="329" t="s">
        <v>45</v>
      </c>
      <c r="B45" s="140"/>
      <c r="C45" s="144">
        <f>D45</f>
        <v>0</v>
      </c>
      <c r="D45" s="145">
        <v>0</v>
      </c>
      <c r="E45" s="167">
        <f t="shared" si="5"/>
        <v>0</v>
      </c>
      <c r="F45" s="145"/>
      <c r="G45" s="145"/>
      <c r="H45" s="146"/>
    </row>
    <row r="46" spans="1:11" s="160" customFormat="1" x14ac:dyDescent="0.25">
      <c r="A46" s="96" t="s">
        <v>10</v>
      </c>
      <c r="B46" s="330"/>
      <c r="C46" s="161">
        <f>SUM(C40:C45)</f>
        <v>1477</v>
      </c>
      <c r="D46" s="162">
        <f>SUM(D40:D45)</f>
        <v>850</v>
      </c>
      <c r="E46" s="168">
        <f>SUM(E40:E45)</f>
        <v>627</v>
      </c>
      <c r="F46" s="162"/>
      <c r="G46" s="162"/>
      <c r="H46" s="163"/>
      <c r="K46"/>
    </row>
    <row r="47" spans="1:11" ht="8.25" customHeight="1" x14ac:dyDescent="0.25">
      <c r="A47" s="329"/>
      <c r="B47" s="140"/>
      <c r="C47" s="144"/>
      <c r="D47" s="145"/>
      <c r="E47" s="167"/>
      <c r="F47" s="145"/>
      <c r="G47" s="145"/>
      <c r="H47" s="146"/>
    </row>
    <row r="48" spans="1:11" x14ac:dyDescent="0.25">
      <c r="A48" s="329" t="str">
        <f>'QTD Mgmt Summary'!A51</f>
        <v xml:space="preserve">    Upstream Executive (Mrha)</v>
      </c>
      <c r="B48" s="140"/>
      <c r="C48" s="144">
        <f>D48</f>
        <v>0</v>
      </c>
      <c r="D48" s="184">
        <v>0</v>
      </c>
      <c r="E48" s="167">
        <f t="shared" ref="E48:E66" si="6">C48-D48</f>
        <v>0</v>
      </c>
      <c r="F48" s="145"/>
      <c r="G48" s="145"/>
      <c r="H48" s="146"/>
    </row>
    <row r="49" spans="1:8" x14ac:dyDescent="0.25">
      <c r="A49" s="329" t="str">
        <f>'QTD Mgmt Summary'!A52</f>
        <v xml:space="preserve">      Compression Services (Hilgert)</v>
      </c>
      <c r="B49" s="140"/>
      <c r="C49" s="144">
        <f t="shared" ref="C49:C67" si="7">D49</f>
        <v>0</v>
      </c>
      <c r="D49" s="145">
        <v>0</v>
      </c>
      <c r="E49" s="167">
        <f t="shared" si="6"/>
        <v>0</v>
      </c>
      <c r="F49" s="145"/>
      <c r="G49" s="145"/>
      <c r="H49" s="146"/>
    </row>
    <row r="50" spans="1:8" x14ac:dyDescent="0.25">
      <c r="A50" s="329" t="str">
        <f>'QTD Mgmt Summary'!A53</f>
        <v xml:space="preserve">      Offshore (Byargeon)</v>
      </c>
      <c r="B50" s="140"/>
      <c r="C50" s="144">
        <v>-71</v>
      </c>
      <c r="D50" s="145">
        <v>653</v>
      </c>
      <c r="E50" s="167">
        <f t="shared" si="6"/>
        <v>-724</v>
      </c>
      <c r="F50" s="145"/>
      <c r="G50" s="145"/>
      <c r="H50" s="146"/>
    </row>
    <row r="51" spans="1:8" x14ac:dyDescent="0.25">
      <c r="A51" s="329" t="str">
        <f>'QTD Mgmt Summary'!A54</f>
        <v xml:space="preserve">      Storage (Bieniawski)</v>
      </c>
      <c r="B51" s="140"/>
      <c r="C51" s="144">
        <f t="shared" si="7"/>
        <v>0</v>
      </c>
      <c r="D51" s="145">
        <v>0</v>
      </c>
      <c r="E51" s="167">
        <f t="shared" si="6"/>
        <v>0</v>
      </c>
      <c r="F51" s="145"/>
      <c r="G51" s="145"/>
      <c r="H51" s="146"/>
    </row>
    <row r="52" spans="1:8" x14ac:dyDescent="0.25">
      <c r="A52" s="329" t="str">
        <f>'QTD Mgmt Summary'!A55</f>
        <v xml:space="preserve">      Producer E-Commerce (Grass)</v>
      </c>
      <c r="B52" s="140"/>
      <c r="C52" s="144">
        <v>0</v>
      </c>
      <c r="D52" s="145">
        <v>0</v>
      </c>
      <c r="E52" s="167">
        <f t="shared" si="6"/>
        <v>0</v>
      </c>
      <c r="F52" s="145"/>
      <c r="G52" s="145"/>
      <c r="H52" s="146"/>
    </row>
    <row r="53" spans="1:8" x14ac:dyDescent="0.25">
      <c r="A53" s="329" t="str">
        <f>'QTD Mgmt Summary'!A56</f>
        <v xml:space="preserve">      Wellhead Desk (Mrha)</v>
      </c>
      <c r="B53" s="140"/>
      <c r="C53" s="144">
        <f t="shared" si="7"/>
        <v>0</v>
      </c>
      <c r="D53" s="145">
        <v>0</v>
      </c>
      <c r="E53" s="167">
        <f t="shared" si="6"/>
        <v>0</v>
      </c>
      <c r="F53" s="145"/>
      <c r="G53" s="145"/>
      <c r="H53" s="146"/>
    </row>
    <row r="54" spans="1:8" x14ac:dyDescent="0.25">
      <c r="A54" s="329" t="str">
        <f>'QTD Mgmt Summary'!A57</f>
        <v xml:space="preserve">    Bridgeline (Mrha)</v>
      </c>
      <c r="B54" s="140"/>
      <c r="C54" s="144">
        <v>7865</v>
      </c>
      <c r="D54" s="145">
        <v>6282</v>
      </c>
      <c r="E54" s="167">
        <f t="shared" si="6"/>
        <v>1583</v>
      </c>
      <c r="F54" s="145"/>
      <c r="G54" s="145"/>
      <c r="H54" s="146"/>
    </row>
    <row r="55" spans="1:8" x14ac:dyDescent="0.25">
      <c r="A55" s="329" t="str">
        <f>'QTD Mgmt Summary'!A58</f>
        <v xml:space="preserve">    HPL (Redmond)</v>
      </c>
      <c r="B55" s="140"/>
      <c r="C55" s="144">
        <f t="shared" si="7"/>
        <v>0</v>
      </c>
      <c r="D55" s="145">
        <v>0</v>
      </c>
      <c r="E55" s="167">
        <f t="shared" si="6"/>
        <v>0</v>
      </c>
      <c r="F55" s="145"/>
      <c r="G55" s="145"/>
      <c r="H55" s="146"/>
    </row>
    <row r="56" spans="1:8" x14ac:dyDescent="0.25">
      <c r="A56" s="329" t="str">
        <f>'QTD Mgmt Summary'!A59</f>
        <v xml:space="preserve">    LT Fundamentals/Transport (Gomez)</v>
      </c>
      <c r="B56" s="140"/>
      <c r="C56" s="144">
        <f t="shared" si="7"/>
        <v>0</v>
      </c>
      <c r="D56" s="145">
        <v>0</v>
      </c>
      <c r="E56" s="167">
        <f t="shared" si="6"/>
        <v>0</v>
      </c>
      <c r="F56" s="145"/>
      <c r="G56" s="145"/>
      <c r="H56" s="146"/>
    </row>
    <row r="57" spans="1:8" x14ac:dyDescent="0.25">
      <c r="A57" s="329" t="str">
        <f>'QTD Mgmt Summary'!A60</f>
        <v xml:space="preserve">    Mexico (Yzaguirre)</v>
      </c>
      <c r="B57" s="140"/>
      <c r="C57" s="144">
        <v>41</v>
      </c>
      <c r="D57" s="145">
        <v>0</v>
      </c>
      <c r="E57" s="167">
        <f t="shared" si="6"/>
        <v>41</v>
      </c>
      <c r="F57" s="145"/>
      <c r="G57" s="145"/>
      <c r="H57" s="146"/>
    </row>
    <row r="58" spans="1:8" x14ac:dyDescent="0.25">
      <c r="A58" s="329" t="str">
        <f>'QTD Mgmt Summary'!A61</f>
        <v xml:space="preserve">    Generation Investments (Duran)</v>
      </c>
      <c r="B58" s="140"/>
      <c r="C58" s="144">
        <v>22677</v>
      </c>
      <c r="D58" s="145">
        <v>15946</v>
      </c>
      <c r="E58" s="167">
        <f t="shared" si="6"/>
        <v>6731</v>
      </c>
      <c r="F58" s="145"/>
      <c r="G58" s="145"/>
      <c r="H58" s="146"/>
    </row>
    <row r="59" spans="1:8" x14ac:dyDescent="0.25">
      <c r="A59" s="329" t="str">
        <f>'QTD Mgmt Summary'!A62</f>
        <v xml:space="preserve">    Principal Investing (Miller)</v>
      </c>
      <c r="B59" s="140"/>
      <c r="C59" s="144">
        <v>4774</v>
      </c>
      <c r="D59" s="145">
        <v>7109</v>
      </c>
      <c r="E59" s="167">
        <f t="shared" si="6"/>
        <v>-2335</v>
      </c>
      <c r="F59" s="145"/>
      <c r="G59" s="145"/>
      <c r="H59" s="146"/>
    </row>
    <row r="60" spans="1:8" x14ac:dyDescent="0.25">
      <c r="A60" s="329" t="str">
        <f>'QTD Mgmt Summary'!A63</f>
        <v xml:space="preserve">    Energy Capital Svcs (Thompson/Josey)</v>
      </c>
      <c r="B60" s="140"/>
      <c r="C60" s="144">
        <v>24758</v>
      </c>
      <c r="D60" s="145">
        <v>17615</v>
      </c>
      <c r="E60" s="167">
        <f t="shared" si="6"/>
        <v>7143</v>
      </c>
      <c r="F60" s="145"/>
      <c r="G60" s="145"/>
      <c r="H60" s="146"/>
    </row>
    <row r="61" spans="1:8" x14ac:dyDescent="0.25">
      <c r="A61" s="329" t="str">
        <f>'QTD Mgmt Summary'!A64</f>
        <v xml:space="preserve">    Special Assets (Redmond/Lydecker)</v>
      </c>
      <c r="B61" s="140"/>
      <c r="C61" s="144">
        <v>9178</v>
      </c>
      <c r="D61" s="145">
        <v>14447</v>
      </c>
      <c r="E61" s="167">
        <f t="shared" si="6"/>
        <v>-5269</v>
      </c>
      <c r="F61" s="145"/>
      <c r="G61" s="145"/>
      <c r="H61" s="146"/>
    </row>
    <row r="62" spans="1:8" x14ac:dyDescent="0.25">
      <c r="A62" s="329" t="str">
        <f>'QTD Mgmt Summary'!A65</f>
        <v xml:space="preserve">    Asset Marketing (Miller)</v>
      </c>
      <c r="B62" s="140"/>
      <c r="C62" s="144">
        <v>0</v>
      </c>
      <c r="D62" s="145">
        <v>0</v>
      </c>
      <c r="E62" s="167">
        <f t="shared" si="6"/>
        <v>0</v>
      </c>
      <c r="F62" s="145"/>
      <c r="G62" s="145"/>
      <c r="H62" s="146"/>
    </row>
    <row r="63" spans="1:8" x14ac:dyDescent="0.25">
      <c r="A63" s="329" t="str">
        <f>'QTD Mgmt Summary'!A66</f>
        <v xml:space="preserve">    Sold Peakers</v>
      </c>
      <c r="B63" s="140"/>
      <c r="C63" s="144">
        <v>8205</v>
      </c>
      <c r="D63" s="145">
        <v>32888</v>
      </c>
      <c r="E63" s="167">
        <f t="shared" si="6"/>
        <v>-24683</v>
      </c>
      <c r="F63" s="145"/>
      <c r="G63" s="145"/>
      <c r="H63" s="146"/>
    </row>
    <row r="64" spans="1:8" x14ac:dyDescent="0.25">
      <c r="A64" s="329" t="str">
        <f>'QTD Mgmt Summary'!A67</f>
        <v xml:space="preserve">    Cross Commodity (Lavorato)</v>
      </c>
      <c r="B64" s="140"/>
      <c r="C64" s="144">
        <f t="shared" si="7"/>
        <v>0</v>
      </c>
      <c r="D64" s="145">
        <v>0</v>
      </c>
      <c r="E64" s="167">
        <f t="shared" si="6"/>
        <v>0</v>
      </c>
      <c r="F64" s="145"/>
      <c r="G64" s="145"/>
      <c r="H64" s="146"/>
    </row>
    <row r="65" spans="1:8" x14ac:dyDescent="0.25">
      <c r="A65" s="329" t="str">
        <f>'QTD Mgmt Summary'!A68</f>
        <v xml:space="preserve">    Office of the Chairman (Lavorato/Kitchen)</v>
      </c>
      <c r="B65" s="140"/>
      <c r="C65" s="144">
        <f t="shared" si="7"/>
        <v>0</v>
      </c>
      <c r="D65" s="145">
        <v>0</v>
      </c>
      <c r="E65" s="167">
        <f t="shared" si="6"/>
        <v>0</v>
      </c>
      <c r="F65" s="145"/>
      <c r="G65" s="145"/>
      <c r="H65" s="146"/>
    </row>
    <row r="66" spans="1:8" x14ac:dyDescent="0.25">
      <c r="A66" s="329" t="str">
        <f>'QTD Mgmt Summary'!A69</f>
        <v xml:space="preserve">    TVA Settlement</v>
      </c>
      <c r="B66" s="140"/>
      <c r="C66" s="144">
        <f t="shared" si="7"/>
        <v>0</v>
      </c>
      <c r="D66" s="145">
        <v>0</v>
      </c>
      <c r="E66" s="167">
        <f t="shared" si="6"/>
        <v>0</v>
      </c>
      <c r="F66" s="145"/>
      <c r="G66" s="145"/>
      <c r="H66" s="146"/>
    </row>
    <row r="67" spans="1:8" x14ac:dyDescent="0.25">
      <c r="A67" s="331" t="s">
        <v>11</v>
      </c>
      <c r="B67" s="140"/>
      <c r="C67" s="144">
        <f t="shared" si="7"/>
        <v>0</v>
      </c>
      <c r="D67" s="145">
        <v>0</v>
      </c>
      <c r="E67" s="167">
        <f>C67-D67</f>
        <v>0</v>
      </c>
      <c r="F67" s="145"/>
      <c r="G67" s="145"/>
      <c r="H67" s="146"/>
    </row>
    <row r="68" spans="1:8" s="160" customFormat="1" x14ac:dyDescent="0.25">
      <c r="A68" s="96" t="s">
        <v>12</v>
      </c>
      <c r="B68" s="330"/>
      <c r="C68" s="161">
        <f>SUM(C48:C67)+C46+C38+C27+C19</f>
        <v>82833</v>
      </c>
      <c r="D68" s="162">
        <f>SUM(D48:D67)+D46+D38+D27+D19</f>
        <v>101992</v>
      </c>
      <c r="E68" s="168">
        <f>SUM(E48:E67)+E46+E38+E27+E19</f>
        <v>-19159</v>
      </c>
      <c r="F68" s="162"/>
      <c r="G68" s="162"/>
      <c r="H68" s="163"/>
    </row>
    <row r="69" spans="1:8" ht="6.75" customHeight="1" x14ac:dyDescent="0.25">
      <c r="A69" s="331"/>
      <c r="B69" s="140"/>
      <c r="C69" s="144"/>
      <c r="D69" s="145"/>
      <c r="E69" s="167"/>
      <c r="F69" s="145"/>
      <c r="G69" s="145"/>
      <c r="H69" s="146"/>
    </row>
    <row r="70" spans="1:8" x14ac:dyDescent="0.25">
      <c r="A70" s="331" t="s">
        <v>19</v>
      </c>
      <c r="B70" s="140"/>
      <c r="C70" s="144">
        <v>0</v>
      </c>
      <c r="D70" s="145">
        <v>0</v>
      </c>
      <c r="E70" s="167">
        <f>C70-D70</f>
        <v>0</v>
      </c>
      <c r="F70" s="145"/>
      <c r="G70" s="145"/>
      <c r="H70" s="146"/>
    </row>
    <row r="71" spans="1:8" x14ac:dyDescent="0.25">
      <c r="A71" s="331" t="s">
        <v>115</v>
      </c>
      <c r="B71" s="140"/>
      <c r="C71" s="144">
        <f>-C68</f>
        <v>-82833</v>
      </c>
      <c r="D71" s="145">
        <f>-D68</f>
        <v>-101992</v>
      </c>
      <c r="E71" s="167">
        <f>-E68</f>
        <v>19159</v>
      </c>
      <c r="F71" s="145"/>
      <c r="G71" s="145"/>
      <c r="H71" s="146"/>
    </row>
    <row r="72" spans="1:8" s="160" customFormat="1" x14ac:dyDescent="0.25">
      <c r="A72" s="96" t="s">
        <v>128</v>
      </c>
      <c r="B72" s="330"/>
      <c r="C72" s="161">
        <f>SUM(C70:C71)+C68</f>
        <v>0</v>
      </c>
      <c r="D72" s="162">
        <f>SUM(D70:D71)+D68</f>
        <v>0</v>
      </c>
      <c r="E72" s="168">
        <f>SUM(E70:E71)+E68</f>
        <v>0</v>
      </c>
      <c r="F72" s="162"/>
      <c r="G72" s="162"/>
      <c r="H72" s="163"/>
    </row>
    <row r="73" spans="1:8" x14ac:dyDescent="0.25">
      <c r="A73" s="331" t="s">
        <v>15</v>
      </c>
      <c r="B73" s="140"/>
      <c r="C73" s="144">
        <v>0</v>
      </c>
      <c r="D73" s="145">
        <v>0</v>
      </c>
      <c r="E73" s="167">
        <v>0</v>
      </c>
      <c r="F73" s="145"/>
      <c r="G73" s="145"/>
      <c r="H73" s="146"/>
    </row>
    <row r="74" spans="1:8" s="160" customFormat="1" x14ac:dyDescent="0.25">
      <c r="A74" s="96" t="s">
        <v>98</v>
      </c>
      <c r="B74" s="332"/>
      <c r="C74" s="161">
        <f>C72+C73</f>
        <v>0</v>
      </c>
      <c r="D74" s="162">
        <f>D72+D73</f>
        <v>0</v>
      </c>
      <c r="E74" s="168">
        <f>E72+E73</f>
        <v>0</v>
      </c>
      <c r="F74" s="162"/>
      <c r="G74" s="162"/>
      <c r="H74" s="163"/>
    </row>
    <row r="75" spans="1:8" x14ac:dyDescent="0.25">
      <c r="C75" s="148"/>
      <c r="D75" s="148"/>
      <c r="E75" s="148"/>
      <c r="F75" s="148"/>
      <c r="G75" s="148"/>
      <c r="H75" s="148"/>
    </row>
    <row r="76" spans="1:8" hidden="1" x14ac:dyDescent="0.25">
      <c r="A76" t="s">
        <v>113</v>
      </c>
      <c r="C76" s="148"/>
      <c r="D76" s="148">
        <f>40112</f>
        <v>40112</v>
      </c>
      <c r="E76" s="148" t="s">
        <v>118</v>
      </c>
      <c r="F76" s="148"/>
      <c r="G76" s="148"/>
      <c r="H76" s="148"/>
    </row>
    <row r="77" spans="1:8" hidden="1" x14ac:dyDescent="0.25">
      <c r="A77" t="s">
        <v>117</v>
      </c>
      <c r="C77" s="148"/>
      <c r="D77" s="148">
        <f>D68+D76</f>
        <v>142104</v>
      </c>
      <c r="E77" s="148"/>
      <c r="F77" s="148"/>
      <c r="G77" s="148"/>
      <c r="H77" s="148"/>
    </row>
    <row r="78" spans="1:8" hidden="1" x14ac:dyDescent="0.25">
      <c r="A78" t="s">
        <v>124</v>
      </c>
      <c r="C78" s="148"/>
      <c r="D78" s="148">
        <v>81259</v>
      </c>
      <c r="E78" s="148"/>
      <c r="F78" s="148"/>
      <c r="G78" s="148"/>
      <c r="H78" s="148"/>
    </row>
    <row r="79" spans="1:8" hidden="1" x14ac:dyDescent="0.25">
      <c r="C79" s="148"/>
      <c r="D79" s="148"/>
      <c r="E79" s="148"/>
      <c r="F79" s="148"/>
      <c r="G79" s="148"/>
      <c r="H79" s="148"/>
    </row>
    <row r="80" spans="1:8" x14ac:dyDescent="0.25">
      <c r="C80" s="148"/>
      <c r="D80" s="148"/>
      <c r="E80" s="148"/>
      <c r="F80" s="148"/>
      <c r="G80" s="148"/>
      <c r="H80" s="148"/>
    </row>
    <row r="91" spans="15:16" x14ac:dyDescent="0.25">
      <c r="O91">
        <f>C91-G91-K91</f>
        <v>0</v>
      </c>
      <c r="P91">
        <f>D91-H91-L91</f>
        <v>0</v>
      </c>
    </row>
  </sheetData>
  <mergeCells count="5">
    <mergeCell ref="A1:H1"/>
    <mergeCell ref="A2:H2"/>
    <mergeCell ref="A3:H3"/>
    <mergeCell ref="F7:H7"/>
    <mergeCell ref="C6:H6"/>
  </mergeCells>
  <phoneticPr fontId="0" type="noConversion"/>
  <printOptions horizontalCentered="1"/>
  <pageMargins left="0.75" right="0.75" top="0.25" bottom="0.75" header="0.5" footer="0.5"/>
  <pageSetup scale="75" orientation="portrait" r:id="rId1"/>
  <headerFooter alignWithMargins="0">
    <oddFooter>&amp;L&amp;8&amp;A
&amp;D&amp;T&amp;R&amp;8&amp;F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Z100"/>
  <sheetViews>
    <sheetView workbookViewId="0">
      <pane ySplit="8" topLeftCell="A9" activePane="bottomLeft" state="frozen"/>
      <selection activeCell="A95" sqref="A95:IV116"/>
      <selection pane="bottomLeft" activeCell="A9" sqref="A9"/>
    </sheetView>
  </sheetViews>
  <sheetFormatPr defaultColWidth="9.109375" defaultRowHeight="10.199999999999999" x14ac:dyDescent="0.2"/>
  <cols>
    <col min="1" max="1" width="29" style="10" customWidth="1"/>
    <col min="2" max="2" width="0.88671875" style="10" customWidth="1"/>
    <col min="3" max="4" width="8.6640625" style="10" customWidth="1"/>
    <col min="5" max="5" width="10.109375" style="10" customWidth="1"/>
    <col min="6" max="6" width="0.88671875" style="10" customWidth="1"/>
    <col min="7" max="7" width="9.33203125" style="216" customWidth="1"/>
    <col min="8" max="8" width="9" style="216" customWidth="1"/>
    <col min="9" max="9" width="8.6640625" style="216" customWidth="1"/>
    <col min="10" max="10" width="1" style="216" customWidth="1"/>
    <col min="11" max="12" width="8.6640625" style="216" customWidth="1"/>
    <col min="13" max="13" width="8.88671875" style="216" customWidth="1"/>
    <col min="14" max="14" width="0.88671875" style="216" customWidth="1"/>
    <col min="15" max="17" width="8.6640625" style="216" customWidth="1"/>
    <col min="18" max="18" width="0.88671875" style="10" customWidth="1"/>
    <col min="19" max="19" width="8.6640625" style="10" customWidth="1"/>
    <col min="20" max="23" width="7.6640625" style="10" customWidth="1"/>
    <col min="24" max="25" width="8.6640625" style="10" customWidth="1"/>
    <col min="26" max="26" width="0.88671875" style="10" customWidth="1"/>
    <col min="27" max="16384" width="9.109375" style="10"/>
  </cols>
  <sheetData>
    <row r="1" spans="1:26" s="2" customFormat="1" ht="9.9" customHeight="1" x14ac:dyDescent="0.3">
      <c r="A1"/>
      <c r="B1"/>
      <c r="C1"/>
      <c r="D1"/>
      <c r="E1"/>
      <c r="F1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5">
      <c r="A2" s="3" t="s">
        <v>70</v>
      </c>
      <c r="B2" s="4"/>
      <c r="C2" s="4"/>
      <c r="D2" s="4"/>
      <c r="E2" s="4"/>
      <c r="F2" s="4"/>
      <c r="G2" s="175"/>
      <c r="H2" s="175"/>
      <c r="I2" s="175"/>
      <c r="J2" s="175"/>
      <c r="K2" s="175"/>
      <c r="L2" s="357" t="s">
        <v>146</v>
      </c>
      <c r="M2" s="357"/>
      <c r="N2" s="357"/>
      <c r="O2" s="357"/>
      <c r="P2" s="357"/>
      <c r="Q2" s="357"/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25">
      <c r="A3" t="s">
        <v>85</v>
      </c>
      <c r="B3"/>
      <c r="C3"/>
      <c r="D3"/>
      <c r="E3"/>
      <c r="F3"/>
      <c r="G3" s="175"/>
      <c r="H3" s="186"/>
      <c r="I3" s="186"/>
      <c r="J3" s="186"/>
      <c r="K3" s="186"/>
      <c r="M3" s="186"/>
      <c r="N3" s="186"/>
      <c r="O3" s="186"/>
      <c r="P3" s="186"/>
      <c r="Q3" s="186" t="s">
        <v>161</v>
      </c>
      <c r="R3"/>
      <c r="S3"/>
      <c r="T3"/>
      <c r="U3"/>
      <c r="V3"/>
      <c r="W3"/>
      <c r="X3"/>
      <c r="Z3" s="6"/>
    </row>
    <row r="4" spans="1:26" s="2" customFormat="1" ht="15.75" customHeight="1" x14ac:dyDescent="0.25">
      <c r="A4"/>
      <c r="B4"/>
      <c r="C4"/>
      <c r="D4"/>
      <c r="E4"/>
      <c r="F4"/>
      <c r="G4" s="175"/>
      <c r="H4" s="186"/>
      <c r="I4" s="186"/>
      <c r="J4" s="186"/>
      <c r="K4" s="186"/>
      <c r="L4" s="186"/>
      <c r="M4" s="186"/>
      <c r="N4" s="186"/>
      <c r="O4" s="186"/>
      <c r="P4" s="186"/>
      <c r="Q4" s="186"/>
      <c r="R4"/>
      <c r="S4"/>
      <c r="T4"/>
      <c r="U4"/>
      <c r="V4"/>
      <c r="W4"/>
      <c r="X4"/>
      <c r="Z4" s="6"/>
    </row>
    <row r="5" spans="1:26" s="2" customFormat="1" ht="15" customHeight="1" thickBot="1" x14ac:dyDescent="0.35">
      <c r="A5"/>
      <c r="B5"/>
      <c r="C5"/>
      <c r="D5"/>
      <c r="E5"/>
      <c r="F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/>
      <c r="S5"/>
      <c r="T5"/>
      <c r="U5"/>
      <c r="V5"/>
      <c r="W5"/>
      <c r="X5"/>
      <c r="Y5"/>
      <c r="Z5" s="7"/>
    </row>
    <row r="6" spans="1:26" s="8" customFormat="1" ht="15" customHeight="1" x14ac:dyDescent="0.2">
      <c r="A6" s="45"/>
      <c r="B6" s="94"/>
      <c r="C6" s="348" t="s">
        <v>0</v>
      </c>
      <c r="D6" s="349"/>
      <c r="E6" s="350"/>
      <c r="F6" s="94"/>
      <c r="G6" s="354" t="s">
        <v>121</v>
      </c>
      <c r="H6" s="355"/>
      <c r="I6" s="356"/>
      <c r="J6" s="94"/>
      <c r="K6" s="354" t="s">
        <v>122</v>
      </c>
      <c r="L6" s="355"/>
      <c r="M6" s="356"/>
      <c r="N6" s="94"/>
      <c r="O6" s="354" t="s">
        <v>1</v>
      </c>
      <c r="P6" s="355"/>
      <c r="Q6" s="356"/>
    </row>
    <row r="7" spans="1:26" s="8" customFormat="1" ht="14.25" customHeight="1" thickBot="1" x14ac:dyDescent="0.35">
      <c r="A7" s="248" t="s">
        <v>2</v>
      </c>
      <c r="B7" s="9"/>
      <c r="C7" s="361"/>
      <c r="D7" s="362"/>
      <c r="E7" s="363"/>
      <c r="F7" s="9"/>
      <c r="G7" s="358" t="s">
        <v>114</v>
      </c>
      <c r="H7" s="359"/>
      <c r="I7" s="360"/>
      <c r="J7" s="9"/>
      <c r="K7" s="358" t="s">
        <v>123</v>
      </c>
      <c r="L7" s="359"/>
      <c r="M7" s="360"/>
      <c r="N7" s="9"/>
      <c r="O7" s="358"/>
      <c r="P7" s="359"/>
      <c r="Q7" s="360"/>
    </row>
    <row r="8" spans="1:26" ht="18" customHeight="1" thickBot="1" x14ac:dyDescent="0.35">
      <c r="A8" s="46"/>
      <c r="B8" s="9"/>
      <c r="C8" s="243" t="s">
        <v>3</v>
      </c>
      <c r="D8" s="244" t="s">
        <v>4</v>
      </c>
      <c r="E8" s="245" t="s">
        <v>5</v>
      </c>
      <c r="F8" s="9"/>
      <c r="G8" s="241" t="s">
        <v>6</v>
      </c>
      <c r="H8" s="242" t="s">
        <v>4</v>
      </c>
      <c r="I8" s="242" t="s">
        <v>5</v>
      </c>
      <c r="J8" s="9"/>
      <c r="K8" s="241" t="s">
        <v>6</v>
      </c>
      <c r="L8" s="242" t="s">
        <v>4</v>
      </c>
      <c r="M8" s="242" t="s">
        <v>5</v>
      </c>
      <c r="N8" s="9"/>
      <c r="O8" s="241" t="s">
        <v>6</v>
      </c>
      <c r="P8" s="242" t="s">
        <v>4</v>
      </c>
      <c r="Q8" s="246" t="s">
        <v>5</v>
      </c>
    </row>
    <row r="9" spans="1:26" ht="6" customHeight="1" x14ac:dyDescent="0.2">
      <c r="A9" s="11"/>
      <c r="B9" s="9"/>
      <c r="C9" s="12"/>
      <c r="D9" s="13"/>
      <c r="E9" s="14"/>
      <c r="F9" s="15"/>
      <c r="G9" s="12"/>
      <c r="H9" s="192"/>
      <c r="I9" s="192"/>
      <c r="J9" s="9"/>
      <c r="K9" s="192"/>
      <c r="L9" s="192"/>
      <c r="M9" s="192"/>
      <c r="N9" s="9"/>
      <c r="O9" s="191"/>
      <c r="P9" s="192"/>
      <c r="Q9" s="194"/>
    </row>
    <row r="10" spans="1:26" s="18" customFormat="1" ht="12.75" customHeight="1" x14ac:dyDescent="0.2">
      <c r="A10" s="11" t="str">
        <f>'QTD Mgmt Summary'!A10</f>
        <v xml:space="preserve">    ERCOT (Smith/Tingleaf)</v>
      </c>
      <c r="B10" s="17"/>
      <c r="C10" s="153">
        <f>'QTD Mgmt Summary'!C10+'[3]QTD Mgmt Summary'!C9</f>
        <v>151</v>
      </c>
      <c r="D10" s="154">
        <v>35000</v>
      </c>
      <c r="E10" s="294">
        <f t="shared" ref="E10:E20" si="0">-D10+C10</f>
        <v>-34849</v>
      </c>
      <c r="F10" s="23"/>
      <c r="G10" s="240">
        <f>'QTD Mgmt Summary'!G10+'[3]QTD Mgmt Summary'!G9</f>
        <v>1674</v>
      </c>
      <c r="H10" s="240">
        <v>3958</v>
      </c>
      <c r="I10" s="292">
        <f t="shared" ref="I10:I20" si="1">G10-H10</f>
        <v>-2284</v>
      </c>
      <c r="J10" s="9"/>
      <c r="K10" s="295">
        <f>'QTD Mgmt Summary'!K10+'[3]QTD Mgmt Summary'!K9</f>
        <v>0</v>
      </c>
      <c r="L10" s="296">
        <f>CapChrg!D8</f>
        <v>0</v>
      </c>
      <c r="M10" s="292">
        <f t="shared" ref="M10:M20" si="2">K10-L10</f>
        <v>0</v>
      </c>
      <c r="N10" s="203"/>
      <c r="O10" s="195">
        <f t="shared" ref="O10:O20" si="3">C10-G10-K10</f>
        <v>-1523</v>
      </c>
      <c r="P10" s="196">
        <f>(D10-H10-L10)</f>
        <v>31042</v>
      </c>
      <c r="Q10" s="200">
        <f t="shared" ref="Q10:Q20" si="4">O10-P10</f>
        <v>-32565</v>
      </c>
    </row>
    <row r="11" spans="1:26" s="18" customFormat="1" ht="12.75" customHeight="1" x14ac:dyDescent="0.2">
      <c r="A11" s="11" t="str">
        <f>'QTD Mgmt Summary'!A11</f>
        <v xml:space="preserve">    Southeast (Herndon/Kroll)</v>
      </c>
      <c r="B11" s="19"/>
      <c r="C11" s="240">
        <f>'QTD Mgmt Summary'!C11+'[3]QTD Mgmt Summary'!C10</f>
        <v>15259</v>
      </c>
      <c r="D11" s="240">
        <v>80000</v>
      </c>
      <c r="E11" s="293">
        <f t="shared" si="0"/>
        <v>-64741</v>
      </c>
      <c r="F11" s="23"/>
      <c r="G11" s="240">
        <f>'QTD Mgmt Summary'!G11+'[3]QTD Mgmt Summary'!G10</f>
        <v>2476</v>
      </c>
      <c r="H11" s="240">
        <v>5685</v>
      </c>
      <c r="I11" s="292">
        <f t="shared" si="1"/>
        <v>-3209</v>
      </c>
      <c r="J11" s="9"/>
      <c r="K11" s="295">
        <f>'QTD Mgmt Summary'!K11+'[3]QTD Mgmt Summary'!K10</f>
        <v>86</v>
      </c>
      <c r="L11" s="296">
        <f>CapChrg!D9</f>
        <v>0</v>
      </c>
      <c r="M11" s="292">
        <f t="shared" si="2"/>
        <v>86</v>
      </c>
      <c r="N11" s="203"/>
      <c r="O11" s="201">
        <f t="shared" si="3"/>
        <v>12697</v>
      </c>
      <c r="P11" s="202">
        <f t="shared" ref="P11:P20" si="5">D11-H11-L11</f>
        <v>74315</v>
      </c>
      <c r="Q11" s="198">
        <f t="shared" si="4"/>
        <v>-61618</v>
      </c>
    </row>
    <row r="12" spans="1:26" ht="12" customHeight="1" x14ac:dyDescent="0.2">
      <c r="A12" s="11" t="str">
        <f>'QTD Mgmt Summary'!A12</f>
        <v xml:space="preserve">    Midwest (Sturm/Baughman)</v>
      </c>
      <c r="B12" s="20"/>
      <c r="C12" s="240">
        <f>'QTD Mgmt Summary'!C12+'[3]QTD Mgmt Summary'!C11</f>
        <v>85585</v>
      </c>
      <c r="D12" s="240">
        <v>80000</v>
      </c>
      <c r="E12" s="293">
        <f t="shared" si="0"/>
        <v>5585</v>
      </c>
      <c r="F12" s="23"/>
      <c r="G12" s="240">
        <f>'QTD Mgmt Summary'!G12+'[3]QTD Mgmt Summary'!G11</f>
        <v>2249</v>
      </c>
      <c r="H12" s="240">
        <v>6076</v>
      </c>
      <c r="I12" s="292">
        <f t="shared" si="1"/>
        <v>-3827</v>
      </c>
      <c r="J12" s="9"/>
      <c r="K12" s="295">
        <f>'QTD Mgmt Summary'!K12+'[3]QTD Mgmt Summary'!K11</f>
        <v>0</v>
      </c>
      <c r="L12" s="296">
        <f>CapChrg!D10</f>
        <v>0</v>
      </c>
      <c r="M12" s="292">
        <f t="shared" si="2"/>
        <v>0</v>
      </c>
      <c r="N12" s="203"/>
      <c r="O12" s="201">
        <f t="shared" si="3"/>
        <v>83336</v>
      </c>
      <c r="P12" s="202">
        <f t="shared" si="5"/>
        <v>73924</v>
      </c>
      <c r="Q12" s="198">
        <f t="shared" si="4"/>
        <v>9412</v>
      </c>
    </row>
    <row r="13" spans="1:26" ht="12" customHeight="1" x14ac:dyDescent="0.2">
      <c r="A13" s="11" t="str">
        <f>'QTD Mgmt Summary'!A13</f>
        <v xml:space="preserve">    Northeast (Davis)</v>
      </c>
      <c r="B13" s="20"/>
      <c r="C13" s="240">
        <f>'QTD Mgmt Summary'!C13+'[3]QTD Mgmt Summary'!C12</f>
        <v>126215</v>
      </c>
      <c r="D13" s="240">
        <v>80000</v>
      </c>
      <c r="E13" s="293">
        <f t="shared" si="0"/>
        <v>46215</v>
      </c>
      <c r="F13" s="23"/>
      <c r="G13" s="240">
        <f>'QTD Mgmt Summary'!G13+'[3]QTD Mgmt Summary'!G12</f>
        <v>3124</v>
      </c>
      <c r="H13" s="240">
        <v>7414</v>
      </c>
      <c r="I13" s="292">
        <f t="shared" si="1"/>
        <v>-4290</v>
      </c>
      <c r="J13" s="9"/>
      <c r="K13" s="295">
        <f>'QTD Mgmt Summary'!K13+'[3]QTD Mgmt Summary'!K12</f>
        <v>0</v>
      </c>
      <c r="L13" s="202">
        <f>CapChrg!D11</f>
        <v>0</v>
      </c>
      <c r="M13" s="292">
        <f t="shared" si="2"/>
        <v>0</v>
      </c>
      <c r="N13" s="203"/>
      <c r="O13" s="201">
        <f t="shared" si="3"/>
        <v>123091</v>
      </c>
      <c r="P13" s="202">
        <f t="shared" si="5"/>
        <v>72586</v>
      </c>
      <c r="Q13" s="198">
        <f t="shared" si="4"/>
        <v>50505</v>
      </c>
    </row>
    <row r="14" spans="1:26" ht="12" customHeight="1" x14ac:dyDescent="0.2">
      <c r="A14" s="11" t="str">
        <f>'QTD Mgmt Summary'!A14</f>
        <v xml:space="preserve">    Management Book (Presto)</v>
      </c>
      <c r="B14" s="20"/>
      <c r="C14" s="240">
        <f>'QTD Mgmt Summary'!C14+'[3]QTD Mgmt Summary'!C13</f>
        <v>35711</v>
      </c>
      <c r="D14" s="240">
        <v>25000</v>
      </c>
      <c r="E14" s="293">
        <f t="shared" si="0"/>
        <v>10711</v>
      </c>
      <c r="F14" s="23"/>
      <c r="G14" s="240">
        <f>'QTD Mgmt Summary'!G14+'[3]QTD Mgmt Summary'!G13</f>
        <v>5733</v>
      </c>
      <c r="H14" s="240">
        <v>10292</v>
      </c>
      <c r="I14" s="292">
        <f t="shared" si="1"/>
        <v>-4559</v>
      </c>
      <c r="J14" s="9"/>
      <c r="K14" s="295">
        <f>'QTD Mgmt Summary'!K14+'[3]QTD Mgmt Summary'!K13</f>
        <v>0</v>
      </c>
      <c r="L14" s="202">
        <f>CapChrg!D12</f>
        <v>0</v>
      </c>
      <c r="M14" s="292">
        <f t="shared" si="2"/>
        <v>0</v>
      </c>
      <c r="N14" s="203"/>
      <c r="O14" s="201">
        <f t="shared" si="3"/>
        <v>29978</v>
      </c>
      <c r="P14" s="202">
        <f t="shared" si="5"/>
        <v>14708</v>
      </c>
      <c r="Q14" s="198">
        <f t="shared" si="4"/>
        <v>15270</v>
      </c>
    </row>
    <row r="15" spans="1:26" ht="12" customHeight="1" x14ac:dyDescent="0.2">
      <c r="A15" s="11" t="str">
        <f>'QTD Mgmt Summary'!A15</f>
        <v xml:space="preserve">    Options (Arrora)</v>
      </c>
      <c r="B15" s="20"/>
      <c r="C15" s="240">
        <f>'QTD Mgmt Summary'!C15</f>
        <v>12644</v>
      </c>
      <c r="D15" s="240">
        <v>0</v>
      </c>
      <c r="E15" s="293">
        <f t="shared" si="0"/>
        <v>12644</v>
      </c>
      <c r="F15" s="23"/>
      <c r="G15" s="240">
        <f>'QTD Mgmt Summary'!G15</f>
        <v>0</v>
      </c>
      <c r="H15" s="240">
        <f>Expenses!D13+Expenses!H14</f>
        <v>0</v>
      </c>
      <c r="I15" s="292">
        <f t="shared" si="1"/>
        <v>0</v>
      </c>
      <c r="J15" s="9"/>
      <c r="K15" s="295">
        <f>'QTD Mgmt Summary'!K15</f>
        <v>0</v>
      </c>
      <c r="L15" s="202">
        <f>CapChrg!D13</f>
        <v>0</v>
      </c>
      <c r="M15" s="292">
        <f t="shared" si="2"/>
        <v>0</v>
      </c>
      <c r="N15" s="203"/>
      <c r="O15" s="201">
        <f t="shared" si="3"/>
        <v>12644</v>
      </c>
      <c r="P15" s="202">
        <f t="shared" si="5"/>
        <v>0</v>
      </c>
      <c r="Q15" s="198">
        <f t="shared" si="4"/>
        <v>12644</v>
      </c>
    </row>
    <row r="16" spans="1:26" ht="12" customHeight="1" x14ac:dyDescent="0.2">
      <c r="A16" s="11" t="str">
        <f>'QTD Mgmt Summary'!A16</f>
        <v xml:space="preserve">    Services (Will)</v>
      </c>
      <c r="B16" s="20"/>
      <c r="C16" s="240">
        <f>'QTD Mgmt Summary'!C16</f>
        <v>1156</v>
      </c>
      <c r="D16" s="240">
        <v>0</v>
      </c>
      <c r="E16" s="293">
        <f t="shared" si="0"/>
        <v>1156</v>
      </c>
      <c r="F16" s="23"/>
      <c r="G16" s="240">
        <f>'QTD Mgmt Summary'!G16</f>
        <v>0</v>
      </c>
      <c r="H16" s="240">
        <f>Expenses!D14+Expenses!H15</f>
        <v>0</v>
      </c>
      <c r="I16" s="292">
        <f t="shared" si="1"/>
        <v>0</v>
      </c>
      <c r="J16" s="9"/>
      <c r="K16" s="295">
        <f>'QTD Mgmt Summary'!K16</f>
        <v>0</v>
      </c>
      <c r="L16" s="202">
        <f>CapChrg!D14</f>
        <v>0</v>
      </c>
      <c r="M16" s="292">
        <f t="shared" si="2"/>
        <v>0</v>
      </c>
      <c r="N16" s="203"/>
      <c r="O16" s="201">
        <f t="shared" si="3"/>
        <v>1156</v>
      </c>
      <c r="P16" s="202">
        <f t="shared" si="5"/>
        <v>0</v>
      </c>
      <c r="Q16" s="198">
        <f t="shared" si="4"/>
        <v>1156</v>
      </c>
    </row>
    <row r="17" spans="1:17" ht="12" customHeight="1" x14ac:dyDescent="0.2">
      <c r="A17" s="11" t="str">
        <f>'QTD Mgmt Summary'!A17</f>
        <v xml:space="preserve">    New Albany (Presto)   </v>
      </c>
      <c r="B17" s="20"/>
      <c r="C17" s="240">
        <f>'QTD Mgmt Summary'!C17+'[3]QTD Mgmt Summary'!C14</f>
        <v>-9345</v>
      </c>
      <c r="D17" s="240">
        <v>-17050</v>
      </c>
      <c r="E17" s="293">
        <f t="shared" si="0"/>
        <v>7705</v>
      </c>
      <c r="F17" s="23"/>
      <c r="G17" s="240">
        <f>'QTD Mgmt Summary'!G17+'[3]QTD Mgmt Summary'!G14</f>
        <v>297</v>
      </c>
      <c r="H17" s="240">
        <v>624</v>
      </c>
      <c r="I17" s="292">
        <f t="shared" si="1"/>
        <v>-327</v>
      </c>
      <c r="J17" s="9"/>
      <c r="K17" s="295">
        <f>'QTD Mgmt Summary'!K17+'[3]QTD Mgmt Summary'!K14</f>
        <v>0</v>
      </c>
      <c r="L17" s="202">
        <f>CapChrg!D15</f>
        <v>0</v>
      </c>
      <c r="M17" s="292">
        <f t="shared" si="2"/>
        <v>0</v>
      </c>
      <c r="N17" s="203"/>
      <c r="O17" s="201">
        <f t="shared" si="3"/>
        <v>-9642</v>
      </c>
      <c r="P17" s="202">
        <f t="shared" si="5"/>
        <v>-17674</v>
      </c>
      <c r="Q17" s="198">
        <f t="shared" si="4"/>
        <v>8032</v>
      </c>
    </row>
    <row r="18" spans="1:17" ht="12" customHeight="1" x14ac:dyDescent="0.2">
      <c r="A18" s="11" t="str">
        <f>'QTD Mgmt Summary'!A18</f>
        <v xml:space="preserve">    Development (Jacoby)</v>
      </c>
      <c r="B18" s="20"/>
      <c r="C18" s="240">
        <f>'QTD Mgmt Summary'!C18+'[3]QTD Mgmt Summary'!C15</f>
        <v>14195</v>
      </c>
      <c r="D18" s="240">
        <v>24000</v>
      </c>
      <c r="E18" s="293">
        <f t="shared" si="0"/>
        <v>-9805</v>
      </c>
      <c r="F18" s="23"/>
      <c r="G18" s="240">
        <f>'QTD Mgmt Summary'!G18+'[3]QTD Mgmt Summary'!G15</f>
        <v>4104</v>
      </c>
      <c r="H18" s="240">
        <v>8384</v>
      </c>
      <c r="I18" s="292">
        <f t="shared" si="1"/>
        <v>-4280</v>
      </c>
      <c r="J18" s="9"/>
      <c r="K18" s="295">
        <f>'QTD Mgmt Summary'!K18+'[3]QTD Mgmt Summary'!K15</f>
        <v>277</v>
      </c>
      <c r="L18" s="202">
        <v>989</v>
      </c>
      <c r="M18" s="292">
        <f t="shared" si="2"/>
        <v>-712</v>
      </c>
      <c r="N18" s="203"/>
      <c r="O18" s="201">
        <f t="shared" si="3"/>
        <v>9814</v>
      </c>
      <c r="P18" s="202">
        <f t="shared" si="5"/>
        <v>14627</v>
      </c>
      <c r="Q18" s="198">
        <f t="shared" si="4"/>
        <v>-4813</v>
      </c>
    </row>
    <row r="19" spans="1:17" ht="12" customHeight="1" x14ac:dyDescent="0.2">
      <c r="A19" s="11" t="str">
        <f>'QTD Mgmt Summary'!A19</f>
        <v xml:space="preserve">    Structuring (Meyn)</v>
      </c>
      <c r="B19" s="20"/>
      <c r="C19" s="322">
        <f>'QTD Mgmt Summary'!C19+'[3]QTD Mgmt Summary'!C16</f>
        <v>0</v>
      </c>
      <c r="D19" s="297">
        <v>0</v>
      </c>
      <c r="E19" s="293">
        <f t="shared" si="0"/>
        <v>0</v>
      </c>
      <c r="F19" s="23"/>
      <c r="G19" s="240">
        <f>'QTD Mgmt Summary'!G19+'[3]QTD Mgmt Summary'!G16</f>
        <v>1156</v>
      </c>
      <c r="H19" s="240">
        <v>2783</v>
      </c>
      <c r="I19" s="292">
        <f t="shared" si="1"/>
        <v>-1627</v>
      </c>
      <c r="J19" s="9"/>
      <c r="K19" s="295">
        <f>'QTD Mgmt Summary'!K19+'[3]QTD Mgmt Summary'!K16</f>
        <v>0</v>
      </c>
      <c r="L19" s="202">
        <f>CapChrg!D17</f>
        <v>0</v>
      </c>
      <c r="M19" s="292">
        <f t="shared" si="2"/>
        <v>0</v>
      </c>
      <c r="N19" s="203"/>
      <c r="O19" s="201">
        <f t="shared" si="3"/>
        <v>-1156</v>
      </c>
      <c r="P19" s="202">
        <f t="shared" si="5"/>
        <v>-2783</v>
      </c>
      <c r="Q19" s="198">
        <f t="shared" si="4"/>
        <v>1627</v>
      </c>
    </row>
    <row r="20" spans="1:17" ht="12" customHeight="1" x14ac:dyDescent="0.2">
      <c r="A20" s="11" t="str">
        <f>'QTD Mgmt Summary'!A20</f>
        <v xml:space="preserve">    Fundamentals (Will)</v>
      </c>
      <c r="B20" s="20"/>
      <c r="C20" s="324">
        <f>'QTD Mgmt Summary'!C20+'[3]QTD Mgmt Summary'!C17</f>
        <v>0</v>
      </c>
      <c r="D20" s="297">
        <f>GrossMargin!M18</f>
        <v>0</v>
      </c>
      <c r="E20" s="293">
        <f t="shared" si="0"/>
        <v>0</v>
      </c>
      <c r="F20" s="23"/>
      <c r="G20" s="240">
        <f>'QTD Mgmt Summary'!G20+'[3]QTD Mgmt Summary'!G17</f>
        <v>1417</v>
      </c>
      <c r="H20" s="240">
        <v>2957</v>
      </c>
      <c r="I20" s="292">
        <f t="shared" si="1"/>
        <v>-1540</v>
      </c>
      <c r="J20" s="9"/>
      <c r="K20" s="295">
        <f>'QTD Mgmt Summary'!K20+'[3]QTD Mgmt Summary'!K17</f>
        <v>0</v>
      </c>
      <c r="L20" s="202">
        <f>CapChrg!D18</f>
        <v>0</v>
      </c>
      <c r="M20" s="292">
        <f t="shared" si="2"/>
        <v>0</v>
      </c>
      <c r="N20" s="203"/>
      <c r="O20" s="201">
        <f t="shared" si="3"/>
        <v>-1417</v>
      </c>
      <c r="P20" s="202">
        <f t="shared" si="5"/>
        <v>-2957</v>
      </c>
      <c r="Q20" s="198">
        <f t="shared" si="4"/>
        <v>1540</v>
      </c>
    </row>
    <row r="21" spans="1:17" s="42" customFormat="1" ht="12" customHeight="1" x14ac:dyDescent="0.2">
      <c r="A21" s="96" t="s">
        <v>7</v>
      </c>
      <c r="B21" s="328"/>
      <c r="C21" s="27">
        <f>SUM(C9:C20)</f>
        <v>281571</v>
      </c>
      <c r="D21" s="27">
        <f>SUM(D9:D20)</f>
        <v>306950</v>
      </c>
      <c r="E21" s="28">
        <f>SUM(E9:E20)</f>
        <v>-25379</v>
      </c>
      <c r="F21" s="156"/>
      <c r="G21" s="204">
        <f>SUM(G10:G20)</f>
        <v>22230</v>
      </c>
      <c r="H21" s="205">
        <f>SUM(H10:H20)</f>
        <v>48173</v>
      </c>
      <c r="I21" s="205">
        <f>SUM(I10:I20)</f>
        <v>-25943</v>
      </c>
      <c r="J21" s="9"/>
      <c r="K21" s="205">
        <f>SUM(K10:K20)</f>
        <v>363</v>
      </c>
      <c r="L21" s="205">
        <f>SUM(L10:L20)</f>
        <v>989</v>
      </c>
      <c r="M21" s="206">
        <f>SUM(M10:M20)</f>
        <v>-626</v>
      </c>
      <c r="N21" s="207"/>
      <c r="O21" s="204">
        <f>SUM(O10:O20)</f>
        <v>258978</v>
      </c>
      <c r="P21" s="205">
        <f>SUM(P10:P20)</f>
        <v>257788</v>
      </c>
      <c r="Q21" s="206">
        <f>SUM(Q10:Q20)</f>
        <v>1190</v>
      </c>
    </row>
    <row r="22" spans="1:17" ht="7.5" customHeight="1" x14ac:dyDescent="0.2">
      <c r="A22" s="11"/>
      <c r="B22" s="9"/>
      <c r="C22" s="21"/>
      <c r="D22" s="22"/>
      <c r="E22" s="24"/>
      <c r="F22" s="23"/>
      <c r="G22" s="21"/>
      <c r="H22" s="202"/>
      <c r="I22" s="202"/>
      <c r="J22" s="9"/>
      <c r="K22" s="202"/>
      <c r="L22" s="202"/>
      <c r="M22" s="198"/>
      <c r="N22" s="203"/>
      <c r="O22" s="201"/>
      <c r="P22" s="202"/>
      <c r="Q22" s="198"/>
    </row>
    <row r="23" spans="1:17" ht="14.25" customHeight="1" x14ac:dyDescent="0.2">
      <c r="A23" s="11" t="str">
        <f>'QTD Mgmt Summary'!A23</f>
        <v xml:space="preserve">    Origination (Thomas/Mcdonald)</v>
      </c>
      <c r="B23" s="9"/>
      <c r="C23" s="21">
        <f>'QTD Mgmt Summary'!C23+'[3]QTD Mgmt Summary'!C20</f>
        <v>17143</v>
      </c>
      <c r="D23" s="240">
        <v>70000</v>
      </c>
      <c r="E23" s="293">
        <f t="shared" ref="E23:E28" si="6">-D23+C23</f>
        <v>-52857</v>
      </c>
      <c r="F23" s="23"/>
      <c r="G23" s="240">
        <f>'QTD Mgmt Summary'!G23+'[3]QTD Mgmt Summary'!G20</f>
        <v>3388</v>
      </c>
      <c r="H23" s="240">
        <v>7894</v>
      </c>
      <c r="I23" s="292">
        <f t="shared" ref="I23:I28" si="7">G23-H23</f>
        <v>-4506</v>
      </c>
      <c r="J23" s="9"/>
      <c r="K23" s="240">
        <f>'QTD Mgmt Summary'!K23+'[3]QTD Mgmt Summary'!K20</f>
        <v>1074</v>
      </c>
      <c r="L23" s="202">
        <v>3000</v>
      </c>
      <c r="M23" s="292">
        <f t="shared" ref="M23:M28" si="8">K23-L23</f>
        <v>-1926</v>
      </c>
      <c r="N23" s="203"/>
      <c r="O23" s="201">
        <f t="shared" ref="O23:P28" si="9">C23-G23-K23</f>
        <v>12681</v>
      </c>
      <c r="P23" s="202">
        <f t="shared" si="9"/>
        <v>59106</v>
      </c>
      <c r="Q23" s="198">
        <f t="shared" ref="Q23:Q28" si="10">O23-P23</f>
        <v>-46425</v>
      </c>
    </row>
    <row r="24" spans="1:17" ht="14.25" customHeight="1" x14ac:dyDescent="0.2">
      <c r="A24" s="11" t="str">
        <f>'QTD Mgmt Summary'!A24</f>
        <v xml:space="preserve">    Executive (Calger)</v>
      </c>
      <c r="B24" s="9"/>
      <c r="C24" s="21">
        <f>'QTD Mgmt Summary'!C24</f>
        <v>10500</v>
      </c>
      <c r="D24" s="240">
        <v>14000</v>
      </c>
      <c r="E24" s="293">
        <f t="shared" si="6"/>
        <v>-3500</v>
      </c>
      <c r="F24" s="23"/>
      <c r="G24" s="240">
        <f>'QTD Mgmt Summary'!G24</f>
        <v>354</v>
      </c>
      <c r="H24" s="240">
        <v>2874</v>
      </c>
      <c r="I24" s="292">
        <f t="shared" si="7"/>
        <v>-2520</v>
      </c>
      <c r="J24" s="9"/>
      <c r="K24" s="240">
        <f>'QTD Mgmt Summary'!K24</f>
        <v>0</v>
      </c>
      <c r="L24" s="202">
        <v>0</v>
      </c>
      <c r="M24" s="292">
        <f t="shared" si="8"/>
        <v>0</v>
      </c>
      <c r="N24" s="203"/>
      <c r="O24" s="201">
        <f t="shared" si="9"/>
        <v>10146</v>
      </c>
      <c r="P24" s="202">
        <f t="shared" si="9"/>
        <v>11126</v>
      </c>
      <c r="Q24" s="198">
        <f t="shared" si="10"/>
        <v>-980</v>
      </c>
    </row>
    <row r="25" spans="1:17" ht="14.25" customHeight="1" x14ac:dyDescent="0.2">
      <c r="A25" s="11" t="str">
        <f>'QTD Mgmt Summary'!A25</f>
        <v xml:space="preserve">    Generation (Parquet)</v>
      </c>
      <c r="B25" s="9"/>
      <c r="C25" s="21">
        <f>'QTD Mgmt Summary'!C25+'[3]QTD Mgmt Summary'!C22+'[3]QTD Mgmt Summary'!$C$21</f>
        <v>37201</v>
      </c>
      <c r="D25" s="240">
        <v>46000</v>
      </c>
      <c r="E25" s="293">
        <f t="shared" si="6"/>
        <v>-8799</v>
      </c>
      <c r="F25" s="23"/>
      <c r="G25" s="240">
        <f>'QTD Mgmt Summary'!G25+'[3]QTD Mgmt Summary'!G22+'[3]QTD Mgmt Summary'!$G$21</f>
        <v>3216</v>
      </c>
      <c r="H25" s="240">
        <v>5466</v>
      </c>
      <c r="I25" s="292">
        <f t="shared" si="7"/>
        <v>-2250</v>
      </c>
      <c r="J25" s="9"/>
      <c r="K25" s="240">
        <f>'QTD Mgmt Summary'!K25+'[3]QTD Mgmt Summary'!K22+'[3]QTD Mgmt Summary'!$K$21</f>
        <v>4565</v>
      </c>
      <c r="L25" s="202">
        <v>14000</v>
      </c>
      <c r="M25" s="292">
        <f t="shared" si="8"/>
        <v>-9435</v>
      </c>
      <c r="N25" s="203"/>
      <c r="O25" s="201">
        <f t="shared" si="9"/>
        <v>29420</v>
      </c>
      <c r="P25" s="202">
        <f t="shared" si="9"/>
        <v>26534</v>
      </c>
      <c r="Q25" s="198">
        <f t="shared" si="10"/>
        <v>2886</v>
      </c>
    </row>
    <row r="26" spans="1:17" ht="14.25" customHeight="1" x14ac:dyDescent="0.2">
      <c r="A26" s="11" t="str">
        <f>'QTD Mgmt Summary'!A26</f>
        <v xml:space="preserve">    Trading (Belden)</v>
      </c>
      <c r="B26" s="9"/>
      <c r="C26" s="21">
        <f>'QTD Mgmt Summary'!C26+'[3]QTD Mgmt Summary'!C23</f>
        <v>533249</v>
      </c>
      <c r="D26" s="240">
        <v>250000</v>
      </c>
      <c r="E26" s="293">
        <f t="shared" si="6"/>
        <v>283249</v>
      </c>
      <c r="F26" s="23"/>
      <c r="G26" s="240">
        <f>'QTD Mgmt Summary'!G26+'[3]QTD Mgmt Summary'!G23</f>
        <v>6821</v>
      </c>
      <c r="H26" s="240">
        <v>10632</v>
      </c>
      <c r="I26" s="292">
        <f t="shared" si="7"/>
        <v>-3811</v>
      </c>
      <c r="J26" s="9"/>
      <c r="K26" s="240">
        <f>'QTD Mgmt Summary'!K26+'[3]QTD Mgmt Summary'!K23</f>
        <v>0</v>
      </c>
      <c r="L26" s="202">
        <f>CapChrg!D24</f>
        <v>0</v>
      </c>
      <c r="M26" s="292">
        <f t="shared" si="8"/>
        <v>0</v>
      </c>
      <c r="N26" s="203"/>
      <c r="O26" s="201">
        <f t="shared" si="9"/>
        <v>526428</v>
      </c>
      <c r="P26" s="202">
        <f t="shared" si="9"/>
        <v>239368</v>
      </c>
      <c r="Q26" s="198">
        <f t="shared" si="10"/>
        <v>287060</v>
      </c>
    </row>
    <row r="27" spans="1:17" ht="14.25" customHeight="1" x14ac:dyDescent="0.2">
      <c r="A27" s="11" t="str">
        <f>'QTD Mgmt Summary'!A27</f>
        <v xml:space="preserve">    Middle Market/Services (Foster/Wolfe)</v>
      </c>
      <c r="B27" s="9"/>
      <c r="C27" s="21">
        <f>'QTD Mgmt Summary'!C27+'[3]QTD Mgmt Summary'!C24</f>
        <v>36441</v>
      </c>
      <c r="D27" s="240">
        <v>50000</v>
      </c>
      <c r="E27" s="293">
        <f t="shared" si="6"/>
        <v>-13559</v>
      </c>
      <c r="F27" s="23"/>
      <c r="G27" s="240">
        <f>'QTD Mgmt Summary'!G27+'[3]QTD Mgmt Summary'!G24</f>
        <v>784</v>
      </c>
      <c r="H27" s="240">
        <v>1719</v>
      </c>
      <c r="I27" s="292">
        <f t="shared" si="7"/>
        <v>-935</v>
      </c>
      <c r="J27" s="9"/>
      <c r="K27" s="240">
        <f>'QTD Mgmt Summary'!K27+'[3]QTD Mgmt Summary'!K24</f>
        <v>0</v>
      </c>
      <c r="L27" s="202">
        <f>CapChrg!D25</f>
        <v>0</v>
      </c>
      <c r="M27" s="292">
        <f t="shared" si="8"/>
        <v>0</v>
      </c>
      <c r="N27" s="203"/>
      <c r="O27" s="201">
        <f t="shared" si="9"/>
        <v>35657</v>
      </c>
      <c r="P27" s="202">
        <f t="shared" si="9"/>
        <v>48281</v>
      </c>
      <c r="Q27" s="198">
        <f t="shared" si="10"/>
        <v>-12624</v>
      </c>
    </row>
    <row r="28" spans="1:17" ht="14.25" customHeight="1" x14ac:dyDescent="0.2">
      <c r="A28" s="11" t="str">
        <f>'QTD Mgmt Summary'!A28</f>
        <v xml:space="preserve">    Fundamentals (Heizenreiker)</v>
      </c>
      <c r="B28" s="9"/>
      <c r="C28" s="247">
        <f>'QTD Mgmt Summary'!C28+'[3]QTD Mgmt Summary'!C25</f>
        <v>0</v>
      </c>
      <c r="D28" s="299">
        <f>GrossMargin!M26</f>
        <v>0</v>
      </c>
      <c r="E28" s="300">
        <f t="shared" si="6"/>
        <v>0</v>
      </c>
      <c r="F28" s="23"/>
      <c r="G28" s="240">
        <f>'QTD Mgmt Summary'!G28+'[3]QTD Mgmt Summary'!G25</f>
        <v>445</v>
      </c>
      <c r="H28" s="240">
        <v>1080</v>
      </c>
      <c r="I28" s="292">
        <f t="shared" si="7"/>
        <v>-635</v>
      </c>
      <c r="J28" s="9"/>
      <c r="K28" s="240">
        <f>'QTD Mgmt Summary'!K28+'[3]QTD Mgmt Summary'!K25</f>
        <v>0</v>
      </c>
      <c r="L28" s="202">
        <f>CapChrg!D26</f>
        <v>0</v>
      </c>
      <c r="M28" s="292">
        <f t="shared" si="8"/>
        <v>0</v>
      </c>
      <c r="N28" s="203"/>
      <c r="O28" s="201">
        <f t="shared" si="9"/>
        <v>-445</v>
      </c>
      <c r="P28" s="202">
        <f t="shared" si="9"/>
        <v>-1080</v>
      </c>
      <c r="Q28" s="198">
        <f t="shared" si="10"/>
        <v>635</v>
      </c>
    </row>
    <row r="29" spans="1:17" s="42" customFormat="1" ht="14.25" customHeight="1" x14ac:dyDescent="0.2">
      <c r="A29" s="25" t="s">
        <v>8</v>
      </c>
      <c r="B29" s="155"/>
      <c r="C29" s="26">
        <f>SUM(C23:C28)</f>
        <v>634534</v>
      </c>
      <c r="D29" s="27">
        <f>SUM(D23:D28)</f>
        <v>430000</v>
      </c>
      <c r="E29" s="28">
        <f>SUM(E23:E28)</f>
        <v>204534</v>
      </c>
      <c r="F29" s="156"/>
      <c r="G29" s="204">
        <f>SUM(G23:G28)</f>
        <v>15008</v>
      </c>
      <c r="H29" s="205">
        <f>SUM(H23:H28)</f>
        <v>29665</v>
      </c>
      <c r="I29" s="205">
        <f>SUM(I23:I28)</f>
        <v>-14657</v>
      </c>
      <c r="J29" s="9"/>
      <c r="K29" s="205">
        <f>SUM(K23:K28)</f>
        <v>5639</v>
      </c>
      <c r="L29" s="205">
        <f>SUM(L23:L28)</f>
        <v>17000</v>
      </c>
      <c r="M29" s="206">
        <f>SUM(M23:M28)</f>
        <v>-11361</v>
      </c>
      <c r="N29" s="207"/>
      <c r="O29" s="204">
        <f>SUM(O23:O28)</f>
        <v>613887</v>
      </c>
      <c r="P29" s="205">
        <f>SUM(P23:P28)</f>
        <v>383335</v>
      </c>
      <c r="Q29" s="206">
        <f>SUM(Q23:Q28)</f>
        <v>230552</v>
      </c>
    </row>
    <row r="30" spans="1:17" ht="7.5" customHeight="1" x14ac:dyDescent="0.2">
      <c r="A30" s="11"/>
      <c r="B30" s="9"/>
      <c r="C30" s="21"/>
      <c r="D30" s="22"/>
      <c r="E30" s="24"/>
      <c r="F30" s="23"/>
      <c r="G30" s="21"/>
      <c r="H30" s="202"/>
      <c r="I30" s="202"/>
      <c r="J30" s="9"/>
      <c r="K30" s="202"/>
      <c r="L30" s="202"/>
      <c r="M30" s="198"/>
      <c r="N30" s="203"/>
      <c r="O30" s="201"/>
      <c r="P30" s="202"/>
      <c r="Q30" s="198"/>
    </row>
    <row r="31" spans="1:17" x14ac:dyDescent="0.2">
      <c r="A31" s="11" t="s">
        <v>34</v>
      </c>
      <c r="B31" s="9"/>
      <c r="C31" s="21">
        <f>'QTD Mgmt Summary'!C31+'[3]QTD Mgmt Summary'!C28</f>
        <v>-49618</v>
      </c>
      <c r="D31" s="240">
        <v>126000</v>
      </c>
      <c r="E31" s="293">
        <f t="shared" ref="E31:E39" si="11">-D31+C31</f>
        <v>-175618</v>
      </c>
      <c r="F31" s="23"/>
      <c r="G31" s="240">
        <f>'QTD Mgmt Summary'!G31+'[3]QTD Mgmt Summary'!G28</f>
        <v>3466</v>
      </c>
      <c r="H31" s="240">
        <v>7184</v>
      </c>
      <c r="I31" s="292">
        <f t="shared" ref="I31:I39" si="12">G31-H31</f>
        <v>-3718</v>
      </c>
      <c r="J31" s="9"/>
      <c r="K31" s="240">
        <f>'QTD Mgmt Summary'!K31+'[3]QTD Mgmt Summary'!K28</f>
        <v>0</v>
      </c>
      <c r="L31" s="202">
        <f>CapChrg!D29</f>
        <v>0</v>
      </c>
      <c r="M31" s="292">
        <f t="shared" ref="M31:M39" si="13">K31-L31</f>
        <v>0</v>
      </c>
      <c r="N31" s="203"/>
      <c r="O31" s="201">
        <f t="shared" ref="O31:O39" si="14">C31-G31-K31</f>
        <v>-53084</v>
      </c>
      <c r="P31" s="202">
        <f t="shared" ref="P31:P39" si="15">D31-H31-L31</f>
        <v>118816</v>
      </c>
      <c r="Q31" s="198">
        <f t="shared" ref="Q31:Q39" si="16">O31-P31</f>
        <v>-171900</v>
      </c>
    </row>
    <row r="32" spans="1:17" x14ac:dyDescent="0.2">
      <c r="A32" s="11" t="s">
        <v>135</v>
      </c>
      <c r="B32" s="9"/>
      <c r="C32" s="21">
        <f>'QTD Mgmt Summary'!C32+'[3]QTD Mgmt Summary'!C29</f>
        <v>72416</v>
      </c>
      <c r="D32" s="240">
        <v>80000</v>
      </c>
      <c r="E32" s="293">
        <f t="shared" si="11"/>
        <v>-7584</v>
      </c>
      <c r="F32" s="23"/>
      <c r="G32" s="240">
        <f>'QTD Mgmt Summary'!G32+'[3]QTD Mgmt Summary'!G29</f>
        <v>4575</v>
      </c>
      <c r="H32" s="240">
        <v>10083</v>
      </c>
      <c r="I32" s="292">
        <f t="shared" si="12"/>
        <v>-5508</v>
      </c>
      <c r="J32" s="9"/>
      <c r="K32" s="240">
        <f>'QTD Mgmt Summary'!K32+'[3]QTD Mgmt Summary'!K29</f>
        <v>524</v>
      </c>
      <c r="L32" s="202">
        <v>576</v>
      </c>
      <c r="M32" s="292">
        <f t="shared" si="13"/>
        <v>-52</v>
      </c>
      <c r="N32" s="203"/>
      <c r="O32" s="201">
        <f t="shared" si="14"/>
        <v>67317</v>
      </c>
      <c r="P32" s="202">
        <f t="shared" si="15"/>
        <v>69341</v>
      </c>
      <c r="Q32" s="198">
        <f t="shared" si="16"/>
        <v>-2024</v>
      </c>
    </row>
    <row r="33" spans="1:17" x14ac:dyDescent="0.2">
      <c r="A33" s="11" t="s">
        <v>36</v>
      </c>
      <c r="B33" s="9"/>
      <c r="C33" s="21">
        <f>'QTD Mgmt Summary'!C33+'[3]QTD Mgmt Summary'!C30</f>
        <v>-21994</v>
      </c>
      <c r="D33" s="240">
        <v>80000</v>
      </c>
      <c r="E33" s="293">
        <f t="shared" si="11"/>
        <v>-101994</v>
      </c>
      <c r="F33" s="23"/>
      <c r="G33" s="240">
        <f>'QTD Mgmt Summary'!G33+'[3]QTD Mgmt Summary'!G30</f>
        <v>5696</v>
      </c>
      <c r="H33" s="240">
        <v>11623</v>
      </c>
      <c r="I33" s="292">
        <f t="shared" si="12"/>
        <v>-5927</v>
      </c>
      <c r="J33" s="9"/>
      <c r="K33" s="240">
        <f>'QTD Mgmt Summary'!K33+'[3]QTD Mgmt Summary'!K30</f>
        <v>1077</v>
      </c>
      <c r="L33" s="202">
        <v>6290</v>
      </c>
      <c r="M33" s="292">
        <f t="shared" si="13"/>
        <v>-5213</v>
      </c>
      <c r="N33" s="203"/>
      <c r="O33" s="201">
        <f t="shared" si="14"/>
        <v>-28767</v>
      </c>
      <c r="P33" s="202">
        <f t="shared" si="15"/>
        <v>62087</v>
      </c>
      <c r="Q33" s="198">
        <f t="shared" si="16"/>
        <v>-90854</v>
      </c>
    </row>
    <row r="34" spans="1:17" x14ac:dyDescent="0.2">
      <c r="A34" s="11" t="s">
        <v>37</v>
      </c>
      <c r="B34" s="9"/>
      <c r="C34" s="21">
        <f>'QTD Mgmt Summary'!C34+'[3]QTD Mgmt Summary'!C31</f>
        <v>112118</v>
      </c>
      <c r="D34" s="240">
        <v>40000</v>
      </c>
      <c r="E34" s="293">
        <f t="shared" si="11"/>
        <v>72118</v>
      </c>
      <c r="F34" s="23"/>
      <c r="G34" s="240">
        <f>'QTD Mgmt Summary'!G34+'[3]QTD Mgmt Summary'!G31</f>
        <v>2658</v>
      </c>
      <c r="H34" s="240">
        <v>4901</v>
      </c>
      <c r="I34" s="292">
        <f t="shared" si="12"/>
        <v>-2243</v>
      </c>
      <c r="J34" s="9"/>
      <c r="K34" s="240">
        <f>'QTD Mgmt Summary'!K34+'[3]QTD Mgmt Summary'!K31</f>
        <v>0</v>
      </c>
      <c r="L34" s="202">
        <f>CapChrg!D32</f>
        <v>0</v>
      </c>
      <c r="M34" s="292">
        <f t="shared" si="13"/>
        <v>0</v>
      </c>
      <c r="N34" s="203"/>
      <c r="O34" s="201">
        <f t="shared" si="14"/>
        <v>109460</v>
      </c>
      <c r="P34" s="202">
        <f t="shared" si="15"/>
        <v>35099</v>
      </c>
      <c r="Q34" s="198">
        <f t="shared" si="16"/>
        <v>74361</v>
      </c>
    </row>
    <row r="35" spans="1:17" x14ac:dyDescent="0.2">
      <c r="A35" s="11" t="s">
        <v>38</v>
      </c>
      <c r="B35" s="9"/>
      <c r="C35" s="21">
        <f>'QTD Mgmt Summary'!C35+'[3]QTD Mgmt Summary'!C32</f>
        <v>508741</v>
      </c>
      <c r="D35" s="240">
        <v>125000</v>
      </c>
      <c r="E35" s="293">
        <f t="shared" si="11"/>
        <v>383741</v>
      </c>
      <c r="F35" s="23"/>
      <c r="G35" s="240">
        <f>'QTD Mgmt Summary'!G35+'[3]QTD Mgmt Summary'!G32</f>
        <v>766</v>
      </c>
      <c r="H35" s="240">
        <v>1653</v>
      </c>
      <c r="I35" s="292">
        <f t="shared" si="12"/>
        <v>-887</v>
      </c>
      <c r="J35" s="9"/>
      <c r="K35" s="240">
        <f>'QTD Mgmt Summary'!K35+'[3]QTD Mgmt Summary'!K32</f>
        <v>0</v>
      </c>
      <c r="L35" s="202">
        <f>CapChrg!D33</f>
        <v>0</v>
      </c>
      <c r="M35" s="292">
        <f t="shared" si="13"/>
        <v>0</v>
      </c>
      <c r="N35" s="203"/>
      <c r="O35" s="201">
        <f t="shared" si="14"/>
        <v>507975</v>
      </c>
      <c r="P35" s="202">
        <f t="shared" si="15"/>
        <v>123347</v>
      </c>
      <c r="Q35" s="198">
        <f t="shared" si="16"/>
        <v>384628</v>
      </c>
    </row>
    <row r="36" spans="1:17" x14ac:dyDescent="0.2">
      <c r="A36" s="11" t="s">
        <v>39</v>
      </c>
      <c r="B36" s="9"/>
      <c r="C36" s="21">
        <f>'QTD Mgmt Summary'!C36+'[3]QTD Mgmt Summary'!C33</f>
        <v>18328</v>
      </c>
      <c r="D36" s="240">
        <v>25000</v>
      </c>
      <c r="E36" s="293">
        <f t="shared" si="11"/>
        <v>-6672</v>
      </c>
      <c r="F36" s="23"/>
      <c r="G36" s="240">
        <f>'QTD Mgmt Summary'!G36+'[3]QTD Mgmt Summary'!G33</f>
        <v>2115</v>
      </c>
      <c r="H36" s="240">
        <v>4402</v>
      </c>
      <c r="I36" s="292">
        <f t="shared" si="12"/>
        <v>-2287</v>
      </c>
      <c r="J36" s="9"/>
      <c r="K36" s="240">
        <f>'QTD Mgmt Summary'!K36+'[3]QTD Mgmt Summary'!K33</f>
        <v>0</v>
      </c>
      <c r="L36" s="202">
        <f>CapChrg!D34</f>
        <v>0</v>
      </c>
      <c r="M36" s="292">
        <f t="shared" si="13"/>
        <v>0</v>
      </c>
      <c r="N36" s="203"/>
      <c r="O36" s="201">
        <f t="shared" si="14"/>
        <v>16213</v>
      </c>
      <c r="P36" s="202">
        <f t="shared" si="15"/>
        <v>20598</v>
      </c>
      <c r="Q36" s="198">
        <f t="shared" si="16"/>
        <v>-4385</v>
      </c>
    </row>
    <row r="37" spans="1:17" x14ac:dyDescent="0.2">
      <c r="A37" s="11" t="s">
        <v>40</v>
      </c>
      <c r="B37" s="9"/>
      <c r="C37" s="323">
        <f>'QTD Mgmt Summary'!C37+'[3]QTD Mgmt Summary'!C34</f>
        <v>0</v>
      </c>
      <c r="D37" s="297">
        <f>GrossMargin!M35</f>
        <v>0</v>
      </c>
      <c r="E37" s="300">
        <f t="shared" si="11"/>
        <v>0</v>
      </c>
      <c r="F37" s="23"/>
      <c r="G37" s="240">
        <f>'QTD Mgmt Summary'!G37+'[3]QTD Mgmt Summary'!G34</f>
        <v>1161</v>
      </c>
      <c r="H37" s="240">
        <v>2738</v>
      </c>
      <c r="I37" s="292">
        <f t="shared" si="12"/>
        <v>-1577</v>
      </c>
      <c r="J37" s="9"/>
      <c r="K37" s="240">
        <f>'QTD Mgmt Summary'!K37+'[3]QTD Mgmt Summary'!K34</f>
        <v>0</v>
      </c>
      <c r="L37" s="202">
        <f>CapChrg!D35</f>
        <v>0</v>
      </c>
      <c r="M37" s="292">
        <f t="shared" si="13"/>
        <v>0</v>
      </c>
      <c r="N37" s="203"/>
      <c r="O37" s="201">
        <f t="shared" si="14"/>
        <v>-1161</v>
      </c>
      <c r="P37" s="202">
        <f t="shared" si="15"/>
        <v>-2738</v>
      </c>
      <c r="Q37" s="198">
        <f t="shared" si="16"/>
        <v>1577</v>
      </c>
    </row>
    <row r="38" spans="1:17" x14ac:dyDescent="0.2">
      <c r="A38" s="11" t="s">
        <v>41</v>
      </c>
      <c r="B38" s="9"/>
      <c r="C38" s="323">
        <f>'QTD Mgmt Summary'!C38+'[3]QTD Mgmt Summary'!C35</f>
        <v>0</v>
      </c>
      <c r="D38" s="297">
        <f>GrossMargin!M36</f>
        <v>0</v>
      </c>
      <c r="E38" s="300">
        <f t="shared" si="11"/>
        <v>0</v>
      </c>
      <c r="F38" s="23"/>
      <c r="G38" s="240">
        <f>'QTD Mgmt Summary'!G38+'[3]QTD Mgmt Summary'!G35</f>
        <v>780</v>
      </c>
      <c r="H38" s="240">
        <v>2091</v>
      </c>
      <c r="I38" s="292">
        <f t="shared" si="12"/>
        <v>-1311</v>
      </c>
      <c r="J38" s="9"/>
      <c r="K38" s="240">
        <f>'QTD Mgmt Summary'!K38+'[3]QTD Mgmt Summary'!K35</f>
        <v>0</v>
      </c>
      <c r="L38" s="202">
        <f>CapChrg!D36</f>
        <v>0</v>
      </c>
      <c r="M38" s="292">
        <f t="shared" si="13"/>
        <v>0</v>
      </c>
      <c r="N38" s="203"/>
      <c r="O38" s="201">
        <f t="shared" si="14"/>
        <v>-780</v>
      </c>
      <c r="P38" s="202">
        <f t="shared" si="15"/>
        <v>-2091</v>
      </c>
      <c r="Q38" s="198">
        <f t="shared" si="16"/>
        <v>1311</v>
      </c>
    </row>
    <row r="39" spans="1:17" x14ac:dyDescent="0.2">
      <c r="A39" s="11" t="s">
        <v>101</v>
      </c>
      <c r="B39" s="9"/>
      <c r="C39" s="247">
        <f>'QTD Mgmt Summary'!C39+'[3]QTD Mgmt Summary'!C36</f>
        <v>-240000</v>
      </c>
      <c r="D39" s="299">
        <f>GrossMargin!M37</f>
        <v>0</v>
      </c>
      <c r="E39" s="300">
        <f t="shared" si="11"/>
        <v>-240000</v>
      </c>
      <c r="F39" s="23"/>
      <c r="G39" s="240">
        <f>'QTD Mgmt Summary'!G39+'[3]QTD Mgmt Summary'!G36</f>
        <v>0</v>
      </c>
      <c r="H39" s="240">
        <f>Expenses!D37+Expenses!H37</f>
        <v>0</v>
      </c>
      <c r="I39" s="292">
        <f t="shared" si="12"/>
        <v>0</v>
      </c>
      <c r="J39" s="9"/>
      <c r="K39" s="240">
        <f>'QTD Mgmt Summary'!K39+'[3]QTD Mgmt Summary'!K36</f>
        <v>0</v>
      </c>
      <c r="L39" s="202">
        <f>CapChrg!D37</f>
        <v>0</v>
      </c>
      <c r="M39" s="292">
        <f t="shared" si="13"/>
        <v>0</v>
      </c>
      <c r="N39" s="203"/>
      <c r="O39" s="201">
        <f t="shared" si="14"/>
        <v>-240000</v>
      </c>
      <c r="P39" s="202">
        <f t="shared" si="15"/>
        <v>0</v>
      </c>
      <c r="Q39" s="198">
        <f t="shared" si="16"/>
        <v>-240000</v>
      </c>
    </row>
    <row r="40" spans="1:17" s="42" customFormat="1" ht="13.2" x14ac:dyDescent="0.2">
      <c r="A40" s="25" t="s">
        <v>9</v>
      </c>
      <c r="B40" s="155"/>
      <c r="C40" s="26">
        <f>SUM(C31:C39)</f>
        <v>399991</v>
      </c>
      <c r="D40" s="26">
        <f>SUM(D31:D39)</f>
        <v>476000</v>
      </c>
      <c r="E40" s="26">
        <f>SUM(E31:E39)</f>
        <v>-76009</v>
      </c>
      <c r="F40" s="156"/>
      <c r="G40" s="204">
        <f>SUM(G31:G39)</f>
        <v>21217</v>
      </c>
      <c r="H40" s="204">
        <f>SUM(H31:H39)</f>
        <v>44675</v>
      </c>
      <c r="I40" s="204">
        <f>SUM(I31:I39)</f>
        <v>-23458</v>
      </c>
      <c r="J40" s="9"/>
      <c r="K40" s="204">
        <f>SUM(K31:K39)</f>
        <v>1601</v>
      </c>
      <c r="L40" s="204">
        <f>SUM(L31:L39)</f>
        <v>6866</v>
      </c>
      <c r="M40" s="204">
        <f>SUM(M31:M39)</f>
        <v>-5265</v>
      </c>
      <c r="N40" s="207"/>
      <c r="O40" s="204">
        <f>SUM(O31:O39)</f>
        <v>377173</v>
      </c>
      <c r="P40" s="204">
        <f>SUM(P31:P39)</f>
        <v>424459</v>
      </c>
      <c r="Q40" s="204">
        <f>SUM(Q31:Q39)</f>
        <v>-47286</v>
      </c>
    </row>
    <row r="41" spans="1:17" ht="8.25" customHeight="1" x14ac:dyDescent="0.2">
      <c r="A41" s="11"/>
      <c r="B41" s="9"/>
      <c r="C41" s="21"/>
      <c r="D41" s="22"/>
      <c r="E41" s="24"/>
      <c r="F41" s="23"/>
      <c r="G41" s="201"/>
      <c r="H41" s="202"/>
      <c r="I41" s="202"/>
      <c r="J41" s="9"/>
      <c r="K41" s="202"/>
      <c r="L41" s="202"/>
      <c r="M41" s="198"/>
      <c r="N41" s="203"/>
      <c r="O41" s="201"/>
      <c r="P41" s="202"/>
      <c r="Q41" s="198"/>
    </row>
    <row r="42" spans="1:17" ht="13.5" customHeight="1" x14ac:dyDescent="0.2">
      <c r="A42" s="11" t="s">
        <v>42</v>
      </c>
      <c r="B42" s="9"/>
      <c r="C42" s="21">
        <f>'QTD Mgmt Summary'!C42+'[3]QTD Mgmt Summary'!C39</f>
        <v>-40988</v>
      </c>
      <c r="D42" s="240">
        <v>50000</v>
      </c>
      <c r="E42" s="293">
        <f t="shared" ref="E42:E48" si="17">-D42+C42</f>
        <v>-90988</v>
      </c>
      <c r="F42" s="23"/>
      <c r="G42" s="240">
        <f>'QTD Mgmt Summary'!G42+'[3]QTD Mgmt Summary'!G39</f>
        <v>3068</v>
      </c>
      <c r="H42" s="240">
        <v>4866</v>
      </c>
      <c r="I42" s="292">
        <f t="shared" ref="I42:I47" si="18">G42-H42</f>
        <v>-1798</v>
      </c>
      <c r="J42" s="9"/>
      <c r="K42" s="202">
        <f>'QTD Mgmt Summary'!K42+'[3]QTD Mgmt Summary'!K39</f>
        <v>142</v>
      </c>
      <c r="L42" s="202">
        <v>396</v>
      </c>
      <c r="M42" s="292">
        <f t="shared" ref="M42:M47" si="19">K42-L42</f>
        <v>-254</v>
      </c>
      <c r="N42" s="203"/>
      <c r="O42" s="201">
        <f t="shared" ref="O42:P48" si="20">C42-G42-K42</f>
        <v>-44198</v>
      </c>
      <c r="P42" s="202">
        <f t="shared" si="20"/>
        <v>44738</v>
      </c>
      <c r="Q42" s="198">
        <f t="shared" ref="Q42:Q48" si="21">O42-P42</f>
        <v>-88936</v>
      </c>
    </row>
    <row r="43" spans="1:17" ht="13.5" customHeight="1" x14ac:dyDescent="0.2">
      <c r="A43" s="11" t="s">
        <v>43</v>
      </c>
      <c r="B43" s="9"/>
      <c r="C43" s="21">
        <f>'QTD Mgmt Summary'!C43+'[3]QTD Mgmt Summary'!C40</f>
        <v>6112</v>
      </c>
      <c r="D43" s="240">
        <v>20000</v>
      </c>
      <c r="E43" s="293">
        <f t="shared" si="17"/>
        <v>-13888</v>
      </c>
      <c r="F43" s="23"/>
      <c r="G43" s="240">
        <f>'QTD Mgmt Summary'!G43+'[3]QTD Mgmt Summary'!G40</f>
        <v>879</v>
      </c>
      <c r="H43" s="240">
        <v>1692</v>
      </c>
      <c r="I43" s="292">
        <f t="shared" si="18"/>
        <v>-813</v>
      </c>
      <c r="J43" s="9"/>
      <c r="K43" s="240">
        <f>'QTD Mgmt Summary'!K43+'[3]QTD Mgmt Summary'!K40</f>
        <v>2858</v>
      </c>
      <c r="L43" s="202">
        <v>1410</v>
      </c>
      <c r="M43" s="292">
        <f t="shared" si="19"/>
        <v>1448</v>
      </c>
      <c r="N43" s="203"/>
      <c r="O43" s="201">
        <f t="shared" si="20"/>
        <v>2375</v>
      </c>
      <c r="P43" s="202">
        <f t="shared" si="20"/>
        <v>16898</v>
      </c>
      <c r="Q43" s="198">
        <f t="shared" si="21"/>
        <v>-14523</v>
      </c>
    </row>
    <row r="44" spans="1:17" ht="13.5" customHeight="1" x14ac:dyDescent="0.2">
      <c r="A44" s="11" t="s">
        <v>65</v>
      </c>
      <c r="B44" s="9"/>
      <c r="C44" s="21">
        <f>'QTD Mgmt Summary'!C44+'[3]QTD Mgmt Summary'!C41</f>
        <v>79670</v>
      </c>
      <c r="D44" s="240">
        <v>155000</v>
      </c>
      <c r="E44" s="293">
        <f t="shared" si="17"/>
        <v>-75330</v>
      </c>
      <c r="F44" s="23"/>
      <c r="G44" s="240">
        <f>'QTD Mgmt Summary'!G44+'[3]QTD Mgmt Summary'!G41</f>
        <v>969</v>
      </c>
      <c r="H44" s="240">
        <v>2296</v>
      </c>
      <c r="I44" s="292">
        <f t="shared" si="18"/>
        <v>-1327</v>
      </c>
      <c r="J44" s="9"/>
      <c r="K44" s="202">
        <f>'QTD Mgmt Summary'!K44+'[3]QTD Mgmt Summary'!K41</f>
        <v>0</v>
      </c>
      <c r="L44" s="202">
        <f>CapChrg!D42</f>
        <v>0</v>
      </c>
      <c r="M44" s="292">
        <f t="shared" si="19"/>
        <v>0</v>
      </c>
      <c r="N44" s="203"/>
      <c r="O44" s="201">
        <f t="shared" si="20"/>
        <v>78701</v>
      </c>
      <c r="P44" s="202">
        <f t="shared" si="20"/>
        <v>152704</v>
      </c>
      <c r="Q44" s="198">
        <f t="shared" si="21"/>
        <v>-74003</v>
      </c>
    </row>
    <row r="45" spans="1:17" ht="13.5" customHeight="1" x14ac:dyDescent="0.2">
      <c r="A45" s="11" t="s">
        <v>66</v>
      </c>
      <c r="B45" s="9"/>
      <c r="C45" s="21">
        <f>'QTD Mgmt Summary'!C45+'[3]QTD Mgmt Summary'!C42</f>
        <v>500</v>
      </c>
      <c r="D45" s="240">
        <v>50000</v>
      </c>
      <c r="E45" s="293">
        <f t="shared" si="17"/>
        <v>-49500</v>
      </c>
      <c r="F45" s="23"/>
      <c r="G45" s="240">
        <f>'QTD Mgmt Summary'!G45+'[3]QTD Mgmt Summary'!G42</f>
        <v>1506</v>
      </c>
      <c r="H45" s="240">
        <v>4621</v>
      </c>
      <c r="I45" s="292">
        <f t="shared" si="18"/>
        <v>-3115</v>
      </c>
      <c r="J45" s="9"/>
      <c r="K45" s="202">
        <f>'QTD Mgmt Summary'!K45+'[3]QTD Mgmt Summary'!K42</f>
        <v>0</v>
      </c>
      <c r="L45" s="202">
        <v>1788</v>
      </c>
      <c r="M45" s="292">
        <f t="shared" si="19"/>
        <v>-1788</v>
      </c>
      <c r="N45" s="203"/>
      <c r="O45" s="201">
        <f t="shared" si="20"/>
        <v>-1006</v>
      </c>
      <c r="P45" s="202">
        <f t="shared" si="20"/>
        <v>43591</v>
      </c>
      <c r="Q45" s="198">
        <f t="shared" si="21"/>
        <v>-44597</v>
      </c>
    </row>
    <row r="46" spans="1:17" x14ac:dyDescent="0.2">
      <c r="A46" s="11" t="s">
        <v>131</v>
      </c>
      <c r="B46" s="9"/>
      <c r="C46" s="21">
        <f>'QTD Mgmt Summary'!C46+'[3]QTD Mgmt Summary'!C43</f>
        <v>0</v>
      </c>
      <c r="D46" s="240">
        <v>10000</v>
      </c>
      <c r="E46" s="293">
        <f t="shared" si="17"/>
        <v>-10000</v>
      </c>
      <c r="F46" s="23"/>
      <c r="G46" s="240">
        <f>'QTD Mgmt Summary'!G46+'[3]QTD Mgmt Summary'!G43</f>
        <v>243</v>
      </c>
      <c r="H46" s="240">
        <v>847</v>
      </c>
      <c r="I46" s="292">
        <f t="shared" si="18"/>
        <v>-604</v>
      </c>
      <c r="J46" s="9"/>
      <c r="K46" s="202">
        <f>'QTD Mgmt Summary'!K46+'[3]QTD Mgmt Summary'!K43</f>
        <v>0</v>
      </c>
      <c r="L46" s="202">
        <f>CapChrg!D44</f>
        <v>0</v>
      </c>
      <c r="M46" s="292">
        <f t="shared" si="19"/>
        <v>0</v>
      </c>
      <c r="N46" s="203"/>
      <c r="O46" s="201">
        <f t="shared" si="20"/>
        <v>-243</v>
      </c>
      <c r="P46" s="202">
        <f t="shared" si="20"/>
        <v>9153</v>
      </c>
      <c r="Q46" s="198">
        <f t="shared" si="21"/>
        <v>-9396</v>
      </c>
    </row>
    <row r="47" spans="1:17" x14ac:dyDescent="0.2">
      <c r="A47" s="11" t="s">
        <v>45</v>
      </c>
      <c r="B47" s="9"/>
      <c r="C47" s="21">
        <f>'QTD Mgmt Summary'!C47+'[3]QTD Mgmt Summary'!C44</f>
        <v>1112</v>
      </c>
      <c r="D47" s="240">
        <f>GrossMargin!M45</f>
        <v>0</v>
      </c>
      <c r="E47" s="293">
        <f t="shared" si="17"/>
        <v>1112</v>
      </c>
      <c r="F47" s="23"/>
      <c r="G47" s="240">
        <f>'QTD Mgmt Summary'!G47+'[3]QTD Mgmt Summary'!G44</f>
        <v>1688</v>
      </c>
      <c r="H47" s="240">
        <v>4408</v>
      </c>
      <c r="I47" s="292">
        <f t="shared" si="18"/>
        <v>-2720</v>
      </c>
      <c r="J47" s="9"/>
      <c r="K47" s="240">
        <f>'QTD Mgmt Summary'!K47+'[3]QTD Mgmt Summary'!K44</f>
        <v>0</v>
      </c>
      <c r="L47" s="202">
        <f>CapChrg!D45</f>
        <v>0</v>
      </c>
      <c r="M47" s="292">
        <f t="shared" si="19"/>
        <v>0</v>
      </c>
      <c r="N47" s="203"/>
      <c r="O47" s="201">
        <f t="shared" si="20"/>
        <v>-576</v>
      </c>
      <c r="P47" s="202">
        <f t="shared" si="20"/>
        <v>-4408</v>
      </c>
      <c r="Q47" s="198">
        <f t="shared" si="21"/>
        <v>3832</v>
      </c>
    </row>
    <row r="48" spans="1:17" x14ac:dyDescent="0.2">
      <c r="A48" s="11" t="s">
        <v>134</v>
      </c>
      <c r="B48" s="9"/>
      <c r="C48" s="21">
        <f>'QTD Mgmt Summary'!C48+'[3]QTD Mgmt Summary'!C45</f>
        <v>-6360</v>
      </c>
      <c r="D48" s="240">
        <f>GrossMargin!M46</f>
        <v>0</v>
      </c>
      <c r="E48" s="293">
        <f t="shared" si="17"/>
        <v>-6360</v>
      </c>
      <c r="F48" s="23"/>
      <c r="G48" s="21">
        <f>'QTD Mgmt Summary'!G48+'[3]QTD Mgmt Summary'!G45</f>
        <v>0</v>
      </c>
      <c r="H48" s="240">
        <f>GrossMargin!Q46</f>
        <v>0</v>
      </c>
      <c r="I48" s="293">
        <f>-H48+G48</f>
        <v>0</v>
      </c>
      <c r="J48" s="9"/>
      <c r="K48" s="21">
        <f>'QTD Mgmt Summary'!K48+'[3]QTD Mgmt Summary'!K45</f>
        <v>0</v>
      </c>
      <c r="L48" s="240">
        <f>GrossMargin!U46</f>
        <v>0</v>
      </c>
      <c r="M48" s="293">
        <f>-L48+K48</f>
        <v>0</v>
      </c>
      <c r="N48" s="203"/>
      <c r="O48" s="201">
        <f t="shared" si="20"/>
        <v>-6360</v>
      </c>
      <c r="P48" s="202">
        <f t="shared" si="20"/>
        <v>0</v>
      </c>
      <c r="Q48" s="198">
        <f t="shared" si="21"/>
        <v>-6360</v>
      </c>
    </row>
    <row r="49" spans="1:17" s="42" customFormat="1" ht="12" customHeight="1" x14ac:dyDescent="0.2">
      <c r="A49" s="25" t="s">
        <v>10</v>
      </c>
      <c r="B49" s="302"/>
      <c r="C49" s="27">
        <f>SUM(C42:C48)</f>
        <v>40046</v>
      </c>
      <c r="D49" s="303">
        <f>SUM(D42:D48)</f>
        <v>285000</v>
      </c>
      <c r="E49" s="304">
        <f>SUM(E42:E48)</f>
        <v>-244954</v>
      </c>
      <c r="F49" s="156"/>
      <c r="G49" s="27">
        <f>SUM(G42:G48)</f>
        <v>8353</v>
      </c>
      <c r="H49" s="303">
        <f>SUM(H42:H48)</f>
        <v>18730</v>
      </c>
      <c r="I49" s="304">
        <f>SUM(I42:I48)</f>
        <v>-10377</v>
      </c>
      <c r="J49" s="15"/>
      <c r="K49" s="27">
        <f>SUM(K42:K48)</f>
        <v>3000</v>
      </c>
      <c r="L49" s="303">
        <f>SUM(L42:L48)</f>
        <v>3594</v>
      </c>
      <c r="M49" s="304">
        <f>SUM(M42:M48)</f>
        <v>-594</v>
      </c>
      <c r="N49" s="207"/>
      <c r="O49" s="27">
        <f>SUM(O42:O48)</f>
        <v>28693</v>
      </c>
      <c r="P49" s="303">
        <f>SUM(P42:P48)</f>
        <v>262676</v>
      </c>
      <c r="Q49" s="304">
        <f>SUM(Q42:Q48)</f>
        <v>-233983</v>
      </c>
    </row>
    <row r="50" spans="1:17" ht="8.25" customHeight="1" x14ac:dyDescent="0.2">
      <c r="A50" s="11"/>
      <c r="B50" s="9"/>
      <c r="C50" s="21"/>
      <c r="D50" s="22"/>
      <c r="E50" s="24"/>
      <c r="F50" s="23"/>
      <c r="G50" s="201"/>
      <c r="H50" s="202"/>
      <c r="I50" s="202"/>
      <c r="J50" s="9"/>
      <c r="K50" s="202"/>
      <c r="L50" s="202"/>
      <c r="M50" s="198"/>
      <c r="N50" s="203"/>
      <c r="O50" s="201"/>
      <c r="P50" s="202"/>
      <c r="Q50" s="198"/>
    </row>
    <row r="51" spans="1:17" x14ac:dyDescent="0.2">
      <c r="A51" s="11" t="str">
        <f>'QTD Mgmt Summary'!A51</f>
        <v xml:space="preserve">    Upstream Executive (Mrha)</v>
      </c>
      <c r="B51" s="9"/>
      <c r="C51" s="202">
        <f>'QTD Mgmt Summary'!C51+'[3]QTD Mgmt Summary'!C48</f>
        <v>6189</v>
      </c>
      <c r="D51" s="202">
        <v>0</v>
      </c>
      <c r="E51" s="293">
        <f t="shared" ref="E51:E70" si="22">-D51+C51</f>
        <v>6189</v>
      </c>
      <c r="F51" s="23"/>
      <c r="G51" s="240">
        <f>'QTD Mgmt Summary'!G51+'[3]QTD Mgmt Summary'!G48</f>
        <v>302</v>
      </c>
      <c r="H51" s="240">
        <v>891</v>
      </c>
      <c r="I51" s="202">
        <f t="shared" ref="I51:I70" si="23">G51-H51</f>
        <v>-589</v>
      </c>
      <c r="J51" s="9"/>
      <c r="K51" s="240">
        <f>'QTD Mgmt Summary'!K51+'[3]QTD Mgmt Summary'!K48</f>
        <v>0</v>
      </c>
      <c r="L51" s="202">
        <f>CapChrg!D48</f>
        <v>0</v>
      </c>
      <c r="M51" s="292">
        <f t="shared" ref="M51:M70" si="24">K51-L51</f>
        <v>0</v>
      </c>
      <c r="N51" s="203"/>
      <c r="O51" s="201">
        <f t="shared" ref="O51:O70" si="25">C51-G51-K51</f>
        <v>5887</v>
      </c>
      <c r="P51" s="202">
        <f t="shared" ref="P51:P70" si="26">D51-H51-L51</f>
        <v>-891</v>
      </c>
      <c r="Q51" s="198">
        <f t="shared" ref="Q51:Q70" si="27">O51-P51</f>
        <v>6778</v>
      </c>
    </row>
    <row r="52" spans="1:17" x14ac:dyDescent="0.2">
      <c r="A52" s="11" t="s">
        <v>102</v>
      </c>
      <c r="B52" s="9"/>
      <c r="C52" s="202">
        <f>'QTD Mgmt Summary'!C52+'[3]QTD Mgmt Summary'!C49</f>
        <v>4552</v>
      </c>
      <c r="D52" s="240">
        <v>16000</v>
      </c>
      <c r="E52" s="293">
        <f t="shared" si="22"/>
        <v>-11448</v>
      </c>
      <c r="F52" s="23"/>
      <c r="G52" s="240">
        <f>'QTD Mgmt Summary'!G52+'[3]QTD Mgmt Summary'!G49</f>
        <v>1654</v>
      </c>
      <c r="H52" s="240">
        <v>1739</v>
      </c>
      <c r="I52" s="202">
        <f t="shared" si="23"/>
        <v>-85</v>
      </c>
      <c r="J52" s="9"/>
      <c r="K52" s="202">
        <f>'QTD Mgmt Summary'!K52+'[3]QTD Mgmt Summary'!K49</f>
        <v>0</v>
      </c>
      <c r="L52" s="202">
        <f>CapChrg!D49</f>
        <v>0</v>
      </c>
      <c r="M52" s="292">
        <f t="shared" si="24"/>
        <v>0</v>
      </c>
      <c r="N52" s="203"/>
      <c r="O52" s="201">
        <f t="shared" si="25"/>
        <v>2898</v>
      </c>
      <c r="P52" s="202">
        <f t="shared" si="26"/>
        <v>14261</v>
      </c>
      <c r="Q52" s="198">
        <f t="shared" si="27"/>
        <v>-11363</v>
      </c>
    </row>
    <row r="53" spans="1:17" x14ac:dyDescent="0.2">
      <c r="A53" s="11" t="s">
        <v>103</v>
      </c>
      <c r="B53" s="9"/>
      <c r="C53" s="202">
        <f>'QTD Mgmt Summary'!C53+'[3]QTD Mgmt Summary'!C50</f>
        <v>4337</v>
      </c>
      <c r="D53" s="240">
        <v>20000</v>
      </c>
      <c r="E53" s="293">
        <f t="shared" si="22"/>
        <v>-15663</v>
      </c>
      <c r="F53" s="23"/>
      <c r="G53" s="240">
        <f>'QTD Mgmt Summary'!G53+'[3]QTD Mgmt Summary'!G50</f>
        <v>1771</v>
      </c>
      <c r="H53" s="240">
        <v>1741</v>
      </c>
      <c r="I53" s="202">
        <f t="shared" si="23"/>
        <v>30</v>
      </c>
      <c r="J53" s="9"/>
      <c r="K53" s="202">
        <f>'QTD Mgmt Summary'!K53+'[3]QTD Mgmt Summary'!K50</f>
        <v>1023</v>
      </c>
      <c r="L53" s="202">
        <v>2614</v>
      </c>
      <c r="M53" s="292">
        <f t="shared" si="24"/>
        <v>-1591</v>
      </c>
      <c r="N53" s="203"/>
      <c r="O53" s="201">
        <f t="shared" si="25"/>
        <v>1543</v>
      </c>
      <c r="P53" s="202">
        <f t="shared" si="26"/>
        <v>15645</v>
      </c>
      <c r="Q53" s="198">
        <f t="shared" si="27"/>
        <v>-14102</v>
      </c>
    </row>
    <row r="54" spans="1:17" x14ac:dyDescent="0.2">
      <c r="A54" s="11" t="s">
        <v>104</v>
      </c>
      <c r="B54" s="9"/>
      <c r="C54" s="202">
        <f>'QTD Mgmt Summary'!C54+'[3]QTD Mgmt Summary'!C51</f>
        <v>375</v>
      </c>
      <c r="D54" s="240">
        <v>8000</v>
      </c>
      <c r="E54" s="293">
        <f t="shared" si="22"/>
        <v>-7625</v>
      </c>
      <c r="F54" s="23"/>
      <c r="G54" s="240">
        <f>'QTD Mgmt Summary'!G54+'[3]QTD Mgmt Summary'!G51</f>
        <v>356</v>
      </c>
      <c r="H54" s="240">
        <v>1048</v>
      </c>
      <c r="I54" s="202">
        <f t="shared" si="23"/>
        <v>-692</v>
      </c>
      <c r="J54" s="9"/>
      <c r="K54" s="202">
        <f>'QTD Mgmt Summary'!K54+'[3]QTD Mgmt Summary'!K51</f>
        <v>0</v>
      </c>
      <c r="L54" s="202">
        <f>CapChrg!D51</f>
        <v>0</v>
      </c>
      <c r="M54" s="292">
        <f t="shared" si="24"/>
        <v>0</v>
      </c>
      <c r="N54" s="203"/>
      <c r="O54" s="201">
        <f t="shared" si="25"/>
        <v>19</v>
      </c>
      <c r="P54" s="202">
        <f t="shared" si="26"/>
        <v>6952</v>
      </c>
      <c r="Q54" s="198">
        <f t="shared" si="27"/>
        <v>-6933</v>
      </c>
    </row>
    <row r="55" spans="1:17" x14ac:dyDescent="0.2">
      <c r="A55" s="11" t="s">
        <v>105</v>
      </c>
      <c r="B55" s="9"/>
      <c r="C55" s="202">
        <f>'QTD Mgmt Summary'!C55+'[3]QTD Mgmt Summary'!C52</f>
        <v>1590</v>
      </c>
      <c r="D55" s="240">
        <v>4000</v>
      </c>
      <c r="E55" s="293">
        <f t="shared" si="22"/>
        <v>-2410</v>
      </c>
      <c r="F55" s="23"/>
      <c r="G55" s="240">
        <f>'QTD Mgmt Summary'!G55+'[3]QTD Mgmt Summary'!G52</f>
        <v>200</v>
      </c>
      <c r="H55" s="240">
        <v>701</v>
      </c>
      <c r="I55" s="202">
        <f t="shared" si="23"/>
        <v>-501</v>
      </c>
      <c r="J55" s="9"/>
      <c r="K55" s="202">
        <f>'QTD Mgmt Summary'!K55+'[3]QTD Mgmt Summary'!K52</f>
        <v>0</v>
      </c>
      <c r="L55" s="202">
        <f>CapChrg!D52</f>
        <v>0</v>
      </c>
      <c r="M55" s="292">
        <f t="shared" si="24"/>
        <v>0</v>
      </c>
      <c r="N55" s="203"/>
      <c r="O55" s="201">
        <f t="shared" si="25"/>
        <v>1390</v>
      </c>
      <c r="P55" s="202">
        <f t="shared" si="26"/>
        <v>3299</v>
      </c>
      <c r="Q55" s="198">
        <f t="shared" si="27"/>
        <v>-1909</v>
      </c>
    </row>
    <row r="56" spans="1:17" x14ac:dyDescent="0.2">
      <c r="A56" s="11" t="s">
        <v>106</v>
      </c>
      <c r="B56" s="9"/>
      <c r="C56" s="202">
        <f>'QTD Mgmt Summary'!C56+'[3]QTD Mgmt Summary'!C53</f>
        <v>74</v>
      </c>
      <c r="D56" s="240">
        <v>2000</v>
      </c>
      <c r="E56" s="293">
        <f t="shared" si="22"/>
        <v>-1926</v>
      </c>
      <c r="F56" s="23"/>
      <c r="G56" s="202">
        <f>'QTD Mgmt Summary'!G56+'[3]QTD Mgmt Summary'!G53</f>
        <v>105</v>
      </c>
      <c r="H56" s="202">
        <v>586</v>
      </c>
      <c r="I56" s="202">
        <f t="shared" si="23"/>
        <v>-481</v>
      </c>
      <c r="J56" s="9"/>
      <c r="K56" s="202">
        <f>'QTD Mgmt Summary'!K56+'[3]QTD Mgmt Summary'!K53</f>
        <v>0</v>
      </c>
      <c r="L56" s="202">
        <f>CapChrg!D53</f>
        <v>0</v>
      </c>
      <c r="M56" s="292">
        <f t="shared" si="24"/>
        <v>0</v>
      </c>
      <c r="N56" s="203"/>
      <c r="O56" s="201">
        <f t="shared" si="25"/>
        <v>-31</v>
      </c>
      <c r="P56" s="202">
        <f t="shared" si="26"/>
        <v>1414</v>
      </c>
      <c r="Q56" s="198">
        <f t="shared" si="27"/>
        <v>-1445</v>
      </c>
    </row>
    <row r="57" spans="1:17" x14ac:dyDescent="0.2">
      <c r="A57" s="11" t="s">
        <v>69</v>
      </c>
      <c r="B57" s="9"/>
      <c r="C57" s="202">
        <f>'QTD Mgmt Summary'!C57+'[3]QTD Mgmt Summary'!C54</f>
        <v>6787</v>
      </c>
      <c r="D57" s="240">
        <v>11637</v>
      </c>
      <c r="E57" s="293">
        <f t="shared" si="22"/>
        <v>-4850</v>
      </c>
      <c r="F57" s="23"/>
      <c r="G57" s="202">
        <f>'QTD Mgmt Summary'!G57+'[3]QTD Mgmt Summary'!G54</f>
        <v>0</v>
      </c>
      <c r="H57" s="202">
        <f>Expenses!D54+Expenses!H54</f>
        <v>0</v>
      </c>
      <c r="I57" s="202">
        <f t="shared" si="23"/>
        <v>0</v>
      </c>
      <c r="J57" s="9"/>
      <c r="K57" s="240">
        <f>'QTD Mgmt Summary'!K57+'[3]QTD Mgmt Summary'!K54</f>
        <v>11512</v>
      </c>
      <c r="L57" s="202">
        <v>25128</v>
      </c>
      <c r="M57" s="292">
        <f t="shared" si="24"/>
        <v>-13616</v>
      </c>
      <c r="N57" s="203"/>
      <c r="O57" s="201">
        <f t="shared" si="25"/>
        <v>-4725</v>
      </c>
      <c r="P57" s="202">
        <f t="shared" si="26"/>
        <v>-13491</v>
      </c>
      <c r="Q57" s="198">
        <f t="shared" si="27"/>
        <v>8766</v>
      </c>
    </row>
    <row r="58" spans="1:17" x14ac:dyDescent="0.2">
      <c r="A58" s="11" t="s">
        <v>68</v>
      </c>
      <c r="B58" s="9"/>
      <c r="C58" s="202">
        <f>'QTD Mgmt Summary'!C58+'[3]QTD Mgmt Summary'!C55</f>
        <v>33964</v>
      </c>
      <c r="D58" s="240">
        <v>-82780</v>
      </c>
      <c r="E58" s="293">
        <f t="shared" si="22"/>
        <v>116744</v>
      </c>
      <c r="F58" s="23"/>
      <c r="G58" s="240">
        <f>'QTD Mgmt Summary'!G58+'[3]QTD Mgmt Summary'!G55</f>
        <v>127563</v>
      </c>
      <c r="H58" s="240">
        <v>8383</v>
      </c>
      <c r="I58" s="202">
        <f t="shared" si="23"/>
        <v>119180</v>
      </c>
      <c r="J58" s="9"/>
      <c r="K58" s="240">
        <f>'QTD Mgmt Summary'!K58+'[3]QTD Mgmt Summary'!K55</f>
        <v>0</v>
      </c>
      <c r="L58" s="202">
        <f>CapChrg!D55</f>
        <v>0</v>
      </c>
      <c r="M58" s="292">
        <f t="shared" si="24"/>
        <v>0</v>
      </c>
      <c r="N58" s="203"/>
      <c r="O58" s="201">
        <f t="shared" si="25"/>
        <v>-93599</v>
      </c>
      <c r="P58" s="202">
        <f t="shared" si="26"/>
        <v>-91163</v>
      </c>
      <c r="Q58" s="198">
        <f t="shared" si="27"/>
        <v>-2436</v>
      </c>
    </row>
    <row r="59" spans="1:17" x14ac:dyDescent="0.2">
      <c r="A59" s="11" t="s">
        <v>67</v>
      </c>
      <c r="B59" s="9"/>
      <c r="C59" s="202">
        <f>'QTD Mgmt Summary'!C59+'[3]QTD Mgmt Summary'!C56</f>
        <v>0</v>
      </c>
      <c r="D59" s="202">
        <f>GrossMargin!M57</f>
        <v>0</v>
      </c>
      <c r="E59" s="293">
        <f t="shared" si="22"/>
        <v>0</v>
      </c>
      <c r="F59" s="23"/>
      <c r="G59" s="240">
        <f>'QTD Mgmt Summary'!G59+'[3]QTD Mgmt Summary'!G56</f>
        <v>530</v>
      </c>
      <c r="H59" s="240">
        <v>1175</v>
      </c>
      <c r="I59" s="202">
        <f t="shared" si="23"/>
        <v>-645</v>
      </c>
      <c r="J59" s="9"/>
      <c r="K59" s="202">
        <f>'QTD Mgmt Summary'!K59+'[3]QTD Mgmt Summary'!K56</f>
        <v>0</v>
      </c>
      <c r="L59" s="202">
        <f>CapChrg!D56</f>
        <v>0</v>
      </c>
      <c r="M59" s="292">
        <f t="shared" si="24"/>
        <v>0</v>
      </c>
      <c r="N59" s="203"/>
      <c r="O59" s="201">
        <f t="shared" si="25"/>
        <v>-530</v>
      </c>
      <c r="P59" s="202">
        <f t="shared" si="26"/>
        <v>-1175</v>
      </c>
      <c r="Q59" s="198">
        <f t="shared" si="27"/>
        <v>645</v>
      </c>
    </row>
    <row r="60" spans="1:17" x14ac:dyDescent="0.2">
      <c r="A60" s="11" t="s">
        <v>46</v>
      </c>
      <c r="B60" s="9"/>
      <c r="C60" s="202">
        <f>'QTD Mgmt Summary'!C60+'[3]QTD Mgmt Summary'!C57</f>
        <v>1592</v>
      </c>
      <c r="D60" s="240">
        <v>60000</v>
      </c>
      <c r="E60" s="293">
        <f t="shared" si="22"/>
        <v>-58408</v>
      </c>
      <c r="F60" s="23"/>
      <c r="G60" s="240">
        <f>'QTD Mgmt Summary'!G60+'[3]QTD Mgmt Summary'!G57</f>
        <v>2522</v>
      </c>
      <c r="H60" s="240">
        <v>5544</v>
      </c>
      <c r="I60" s="202">
        <f t="shared" si="23"/>
        <v>-3022</v>
      </c>
      <c r="J60" s="9"/>
      <c r="K60" s="202">
        <f>'QTD Mgmt Summary'!K60+'[3]QTD Mgmt Summary'!K57</f>
        <v>41</v>
      </c>
      <c r="L60" s="202">
        <f>CapChrg!D57</f>
        <v>0</v>
      </c>
      <c r="M60" s="292">
        <f t="shared" si="24"/>
        <v>41</v>
      </c>
      <c r="N60" s="203"/>
      <c r="O60" s="201">
        <f t="shared" si="25"/>
        <v>-971</v>
      </c>
      <c r="P60" s="202">
        <f t="shared" si="26"/>
        <v>54456</v>
      </c>
      <c r="Q60" s="198">
        <f t="shared" si="27"/>
        <v>-55427</v>
      </c>
    </row>
    <row r="61" spans="1:17" ht="12" customHeight="1" x14ac:dyDescent="0.2">
      <c r="A61" s="11" t="s">
        <v>47</v>
      </c>
      <c r="B61" s="9"/>
      <c r="C61" s="202">
        <f>'QTD Mgmt Summary'!C61+'[3]QTD Mgmt Summary'!C58</f>
        <v>10886</v>
      </c>
      <c r="D61" s="240">
        <v>80000</v>
      </c>
      <c r="E61" s="293">
        <f t="shared" si="22"/>
        <v>-69114</v>
      </c>
      <c r="F61" s="23"/>
      <c r="G61" s="240">
        <f>'QTD Mgmt Summary'!G61+'[3]QTD Mgmt Summary'!G58</f>
        <v>3745</v>
      </c>
      <c r="H61" s="240">
        <v>7079</v>
      </c>
      <c r="I61" s="202">
        <f t="shared" si="23"/>
        <v>-3334</v>
      </c>
      <c r="J61" s="9"/>
      <c r="K61" s="240">
        <f>'QTD Mgmt Summary'!K61+'[3]QTD Mgmt Summary'!K58</f>
        <v>42298</v>
      </c>
      <c r="L61" s="202">
        <v>63784</v>
      </c>
      <c r="M61" s="292">
        <f t="shared" si="24"/>
        <v>-21486</v>
      </c>
      <c r="N61" s="203"/>
      <c r="O61" s="201">
        <f t="shared" si="25"/>
        <v>-35157</v>
      </c>
      <c r="P61" s="202">
        <f t="shared" si="26"/>
        <v>9137</v>
      </c>
      <c r="Q61" s="198">
        <f t="shared" si="27"/>
        <v>-44294</v>
      </c>
    </row>
    <row r="62" spans="1:17" ht="12" customHeight="1" x14ac:dyDescent="0.2">
      <c r="A62" s="11" t="s">
        <v>48</v>
      </c>
      <c r="B62" s="9"/>
      <c r="C62" s="202">
        <f>'QTD Mgmt Summary'!C62+'[3]QTD Mgmt Summary'!C59</f>
        <v>-5442</v>
      </c>
      <c r="D62" s="240">
        <v>49999</v>
      </c>
      <c r="E62" s="293">
        <f t="shared" si="22"/>
        <v>-55441</v>
      </c>
      <c r="F62" s="23"/>
      <c r="G62" s="240">
        <f>'QTD Mgmt Summary'!G62+'[3]QTD Mgmt Summary'!G59</f>
        <v>1808</v>
      </c>
      <c r="H62" s="240">
        <v>3564</v>
      </c>
      <c r="I62" s="202">
        <f t="shared" si="23"/>
        <v>-1756</v>
      </c>
      <c r="J62" s="9"/>
      <c r="K62" s="240">
        <f>'QTD Mgmt Summary'!K62+'[3]QTD Mgmt Summary'!K59</f>
        <v>9737</v>
      </c>
      <c r="L62" s="202">
        <v>28436</v>
      </c>
      <c r="M62" s="292">
        <f t="shared" si="24"/>
        <v>-18699</v>
      </c>
      <c r="N62" s="203"/>
      <c r="O62" s="201">
        <f t="shared" si="25"/>
        <v>-16987</v>
      </c>
      <c r="P62" s="202">
        <f t="shared" si="26"/>
        <v>17999</v>
      </c>
      <c r="Q62" s="198">
        <f t="shared" si="27"/>
        <v>-34986</v>
      </c>
    </row>
    <row r="63" spans="1:17" ht="12" customHeight="1" x14ac:dyDescent="0.2">
      <c r="A63" s="11" t="s">
        <v>63</v>
      </c>
      <c r="B63" s="9"/>
      <c r="C63" s="202">
        <f>'QTD Mgmt Summary'!C63+'[3]QTD Mgmt Summary'!C60</f>
        <v>17816</v>
      </c>
      <c r="D63" s="240">
        <v>50000</v>
      </c>
      <c r="E63" s="293">
        <f t="shared" si="22"/>
        <v>-32184</v>
      </c>
      <c r="F63" s="23"/>
      <c r="G63" s="240">
        <f>'QTD Mgmt Summary'!G63+'[3]QTD Mgmt Summary'!G60</f>
        <v>3767</v>
      </c>
      <c r="H63" s="240">
        <v>7789</v>
      </c>
      <c r="I63" s="202">
        <f t="shared" si="23"/>
        <v>-4022</v>
      </c>
      <c r="J63" s="9"/>
      <c r="K63" s="240">
        <f>'QTD Mgmt Summary'!K63+'[3]QTD Mgmt Summary'!K60</f>
        <v>32895</v>
      </c>
      <c r="L63" s="202">
        <v>54445</v>
      </c>
      <c r="M63" s="292">
        <f t="shared" si="24"/>
        <v>-21550</v>
      </c>
      <c r="N63" s="203"/>
      <c r="O63" s="201">
        <f t="shared" si="25"/>
        <v>-18846</v>
      </c>
      <c r="P63" s="202">
        <f t="shared" si="26"/>
        <v>-12234</v>
      </c>
      <c r="Q63" s="198">
        <f t="shared" si="27"/>
        <v>-6612</v>
      </c>
    </row>
    <row r="64" spans="1:17" ht="12" customHeight="1" x14ac:dyDescent="0.2">
      <c r="A64" s="11" t="s">
        <v>49</v>
      </c>
      <c r="B64" s="9"/>
      <c r="C64" s="202">
        <v>4599</v>
      </c>
      <c r="D64" s="240">
        <v>5000</v>
      </c>
      <c r="E64" s="293">
        <f t="shared" si="22"/>
        <v>-401</v>
      </c>
      <c r="F64" s="23"/>
      <c r="G64" s="240">
        <v>700</v>
      </c>
      <c r="H64" s="240">
        <v>720</v>
      </c>
      <c r="I64" s="202">
        <f t="shared" si="23"/>
        <v>-20</v>
      </c>
      <c r="J64" s="9"/>
      <c r="K64" s="240">
        <v>13695</v>
      </c>
      <c r="L64" s="202">
        <v>13627</v>
      </c>
      <c r="M64" s="292">
        <f t="shared" si="24"/>
        <v>68</v>
      </c>
      <c r="N64" s="203"/>
      <c r="O64" s="201">
        <f>C64-G64-K64</f>
        <v>-9796</v>
      </c>
      <c r="P64" s="202">
        <f>D64-H64-L64</f>
        <v>-9347</v>
      </c>
      <c r="Q64" s="198">
        <f>O64-P64</f>
        <v>-449</v>
      </c>
    </row>
    <row r="65" spans="1:17" ht="12" customHeight="1" x14ac:dyDescent="0.2">
      <c r="A65" s="11" t="str">
        <f>'QTD Mgmt Summary'!A64</f>
        <v xml:space="preserve">    Special Assets (Redmond/Lydecker)</v>
      </c>
      <c r="B65" s="9"/>
      <c r="C65" s="202">
        <f>'QTD Mgmt Summary'!C64+'[3]QTD Mgmt Summary'!C62</f>
        <v>-9062</v>
      </c>
      <c r="D65" s="240">
        <v>-25100</v>
      </c>
      <c r="E65" s="293">
        <f t="shared" si="22"/>
        <v>16038</v>
      </c>
      <c r="F65" s="23"/>
      <c r="G65" s="240">
        <f>'QTD Mgmt Summary'!G64+'[3]QTD Mgmt Summary'!G62</f>
        <v>2821</v>
      </c>
      <c r="H65" s="240">
        <v>6265</v>
      </c>
      <c r="I65" s="202">
        <f t="shared" si="23"/>
        <v>-3444</v>
      </c>
      <c r="J65" s="9"/>
      <c r="K65" s="240">
        <f>'QTD Mgmt Summary'!K64+'[3]QTD Mgmt Summary'!K62</f>
        <v>20437</v>
      </c>
      <c r="L65" s="202">
        <v>57787</v>
      </c>
      <c r="M65" s="292">
        <f t="shared" si="24"/>
        <v>-37350</v>
      </c>
      <c r="N65" s="203"/>
      <c r="O65" s="201">
        <f t="shared" si="25"/>
        <v>-32320</v>
      </c>
      <c r="P65" s="202">
        <f t="shared" si="26"/>
        <v>-89152</v>
      </c>
      <c r="Q65" s="198">
        <f t="shared" si="27"/>
        <v>56832</v>
      </c>
    </row>
    <row r="66" spans="1:17" ht="12" customHeight="1" x14ac:dyDescent="0.2">
      <c r="A66" s="11" t="str">
        <f>'QTD Mgmt Summary'!A65</f>
        <v xml:space="preserve">    Asset Marketing (Miller)</v>
      </c>
      <c r="B66" s="20"/>
      <c r="C66" s="202">
        <f>'QTD Mgmt Summary'!C65</f>
        <v>0</v>
      </c>
      <c r="D66" s="202">
        <f>'QTD Mgmt Summary'!D65</f>
        <v>0</v>
      </c>
      <c r="E66" s="202">
        <f>'QTD Mgmt Summary'!E65</f>
        <v>0</v>
      </c>
      <c r="F66" s="23"/>
      <c r="G66" s="202">
        <f>'QTD Mgmt Summary'!G65</f>
        <v>337</v>
      </c>
      <c r="H66" s="202">
        <v>1016</v>
      </c>
      <c r="I66" s="202">
        <f>'QTD Mgmt Summary'!I65</f>
        <v>0</v>
      </c>
      <c r="J66" s="9"/>
      <c r="K66" s="202">
        <f>'QTD Mgmt Summary'!K65</f>
        <v>0</v>
      </c>
      <c r="L66" s="202">
        <f>'QTD Mgmt Summary'!L65</f>
        <v>0</v>
      </c>
      <c r="M66" s="202">
        <f>'QTD Mgmt Summary'!M65</f>
        <v>0</v>
      </c>
      <c r="N66" s="203"/>
      <c r="O66" s="201">
        <f>C66-G66-K66</f>
        <v>-337</v>
      </c>
      <c r="P66" s="202">
        <f>D66-H66-L66</f>
        <v>-1016</v>
      </c>
      <c r="Q66" s="198">
        <f>O66-P66</f>
        <v>679</v>
      </c>
    </row>
    <row r="67" spans="1:17" ht="12" customHeight="1" x14ac:dyDescent="0.2">
      <c r="A67" s="11" t="s">
        <v>71</v>
      </c>
      <c r="B67" s="20"/>
      <c r="C67" s="202">
        <f>'QTD Mgmt Summary'!C66+'[3]QTD Mgmt Summary'!C63</f>
        <v>657131</v>
      </c>
      <c r="D67" s="240">
        <v>-23653</v>
      </c>
      <c r="E67" s="293">
        <f t="shared" si="22"/>
        <v>680784</v>
      </c>
      <c r="F67" s="23"/>
      <c r="G67" s="240">
        <f>'QTD Mgmt Summary'!G66+'[3]QTD Mgmt Summary'!G63</f>
        <v>12127</v>
      </c>
      <c r="H67" s="240">
        <v>3976</v>
      </c>
      <c r="I67" s="202">
        <f t="shared" si="23"/>
        <v>8151</v>
      </c>
      <c r="J67" s="9"/>
      <c r="K67" s="240">
        <f>'QTD Mgmt Summary'!K66+'[3]QTD Mgmt Summary'!K63</f>
        <v>40525</v>
      </c>
      <c r="L67" s="202">
        <v>65776</v>
      </c>
      <c r="M67" s="292">
        <f t="shared" si="24"/>
        <v>-25251</v>
      </c>
      <c r="N67" s="203"/>
      <c r="O67" s="201">
        <f t="shared" si="25"/>
        <v>604479</v>
      </c>
      <c r="P67" s="202">
        <f t="shared" si="26"/>
        <v>-93405</v>
      </c>
      <c r="Q67" s="198">
        <f t="shared" si="27"/>
        <v>697884</v>
      </c>
    </row>
    <row r="68" spans="1:17" ht="12" customHeight="1" x14ac:dyDescent="0.2">
      <c r="A68" s="11" t="s">
        <v>73</v>
      </c>
      <c r="B68" s="20"/>
      <c r="C68" s="202">
        <f>'QTD Mgmt Summary'!C67+'[3]QTD Mgmt Summary'!C64</f>
        <v>-930</v>
      </c>
      <c r="D68" s="240">
        <f>GrossMargin!M65</f>
        <v>0</v>
      </c>
      <c r="E68" s="293">
        <f t="shared" si="22"/>
        <v>-930</v>
      </c>
      <c r="F68" s="23"/>
      <c r="G68" s="202">
        <f>'QTD Mgmt Summary'!G67+'[3]QTD Mgmt Summary'!G64</f>
        <v>0</v>
      </c>
      <c r="H68" s="202">
        <f>Expenses!D64+Expenses!H64</f>
        <v>0</v>
      </c>
      <c r="I68" s="202">
        <f t="shared" si="23"/>
        <v>0</v>
      </c>
      <c r="J68" s="9"/>
      <c r="K68" s="202">
        <f>'QTD Mgmt Summary'!K67+'[3]QTD Mgmt Summary'!K64</f>
        <v>0</v>
      </c>
      <c r="L68" s="202">
        <f>CapChrg!D64</f>
        <v>0</v>
      </c>
      <c r="M68" s="292">
        <f t="shared" si="24"/>
        <v>0</v>
      </c>
      <c r="N68" s="203"/>
      <c r="O68" s="201">
        <f t="shared" si="25"/>
        <v>-930</v>
      </c>
      <c r="P68" s="202">
        <f t="shared" si="26"/>
        <v>0</v>
      </c>
      <c r="Q68" s="198">
        <f t="shared" si="27"/>
        <v>-930</v>
      </c>
    </row>
    <row r="69" spans="1:17" ht="12" customHeight="1" x14ac:dyDescent="0.2">
      <c r="A69" s="29" t="s">
        <v>129</v>
      </c>
      <c r="B69" s="9"/>
      <c r="C69" s="202">
        <f>'QTD Mgmt Summary'!C68+'[3]QTD Mgmt Summary'!C65</f>
        <v>-33422</v>
      </c>
      <c r="D69" s="240">
        <v>-100150</v>
      </c>
      <c r="E69" s="293">
        <f t="shared" si="22"/>
        <v>66728</v>
      </c>
      <c r="F69" s="23"/>
      <c r="G69" s="240">
        <f>'QTD Mgmt Summary'!G68+'[3]QTD Mgmt Summary'!G65</f>
        <v>2804</v>
      </c>
      <c r="H69" s="240">
        <v>5327</v>
      </c>
      <c r="I69" s="202">
        <f t="shared" si="23"/>
        <v>-2523</v>
      </c>
      <c r="J69" s="9"/>
      <c r="K69" s="202">
        <f>'QTD Mgmt Summary'!K68+'[3]QTD Mgmt Summary'!K65</f>
        <v>0</v>
      </c>
      <c r="L69" s="202">
        <f>CapChrg!D65</f>
        <v>0</v>
      </c>
      <c r="M69" s="292">
        <f t="shared" si="24"/>
        <v>0</v>
      </c>
      <c r="N69" s="203"/>
      <c r="O69" s="201">
        <f t="shared" si="25"/>
        <v>-36226</v>
      </c>
      <c r="P69" s="202">
        <f t="shared" si="26"/>
        <v>-105477</v>
      </c>
      <c r="Q69" s="198">
        <f t="shared" si="27"/>
        <v>69251</v>
      </c>
    </row>
    <row r="70" spans="1:17" ht="12" customHeight="1" x14ac:dyDescent="0.2">
      <c r="A70" s="29" t="s">
        <v>125</v>
      </c>
      <c r="B70" s="9"/>
      <c r="C70" s="202">
        <f>'QTD Mgmt Summary'!C69+'[3]QTD Mgmt Summary'!C66</f>
        <v>0</v>
      </c>
      <c r="D70" s="240">
        <f>GrossMargin!M67</f>
        <v>0</v>
      </c>
      <c r="E70" s="293">
        <f t="shared" si="22"/>
        <v>0</v>
      </c>
      <c r="F70" s="23"/>
      <c r="G70" s="240">
        <f>'QTD Mgmt Summary'!G69+'[3]QTD Mgmt Summary'!G66</f>
        <v>253300</v>
      </c>
      <c r="H70" s="240">
        <f>Expenses!D67+Expenses!H67</f>
        <v>0</v>
      </c>
      <c r="I70" s="202">
        <f t="shared" si="23"/>
        <v>253300</v>
      </c>
      <c r="J70" s="9"/>
      <c r="K70" s="202">
        <f>'QTD Mgmt Summary'!K69+'[3]QTD Mgmt Summary'!K66</f>
        <v>0</v>
      </c>
      <c r="L70" s="202">
        <f>CapChrg!D67</f>
        <v>0</v>
      </c>
      <c r="M70" s="292">
        <f t="shared" si="24"/>
        <v>0</v>
      </c>
      <c r="N70" s="203"/>
      <c r="O70" s="201">
        <f t="shared" si="25"/>
        <v>-253300</v>
      </c>
      <c r="P70" s="202">
        <f t="shared" si="26"/>
        <v>0</v>
      </c>
      <c r="Q70" s="198">
        <f t="shared" si="27"/>
        <v>-253300</v>
      </c>
    </row>
    <row r="71" spans="1:17" s="157" customFormat="1" ht="12" customHeight="1" x14ac:dyDescent="0.2">
      <c r="A71" s="25" t="s">
        <v>12</v>
      </c>
      <c r="B71" s="155"/>
      <c r="C71" s="26">
        <f>SUM(C51:C70)+C49+C40+C29+C21</f>
        <v>2057178</v>
      </c>
      <c r="D71" s="27">
        <f>SUM(D51:D70)+D49+D40+D29+D21</f>
        <v>1572903</v>
      </c>
      <c r="E71" s="28">
        <f>SUM(E51:E70)+E49+E40+E29+E21</f>
        <v>484275</v>
      </c>
      <c r="F71" s="156"/>
      <c r="G71" s="204">
        <f>SUM(G51:G70)+G49+G40+G29+G21</f>
        <v>483220</v>
      </c>
      <c r="H71" s="205">
        <f>SUM(H51:H70)+H49+H40+H29+H21</f>
        <v>198787</v>
      </c>
      <c r="I71" s="205">
        <f>SUM(I51:I70)+I49+I40+I29+I21</f>
        <v>285112</v>
      </c>
      <c r="J71" s="9"/>
      <c r="K71" s="205">
        <f>SUM(K51:K70)+K49+K40+K29+K21</f>
        <v>182766</v>
      </c>
      <c r="L71" s="205">
        <f>SUM(L51:L70)+L49+L40+L29+L21</f>
        <v>340046</v>
      </c>
      <c r="M71" s="206">
        <f>SUM(M51:M70)+M49+M40+M29+M21</f>
        <v>-157280</v>
      </c>
      <c r="N71" s="207"/>
      <c r="O71" s="204">
        <f>SUM(O51:O70)+O49+O40+O29+O21</f>
        <v>1391192</v>
      </c>
      <c r="P71" s="205">
        <f>SUM(P51:P70)+P49+P40+P29+P21</f>
        <v>1034070</v>
      </c>
      <c r="Q71" s="206">
        <f>SUM(Q51:Q70)+Q49+Q40+Q29+Q21</f>
        <v>357122</v>
      </c>
    </row>
    <row r="72" spans="1:17" ht="6.75" customHeight="1" x14ac:dyDescent="0.2">
      <c r="A72" s="29"/>
      <c r="B72" s="9"/>
      <c r="C72" s="65"/>
      <c r="D72" s="31"/>
      <c r="E72" s="32"/>
      <c r="F72" s="23"/>
      <c r="G72" s="282"/>
      <c r="H72" s="210"/>
      <c r="I72" s="210"/>
      <c r="J72" s="9"/>
      <c r="K72" s="210"/>
      <c r="L72" s="210"/>
      <c r="M72" s="211"/>
      <c r="N72" s="203"/>
      <c r="O72" s="208"/>
      <c r="P72" s="210"/>
      <c r="Q72" s="211"/>
    </row>
    <row r="73" spans="1:17" ht="12" customHeight="1" x14ac:dyDescent="0.2">
      <c r="A73" s="29" t="s">
        <v>51</v>
      </c>
      <c r="B73" s="9"/>
      <c r="C73" s="202">
        <f>'QTD Mgmt Summary'!C72+'[3]QTD Mgmt Summary'!C69</f>
        <v>0</v>
      </c>
      <c r="D73" s="202">
        <v>0</v>
      </c>
      <c r="E73" s="24">
        <f t="shared" ref="E73:E86" si="28">-D73+C73</f>
        <v>0</v>
      </c>
      <c r="F73" s="23"/>
      <c r="G73" s="240">
        <f>'QTD Mgmt Summary'!G72+'[3]QTD Mgmt Summary'!G69</f>
        <v>4824</v>
      </c>
      <c r="H73" s="240">
        <v>10549</v>
      </c>
      <c r="I73" s="202">
        <f t="shared" ref="I73:I86" si="29">G73-H73</f>
        <v>-5725</v>
      </c>
      <c r="J73" s="9"/>
      <c r="K73" s="197">
        <f>'QTD Mgmt Summary'!K72+'[3]QTD Mgmt Summary'!K69</f>
        <v>0</v>
      </c>
      <c r="L73" s="197">
        <v>0</v>
      </c>
      <c r="M73" s="198">
        <f t="shared" ref="M73:M86" si="30">K73-L73</f>
        <v>0</v>
      </c>
      <c r="N73" s="203"/>
      <c r="O73" s="201">
        <f t="shared" ref="O73:O86" si="31">C73-G73-K73</f>
        <v>-4824</v>
      </c>
      <c r="P73" s="202">
        <f t="shared" ref="P73:P86" si="32">D73-H73-L73</f>
        <v>-10549</v>
      </c>
      <c r="Q73" s="198">
        <f t="shared" ref="Q73:Q86" si="33">O73-P73</f>
        <v>5725</v>
      </c>
    </row>
    <row r="74" spans="1:17" ht="12" customHeight="1" x14ac:dyDescent="0.2">
      <c r="A74" s="29" t="s">
        <v>52</v>
      </c>
      <c r="B74" s="9"/>
      <c r="C74" s="202">
        <f>'QTD Mgmt Summary'!C73+'[3]QTD Mgmt Summary'!C70</f>
        <v>0</v>
      </c>
      <c r="D74" s="202">
        <v>0</v>
      </c>
      <c r="E74" s="24">
        <f t="shared" si="28"/>
        <v>0</v>
      </c>
      <c r="F74" s="23"/>
      <c r="G74" s="240">
        <f>'QTD Mgmt Summary'!G73+'[3]QTD Mgmt Summary'!G70</f>
        <v>1266</v>
      </c>
      <c r="H74" s="240">
        <v>1996</v>
      </c>
      <c r="I74" s="202">
        <f t="shared" si="29"/>
        <v>-730</v>
      </c>
      <c r="J74" s="9"/>
      <c r="K74" s="197">
        <f>'QTD Mgmt Summary'!K73+'[3]QTD Mgmt Summary'!K70</f>
        <v>0</v>
      </c>
      <c r="L74" s="197">
        <v>0</v>
      </c>
      <c r="M74" s="198">
        <f t="shared" si="30"/>
        <v>0</v>
      </c>
      <c r="N74" s="203"/>
      <c r="O74" s="201">
        <f t="shared" si="31"/>
        <v>-1266</v>
      </c>
      <c r="P74" s="202">
        <f t="shared" si="32"/>
        <v>-1996</v>
      </c>
      <c r="Q74" s="198">
        <f t="shared" si="33"/>
        <v>730</v>
      </c>
    </row>
    <row r="75" spans="1:17" ht="12" customHeight="1" x14ac:dyDescent="0.2">
      <c r="A75" s="29" t="s">
        <v>107</v>
      </c>
      <c r="B75" s="9"/>
      <c r="C75" s="202">
        <f>'QTD Mgmt Summary'!C74+'[3]QTD Mgmt Summary'!C71</f>
        <v>0</v>
      </c>
      <c r="D75" s="202">
        <v>0</v>
      </c>
      <c r="E75" s="24">
        <f t="shared" si="28"/>
        <v>0</v>
      </c>
      <c r="F75" s="23"/>
      <c r="G75" s="240">
        <f>'QTD Mgmt Summary'!G74+'[3]QTD Mgmt Summary'!G71</f>
        <v>3135</v>
      </c>
      <c r="H75" s="240">
        <v>5668</v>
      </c>
      <c r="I75" s="202">
        <f t="shared" si="29"/>
        <v>-2533</v>
      </c>
      <c r="J75" s="9"/>
      <c r="K75" s="197">
        <f>'QTD Mgmt Summary'!K74+'[3]QTD Mgmt Summary'!K71</f>
        <v>0</v>
      </c>
      <c r="L75" s="197">
        <v>0</v>
      </c>
      <c r="M75" s="198">
        <f t="shared" si="30"/>
        <v>0</v>
      </c>
      <c r="N75" s="203"/>
      <c r="O75" s="201">
        <f t="shared" si="31"/>
        <v>-3135</v>
      </c>
      <c r="P75" s="202">
        <f t="shared" si="32"/>
        <v>-5668</v>
      </c>
      <c r="Q75" s="198">
        <f t="shared" si="33"/>
        <v>2533</v>
      </c>
    </row>
    <row r="76" spans="1:17" ht="12" customHeight="1" x14ac:dyDescent="0.2">
      <c r="A76" s="29" t="s">
        <v>53</v>
      </c>
      <c r="B76" s="9"/>
      <c r="C76" s="202">
        <f>'QTD Mgmt Summary'!C75+'[3]QTD Mgmt Summary'!C72</f>
        <v>0</v>
      </c>
      <c r="D76" s="202">
        <v>0</v>
      </c>
      <c r="E76" s="24">
        <f t="shared" si="28"/>
        <v>0</v>
      </c>
      <c r="F76" s="23"/>
      <c r="G76" s="240">
        <f>'QTD Mgmt Summary'!G75+'[3]QTD Mgmt Summary'!G72</f>
        <v>20683</v>
      </c>
      <c r="H76" s="240">
        <v>40572</v>
      </c>
      <c r="I76" s="202">
        <f t="shared" si="29"/>
        <v>-19889</v>
      </c>
      <c r="J76" s="9"/>
      <c r="K76" s="197">
        <f>'QTD Mgmt Summary'!K75+'[3]QTD Mgmt Summary'!K72</f>
        <v>0</v>
      </c>
      <c r="L76" s="197">
        <v>0</v>
      </c>
      <c r="M76" s="198">
        <f t="shared" si="30"/>
        <v>0</v>
      </c>
      <c r="N76" s="203"/>
      <c r="O76" s="201">
        <f t="shared" si="31"/>
        <v>-20683</v>
      </c>
      <c r="P76" s="202">
        <f t="shared" si="32"/>
        <v>-40572</v>
      </c>
      <c r="Q76" s="198">
        <f t="shared" si="33"/>
        <v>19889</v>
      </c>
    </row>
    <row r="77" spans="1:17" ht="12" customHeight="1" x14ac:dyDescent="0.2">
      <c r="A77" s="29" t="s">
        <v>54</v>
      </c>
      <c r="B77" s="9"/>
      <c r="C77" s="202">
        <f>'QTD Mgmt Summary'!C76+'[3]QTD Mgmt Summary'!C73</f>
        <v>0</v>
      </c>
      <c r="D77" s="202">
        <v>0</v>
      </c>
      <c r="E77" s="24">
        <f t="shared" si="28"/>
        <v>0</v>
      </c>
      <c r="F77" s="23"/>
      <c r="G77" s="240">
        <f>'QTD Mgmt Summary'!G76+'[3]QTD Mgmt Summary'!G73</f>
        <v>2140</v>
      </c>
      <c r="H77" s="240">
        <v>4816</v>
      </c>
      <c r="I77" s="202">
        <f t="shared" si="29"/>
        <v>-2676</v>
      </c>
      <c r="J77" s="9"/>
      <c r="K77" s="197">
        <f>'QTD Mgmt Summary'!K76+'[3]QTD Mgmt Summary'!K73</f>
        <v>0</v>
      </c>
      <c r="L77" s="197">
        <v>0</v>
      </c>
      <c r="M77" s="198">
        <f t="shared" si="30"/>
        <v>0</v>
      </c>
      <c r="N77" s="203"/>
      <c r="O77" s="201">
        <f t="shared" si="31"/>
        <v>-2140</v>
      </c>
      <c r="P77" s="202">
        <f t="shared" si="32"/>
        <v>-4816</v>
      </c>
      <c r="Q77" s="198">
        <f t="shared" si="33"/>
        <v>2676</v>
      </c>
    </row>
    <row r="78" spans="1:17" ht="12" customHeight="1" x14ac:dyDescent="0.2">
      <c r="A78" s="29" t="s">
        <v>55</v>
      </c>
      <c r="B78" s="9"/>
      <c r="C78" s="202">
        <f>'QTD Mgmt Summary'!C77+'[3]QTD Mgmt Summary'!C74</f>
        <v>0</v>
      </c>
      <c r="D78" s="202">
        <v>0</v>
      </c>
      <c r="E78" s="24">
        <f t="shared" si="28"/>
        <v>0</v>
      </c>
      <c r="F78" s="23"/>
      <c r="G78" s="240">
        <f>'QTD Mgmt Summary'!G77+'[3]QTD Mgmt Summary'!G74</f>
        <v>4734</v>
      </c>
      <c r="H78" s="240">
        <v>10311</v>
      </c>
      <c r="I78" s="202">
        <f t="shared" si="29"/>
        <v>-5577</v>
      </c>
      <c r="J78" s="9"/>
      <c r="K78" s="197">
        <f>'QTD Mgmt Summary'!K77+'[3]QTD Mgmt Summary'!K74</f>
        <v>0</v>
      </c>
      <c r="L78" s="197">
        <v>0</v>
      </c>
      <c r="M78" s="198">
        <f t="shared" si="30"/>
        <v>0</v>
      </c>
      <c r="N78" s="203"/>
      <c r="O78" s="201">
        <f t="shared" si="31"/>
        <v>-4734</v>
      </c>
      <c r="P78" s="202">
        <f t="shared" si="32"/>
        <v>-10311</v>
      </c>
      <c r="Q78" s="198">
        <f t="shared" si="33"/>
        <v>5577</v>
      </c>
    </row>
    <row r="79" spans="1:17" ht="12" customHeight="1" x14ac:dyDescent="0.2">
      <c r="A79" s="29" t="s">
        <v>56</v>
      </c>
      <c r="B79" s="9"/>
      <c r="C79" s="202">
        <f>'QTD Mgmt Summary'!C78+'[3]QTD Mgmt Summary'!C75</f>
        <v>0</v>
      </c>
      <c r="D79" s="202">
        <v>0</v>
      </c>
      <c r="E79" s="24">
        <f t="shared" si="28"/>
        <v>0</v>
      </c>
      <c r="F79" s="23"/>
      <c r="G79" s="240">
        <f>'QTD Mgmt Summary'!G78+'[3]QTD Mgmt Summary'!G75</f>
        <v>328</v>
      </c>
      <c r="H79" s="240">
        <v>1572</v>
      </c>
      <c r="I79" s="202">
        <f t="shared" si="29"/>
        <v>-1244</v>
      </c>
      <c r="J79" s="9"/>
      <c r="K79" s="197">
        <f>'QTD Mgmt Summary'!K78+'[3]QTD Mgmt Summary'!K75</f>
        <v>0</v>
      </c>
      <c r="L79" s="197">
        <v>0</v>
      </c>
      <c r="M79" s="198">
        <f t="shared" si="30"/>
        <v>0</v>
      </c>
      <c r="N79" s="203"/>
      <c r="O79" s="201">
        <f t="shared" si="31"/>
        <v>-328</v>
      </c>
      <c r="P79" s="202">
        <f t="shared" si="32"/>
        <v>-1572</v>
      </c>
      <c r="Q79" s="198">
        <f t="shared" si="33"/>
        <v>1244</v>
      </c>
    </row>
    <row r="80" spans="1:17" ht="12" customHeight="1" x14ac:dyDescent="0.2">
      <c r="A80" s="29" t="s">
        <v>57</v>
      </c>
      <c r="B80" s="9"/>
      <c r="C80" s="202">
        <f>'QTD Mgmt Summary'!C79+'[3]QTD Mgmt Summary'!C76</f>
        <v>0</v>
      </c>
      <c r="D80" s="202">
        <v>0</v>
      </c>
      <c r="E80" s="24">
        <f t="shared" si="28"/>
        <v>0</v>
      </c>
      <c r="F80" s="23"/>
      <c r="G80" s="240">
        <f>'QTD Mgmt Summary'!G79+'[3]QTD Mgmt Summary'!G76</f>
        <v>950</v>
      </c>
      <c r="H80" s="240">
        <v>2336</v>
      </c>
      <c r="I80" s="202">
        <f t="shared" si="29"/>
        <v>-1386</v>
      </c>
      <c r="J80" s="9"/>
      <c r="K80" s="197">
        <f>'QTD Mgmt Summary'!K79+'[3]QTD Mgmt Summary'!K76</f>
        <v>0</v>
      </c>
      <c r="L80" s="197">
        <v>0</v>
      </c>
      <c r="M80" s="198">
        <f t="shared" si="30"/>
        <v>0</v>
      </c>
      <c r="N80" s="203"/>
      <c r="O80" s="201">
        <f t="shared" si="31"/>
        <v>-950</v>
      </c>
      <c r="P80" s="202">
        <f t="shared" si="32"/>
        <v>-2336</v>
      </c>
      <c r="Q80" s="198">
        <f t="shared" si="33"/>
        <v>1386</v>
      </c>
    </row>
    <row r="81" spans="1:17" ht="12" customHeight="1" x14ac:dyDescent="0.2">
      <c r="A81" s="29" t="s">
        <v>59</v>
      </c>
      <c r="B81" s="9"/>
      <c r="C81" s="202">
        <f>'QTD Mgmt Summary'!C80+'[3]QTD Mgmt Summary'!C77</f>
        <v>0</v>
      </c>
      <c r="D81" s="202">
        <v>0</v>
      </c>
      <c r="E81" s="24">
        <f t="shared" si="28"/>
        <v>0</v>
      </c>
      <c r="F81" s="23"/>
      <c r="G81" s="240">
        <f>'QTD Mgmt Summary'!G80+'[3]QTD Mgmt Summary'!G77</f>
        <v>739</v>
      </c>
      <c r="H81" s="240">
        <v>2201</v>
      </c>
      <c r="I81" s="202">
        <f t="shared" si="29"/>
        <v>-1462</v>
      </c>
      <c r="J81" s="9"/>
      <c r="K81" s="197">
        <f>'QTD Mgmt Summary'!K80+'[3]QTD Mgmt Summary'!K77</f>
        <v>0</v>
      </c>
      <c r="L81" s="197">
        <v>0</v>
      </c>
      <c r="M81" s="198">
        <f t="shared" si="30"/>
        <v>0</v>
      </c>
      <c r="N81" s="203"/>
      <c r="O81" s="201">
        <f t="shared" si="31"/>
        <v>-739</v>
      </c>
      <c r="P81" s="202">
        <f t="shared" si="32"/>
        <v>-2201</v>
      </c>
      <c r="Q81" s="198">
        <f t="shared" si="33"/>
        <v>1462</v>
      </c>
    </row>
    <row r="82" spans="1:17" ht="12" customHeight="1" x14ac:dyDescent="0.2">
      <c r="A82" s="29" t="s">
        <v>60</v>
      </c>
      <c r="B82" s="9"/>
      <c r="C82" s="202">
        <f>'QTD Mgmt Summary'!C81+'[3]QTD Mgmt Summary'!C78</f>
        <v>0</v>
      </c>
      <c r="D82" s="202">
        <v>0</v>
      </c>
      <c r="E82" s="24">
        <f t="shared" si="28"/>
        <v>0</v>
      </c>
      <c r="F82" s="23"/>
      <c r="G82" s="240">
        <f>'QTD Mgmt Summary'!G81+'[3]QTD Mgmt Summary'!G78</f>
        <v>383</v>
      </c>
      <c r="H82" s="240">
        <v>793</v>
      </c>
      <c r="I82" s="202">
        <f t="shared" si="29"/>
        <v>-410</v>
      </c>
      <c r="J82" s="9"/>
      <c r="K82" s="197">
        <f>'QTD Mgmt Summary'!K81+'[3]QTD Mgmt Summary'!K78</f>
        <v>0</v>
      </c>
      <c r="L82" s="197">
        <v>0</v>
      </c>
      <c r="M82" s="198">
        <f t="shared" si="30"/>
        <v>0</v>
      </c>
      <c r="N82" s="203"/>
      <c r="O82" s="201">
        <f t="shared" si="31"/>
        <v>-383</v>
      </c>
      <c r="P82" s="202">
        <f t="shared" si="32"/>
        <v>-793</v>
      </c>
      <c r="Q82" s="198">
        <f t="shared" si="33"/>
        <v>410</v>
      </c>
    </row>
    <row r="83" spans="1:17" ht="12" customHeight="1" x14ac:dyDescent="0.2">
      <c r="A83" s="29" t="s">
        <v>61</v>
      </c>
      <c r="B83" s="9"/>
      <c r="C83" s="202">
        <f>'QTD Mgmt Summary'!C82+'[3]QTD Mgmt Summary'!C79</f>
        <v>0</v>
      </c>
      <c r="D83" s="202">
        <v>0</v>
      </c>
      <c r="E83" s="24">
        <f t="shared" si="28"/>
        <v>0</v>
      </c>
      <c r="F83" s="23"/>
      <c r="G83" s="240">
        <f>'QTD Mgmt Summary'!G82+'[3]QTD Mgmt Summary'!G79</f>
        <v>1153</v>
      </c>
      <c r="H83" s="240">
        <v>2756</v>
      </c>
      <c r="I83" s="202">
        <f t="shared" si="29"/>
        <v>-1603</v>
      </c>
      <c r="J83" s="9"/>
      <c r="K83" s="197">
        <f>'QTD Mgmt Summary'!K82+'[3]QTD Mgmt Summary'!K79</f>
        <v>0</v>
      </c>
      <c r="L83" s="197">
        <v>0</v>
      </c>
      <c r="M83" s="198">
        <f t="shared" si="30"/>
        <v>0</v>
      </c>
      <c r="N83" s="203"/>
      <c r="O83" s="201">
        <f t="shared" si="31"/>
        <v>-1153</v>
      </c>
      <c r="P83" s="202">
        <f t="shared" si="32"/>
        <v>-2756</v>
      </c>
      <c r="Q83" s="198">
        <f t="shared" si="33"/>
        <v>1603</v>
      </c>
    </row>
    <row r="84" spans="1:17" ht="12" customHeight="1" x14ac:dyDescent="0.2">
      <c r="A84" s="29" t="s">
        <v>62</v>
      </c>
      <c r="B84" s="9"/>
      <c r="C84" s="202">
        <f>'QTD Mgmt Summary'!C83+'[3]QTD Mgmt Summary'!C80</f>
        <v>0</v>
      </c>
      <c r="D84" s="202">
        <v>0</v>
      </c>
      <c r="E84" s="24">
        <f t="shared" si="28"/>
        <v>0</v>
      </c>
      <c r="F84" s="23"/>
      <c r="G84" s="240">
        <f>'QTD Mgmt Summary'!G83+'[3]QTD Mgmt Summary'!G80</f>
        <v>2538</v>
      </c>
      <c r="H84" s="240">
        <v>5677</v>
      </c>
      <c r="I84" s="202">
        <f t="shared" si="29"/>
        <v>-3139</v>
      </c>
      <c r="J84" s="9"/>
      <c r="K84" s="197">
        <f>'QTD Mgmt Summary'!K83+'[3]QTD Mgmt Summary'!K80</f>
        <v>0</v>
      </c>
      <c r="L84" s="197">
        <v>0</v>
      </c>
      <c r="M84" s="198">
        <f t="shared" si="30"/>
        <v>0</v>
      </c>
      <c r="N84" s="203"/>
      <c r="O84" s="201">
        <f t="shared" si="31"/>
        <v>-2538</v>
      </c>
      <c r="P84" s="202">
        <f t="shared" si="32"/>
        <v>-5677</v>
      </c>
      <c r="Q84" s="198">
        <f t="shared" si="33"/>
        <v>3139</v>
      </c>
    </row>
    <row r="85" spans="1:17" x14ac:dyDescent="0.2">
      <c r="A85" s="29" t="s">
        <v>58</v>
      </c>
      <c r="B85" s="9"/>
      <c r="C85" s="202">
        <f>'QTD Mgmt Summary'!C84+'[3]QTD Mgmt Summary'!C81</f>
        <v>0</v>
      </c>
      <c r="D85" s="202">
        <v>0</v>
      </c>
      <c r="E85" s="24">
        <f t="shared" si="28"/>
        <v>0</v>
      </c>
      <c r="F85" s="23"/>
      <c r="G85" s="240">
        <f>'QTD Mgmt Summary'!G84+'[3]QTD Mgmt Summary'!G81</f>
        <v>54732</v>
      </c>
      <c r="H85" s="240">
        <v>92300</v>
      </c>
      <c r="I85" s="202">
        <f t="shared" si="29"/>
        <v>-37568</v>
      </c>
      <c r="J85" s="9"/>
      <c r="K85" s="197">
        <f>'QTD Mgmt Summary'!K84+'[3]QTD Mgmt Summary'!K81</f>
        <v>0</v>
      </c>
      <c r="L85" s="197">
        <v>0</v>
      </c>
      <c r="M85" s="198">
        <f t="shared" si="30"/>
        <v>0</v>
      </c>
      <c r="N85" s="203"/>
      <c r="O85" s="201">
        <f t="shared" si="31"/>
        <v>-54732</v>
      </c>
      <c r="P85" s="202">
        <f t="shared" si="32"/>
        <v>-92300</v>
      </c>
      <c r="Q85" s="198">
        <f t="shared" si="33"/>
        <v>37568</v>
      </c>
    </row>
    <row r="86" spans="1:17" ht="12" customHeight="1" x14ac:dyDescent="0.2">
      <c r="A86" s="29" t="s">
        <v>17</v>
      </c>
      <c r="B86" s="9"/>
      <c r="C86" s="202">
        <f>'QTD Mgmt Summary'!C85+'[3]QTD Mgmt Summary'!C82</f>
        <v>0</v>
      </c>
      <c r="D86" s="202">
        <v>0</v>
      </c>
      <c r="E86" s="24">
        <f t="shared" si="28"/>
        <v>0</v>
      </c>
      <c r="F86" s="23"/>
      <c r="G86" s="240">
        <f>'QTD Mgmt Summary'!G85+'[3]QTD Mgmt Summary'!G82</f>
        <v>96765</v>
      </c>
      <c r="H86" s="240">
        <v>186519</v>
      </c>
      <c r="I86" s="202">
        <f t="shared" si="29"/>
        <v>-89754</v>
      </c>
      <c r="J86" s="9"/>
      <c r="K86" s="197">
        <f>'QTD Mgmt Summary'!K85+'[3]QTD Mgmt Summary'!K82</f>
        <v>0</v>
      </c>
      <c r="L86" s="197">
        <v>0</v>
      </c>
      <c r="M86" s="198">
        <f t="shared" si="30"/>
        <v>0</v>
      </c>
      <c r="N86" s="203"/>
      <c r="O86" s="201">
        <f t="shared" si="31"/>
        <v>-96765</v>
      </c>
      <c r="P86" s="202">
        <f t="shared" si="32"/>
        <v>-186519</v>
      </c>
      <c r="Q86" s="198">
        <f t="shared" si="33"/>
        <v>89754</v>
      </c>
    </row>
    <row r="87" spans="1:17" s="157" customFormat="1" ht="12" customHeight="1" x14ac:dyDescent="0.2">
      <c r="A87" s="25" t="s">
        <v>13</v>
      </c>
      <c r="B87" s="155"/>
      <c r="C87" s="26">
        <f>SUM(C73:C86)</f>
        <v>0</v>
      </c>
      <c r="D87" s="27">
        <f>SUM(D73:D86)</f>
        <v>0</v>
      </c>
      <c r="E87" s="28">
        <f>SUM(E73:E86)</f>
        <v>0</v>
      </c>
      <c r="F87" s="156"/>
      <c r="G87" s="204">
        <f>SUM(G73:G86)</f>
        <v>194370</v>
      </c>
      <c r="H87" s="205">
        <f>SUM(H73:H86)</f>
        <v>368066</v>
      </c>
      <c r="I87" s="205">
        <f>SUM(I73:I86)</f>
        <v>-173696</v>
      </c>
      <c r="J87" s="9"/>
      <c r="K87" s="205">
        <f>SUM(K73:K86)</f>
        <v>0</v>
      </c>
      <c r="L87" s="205">
        <f>SUM(L73:L86)</f>
        <v>0</v>
      </c>
      <c r="M87" s="206">
        <f>SUM(M73:M86)</f>
        <v>0</v>
      </c>
      <c r="N87" s="207"/>
      <c r="O87" s="204">
        <f>SUM(O73:O86)</f>
        <v>-194370</v>
      </c>
      <c r="P87" s="205">
        <f>SUM(P73:P86)</f>
        <v>-368066</v>
      </c>
      <c r="Q87" s="206">
        <f>SUM(Q73:Q86)</f>
        <v>173696</v>
      </c>
    </row>
    <row r="88" spans="1:17" s="33" customFormat="1" ht="12" customHeight="1" x14ac:dyDescent="0.2">
      <c r="A88" s="181" t="s">
        <v>119</v>
      </c>
      <c r="B88" s="9"/>
      <c r="C88" s="202">
        <f>'QTD Mgmt Summary'!C87+'[3]QTD Mgmt Summary'!C84</f>
        <v>0</v>
      </c>
      <c r="D88" s="202">
        <v>0</v>
      </c>
      <c r="E88" s="291">
        <f>-D88+C88</f>
        <v>0</v>
      </c>
      <c r="F88" s="23"/>
      <c r="G88" s="240">
        <f>'QTD Mgmt Summary'!G87+'[3]QTD Mgmt Summary'!G84</f>
        <v>53343</v>
      </c>
      <c r="H88" s="240">
        <v>149780</v>
      </c>
      <c r="I88" s="202">
        <f>G88-H88</f>
        <v>-96437</v>
      </c>
      <c r="J88" s="9"/>
      <c r="K88" s="202">
        <f>'QTD Mgmt Summary'!K87+'[3]QTD Mgmt Summary'!K84</f>
        <v>0</v>
      </c>
      <c r="L88" s="202">
        <f>CapChrg!D84</f>
        <v>0</v>
      </c>
      <c r="M88" s="292">
        <f>K88-L88</f>
        <v>0</v>
      </c>
      <c r="N88" s="203"/>
      <c r="O88" s="201">
        <f t="shared" ref="O88:P91" si="34">C88-G88-K88</f>
        <v>-53343</v>
      </c>
      <c r="P88" s="202">
        <f t="shared" si="34"/>
        <v>-149780</v>
      </c>
      <c r="Q88" s="198">
        <f>O88-P88</f>
        <v>96437</v>
      </c>
    </row>
    <row r="89" spans="1:17" s="33" customFormat="1" ht="12" customHeight="1" x14ac:dyDescent="0.2">
      <c r="A89" s="181" t="s">
        <v>120</v>
      </c>
      <c r="B89" s="9"/>
      <c r="C89" s="202">
        <f>'QTD Mgmt Summary'!C88+'[3]QTD Mgmt Summary'!C85</f>
        <v>81275</v>
      </c>
      <c r="D89" s="240">
        <v>131639</v>
      </c>
      <c r="E89" s="293">
        <f>-D89+C89</f>
        <v>-50364</v>
      </c>
      <c r="F89" s="23"/>
      <c r="G89" s="240">
        <f>'QTD Mgmt Summary'!G88+'[3]QTD Mgmt Summary'!G85</f>
        <v>4802</v>
      </c>
      <c r="H89" s="240">
        <v>11639</v>
      </c>
      <c r="I89" s="202">
        <f>G89-H89</f>
        <v>-6837</v>
      </c>
      <c r="J89" s="9"/>
      <c r="K89" s="202">
        <f>'QTD Mgmt Summary'!K88+'[3]QTD Mgmt Summary'!K85</f>
        <v>0</v>
      </c>
      <c r="L89" s="202">
        <f>CapChrg!D85</f>
        <v>0</v>
      </c>
      <c r="M89" s="292">
        <f>K89-L89</f>
        <v>0</v>
      </c>
      <c r="N89" s="203"/>
      <c r="O89" s="201">
        <f t="shared" si="34"/>
        <v>76473</v>
      </c>
      <c r="P89" s="202">
        <f t="shared" si="34"/>
        <v>120000</v>
      </c>
      <c r="Q89" s="198">
        <f>O89-P89</f>
        <v>-43527</v>
      </c>
    </row>
    <row r="90" spans="1:17" s="33" customFormat="1" ht="12" customHeight="1" x14ac:dyDescent="0.2">
      <c r="A90" s="181" t="s">
        <v>116</v>
      </c>
      <c r="B90" s="9"/>
      <c r="C90" s="202">
        <f>'QTD Mgmt Summary'!C89+'[3]QTD Mgmt Summary'!C86</f>
        <v>-41331</v>
      </c>
      <c r="D90" s="202">
        <v>-52000</v>
      </c>
      <c r="E90" s="293">
        <f>-D90+C90</f>
        <v>10669</v>
      </c>
      <c r="F90" s="23"/>
      <c r="G90" s="240">
        <f>'QTD Mgmt Summary'!G89+'[3]QTD Mgmt Summary'!G86</f>
        <v>0</v>
      </c>
      <c r="H90" s="240">
        <v>0</v>
      </c>
      <c r="I90" s="202">
        <f>G90-H90</f>
        <v>0</v>
      </c>
      <c r="J90" s="9"/>
      <c r="K90" s="202">
        <f>'QTD Mgmt Summary'!K89+'[3]QTD Mgmt Summary'!K86</f>
        <v>0</v>
      </c>
      <c r="L90" s="202">
        <v>0</v>
      </c>
      <c r="M90" s="292">
        <f>K90-L90</f>
        <v>0</v>
      </c>
      <c r="N90" s="203"/>
      <c r="O90" s="201">
        <f t="shared" si="34"/>
        <v>-41331</v>
      </c>
      <c r="P90" s="202">
        <f t="shared" si="34"/>
        <v>-52000</v>
      </c>
      <c r="Q90" s="198">
        <f>O90-P90</f>
        <v>10669</v>
      </c>
    </row>
    <row r="91" spans="1:17" ht="12" customHeight="1" thickBot="1" x14ac:dyDescent="0.25">
      <c r="A91" s="29" t="s">
        <v>115</v>
      </c>
      <c r="B91" s="9"/>
      <c r="C91" s="202">
        <f>'QTD Mgmt Summary'!C90+'[3]QTD Mgmt Summary'!C87</f>
        <v>5745</v>
      </c>
      <c r="D91" s="202">
        <v>0</v>
      </c>
      <c r="E91" s="293">
        <f>-D91+C91</f>
        <v>5745</v>
      </c>
      <c r="F91" s="23"/>
      <c r="G91" s="202">
        <f>'QTD Mgmt Summary'!G90+'[3]QTD Mgmt Summary'!G87</f>
        <v>0</v>
      </c>
      <c r="H91" s="202">
        <v>0</v>
      </c>
      <c r="I91" s="202">
        <f>G91-H91</f>
        <v>0</v>
      </c>
      <c r="J91" s="9"/>
      <c r="K91" s="240">
        <f>'QTD Mgmt Summary'!K90+'[3]QTD Mgmt Summary'!K87</f>
        <v>-182766</v>
      </c>
      <c r="L91" s="240">
        <f>-L71</f>
        <v>-340046</v>
      </c>
      <c r="M91" s="292">
        <f>K91-L91</f>
        <v>157280</v>
      </c>
      <c r="N91" s="203"/>
      <c r="O91" s="201">
        <f t="shared" si="34"/>
        <v>188511</v>
      </c>
      <c r="P91" s="202">
        <f t="shared" si="34"/>
        <v>340046</v>
      </c>
      <c r="Q91" s="198">
        <f>O91-P91</f>
        <v>-151535</v>
      </c>
    </row>
    <row r="92" spans="1:17" s="157" customFormat="1" ht="12" customHeight="1" thickBot="1" x14ac:dyDescent="0.25">
      <c r="A92" s="25" t="s">
        <v>140</v>
      </c>
      <c r="B92" s="302"/>
      <c r="C92" s="309">
        <f>C71+C87+C88+C89+C90+C91</f>
        <v>2102867</v>
      </c>
      <c r="D92" s="309">
        <f>D71+D87+D88+D89+D90+D91</f>
        <v>1652542</v>
      </c>
      <c r="E92" s="309">
        <f>E71+E87+E88+E89+E90+E91</f>
        <v>450325</v>
      </c>
      <c r="F92" s="156"/>
      <c r="G92" s="309">
        <f>G71+G87+G88+G89+G90+G91</f>
        <v>735735</v>
      </c>
      <c r="H92" s="309">
        <f>H71+H87+H88+H89+H90+H91</f>
        <v>728272</v>
      </c>
      <c r="I92" s="309">
        <f>I71+I87+I88+I89+I90+I91</f>
        <v>8142</v>
      </c>
      <c r="J92" s="15"/>
      <c r="K92" s="309">
        <f>K71+K87+K88+K89+K90+K91</f>
        <v>0</v>
      </c>
      <c r="L92" s="309">
        <f>L71+L87+L88+L89+L90+L91</f>
        <v>0</v>
      </c>
      <c r="M92" s="309">
        <f>M71+M87+M88+M89+M90+M91</f>
        <v>0</v>
      </c>
      <c r="N92" s="15"/>
      <c r="O92" s="316">
        <f>O71+O87+O88+O89+O90+O91</f>
        <v>1367132</v>
      </c>
      <c r="P92" s="317">
        <f>P71+P87+P88+P89+P90+P91</f>
        <v>924270</v>
      </c>
      <c r="Q92" s="318">
        <f>Q71+Q87+Q88+Q89+Q90+Q91</f>
        <v>442862</v>
      </c>
    </row>
    <row r="93" spans="1:17" ht="12.75" customHeight="1" thickBot="1" x14ac:dyDescent="0.25">
      <c r="A93" s="29" t="s">
        <v>15</v>
      </c>
      <c r="B93" s="9"/>
      <c r="C93" s="30">
        <v>0</v>
      </c>
      <c r="D93" s="31">
        <v>0</v>
      </c>
      <c r="E93" s="32">
        <f>D93-C93</f>
        <v>0</v>
      </c>
      <c r="F93" s="23"/>
      <c r="G93" s="208">
        <f>Expenses!C88</f>
        <v>407</v>
      </c>
      <c r="H93" s="210">
        <v>0</v>
      </c>
      <c r="I93" s="202">
        <f>G93-H93</f>
        <v>407</v>
      </c>
      <c r="J93" s="9"/>
      <c r="K93" s="210">
        <v>0</v>
      </c>
      <c r="L93" s="210">
        <f>CapChrg!E73</f>
        <v>0</v>
      </c>
      <c r="M93" s="198">
        <v>0</v>
      </c>
      <c r="N93" s="203"/>
      <c r="O93" s="313">
        <f>C93-G93-K93</f>
        <v>-407</v>
      </c>
      <c r="P93" s="314">
        <f>D93-H93-L93</f>
        <v>0</v>
      </c>
      <c r="Q93" s="315">
        <f>O93-P93</f>
        <v>-407</v>
      </c>
    </row>
    <row r="94" spans="1:17" s="157" customFormat="1" ht="12" customHeight="1" thickBot="1" x14ac:dyDescent="0.3">
      <c r="A94" s="35" t="s">
        <v>141</v>
      </c>
      <c r="B94" s="158"/>
      <c r="C94" s="36">
        <f>SUM(C92:C93)</f>
        <v>2102867</v>
      </c>
      <c r="D94" s="37">
        <f>SUM(D92:D93)</f>
        <v>1652542</v>
      </c>
      <c r="E94" s="51">
        <f>SUM(E92:E93)</f>
        <v>450325</v>
      </c>
      <c r="F94" s="159"/>
      <c r="G94" s="212">
        <f>SUM(G92:G93)</f>
        <v>736142</v>
      </c>
      <c r="H94" s="213">
        <f>SUM(H92:H93)</f>
        <v>728272</v>
      </c>
      <c r="I94" s="213">
        <f>G94-H94</f>
        <v>7870</v>
      </c>
      <c r="J94" s="159"/>
      <c r="K94" s="212">
        <f>SUM(K92:K93)</f>
        <v>0</v>
      </c>
      <c r="L94" s="213">
        <f>SUM(L92:L93)</f>
        <v>0</v>
      </c>
      <c r="M94" s="214">
        <f>SUM(M92:M93)</f>
        <v>0</v>
      </c>
      <c r="N94" s="215"/>
      <c r="O94" s="310">
        <f>SUM(O92:O93)</f>
        <v>1366725</v>
      </c>
      <c r="P94" s="311">
        <f>SUM(P92:P93)</f>
        <v>924270</v>
      </c>
      <c r="Q94" s="312">
        <f>SUM(Q92:Q93)</f>
        <v>442455</v>
      </c>
    </row>
    <row r="95" spans="1:17" ht="3" customHeight="1" x14ac:dyDescent="0.3">
      <c r="A95" s="38"/>
      <c r="C95" s="39"/>
      <c r="D95" s="40"/>
      <c r="E95" s="38"/>
      <c r="F95" s="41"/>
    </row>
    <row r="96" spans="1:17" x14ac:dyDescent="0.2">
      <c r="A96" s="43"/>
      <c r="C96" s="41"/>
      <c r="D96" s="40"/>
      <c r="E96" s="41"/>
      <c r="F96" s="41"/>
    </row>
    <row r="97" spans="1:16" ht="13.5" customHeight="1" x14ac:dyDescent="0.2">
      <c r="A97" s="42"/>
      <c r="D97" s="44"/>
      <c r="E97" s="44"/>
      <c r="F97" s="44"/>
      <c r="G97" s="217"/>
      <c r="H97" s="217"/>
      <c r="I97" s="217"/>
      <c r="J97" s="217"/>
      <c r="K97" s="217"/>
      <c r="L97" s="217"/>
      <c r="M97" s="217"/>
      <c r="P97" s="301"/>
    </row>
    <row r="98" spans="1:16" x14ac:dyDescent="0.2">
      <c r="O98" s="301"/>
    </row>
    <row r="100" spans="1:16" x14ac:dyDescent="0.2">
      <c r="O100" s="301"/>
    </row>
  </sheetData>
  <mergeCells count="7">
    <mergeCell ref="L2:Q2"/>
    <mergeCell ref="O6:Q7"/>
    <mergeCell ref="C6:E7"/>
    <mergeCell ref="G6:I6"/>
    <mergeCell ref="G7:I7"/>
    <mergeCell ref="K6:M6"/>
    <mergeCell ref="K7:M7"/>
  </mergeCells>
  <phoneticPr fontId="0" type="noConversion"/>
  <printOptions horizontalCentered="1"/>
  <pageMargins left="0.25" right="0.25" top="0.2" bottom="0.16" header="0.17" footer="0.18"/>
  <pageSetup scale="6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YTD Mgmt Summary</vt:lpstr>
      <vt:lpstr>QTD Mgmt Summary</vt:lpstr>
      <vt:lpstr>GM-WklyChnge</vt:lpstr>
      <vt:lpstr>GrossMargin</vt:lpstr>
      <vt:lpstr>WeeklyExpChange</vt:lpstr>
      <vt:lpstr>Expenses</vt:lpstr>
      <vt:lpstr>CapChrg</vt:lpstr>
      <vt:lpstr>YTD Mgmt Summary </vt:lpstr>
      <vt:lpstr>CapChrg!Print_Area</vt:lpstr>
      <vt:lpstr>Expenses!Print_Area</vt:lpstr>
      <vt:lpstr>'GM-WklyChnge'!Print_Area</vt:lpstr>
      <vt:lpstr>GrossMargin!Print_Area</vt:lpstr>
      <vt:lpstr>'QTD Mgmt Summary'!Print_Area</vt:lpstr>
      <vt:lpstr>WeeklyExpChange!Print_Area</vt:lpstr>
      <vt:lpstr>'YTD Mgmt Summary'!Print_Area</vt:lpstr>
      <vt:lpstr>'YTD Mgmt Summary 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 Hardy</dc:creator>
  <cp:lastModifiedBy>Havlíček Jan</cp:lastModifiedBy>
  <cp:lastPrinted>2001-06-11T13:57:03Z</cp:lastPrinted>
  <dcterms:created xsi:type="dcterms:W3CDTF">2001-01-02T19:05:14Z</dcterms:created>
  <dcterms:modified xsi:type="dcterms:W3CDTF">2023-09-10T11:35:43Z</dcterms:modified>
</cp:coreProperties>
</file>